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 tabRatio="203"/>
  </bookViews>
  <sheets>
    <sheet name="НМЦК" sheetId="2" r:id="rId1"/>
    <sheet name="Лист1" sheetId="1" r:id="rId2"/>
    <sheet name="Лист3" sheetId="3" r:id="rId3"/>
  </sheets>
  <definedNames>
    <definedName name="_GoBack" localSheetId="1">Лист1!$A$43</definedName>
    <definedName name="_xlnm.Print_Area" localSheetId="0">НМЦК!$A$1:$J$16</definedName>
  </definedNames>
  <calcPr calcId="145621"/>
</workbook>
</file>

<file path=xl/calcChain.xml><?xml version="1.0" encoding="utf-8"?>
<calcChain xmlns="http://schemas.openxmlformats.org/spreadsheetml/2006/main">
  <c r="I10" i="2" l="1"/>
  <c r="J10" i="2" l="1"/>
  <c r="I13" i="2" s="1"/>
  <c r="I12" i="2" s="1"/>
  <c r="E30" i="1"/>
  <c r="J7" i="1"/>
  <c r="E29" i="1"/>
  <c r="E28" i="1"/>
  <c r="E27" i="1"/>
  <c r="E26" i="1"/>
  <c r="E25" i="1"/>
  <c r="E24" i="1"/>
  <c r="E23" i="1"/>
  <c r="E22" i="1"/>
  <c r="H22" i="1" s="1"/>
  <c r="K22" i="1" s="1"/>
  <c r="L22" i="1" s="1"/>
  <c r="E21" i="1"/>
  <c r="H21" i="1" s="1"/>
  <c r="K21" i="1" s="1"/>
  <c r="L21" i="1" s="1"/>
  <c r="E20" i="1"/>
  <c r="E19" i="1"/>
  <c r="E18" i="1"/>
  <c r="E17" i="1"/>
  <c r="E16" i="1"/>
  <c r="E15" i="1"/>
  <c r="E14" i="1"/>
  <c r="E13" i="1"/>
  <c r="E12" i="1"/>
  <c r="H12" i="1" s="1"/>
  <c r="D32" i="1"/>
  <c r="D31" i="1"/>
  <c r="D18" i="1" l="1"/>
  <c r="D17" i="1"/>
  <c r="D14" i="1"/>
  <c r="D13" i="1"/>
  <c r="K12" i="1"/>
  <c r="L12" i="1" s="1"/>
  <c r="H13" i="1"/>
  <c r="K13" i="1" s="1"/>
  <c r="H14" i="1"/>
  <c r="K14" i="1" s="1"/>
  <c r="H15" i="1"/>
  <c r="K15" i="1" s="1"/>
  <c r="L15" i="1" s="1"/>
  <c r="H16" i="1"/>
  <c r="K16" i="1" s="1"/>
  <c r="L16" i="1" s="1"/>
  <c r="H17" i="1"/>
  <c r="K17" i="1" s="1"/>
  <c r="H18" i="1"/>
  <c r="K18" i="1" s="1"/>
  <c r="H20" i="1"/>
  <c r="K20" i="1" s="1"/>
  <c r="L20" i="1" s="1"/>
  <c r="H23" i="1"/>
  <c r="K23" i="1" s="1"/>
  <c r="L23" i="1" s="1"/>
  <c r="H24" i="1"/>
  <c r="K24" i="1" s="1"/>
  <c r="L24" i="1" s="1"/>
  <c r="H25" i="1"/>
  <c r="K25" i="1" s="1"/>
  <c r="L25" i="1" s="1"/>
  <c r="H26" i="1"/>
  <c r="K26" i="1" s="1"/>
  <c r="L26" i="1" s="1"/>
  <c r="H27" i="1"/>
  <c r="K27" i="1" s="1"/>
  <c r="L27" i="1" s="1"/>
  <c r="H28" i="1"/>
  <c r="K28" i="1" s="1"/>
  <c r="L28" i="1" s="1"/>
  <c r="H29" i="1"/>
  <c r="K29" i="1" s="1"/>
  <c r="L29" i="1" s="1"/>
  <c r="H30" i="1"/>
  <c r="K30" i="1" s="1"/>
  <c r="H31" i="1"/>
  <c r="K31" i="1" s="1"/>
  <c r="H32" i="1"/>
  <c r="K32" i="1" s="1"/>
  <c r="H33" i="1"/>
  <c r="K33" i="1" s="1"/>
  <c r="L33" i="1" s="1"/>
  <c r="H34" i="1"/>
  <c r="K34" i="1" s="1"/>
  <c r="L34" i="1" s="1"/>
  <c r="H35" i="1"/>
  <c r="K35" i="1" s="1"/>
  <c r="H36" i="1"/>
  <c r="K36" i="1" s="1"/>
  <c r="H37" i="1"/>
  <c r="K37" i="1" s="1"/>
  <c r="L37" i="1" s="1"/>
  <c r="H38" i="1"/>
  <c r="K38" i="1" s="1"/>
  <c r="L38" i="1" s="1"/>
  <c r="L17" i="1" l="1"/>
  <c r="L14" i="1"/>
  <c r="L36" i="1"/>
  <c r="L35" i="1"/>
  <c r="L32" i="1"/>
  <c r="L31" i="1"/>
  <c r="L30" i="1"/>
  <c r="L18" i="1"/>
  <c r="L13" i="1"/>
  <c r="I11" i="2" l="1"/>
  <c r="L39" i="1"/>
  <c r="J12" i="1"/>
</calcChain>
</file>

<file path=xl/sharedStrings.xml><?xml version="1.0" encoding="utf-8"?>
<sst xmlns="http://schemas.openxmlformats.org/spreadsheetml/2006/main" count="99" uniqueCount="69">
  <si>
    <t xml:space="preserve">Приложение № 1 к аукционной документации </t>
  </si>
  <si>
    <t xml:space="preserve">Обоснование начальной максимальной цены контракта  </t>
  </si>
  <si>
    <t>№ п/п</t>
  </si>
  <si>
    <t>Наименование товара, работ, услуг</t>
  </si>
  <si>
    <t>ед. изм.</t>
  </si>
  <si>
    <t>Кол-во</t>
  </si>
  <si>
    <t>Данные представленные организацией №1</t>
  </si>
  <si>
    <t>Данные представленные организацией №2</t>
  </si>
  <si>
    <t>Данные представленные организацией №3</t>
  </si>
  <si>
    <t>Средняя цена за ед., руб.</t>
  </si>
  <si>
    <t>Коэф. вариации V=</t>
  </si>
  <si>
    <t>Среднее квадратичное отклонение</t>
  </si>
  <si>
    <t>НМЦК</t>
  </si>
  <si>
    <t>цена за единицу</t>
  </si>
  <si>
    <t>“</t>
  </si>
  <si>
    <t>г.</t>
  </si>
  <si>
    <t>Конт. Тел. 8(3955) 51-27-15</t>
  </si>
  <si>
    <r>
      <t>Используемый метод определения НМЦК</t>
    </r>
    <r>
      <rPr>
        <sz val="10"/>
        <color rgb="FF000000"/>
        <rFont val="Times New Roman"/>
        <family val="1"/>
        <charset val="204"/>
      </rPr>
      <t xml:space="preserve">: Метод сопоставимых рыночных цен (анализ рынка) </t>
    </r>
  </si>
  <si>
    <r>
      <t>Обоснование</t>
    </r>
    <r>
      <rPr>
        <sz val="10"/>
        <color rgb="FF000000"/>
        <rFont val="Times New Roman"/>
        <family val="1"/>
        <charset val="204"/>
      </rPr>
      <t>: согласно ч.6 ст.22 44-ФЗ от 05.04.2013 г. данный метод определения цены является приоритетным.</t>
    </r>
  </si>
  <si>
    <t>сумма, руб. без НДС</t>
  </si>
  <si>
    <t>шт.</t>
  </si>
  <si>
    <t>Муфта электросварная ПЭ 100 SDR 11 Ду63, Ру 16</t>
  </si>
  <si>
    <t>Муфта электросварная ПЭ 100 SDR 11 Ду110, Ру 16</t>
  </si>
  <si>
    <t>Муфта электросварная ПЭ 100 SDR 11 Ду160, Ру 16</t>
  </si>
  <si>
    <t>Муфта электросварная ПЭ 100 SDR 11 Ду225, Ру 16</t>
  </si>
  <si>
    <t>Отвод электросварной ПЭ 100 SDR 11 90 гр. Ду63, Ру 16</t>
  </si>
  <si>
    <t>Отвод электросварной ПЭ 100 SDR 11 90 гр. Ду110, Ру 16</t>
  </si>
  <si>
    <t>Отвод электросварной ПЭ 100 SDR 11 90 гр. Ду160, Ру 16</t>
  </si>
  <si>
    <t>Отвод электросварной ПЭ 100 SDR 11 45 гр. Ду63, Ру 16</t>
  </si>
  <si>
    <t>Отвод электросварной ПЭ 100 SDR 11 45 гр. Ду110, Ру 16</t>
  </si>
  <si>
    <t>Отвод электросварной ПЭ 100 SDR 11 45 гр. Ду160, Ру 16</t>
  </si>
  <si>
    <t>Тройник электросварной ПЭ 100 SDR 11 Ду63, Ру 16</t>
  </si>
  <si>
    <t>Тройник электросварной ПЭ 100 SDR 11 Ду110, Ру 16</t>
  </si>
  <si>
    <t>Седловой отвод с ответной нижней частью электросварной  ПЭ 100 SDR 11Ду160*110, Ру 16</t>
  </si>
  <si>
    <t>Тройник редукционный литой ПЭ 100 SDR 11 Ду160*110, Ру 16</t>
  </si>
  <si>
    <t>Переход литой ПЭ 100 SDR 11/17 Ду110*63, Ру 16</t>
  </si>
  <si>
    <t>Неразъемные соединения (переход) полиэтилен-сталь ПЭ 100  SDR 11 Ду  63-57,  Ру10</t>
  </si>
  <si>
    <t>Неразъемные соединения (переход) полиэтилен-сталь ПЭ 100  SDR 11 Ду  110-108,  Ру10</t>
  </si>
  <si>
    <t>Неразъемные соединения (переход) полиэтилен-сталь ПЭ 100  SDR 11 Ду  160-159,  Ру10</t>
  </si>
  <si>
    <t>Втулка под фланец литая ПЭ 100 SDR 11 Ду63, Ру 16</t>
  </si>
  <si>
    <t>Втулка под фланец литая ПЭ 100 SDR 11 Ду110, Ру 16</t>
  </si>
  <si>
    <t>Втулка под фланец литая ПЭ 100 SDR 11 Ду225, Ру 16</t>
  </si>
  <si>
    <t>Втулка под фланец литая ПЭ 100 SDR 11 Ду160, Ру 16</t>
  </si>
  <si>
    <r>
      <t>Наименование закупки</t>
    </r>
    <r>
      <rPr>
        <sz val="10"/>
        <color theme="1"/>
        <rFont val="Times New Roman"/>
        <family val="1"/>
        <charset val="204"/>
      </rPr>
      <t xml:space="preserve">: Поставка </t>
    </r>
    <r>
      <rPr>
        <b/>
        <sz val="10"/>
        <color theme="1"/>
        <rFont val="Times New Roman"/>
        <family val="1"/>
        <charset val="204"/>
      </rPr>
      <t>деталей  соединительных для трубопроводов из полиэтилена низкого давления (ПНД)</t>
    </r>
  </si>
  <si>
    <t>Отвод электросварной ПЭ 100 SDR 11 90 гр. Ду225, Ру 16</t>
  </si>
  <si>
    <t>Тройник литой ПЭ 100 SDR 11 Ду160, Ру 16</t>
  </si>
  <si>
    <t>Седловой отвод с ответной нижней частью электросварной ПЭ 100 SDR 11 Ду110*63, Ру 16</t>
  </si>
  <si>
    <t>Седловой отвод с ответной нижней частью электросварной ПЭ 100 SDR 11 Ду225*110, Ру 16</t>
  </si>
  <si>
    <t>Неразъемные соединения (переход) полиэтилен-сталь ПЭ 100  SDR 11 Ду  225-219,  Ру10</t>
  </si>
  <si>
    <t>цена за ед., руб. без НДС</t>
  </si>
  <si>
    <t>№</t>
  </si>
  <si>
    <t>Наименование предмета контракта</t>
  </si>
  <si>
    <t>Ед. изм</t>
  </si>
  <si>
    <t>Метод сопоставимых рыночных цен (анализа рынка)</t>
  </si>
  <si>
    <t>Обоснование начальной максимальной цены договора</t>
  </si>
  <si>
    <t>Используемый метод определения НМЦД :</t>
  </si>
  <si>
    <t>Перечень товаров (работ, услуг)</t>
  </si>
  <si>
    <t>В результате проведенного расчета Н(М)ЦД составила:</t>
  </si>
  <si>
    <t xml:space="preserve"> Н(М)ЦД  без учета НДС  договора составила:</t>
  </si>
  <si>
    <t xml:space="preserve">Коммерческие предложения (с НДС), руб. </t>
  </si>
  <si>
    <t xml:space="preserve"> Н(М)ЦД  с учетом  НДС  договора составила:</t>
  </si>
  <si>
    <t>Средняя цена              за объем,            руб. (с НДС)</t>
  </si>
  <si>
    <t xml:space="preserve">Начальная (максимальная) цена договора                       ( с НДС), руб. </t>
  </si>
  <si>
    <t>Приложение №2 к извещению</t>
  </si>
  <si>
    <t xml:space="preserve">Поставщик 1    </t>
  </si>
  <si>
    <t xml:space="preserve">Поставщик 2         </t>
  </si>
  <si>
    <t xml:space="preserve">Поставщик 3           </t>
  </si>
  <si>
    <t>Наименование закупки: Поставка Электроматериалов</t>
  </si>
  <si>
    <t>Электроматериалы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</si>
</sst>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_-* #,##0.00_р_._-;\-* #,##0.00_р_._-;_-* &quot;-&quot;??_р_._-;_-@_-"/>
    <numFmt numFmtId="165" formatCode="0.0000"/>
  </numFmts>
  <fonts count="2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i/>
      <sz val="10"/>
      <color rgb="FF000000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u/>
      <sz val="10"/>
      <color rgb="FF00000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mbria"/>
      <family val="1"/>
      <charset val="204"/>
      <scheme val="major"/>
    </font>
    <font>
      <i/>
      <sz val="11"/>
      <color theme="1"/>
      <name val="Cambria"/>
      <family val="1"/>
      <charset val="204"/>
      <scheme val="major"/>
    </font>
    <font>
      <b/>
      <sz val="11"/>
      <color theme="1"/>
      <name val="Cambria"/>
      <family val="1"/>
      <charset val="204"/>
      <scheme val="major"/>
    </font>
    <font>
      <sz val="10"/>
      <color rgb="FF000000"/>
      <name val="Cambria"/>
      <family val="1"/>
      <charset val="204"/>
      <scheme val="major"/>
    </font>
    <font>
      <sz val="10"/>
      <color theme="1"/>
      <name val="Cambria"/>
      <family val="1"/>
      <charset val="204"/>
      <scheme val="major"/>
    </font>
    <font>
      <i/>
      <sz val="10"/>
      <color theme="1"/>
      <name val="Cambria"/>
      <family val="1"/>
      <charset val="204"/>
      <scheme val="major"/>
    </font>
    <font>
      <b/>
      <sz val="10"/>
      <color indexed="8"/>
      <name val="Cambria"/>
      <family val="1"/>
      <charset val="204"/>
      <scheme val="major"/>
    </font>
    <font>
      <b/>
      <sz val="11"/>
      <color rgb="FF000000"/>
      <name val="Cambria"/>
      <family val="1"/>
      <charset val="204"/>
      <scheme val="major"/>
    </font>
    <font>
      <sz val="11"/>
      <color indexed="8"/>
      <name val="Cambria"/>
      <family val="1"/>
      <charset val="204"/>
      <scheme val="major"/>
    </font>
    <font>
      <sz val="10"/>
      <color indexed="8"/>
      <name val="Cambria"/>
      <family val="1"/>
      <charset val="204"/>
      <scheme val="major"/>
    </font>
    <font>
      <b/>
      <sz val="11"/>
      <color indexed="8"/>
      <name val="Cambria"/>
      <family val="1"/>
      <charset val="204"/>
      <scheme val="major"/>
    </font>
    <font>
      <b/>
      <sz val="10"/>
      <name val="Cambria"/>
      <family val="1"/>
      <charset val="204"/>
      <scheme val="major"/>
    </font>
    <font>
      <b/>
      <sz val="11"/>
      <name val="Cambria"/>
      <family val="1"/>
      <charset val="204"/>
      <scheme val="major"/>
    </font>
    <font>
      <sz val="11"/>
      <name val="Cambria"/>
      <family val="1"/>
      <charset val="204"/>
      <scheme val="major"/>
    </font>
    <font>
      <sz val="10"/>
      <name val="Cambria"/>
      <family val="1"/>
      <charset val="204"/>
      <scheme val="major"/>
    </font>
    <font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28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8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3" xfId="0" applyFont="1" applyBorder="1" applyAlignment="1">
      <alignment horizontal="center" vertical="top"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center" wrapText="1"/>
    </xf>
    <xf numFmtId="164" fontId="4" fillId="2" borderId="4" xfId="1" applyFont="1" applyFill="1" applyBorder="1" applyAlignment="1">
      <alignment horizontal="center" wrapText="1"/>
    </xf>
    <xf numFmtId="4" fontId="4" fillId="2" borderId="2" xfId="0" applyNumberFormat="1" applyFont="1" applyFill="1" applyBorder="1" applyAlignment="1">
      <alignment wrapText="1"/>
    </xf>
    <xf numFmtId="0" fontId="5" fillId="0" borderId="3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2" fillId="3" borderId="2" xfId="0" applyFont="1" applyFill="1" applyBorder="1" applyAlignment="1">
      <alignment vertical="top" wrapText="1"/>
    </xf>
    <xf numFmtId="0" fontId="2" fillId="3" borderId="2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vertical="top" wrapText="1"/>
    </xf>
    <xf numFmtId="164" fontId="2" fillId="3" borderId="2" xfId="1" applyNumberFormat="1" applyFont="1" applyFill="1" applyBorder="1" applyAlignment="1">
      <alignment horizontal="center"/>
    </xf>
    <xf numFmtId="164" fontId="4" fillId="3" borderId="4" xfId="1" applyFont="1" applyFill="1" applyBorder="1" applyAlignment="1">
      <alignment horizontal="center" wrapText="1"/>
    </xf>
    <xf numFmtId="0" fontId="4" fillId="3" borderId="2" xfId="0" applyFont="1" applyFill="1" applyBorder="1" applyAlignment="1">
      <alignment horizontal="center" wrapText="1"/>
    </xf>
    <xf numFmtId="2" fontId="5" fillId="3" borderId="2" xfId="0" applyNumberFormat="1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2" fillId="3" borderId="0" xfId="0" applyFont="1" applyFill="1" applyAlignment="1">
      <alignment horizontal="center"/>
    </xf>
    <xf numFmtId="164" fontId="2" fillId="3" borderId="2" xfId="1" applyFont="1" applyFill="1" applyBorder="1" applyAlignment="1">
      <alignment horizontal="center" wrapText="1"/>
    </xf>
    <xf numFmtId="164" fontId="5" fillId="3" borderId="2" xfId="1" applyFont="1" applyFill="1" applyBorder="1" applyAlignment="1">
      <alignment horizontal="center" wrapText="1"/>
    </xf>
    <xf numFmtId="0" fontId="4" fillId="3" borderId="2" xfId="0" applyFont="1" applyFill="1" applyBorder="1" applyAlignment="1">
      <alignment horizontal="left" vertical="top" wrapText="1"/>
    </xf>
    <xf numFmtId="164" fontId="2" fillId="3" borderId="2" xfId="0" applyNumberFormat="1" applyFont="1" applyFill="1" applyBorder="1" applyAlignment="1">
      <alignment horizontal="center"/>
    </xf>
    <xf numFmtId="4" fontId="4" fillId="3" borderId="2" xfId="0" applyNumberFormat="1" applyFont="1" applyFill="1" applyBorder="1" applyAlignment="1">
      <alignment wrapText="1"/>
    </xf>
    <xf numFmtId="0" fontId="2" fillId="3" borderId="6" xfId="0" applyFont="1" applyFill="1" applyBorder="1" applyAlignment="1">
      <alignment wrapText="1"/>
    </xf>
    <xf numFmtId="164" fontId="2" fillId="0" borderId="0" xfId="0" applyNumberFormat="1" applyFont="1" applyAlignment="1">
      <alignment horizontal="center" wrapText="1"/>
    </xf>
    <xf numFmtId="0" fontId="5" fillId="2" borderId="2" xfId="0" applyFont="1" applyFill="1" applyBorder="1" applyAlignment="1">
      <alignment horizontal="center" wrapText="1"/>
    </xf>
    <xf numFmtId="0" fontId="4" fillId="2" borderId="2" xfId="0" applyFont="1" applyFill="1" applyBorder="1" applyAlignment="1">
      <alignment horizontal="left" vertical="top" wrapText="1"/>
    </xf>
    <xf numFmtId="0" fontId="2" fillId="2" borderId="2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vertical="top" wrapText="1"/>
    </xf>
    <xf numFmtId="164" fontId="2" fillId="2" borderId="2" xfId="1" applyNumberFormat="1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 wrapText="1"/>
    </xf>
    <xf numFmtId="2" fontId="5" fillId="2" borderId="2" xfId="0" applyNumberFormat="1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164" fontId="2" fillId="2" borderId="2" xfId="1" applyFont="1" applyFill="1" applyBorder="1" applyAlignment="1">
      <alignment horizontal="center" wrapText="1"/>
    </xf>
    <xf numFmtId="164" fontId="5" fillId="2" borderId="2" xfId="1" applyFont="1" applyFill="1" applyBorder="1" applyAlignment="1">
      <alignment horizontal="center" wrapText="1"/>
    </xf>
    <xf numFmtId="0" fontId="2" fillId="2" borderId="0" xfId="0" applyFont="1" applyFill="1"/>
    <xf numFmtId="0" fontId="2" fillId="2" borderId="2" xfId="0" applyFont="1" applyFill="1" applyBorder="1" applyAlignment="1">
      <alignment vertical="top" wrapText="1"/>
    </xf>
    <xf numFmtId="0" fontId="2" fillId="2" borderId="0" xfId="0" applyFont="1" applyFill="1" applyAlignment="1">
      <alignment horizontal="center"/>
    </xf>
    <xf numFmtId="164" fontId="2" fillId="2" borderId="2" xfId="0" applyNumberFormat="1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 vertical="top" wrapText="1"/>
    </xf>
    <xf numFmtId="0" fontId="4" fillId="2" borderId="2" xfId="0" applyFont="1" applyFill="1" applyBorder="1" applyAlignment="1">
      <alignment wrapText="1"/>
    </xf>
    <xf numFmtId="0" fontId="2" fillId="2" borderId="6" xfId="0" applyFont="1" applyFill="1" applyBorder="1" applyAlignment="1">
      <alignment wrapText="1"/>
    </xf>
    <xf numFmtId="2" fontId="4" fillId="2" borderId="2" xfId="0" applyNumberFormat="1" applyFont="1" applyFill="1" applyBorder="1" applyAlignment="1">
      <alignment wrapText="1"/>
    </xf>
    <xf numFmtId="0" fontId="2" fillId="2" borderId="7" xfId="0" applyFont="1" applyFill="1" applyBorder="1" applyAlignment="1">
      <alignment horizontal="center"/>
    </xf>
    <xf numFmtId="0" fontId="9" fillId="0" borderId="2" xfId="0" applyFont="1" applyBorder="1" applyAlignment="1">
      <alignment horizontal="center" vertical="center"/>
    </xf>
    <xf numFmtId="0" fontId="10" fillId="0" borderId="0" xfId="0" applyFont="1"/>
    <xf numFmtId="0" fontId="11" fillId="0" borderId="0" xfId="0" applyFont="1" applyFill="1" applyAlignment="1" applyProtection="1">
      <alignment vertical="center"/>
      <protection locked="0"/>
    </xf>
    <xf numFmtId="0" fontId="11" fillId="0" borderId="0" xfId="0" applyFont="1"/>
    <xf numFmtId="0" fontId="11" fillId="0" borderId="0" xfId="0" applyFont="1" applyAlignment="1">
      <alignment vertical="center"/>
    </xf>
    <xf numFmtId="165" fontId="10" fillId="0" borderId="0" xfId="0" applyNumberFormat="1" applyFont="1" applyFill="1" applyAlignment="1" applyProtection="1">
      <alignment horizontal="center" vertical="center"/>
      <protection locked="0"/>
    </xf>
    <xf numFmtId="0" fontId="10" fillId="0" borderId="0" xfId="0" applyFont="1" applyFill="1" applyAlignment="1" applyProtection="1">
      <alignment vertical="center"/>
      <protection locked="0"/>
    </xf>
    <xf numFmtId="0" fontId="11" fillId="0" borderId="0" xfId="0" applyFont="1" applyAlignment="1">
      <alignment horizontal="left"/>
    </xf>
    <xf numFmtId="0" fontId="12" fillId="0" borderId="0" xfId="0" applyFont="1"/>
    <xf numFmtId="0" fontId="13" fillId="0" borderId="0" xfId="0" applyFont="1" applyFill="1" applyAlignment="1">
      <alignment horizontal="center"/>
    </xf>
    <xf numFmtId="0" fontId="13" fillId="0" borderId="0" xfId="0" applyFont="1" applyFill="1"/>
    <xf numFmtId="0" fontId="14" fillId="0" borderId="0" xfId="0" applyFont="1" applyFill="1" applyAlignment="1">
      <alignment horizontal="center"/>
    </xf>
    <xf numFmtId="0" fontId="15" fillId="0" borderId="0" xfId="0" applyFont="1" applyFill="1" applyAlignment="1">
      <alignment horizontal="center"/>
    </xf>
    <xf numFmtId="0" fontId="17" fillId="0" borderId="0" xfId="0" applyFont="1" applyFill="1" applyAlignment="1">
      <alignment horizontal="center"/>
    </xf>
    <xf numFmtId="0" fontId="18" fillId="0" borderId="0" xfId="0" applyFont="1" applyFill="1" applyAlignment="1">
      <alignment horizontal="center"/>
    </xf>
    <xf numFmtId="0" fontId="17" fillId="0" borderId="0" xfId="0" applyFont="1" applyFill="1"/>
    <xf numFmtId="0" fontId="23" fillId="0" borderId="0" xfId="0" applyFont="1" applyFill="1" applyBorder="1" applyAlignment="1">
      <alignment vertical="center"/>
    </xf>
    <xf numFmtId="164" fontId="19" fillId="0" borderId="0" xfId="1" applyFont="1" applyFill="1" applyAlignment="1">
      <alignment horizontal="left" vertical="center"/>
    </xf>
    <xf numFmtId="43" fontId="19" fillId="0" borderId="0" xfId="0" applyNumberFormat="1" applyFont="1" applyFill="1" applyAlignment="1">
      <alignment vertical="center"/>
    </xf>
    <xf numFmtId="4" fontId="13" fillId="0" borderId="0" xfId="0" applyNumberFormat="1" applyFont="1" applyFill="1" applyAlignment="1">
      <alignment vertical="center"/>
    </xf>
    <xf numFmtId="0" fontId="13" fillId="0" borderId="0" xfId="0" applyFont="1" applyFill="1" applyAlignment="1">
      <alignment vertical="center"/>
    </xf>
    <xf numFmtId="4" fontId="19" fillId="0" borderId="0" xfId="0" applyNumberFormat="1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/>
    <xf numFmtId="14" fontId="19" fillId="0" borderId="0" xfId="0" applyNumberFormat="1" applyFont="1" applyFill="1"/>
    <xf numFmtId="0" fontId="21" fillId="0" borderId="0" xfId="0" applyFont="1" applyFill="1"/>
    <xf numFmtId="0" fontId="22" fillId="0" borderId="0" xfId="0" applyFont="1" applyFill="1"/>
    <xf numFmtId="0" fontId="11" fillId="0" borderId="0" xfId="0" applyFont="1" applyFill="1"/>
    <xf numFmtId="0" fontId="11" fillId="0" borderId="0" xfId="0" applyFont="1" applyFill="1" applyAlignment="1" applyProtection="1">
      <alignment vertical="center" wrapText="1"/>
      <protection locked="0"/>
    </xf>
    <xf numFmtId="0" fontId="11" fillId="0" borderId="0" xfId="0" applyFont="1" applyFill="1" applyAlignment="1" applyProtection="1">
      <alignment horizontal="center" wrapText="1"/>
      <protection locked="0"/>
    </xf>
    <xf numFmtId="0" fontId="11" fillId="0" borderId="0" xfId="0" applyFont="1" applyFill="1" applyAlignment="1">
      <alignment horizontal="left"/>
    </xf>
    <xf numFmtId="0" fontId="11" fillId="0" borderId="0" xfId="0" applyFont="1" applyFill="1" applyAlignment="1">
      <alignment vertical="center"/>
    </xf>
    <xf numFmtId="0" fontId="10" fillId="0" borderId="0" xfId="0" applyFont="1" applyFill="1"/>
    <xf numFmtId="0" fontId="24" fillId="0" borderId="3" xfId="0" applyFont="1" applyFill="1" applyBorder="1" applyAlignment="1">
      <alignment horizontal="center" vertical="center" wrapText="1"/>
    </xf>
    <xf numFmtId="0" fontId="26" fillId="0" borderId="2" xfId="0" applyFont="1" applyFill="1" applyBorder="1" applyAlignment="1">
      <alignment horizontal="center"/>
    </xf>
    <xf numFmtId="164" fontId="27" fillId="0" borderId="2" xfId="1" applyNumberFormat="1" applyFont="1" applyFill="1" applyBorder="1" applyAlignment="1">
      <alignment horizontal="center" vertical="center"/>
    </xf>
    <xf numFmtId="164" fontId="24" fillId="0" borderId="4" xfId="1" applyNumberFormat="1" applyFont="1" applyFill="1" applyBorder="1" applyAlignment="1">
      <alignment horizontal="center" vertical="center"/>
    </xf>
    <xf numFmtId="0" fontId="26" fillId="0" borderId="4" xfId="0" applyFont="1" applyFill="1" applyBorder="1" applyAlignment="1">
      <alignment horizontal="center"/>
    </xf>
    <xf numFmtId="164" fontId="27" fillId="0" borderId="10" xfId="1" applyNumberFormat="1" applyFont="1" applyFill="1" applyBorder="1" applyAlignment="1">
      <alignment horizontal="center" vertical="center"/>
    </xf>
    <xf numFmtId="0" fontId="28" fillId="0" borderId="18" xfId="0" applyFont="1" applyBorder="1" applyAlignment="1">
      <alignment vertical="center" wrapText="1"/>
    </xf>
    <xf numFmtId="0" fontId="28" fillId="0" borderId="18" xfId="0" applyFont="1" applyBorder="1" applyAlignment="1">
      <alignment horizontal="center" vertical="center"/>
    </xf>
    <xf numFmtId="0" fontId="28" fillId="0" borderId="19" xfId="0" applyFont="1" applyBorder="1" applyAlignment="1">
      <alignment horizontal="center" vertical="center"/>
    </xf>
    <xf numFmtId="43" fontId="25" fillId="0" borderId="16" xfId="0" applyNumberFormat="1" applyFont="1" applyFill="1" applyBorder="1" applyAlignment="1">
      <alignment horizontal="center" vertical="center"/>
    </xf>
    <xf numFmtId="0" fontId="11" fillId="0" borderId="0" xfId="0" applyFont="1" applyFill="1" applyAlignment="1" applyProtection="1">
      <alignment horizontal="left" vertical="top" wrapText="1"/>
      <protection locked="0"/>
    </xf>
    <xf numFmtId="0" fontId="24" fillId="0" borderId="4" xfId="0" applyFont="1" applyFill="1" applyBorder="1" applyAlignment="1">
      <alignment horizontal="center" vertical="center" wrapText="1"/>
    </xf>
    <xf numFmtId="0" fontId="24" fillId="0" borderId="8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24" fillId="0" borderId="5" xfId="0" applyFont="1" applyFill="1" applyBorder="1" applyAlignment="1">
      <alignment horizontal="center" vertical="center" wrapText="1"/>
    </xf>
    <xf numFmtId="0" fontId="24" fillId="0" borderId="9" xfId="0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center" vertical="center" wrapText="1"/>
    </xf>
    <xf numFmtId="0" fontId="24" fillId="0" borderId="2" xfId="0" applyFont="1" applyFill="1" applyBorder="1" applyAlignment="1">
      <alignment horizontal="left" vertical="center" wrapText="1"/>
    </xf>
    <xf numFmtId="0" fontId="24" fillId="0" borderId="3" xfId="0" applyFont="1" applyFill="1" applyBorder="1" applyAlignment="1">
      <alignment horizontal="left" vertical="center" wrapText="1"/>
    </xf>
    <xf numFmtId="0" fontId="24" fillId="0" borderId="3" xfId="0" applyFont="1" applyFill="1" applyBorder="1" applyAlignment="1">
      <alignment horizontal="center" vertical="center" wrapText="1"/>
    </xf>
    <xf numFmtId="0" fontId="24" fillId="0" borderId="13" xfId="0" applyFont="1" applyFill="1" applyBorder="1" applyAlignment="1">
      <alignment horizontal="center" vertical="center" wrapText="1"/>
    </xf>
    <xf numFmtId="0" fontId="25" fillId="0" borderId="4" xfId="0" applyFont="1" applyFill="1" applyBorder="1" applyAlignment="1">
      <alignment horizontal="center"/>
    </xf>
    <xf numFmtId="0" fontId="25" fillId="0" borderId="8" xfId="0" applyFont="1" applyFill="1" applyBorder="1" applyAlignment="1">
      <alignment horizontal="center"/>
    </xf>
    <xf numFmtId="0" fontId="25" fillId="0" borderId="17" xfId="0" applyFont="1" applyFill="1" applyBorder="1" applyAlignment="1">
      <alignment horizontal="center"/>
    </xf>
    <xf numFmtId="0" fontId="25" fillId="0" borderId="9" xfId="0" applyFont="1" applyFill="1" applyBorder="1" applyAlignment="1">
      <alignment horizontal="center"/>
    </xf>
    <xf numFmtId="0" fontId="24" fillId="0" borderId="14" xfId="0" applyFont="1" applyFill="1" applyBorder="1" applyAlignment="1">
      <alignment horizontal="center" vertical="center" wrapText="1"/>
    </xf>
    <xf numFmtId="0" fontId="21" fillId="0" borderId="0" xfId="0" applyFont="1" applyFill="1" applyAlignment="1"/>
    <xf numFmtId="0" fontId="13" fillId="0" borderId="0" xfId="0" applyFont="1" applyFill="1" applyAlignment="1"/>
    <xf numFmtId="0" fontId="16" fillId="0" borderId="15" xfId="0" applyFont="1" applyFill="1" applyBorder="1" applyAlignment="1">
      <alignment horizontal="left"/>
    </xf>
    <xf numFmtId="0" fontId="13" fillId="0" borderId="15" xfId="0" applyFont="1" applyFill="1" applyBorder="1" applyAlignment="1"/>
    <xf numFmtId="0" fontId="23" fillId="0" borderId="0" xfId="0" applyFont="1" applyFill="1" applyBorder="1" applyAlignment="1">
      <alignment vertical="center"/>
    </xf>
    <xf numFmtId="0" fontId="24" fillId="0" borderId="3" xfId="0" applyFont="1" applyFill="1" applyBorder="1" applyAlignment="1">
      <alignment horizontal="center" vertical="top" wrapText="1"/>
    </xf>
    <xf numFmtId="0" fontId="24" fillId="0" borderId="13" xfId="0" applyFont="1" applyFill="1" applyBorder="1" applyAlignment="1">
      <alignment horizontal="center" vertical="top" wrapText="1"/>
    </xf>
    <xf numFmtId="0" fontId="15" fillId="0" borderId="0" xfId="0" applyFont="1" applyFill="1" applyAlignment="1">
      <alignment horizontal="center"/>
    </xf>
    <xf numFmtId="0" fontId="20" fillId="0" borderId="0" xfId="0" applyFont="1" applyFill="1" applyAlignment="1">
      <alignment horizontal="left" wrapText="1" shrinkToFit="1"/>
    </xf>
    <xf numFmtId="0" fontId="15" fillId="0" borderId="0" xfId="0" applyFont="1" applyFill="1" applyAlignment="1">
      <alignment wrapText="1" shrinkToFit="1"/>
    </xf>
    <xf numFmtId="0" fontId="5" fillId="0" borderId="2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6" fillId="0" borderId="2" xfId="0" applyFont="1" applyBorder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9"/>
  <sheetViews>
    <sheetView tabSelected="1" zoomScaleSheetLayoutView="100" workbookViewId="0">
      <selection activeCell="F14" sqref="F14"/>
    </sheetView>
  </sheetViews>
  <sheetFormatPr defaultColWidth="9.140625" defaultRowHeight="15" x14ac:dyDescent="0.25"/>
  <cols>
    <col min="1" max="1" width="4.28515625" style="54" customWidth="1"/>
    <col min="2" max="2" width="9.140625" style="54" hidden="1" customWidth="1"/>
    <col min="3" max="3" width="37.5703125" style="58" customWidth="1"/>
    <col min="4" max="4" width="6.85546875" style="54" bestFit="1" customWidth="1"/>
    <col min="5" max="5" width="12" style="54" customWidth="1"/>
    <col min="6" max="6" width="16.5703125" style="55" customWidth="1"/>
    <col min="7" max="7" width="16.42578125" style="52" customWidth="1"/>
    <col min="8" max="8" width="14.85546875" style="54" customWidth="1"/>
    <col min="9" max="9" width="43.85546875" style="54" bestFit="1" customWidth="1"/>
    <col min="10" max="10" width="19.28515625" style="52" customWidth="1"/>
    <col min="11" max="11" width="14.7109375" style="54" bestFit="1" customWidth="1"/>
    <col min="12" max="12" width="11" style="54" bestFit="1" customWidth="1"/>
    <col min="13" max="13" width="9.5703125" style="54" bestFit="1" customWidth="1"/>
    <col min="14" max="16384" width="9.140625" style="54"/>
  </cols>
  <sheetData>
    <row r="1" spans="1:10" s="59" customFormat="1" x14ac:dyDescent="0.25">
      <c r="A1" s="60"/>
      <c r="B1" s="61"/>
      <c r="C1" s="60"/>
      <c r="D1" s="60"/>
      <c r="E1" s="61"/>
      <c r="F1" s="61"/>
      <c r="G1" s="61"/>
      <c r="H1" s="60"/>
      <c r="I1" s="62" t="s">
        <v>63</v>
      </c>
      <c r="J1" s="61"/>
    </row>
    <row r="2" spans="1:10" s="59" customFormat="1" x14ac:dyDescent="0.25">
      <c r="A2" s="63"/>
      <c r="B2" s="61"/>
      <c r="C2" s="60"/>
      <c r="D2" s="60"/>
      <c r="E2" s="61"/>
      <c r="F2" s="61"/>
      <c r="G2" s="61"/>
      <c r="H2" s="60"/>
      <c r="I2" s="62"/>
      <c r="J2" s="61"/>
    </row>
    <row r="3" spans="1:10" s="59" customFormat="1" x14ac:dyDescent="0.25">
      <c r="A3" s="118" t="s">
        <v>54</v>
      </c>
      <c r="B3" s="118"/>
      <c r="C3" s="118"/>
      <c r="D3" s="118"/>
      <c r="E3" s="118"/>
      <c r="F3" s="118"/>
      <c r="G3" s="118"/>
      <c r="H3" s="118"/>
      <c r="I3" s="118"/>
      <c r="J3" s="61"/>
    </row>
    <row r="4" spans="1:10" s="59" customFormat="1" ht="21.6" customHeight="1" x14ac:dyDescent="0.25">
      <c r="A4" s="119" t="s">
        <v>67</v>
      </c>
      <c r="B4" s="120"/>
      <c r="C4" s="120"/>
      <c r="D4" s="120"/>
      <c r="E4" s="120"/>
      <c r="F4" s="120"/>
      <c r="G4" s="120"/>
      <c r="H4" s="60"/>
      <c r="I4" s="62"/>
      <c r="J4" s="61"/>
    </row>
    <row r="5" spans="1:10" s="1" customFormat="1" ht="14.25" x14ac:dyDescent="0.2">
      <c r="A5" s="113"/>
      <c r="B5" s="114"/>
      <c r="C5" s="114"/>
      <c r="D5" s="114"/>
      <c r="E5" s="114"/>
      <c r="F5" s="114"/>
      <c r="G5" s="114"/>
      <c r="H5" s="64"/>
      <c r="I5" s="65"/>
      <c r="J5" s="66"/>
    </row>
    <row r="6" spans="1:10" s="52" customFormat="1" ht="27.75" customHeight="1" x14ac:dyDescent="0.2">
      <c r="A6" s="95" t="s">
        <v>55</v>
      </c>
      <c r="B6" s="96"/>
      <c r="C6" s="97"/>
      <c r="D6" s="95" t="s">
        <v>53</v>
      </c>
      <c r="E6" s="96"/>
      <c r="F6" s="96"/>
      <c r="G6" s="96"/>
      <c r="H6" s="96"/>
      <c r="I6" s="97"/>
      <c r="J6" s="104" t="s">
        <v>62</v>
      </c>
    </row>
    <row r="7" spans="1:10" s="52" customFormat="1" ht="13.15" customHeight="1" x14ac:dyDescent="0.2">
      <c r="A7" s="98" t="s">
        <v>50</v>
      </c>
      <c r="B7" s="99"/>
      <c r="C7" s="102" t="s">
        <v>51</v>
      </c>
      <c r="D7" s="104" t="s">
        <v>52</v>
      </c>
      <c r="E7" s="104" t="s">
        <v>5</v>
      </c>
      <c r="F7" s="95" t="s">
        <v>59</v>
      </c>
      <c r="G7" s="96"/>
      <c r="H7" s="97"/>
      <c r="I7" s="116" t="s">
        <v>61</v>
      </c>
      <c r="J7" s="110"/>
    </row>
    <row r="8" spans="1:10" s="52" customFormat="1" ht="83.25" customHeight="1" x14ac:dyDescent="0.2">
      <c r="A8" s="100"/>
      <c r="B8" s="101"/>
      <c r="C8" s="103"/>
      <c r="D8" s="105"/>
      <c r="E8" s="105"/>
      <c r="F8" s="84" t="s">
        <v>64</v>
      </c>
      <c r="G8" s="84" t="s">
        <v>65</v>
      </c>
      <c r="H8" s="84" t="s">
        <v>66</v>
      </c>
      <c r="I8" s="117"/>
      <c r="J8" s="105"/>
    </row>
    <row r="9" spans="1:10" ht="15.75" thickBot="1" x14ac:dyDescent="0.3">
      <c r="A9" s="106" t="s">
        <v>56</v>
      </c>
      <c r="B9" s="107"/>
      <c r="C9" s="108"/>
      <c r="D9" s="108"/>
      <c r="E9" s="108"/>
      <c r="F9" s="108"/>
      <c r="G9" s="107"/>
      <c r="H9" s="107"/>
      <c r="I9" s="107"/>
      <c r="J9" s="109"/>
    </row>
    <row r="10" spans="1:10" ht="57.75" customHeight="1" thickBot="1" x14ac:dyDescent="0.3">
      <c r="A10" s="85">
        <v>1</v>
      </c>
      <c r="B10" s="88"/>
      <c r="C10" s="90" t="s">
        <v>68</v>
      </c>
      <c r="D10" s="91" t="s">
        <v>20</v>
      </c>
      <c r="E10" s="92">
        <v>1</v>
      </c>
      <c r="F10" s="89">
        <v>3400000</v>
      </c>
      <c r="G10" s="86">
        <v>3347000</v>
      </c>
      <c r="H10" s="86">
        <v>3295500</v>
      </c>
      <c r="I10" s="87">
        <f>AVERAGE(F10:H10)</f>
        <v>3347500</v>
      </c>
      <c r="J10" s="93">
        <f>SUM(I10:I10)</f>
        <v>3347500</v>
      </c>
    </row>
    <row r="11" spans="1:10" s="55" customFormat="1" x14ac:dyDescent="0.25">
      <c r="A11" s="115" t="s">
        <v>57</v>
      </c>
      <c r="B11" s="115"/>
      <c r="C11" s="115"/>
      <c r="D11" s="115"/>
      <c r="E11" s="115"/>
      <c r="F11" s="115"/>
      <c r="G11" s="67"/>
      <c r="H11" s="67"/>
      <c r="I11" s="68" t="e">
        <f>#REF!</f>
        <v>#REF!</v>
      </c>
      <c r="J11" s="69"/>
    </row>
    <row r="12" spans="1:10" s="55" customFormat="1" x14ac:dyDescent="0.25">
      <c r="A12" s="67" t="s">
        <v>58</v>
      </c>
      <c r="B12" s="67"/>
      <c r="C12" s="67"/>
      <c r="D12" s="67"/>
      <c r="E12" s="67"/>
      <c r="F12" s="70"/>
      <c r="G12" s="71"/>
      <c r="H12" s="71"/>
      <c r="I12" s="72">
        <f>I13/1.2</f>
        <v>2789583.3333333335</v>
      </c>
      <c r="J12" s="73"/>
    </row>
    <row r="13" spans="1:10" s="55" customFormat="1" x14ac:dyDescent="0.25">
      <c r="A13" s="67" t="s">
        <v>60</v>
      </c>
      <c r="B13" s="67"/>
      <c r="C13" s="67"/>
      <c r="D13" s="67"/>
      <c r="E13" s="67"/>
      <c r="F13" s="70"/>
      <c r="G13" s="71"/>
      <c r="H13" s="71"/>
      <c r="I13" s="72">
        <f>J10</f>
        <v>3347500</v>
      </c>
      <c r="J13" s="73"/>
    </row>
    <row r="14" spans="1:10" s="55" customFormat="1" x14ac:dyDescent="0.25">
      <c r="A14" s="67"/>
      <c r="B14" s="67"/>
      <c r="C14" s="67"/>
      <c r="D14" s="67"/>
      <c r="E14" s="67"/>
      <c r="F14" s="70"/>
      <c r="G14" s="71"/>
      <c r="H14" s="71"/>
      <c r="I14" s="72"/>
      <c r="J14" s="73"/>
    </row>
    <row r="15" spans="1:10" x14ac:dyDescent="0.25">
      <c r="A15" s="74"/>
      <c r="B15" s="74"/>
      <c r="C15" s="74"/>
      <c r="D15" s="111"/>
      <c r="E15" s="112"/>
      <c r="F15" s="112"/>
      <c r="G15" s="75"/>
      <c r="H15" s="76"/>
      <c r="I15" s="76"/>
      <c r="J15" s="77"/>
    </row>
    <row r="16" spans="1:10" s="53" customFormat="1" x14ac:dyDescent="0.25">
      <c r="A16" s="94"/>
      <c r="B16" s="94"/>
      <c r="C16" s="94"/>
      <c r="D16" s="94"/>
      <c r="E16" s="78"/>
      <c r="F16" s="79"/>
      <c r="G16" s="56"/>
      <c r="H16" s="80"/>
      <c r="J16" s="57"/>
    </row>
    <row r="17" spans="1:10" x14ac:dyDescent="0.25">
      <c r="A17" s="78"/>
      <c r="B17" s="78"/>
      <c r="C17" s="81"/>
      <c r="D17" s="78"/>
      <c r="E17" s="78"/>
      <c r="F17" s="82"/>
      <c r="G17" s="83"/>
      <c r="H17" s="78"/>
      <c r="I17" s="78"/>
      <c r="J17" s="83"/>
    </row>
    <row r="18" spans="1:10" x14ac:dyDescent="0.25">
      <c r="A18" s="78"/>
      <c r="B18" s="78"/>
      <c r="C18" s="81"/>
      <c r="D18" s="78"/>
      <c r="E18" s="78"/>
      <c r="F18" s="82"/>
      <c r="G18" s="83"/>
      <c r="H18" s="78"/>
      <c r="I18" s="78"/>
      <c r="J18" s="83"/>
    </row>
    <row r="19" spans="1:10" x14ac:dyDescent="0.25">
      <c r="A19" s="78"/>
      <c r="B19" s="78"/>
      <c r="C19" s="81"/>
      <c r="D19" s="78"/>
      <c r="E19" s="78"/>
      <c r="F19" s="82"/>
      <c r="G19" s="83"/>
      <c r="H19" s="78"/>
      <c r="I19" s="78"/>
      <c r="J19" s="83"/>
    </row>
  </sheetData>
  <mergeCells count="16">
    <mergeCell ref="A5:G5"/>
    <mergeCell ref="A11:F11"/>
    <mergeCell ref="I7:I8"/>
    <mergeCell ref="A3:I3"/>
    <mergeCell ref="A4:G4"/>
    <mergeCell ref="A16:D16"/>
    <mergeCell ref="D6:I6"/>
    <mergeCell ref="A7:B8"/>
    <mergeCell ref="C7:C8"/>
    <mergeCell ref="D7:D8"/>
    <mergeCell ref="E7:E8"/>
    <mergeCell ref="F7:H7"/>
    <mergeCell ref="A9:J9"/>
    <mergeCell ref="A6:C6"/>
    <mergeCell ref="J6:J8"/>
    <mergeCell ref="D15:F15"/>
  </mergeCells>
  <pageMargins left="0.70866141732283472" right="0.31496062992125984" top="0.35433070866141736" bottom="0.35433070866141736" header="0.31496062992125984" footer="0.31496062992125984"/>
  <pageSetup paperSize="9" scale="94" fitToHeight="2" orientation="landscape" verticalDpi="180" r:id="rId1"/>
  <colBreaks count="1" manualBreakCount="1">
    <brk id="10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4"/>
  <sheetViews>
    <sheetView workbookViewId="0">
      <selection activeCell="B76" sqref="B76:B77"/>
    </sheetView>
  </sheetViews>
  <sheetFormatPr defaultColWidth="10.5703125" defaultRowHeight="12.75" x14ac:dyDescent="0.2"/>
  <cols>
    <col min="1" max="1" width="6.140625" style="2" customWidth="1"/>
    <col min="2" max="2" width="28.85546875" style="1" customWidth="1"/>
    <col min="3" max="3" width="5.85546875" style="2" customWidth="1"/>
    <col min="4" max="4" width="5.7109375" style="2" customWidth="1"/>
    <col min="5" max="5" width="11.7109375" style="1" customWidth="1"/>
    <col min="6" max="6" width="11.28515625" style="1" customWidth="1"/>
    <col min="7" max="7" width="10.28515625" style="1" customWidth="1"/>
    <col min="8" max="8" width="10.5703125" style="2"/>
    <col min="9" max="9" width="8.28515625" style="4" customWidth="1"/>
    <col min="10" max="10" width="9.28515625" style="4" customWidth="1"/>
    <col min="11" max="11" width="10.5703125" style="2"/>
    <col min="12" max="12" width="14" style="2" customWidth="1"/>
    <col min="13" max="16384" width="10.5703125" style="1"/>
  </cols>
  <sheetData>
    <row r="1" spans="1:12" x14ac:dyDescent="0.2">
      <c r="I1" s="4" t="s">
        <v>0</v>
      </c>
    </row>
    <row r="2" spans="1:12" x14ac:dyDescent="0.2">
      <c r="A2" s="10"/>
    </row>
    <row r="3" spans="1:12" x14ac:dyDescent="0.2">
      <c r="A3" s="123" t="s">
        <v>1</v>
      </c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</row>
    <row r="4" spans="1:12" x14ac:dyDescent="0.2">
      <c r="A4" s="10"/>
    </row>
    <row r="5" spans="1:12" x14ac:dyDescent="0.2">
      <c r="A5" s="6" t="s">
        <v>43</v>
      </c>
    </row>
    <row r="6" spans="1:12" x14ac:dyDescent="0.2">
      <c r="A6" s="6" t="s">
        <v>17</v>
      </c>
    </row>
    <row r="7" spans="1:12" ht="15.75" x14ac:dyDescent="0.2">
      <c r="A7" s="6" t="s">
        <v>18</v>
      </c>
      <c r="J7" s="51">
        <f>ROUND(SQRT(((SUM((POWER(G7-I7,2)),(POWER(F7-I7,2)),(POWER(E7-I7,2)))/(COLUMNS(E7:G7)-1)))),2)</f>
        <v>0</v>
      </c>
    </row>
    <row r="8" spans="1:12" x14ac:dyDescent="0.2">
      <c r="A8" s="7"/>
    </row>
    <row r="9" spans="1:12" ht="48" customHeight="1" x14ac:dyDescent="0.2">
      <c r="A9" s="126" t="s">
        <v>2</v>
      </c>
      <c r="B9" s="121" t="s">
        <v>3</v>
      </c>
      <c r="C9" s="121" t="s">
        <v>4</v>
      </c>
      <c r="D9" s="121" t="s">
        <v>5</v>
      </c>
      <c r="E9" s="121" t="s">
        <v>6</v>
      </c>
      <c r="F9" s="121" t="s">
        <v>7</v>
      </c>
      <c r="G9" s="121" t="s">
        <v>8</v>
      </c>
      <c r="H9" s="121" t="s">
        <v>9</v>
      </c>
      <c r="I9" s="124" t="s">
        <v>10</v>
      </c>
      <c r="J9" s="124" t="s">
        <v>11</v>
      </c>
      <c r="K9" s="121" t="s">
        <v>12</v>
      </c>
      <c r="L9" s="121"/>
    </row>
    <row r="10" spans="1:12" x14ac:dyDescent="0.2">
      <c r="A10" s="126"/>
      <c r="B10" s="121"/>
      <c r="C10" s="121"/>
      <c r="D10" s="121"/>
      <c r="E10" s="121"/>
      <c r="F10" s="121"/>
      <c r="G10" s="121"/>
      <c r="H10" s="121"/>
      <c r="I10" s="124"/>
      <c r="J10" s="124"/>
      <c r="K10" s="121"/>
      <c r="L10" s="121"/>
    </row>
    <row r="11" spans="1:12" ht="38.25" x14ac:dyDescent="0.2">
      <c r="A11" s="127"/>
      <c r="B11" s="122"/>
      <c r="C11" s="122"/>
      <c r="D11" s="122"/>
      <c r="E11" s="8" t="s">
        <v>13</v>
      </c>
      <c r="F11" s="8" t="s">
        <v>13</v>
      </c>
      <c r="G11" s="8" t="s">
        <v>13</v>
      </c>
      <c r="H11" s="122"/>
      <c r="I11" s="125"/>
      <c r="J11" s="125"/>
      <c r="K11" s="14" t="s">
        <v>49</v>
      </c>
      <c r="L11" s="15" t="s">
        <v>19</v>
      </c>
    </row>
    <row r="12" spans="1:12" s="42" customFormat="1" ht="25.5" x14ac:dyDescent="0.2">
      <c r="A12" s="32">
        <v>1</v>
      </c>
      <c r="B12" s="33" t="s">
        <v>21</v>
      </c>
      <c r="C12" s="34" t="s">
        <v>20</v>
      </c>
      <c r="D12" s="35">
        <v>64</v>
      </c>
      <c r="E12" s="36">
        <f>216*1.18</f>
        <v>254.88</v>
      </c>
      <c r="F12" s="12"/>
      <c r="G12" s="37"/>
      <c r="H12" s="38">
        <f>ROUND(AVERAGE(E12:G12),2)</f>
        <v>254.88</v>
      </c>
      <c r="I12" s="39">
        <v>1.96</v>
      </c>
      <c r="J12" s="39">
        <f ca="1">ROUND(SQRT(((SUM((POWER(H12-J12,2)),(POWER(G12-J7,2)),(POWER(F12-J7,2)))/(COLUMNS(F12:H12)-1)))),2)</f>
        <v>180.23</v>
      </c>
      <c r="K12" s="40">
        <f t="shared" ref="K12:K36" si="0">H12</f>
        <v>254.88</v>
      </c>
      <c r="L12" s="41">
        <f t="shared" ref="L12:L36" si="1">K12*D12</f>
        <v>16312.32</v>
      </c>
    </row>
    <row r="13" spans="1:12" s="42" customFormat="1" ht="25.5" x14ac:dyDescent="0.2">
      <c r="A13" s="32">
        <v>2</v>
      </c>
      <c r="B13" s="33" t="s">
        <v>22</v>
      </c>
      <c r="C13" s="34" t="s">
        <v>20</v>
      </c>
      <c r="D13" s="35">
        <f>49+28</f>
        <v>77</v>
      </c>
      <c r="E13" s="36">
        <f>452.25*1.18</f>
        <v>533.65499999999997</v>
      </c>
      <c r="F13" s="12"/>
      <c r="G13" s="37"/>
      <c r="H13" s="38">
        <f t="shared" ref="H13:H37" si="2">(E13+F13+G13)/3</f>
        <v>177.88499999999999</v>
      </c>
      <c r="I13" s="39">
        <v>1.96</v>
      </c>
      <c r="J13" s="39">
        <v>15.78</v>
      </c>
      <c r="K13" s="40">
        <f t="shared" si="0"/>
        <v>177.88499999999999</v>
      </c>
      <c r="L13" s="41">
        <f t="shared" si="1"/>
        <v>13697.144999999999</v>
      </c>
    </row>
    <row r="14" spans="1:12" s="42" customFormat="1" ht="25.5" x14ac:dyDescent="0.2">
      <c r="A14" s="32">
        <v>3</v>
      </c>
      <c r="B14" s="33" t="s">
        <v>23</v>
      </c>
      <c r="C14" s="34" t="s">
        <v>20</v>
      </c>
      <c r="D14" s="35">
        <f>48+14</f>
        <v>62</v>
      </c>
      <c r="E14" s="36">
        <f>900*1.18</f>
        <v>1062</v>
      </c>
      <c r="F14" s="12"/>
      <c r="G14" s="37"/>
      <c r="H14" s="38">
        <f t="shared" si="2"/>
        <v>354</v>
      </c>
      <c r="I14" s="39">
        <v>1.96</v>
      </c>
      <c r="J14" s="39">
        <v>29.82</v>
      </c>
      <c r="K14" s="40">
        <f t="shared" si="0"/>
        <v>354</v>
      </c>
      <c r="L14" s="41">
        <f t="shared" si="1"/>
        <v>21948</v>
      </c>
    </row>
    <row r="15" spans="1:12" s="42" customFormat="1" ht="25.5" x14ac:dyDescent="0.2">
      <c r="A15" s="32">
        <v>4</v>
      </c>
      <c r="B15" s="33" t="s">
        <v>24</v>
      </c>
      <c r="C15" s="34" t="s">
        <v>20</v>
      </c>
      <c r="D15" s="35">
        <v>76</v>
      </c>
      <c r="E15" s="36">
        <f>1942.5*1.18</f>
        <v>2292.15</v>
      </c>
      <c r="F15" s="12"/>
      <c r="G15" s="37"/>
      <c r="H15" s="38">
        <f t="shared" si="2"/>
        <v>764.05000000000007</v>
      </c>
      <c r="I15" s="39">
        <v>1.96</v>
      </c>
      <c r="J15" s="39">
        <v>53.98</v>
      </c>
      <c r="K15" s="40">
        <f t="shared" si="0"/>
        <v>764.05000000000007</v>
      </c>
      <c r="L15" s="41">
        <f t="shared" si="1"/>
        <v>58067.8</v>
      </c>
    </row>
    <row r="16" spans="1:12" s="42" customFormat="1" ht="25.5" x14ac:dyDescent="0.2">
      <c r="A16" s="32">
        <v>5</v>
      </c>
      <c r="B16" s="43" t="s">
        <v>25</v>
      </c>
      <c r="C16" s="34" t="s">
        <v>20</v>
      </c>
      <c r="D16" s="35">
        <v>76</v>
      </c>
      <c r="E16" s="36">
        <f>519.75*1.18</f>
        <v>613.30499999999995</v>
      </c>
      <c r="F16" s="12"/>
      <c r="G16" s="37"/>
      <c r="H16" s="38">
        <f t="shared" si="2"/>
        <v>204.43499999999997</v>
      </c>
      <c r="I16" s="39">
        <v>0.2</v>
      </c>
      <c r="J16" s="39">
        <v>1.41</v>
      </c>
      <c r="K16" s="40">
        <f t="shared" si="0"/>
        <v>204.43499999999997</v>
      </c>
      <c r="L16" s="41">
        <f t="shared" si="1"/>
        <v>15537.059999999998</v>
      </c>
    </row>
    <row r="17" spans="1:12" s="42" customFormat="1" ht="25.5" x14ac:dyDescent="0.2">
      <c r="A17" s="32">
        <v>6</v>
      </c>
      <c r="B17" s="43" t="s">
        <v>26</v>
      </c>
      <c r="C17" s="34" t="s">
        <v>20</v>
      </c>
      <c r="D17" s="35">
        <f>53+15</f>
        <v>68</v>
      </c>
      <c r="E17" s="36">
        <f>1309.5*1.18</f>
        <v>1545.2099999999998</v>
      </c>
      <c r="F17" s="12"/>
      <c r="G17" s="37"/>
      <c r="H17" s="38">
        <f t="shared" si="2"/>
        <v>515.06999999999994</v>
      </c>
      <c r="I17" s="39">
        <v>1.96</v>
      </c>
      <c r="J17" s="39">
        <v>48.71</v>
      </c>
      <c r="K17" s="40">
        <f t="shared" si="0"/>
        <v>515.06999999999994</v>
      </c>
      <c r="L17" s="41">
        <f t="shared" si="1"/>
        <v>35024.759999999995</v>
      </c>
    </row>
    <row r="18" spans="1:12" s="42" customFormat="1" ht="25.5" x14ac:dyDescent="0.2">
      <c r="A18" s="32">
        <v>7</v>
      </c>
      <c r="B18" s="43" t="s">
        <v>27</v>
      </c>
      <c r="C18" s="34" t="s">
        <v>20</v>
      </c>
      <c r="D18" s="35">
        <f>20+10</f>
        <v>30</v>
      </c>
      <c r="E18" s="36">
        <f>3262.5*1.18</f>
        <v>3849.75</v>
      </c>
      <c r="F18" s="12"/>
      <c r="G18" s="37"/>
      <c r="H18" s="38">
        <f t="shared" si="2"/>
        <v>1283.25</v>
      </c>
      <c r="I18" s="39">
        <v>1.96</v>
      </c>
      <c r="J18" s="50">
        <v>133.11000000000001</v>
      </c>
      <c r="K18" s="40">
        <f t="shared" si="0"/>
        <v>1283.25</v>
      </c>
      <c r="L18" s="41">
        <f t="shared" si="1"/>
        <v>38497.5</v>
      </c>
    </row>
    <row r="19" spans="1:12" ht="25.5" x14ac:dyDescent="0.2">
      <c r="A19" s="32">
        <v>8</v>
      </c>
      <c r="B19" s="16" t="s">
        <v>44</v>
      </c>
      <c r="C19" s="17" t="s">
        <v>20</v>
      </c>
      <c r="D19" s="18">
        <v>32</v>
      </c>
      <c r="E19" s="19">
        <f>19935*1.18</f>
        <v>23523.3</v>
      </c>
      <c r="F19" s="20"/>
      <c r="G19" s="21"/>
      <c r="H19" s="22"/>
      <c r="I19" s="23"/>
      <c r="J19" s="24"/>
      <c r="K19" s="25"/>
      <c r="L19" s="26"/>
    </row>
    <row r="20" spans="1:12" s="42" customFormat="1" ht="25.5" x14ac:dyDescent="0.2">
      <c r="A20" s="32">
        <v>9</v>
      </c>
      <c r="B20" s="43" t="s">
        <v>28</v>
      </c>
      <c r="C20" s="34" t="s">
        <v>20</v>
      </c>
      <c r="D20" s="34">
        <v>4</v>
      </c>
      <c r="E20" s="36">
        <f>519.75*1.18</f>
        <v>613.30499999999995</v>
      </c>
      <c r="F20" s="12"/>
      <c r="G20" s="37"/>
      <c r="H20" s="38">
        <f t="shared" si="2"/>
        <v>204.43499999999997</v>
      </c>
      <c r="I20" s="39">
        <v>1.96</v>
      </c>
      <c r="J20" s="34">
        <v>18.95</v>
      </c>
      <c r="K20" s="40">
        <f t="shared" si="0"/>
        <v>204.43499999999997</v>
      </c>
      <c r="L20" s="41">
        <f t="shared" si="1"/>
        <v>817.7399999999999</v>
      </c>
    </row>
    <row r="21" spans="1:12" s="42" customFormat="1" ht="25.5" x14ac:dyDescent="0.2">
      <c r="A21" s="32">
        <v>10</v>
      </c>
      <c r="B21" s="43" t="s">
        <v>29</v>
      </c>
      <c r="C21" s="34" t="s">
        <v>20</v>
      </c>
      <c r="D21" s="35">
        <v>10</v>
      </c>
      <c r="E21" s="36">
        <f>1309.5*1.18</f>
        <v>1545.2099999999998</v>
      </c>
      <c r="F21" s="12"/>
      <c r="G21" s="37"/>
      <c r="H21" s="38">
        <f t="shared" si="2"/>
        <v>515.06999999999994</v>
      </c>
      <c r="I21" s="39">
        <v>1.96</v>
      </c>
      <c r="J21" s="44">
        <v>48.71</v>
      </c>
      <c r="K21" s="40">
        <f t="shared" si="0"/>
        <v>515.06999999999994</v>
      </c>
      <c r="L21" s="41">
        <f t="shared" si="1"/>
        <v>5150.6999999999989</v>
      </c>
    </row>
    <row r="22" spans="1:12" s="42" customFormat="1" ht="25.5" x14ac:dyDescent="0.2">
      <c r="A22" s="32">
        <v>11</v>
      </c>
      <c r="B22" s="43" t="s">
        <v>30</v>
      </c>
      <c r="C22" s="34" t="s">
        <v>20</v>
      </c>
      <c r="D22" s="35">
        <v>10</v>
      </c>
      <c r="E22" s="36">
        <f>3171.75*1.18</f>
        <v>3742.665</v>
      </c>
      <c r="F22" s="12"/>
      <c r="G22" s="37"/>
      <c r="H22" s="38">
        <f t="shared" si="2"/>
        <v>1247.5550000000001</v>
      </c>
      <c r="I22" s="39">
        <v>1.96</v>
      </c>
      <c r="J22" s="34">
        <v>133.11000000000001</v>
      </c>
      <c r="K22" s="40">
        <f t="shared" si="0"/>
        <v>1247.5550000000001</v>
      </c>
      <c r="L22" s="41">
        <f t="shared" si="1"/>
        <v>12475.550000000001</v>
      </c>
    </row>
    <row r="23" spans="1:12" s="42" customFormat="1" ht="25.5" x14ac:dyDescent="0.2">
      <c r="A23" s="32">
        <v>12</v>
      </c>
      <c r="B23" s="43" t="s">
        <v>31</v>
      </c>
      <c r="C23" s="34" t="s">
        <v>20</v>
      </c>
      <c r="D23" s="35">
        <v>6</v>
      </c>
      <c r="E23" s="36">
        <f>562.5*1.18</f>
        <v>663.75</v>
      </c>
      <c r="F23" s="12"/>
      <c r="G23" s="37"/>
      <c r="H23" s="38">
        <f t="shared" si="2"/>
        <v>221.25</v>
      </c>
      <c r="I23" s="39">
        <v>1.96</v>
      </c>
      <c r="J23" s="34">
        <v>19.13</v>
      </c>
      <c r="K23" s="40">
        <f t="shared" si="0"/>
        <v>221.25</v>
      </c>
      <c r="L23" s="41">
        <f t="shared" si="1"/>
        <v>1327.5</v>
      </c>
    </row>
    <row r="24" spans="1:12" s="42" customFormat="1" ht="25.5" x14ac:dyDescent="0.2">
      <c r="A24" s="32">
        <v>13</v>
      </c>
      <c r="B24" s="43" t="s">
        <v>32</v>
      </c>
      <c r="C24" s="34" t="s">
        <v>20</v>
      </c>
      <c r="D24" s="35">
        <v>1</v>
      </c>
      <c r="E24" s="36">
        <f>1462.5*1.18</f>
        <v>1725.75</v>
      </c>
      <c r="F24" s="12"/>
      <c r="G24" s="37"/>
      <c r="H24" s="38">
        <f t="shared" si="2"/>
        <v>575.25</v>
      </c>
      <c r="I24" s="39">
        <v>1.96</v>
      </c>
      <c r="J24" s="34">
        <v>133.11000000000001</v>
      </c>
      <c r="K24" s="40">
        <f t="shared" si="0"/>
        <v>575.25</v>
      </c>
      <c r="L24" s="41">
        <f t="shared" si="1"/>
        <v>575.25</v>
      </c>
    </row>
    <row r="25" spans="1:12" s="42" customFormat="1" ht="38.25" x14ac:dyDescent="0.2">
      <c r="A25" s="32">
        <v>14</v>
      </c>
      <c r="B25" s="33" t="s">
        <v>46</v>
      </c>
      <c r="C25" s="34" t="s">
        <v>20</v>
      </c>
      <c r="D25" s="35">
        <v>7</v>
      </c>
      <c r="E25" s="36">
        <f>1778.25*1.18</f>
        <v>2098.335</v>
      </c>
      <c r="F25" s="12"/>
      <c r="G25" s="37"/>
      <c r="H25" s="38">
        <f t="shared" si="2"/>
        <v>699.44500000000005</v>
      </c>
      <c r="I25" s="39">
        <v>1.96</v>
      </c>
      <c r="J25" s="34">
        <v>26.07</v>
      </c>
      <c r="K25" s="40">
        <f t="shared" si="0"/>
        <v>699.44500000000005</v>
      </c>
      <c r="L25" s="41">
        <f t="shared" si="1"/>
        <v>4896.1150000000007</v>
      </c>
    </row>
    <row r="26" spans="1:12" s="42" customFormat="1" ht="38.25" x14ac:dyDescent="0.2">
      <c r="A26" s="32">
        <v>15</v>
      </c>
      <c r="B26" s="33" t="s">
        <v>33</v>
      </c>
      <c r="C26" s="34" t="s">
        <v>20</v>
      </c>
      <c r="D26" s="37">
        <v>10</v>
      </c>
      <c r="E26" s="45">
        <f>4927.5*1.18</f>
        <v>5814.45</v>
      </c>
      <c r="F26" s="12"/>
      <c r="G26" s="13"/>
      <c r="H26" s="38">
        <f t="shared" si="2"/>
        <v>1938.1499999999999</v>
      </c>
      <c r="I26" s="39">
        <v>1.96</v>
      </c>
      <c r="J26" s="34">
        <v>128.1</v>
      </c>
      <c r="K26" s="40">
        <f t="shared" si="0"/>
        <v>1938.1499999999999</v>
      </c>
      <c r="L26" s="41">
        <f t="shared" si="1"/>
        <v>19381.5</v>
      </c>
    </row>
    <row r="27" spans="1:12" s="42" customFormat="1" ht="38.25" x14ac:dyDescent="0.2">
      <c r="A27" s="32">
        <v>16</v>
      </c>
      <c r="B27" s="33" t="s">
        <v>47</v>
      </c>
      <c r="C27" s="34" t="s">
        <v>20</v>
      </c>
      <c r="D27" s="34">
        <v>14</v>
      </c>
      <c r="E27" s="45">
        <f>5601.75*1.18</f>
        <v>6610.0649999999996</v>
      </c>
      <c r="F27" s="12"/>
      <c r="G27" s="13"/>
      <c r="H27" s="38">
        <f t="shared" si="2"/>
        <v>2203.355</v>
      </c>
      <c r="I27" s="39">
        <v>1.66</v>
      </c>
      <c r="J27" s="39">
        <v>122.24</v>
      </c>
      <c r="K27" s="40">
        <f t="shared" si="0"/>
        <v>2203.355</v>
      </c>
      <c r="L27" s="41">
        <f t="shared" si="1"/>
        <v>30846.97</v>
      </c>
    </row>
    <row r="28" spans="1:12" s="42" customFormat="1" ht="25.5" x14ac:dyDescent="0.2">
      <c r="A28" s="32">
        <v>17</v>
      </c>
      <c r="B28" s="33" t="s">
        <v>45</v>
      </c>
      <c r="C28" s="34" t="s">
        <v>20</v>
      </c>
      <c r="D28" s="46">
        <v>1</v>
      </c>
      <c r="E28" s="45">
        <f>1462.5*1.18</f>
        <v>1725.75</v>
      </c>
      <c r="F28" s="12"/>
      <c r="G28" s="47"/>
      <c r="H28" s="38">
        <f t="shared" si="2"/>
        <v>575.25</v>
      </c>
      <c r="I28" s="39">
        <v>0.25</v>
      </c>
      <c r="J28" s="39">
        <v>2.11</v>
      </c>
      <c r="K28" s="40">
        <f t="shared" si="0"/>
        <v>575.25</v>
      </c>
      <c r="L28" s="41">
        <f t="shared" si="1"/>
        <v>575.25</v>
      </c>
    </row>
    <row r="29" spans="1:12" s="42" customFormat="1" ht="25.5" x14ac:dyDescent="0.2">
      <c r="A29" s="32">
        <v>18</v>
      </c>
      <c r="B29" s="33" t="s">
        <v>34</v>
      </c>
      <c r="C29" s="34" t="s">
        <v>20</v>
      </c>
      <c r="D29" s="37">
        <v>1</v>
      </c>
      <c r="E29" s="45">
        <f>1466.25*1.18</f>
        <v>1730.175</v>
      </c>
      <c r="F29" s="12"/>
      <c r="G29" s="13"/>
      <c r="H29" s="38">
        <f t="shared" si="2"/>
        <v>576.72500000000002</v>
      </c>
      <c r="I29" s="48">
        <v>0.23</v>
      </c>
      <c r="J29" s="48">
        <v>4.68</v>
      </c>
      <c r="K29" s="40">
        <f t="shared" si="0"/>
        <v>576.72500000000002</v>
      </c>
      <c r="L29" s="41">
        <f t="shared" si="1"/>
        <v>576.72500000000002</v>
      </c>
    </row>
    <row r="30" spans="1:12" s="42" customFormat="1" ht="25.5" x14ac:dyDescent="0.2">
      <c r="A30" s="32">
        <v>19</v>
      </c>
      <c r="B30" s="33" t="s">
        <v>39</v>
      </c>
      <c r="C30" s="34" t="s">
        <v>20</v>
      </c>
      <c r="D30" s="46">
        <v>27</v>
      </c>
      <c r="E30" s="45">
        <f>86.25*1.18</f>
        <v>101.77499999999999</v>
      </c>
      <c r="F30" s="12"/>
      <c r="G30" s="47"/>
      <c r="H30" s="38">
        <f t="shared" si="2"/>
        <v>33.924999999999997</v>
      </c>
      <c r="I30" s="34">
        <v>0.47</v>
      </c>
      <c r="J30" s="34">
        <v>0.61</v>
      </c>
      <c r="K30" s="40">
        <f t="shared" si="0"/>
        <v>33.924999999999997</v>
      </c>
      <c r="L30" s="41">
        <f t="shared" si="1"/>
        <v>915.97499999999991</v>
      </c>
    </row>
    <row r="31" spans="1:12" s="42" customFormat="1" ht="25.5" x14ac:dyDescent="0.2">
      <c r="A31" s="32">
        <v>20</v>
      </c>
      <c r="B31" s="33" t="s">
        <v>40</v>
      </c>
      <c r="C31" s="34" t="s">
        <v>20</v>
      </c>
      <c r="D31" s="46">
        <f>47+10</f>
        <v>57</v>
      </c>
      <c r="E31" s="45"/>
      <c r="F31" s="12"/>
      <c r="G31" s="47"/>
      <c r="H31" s="38">
        <f t="shared" si="2"/>
        <v>0</v>
      </c>
      <c r="I31" s="34">
        <v>0.26</v>
      </c>
      <c r="J31" s="34">
        <v>0.97</v>
      </c>
      <c r="K31" s="40">
        <f t="shared" si="0"/>
        <v>0</v>
      </c>
      <c r="L31" s="41">
        <f t="shared" si="1"/>
        <v>0</v>
      </c>
    </row>
    <row r="32" spans="1:12" s="42" customFormat="1" ht="25.5" x14ac:dyDescent="0.2">
      <c r="A32" s="32">
        <v>21</v>
      </c>
      <c r="B32" s="33" t="s">
        <v>42</v>
      </c>
      <c r="C32" s="34" t="s">
        <v>20</v>
      </c>
      <c r="D32" s="46">
        <f>20+20</f>
        <v>40</v>
      </c>
      <c r="E32" s="45"/>
      <c r="F32" s="12"/>
      <c r="G32" s="47"/>
      <c r="H32" s="38">
        <f t="shared" si="2"/>
        <v>0</v>
      </c>
      <c r="I32" s="34">
        <v>0.26</v>
      </c>
      <c r="J32" s="34">
        <v>1.57</v>
      </c>
      <c r="K32" s="40">
        <f t="shared" si="0"/>
        <v>0</v>
      </c>
      <c r="L32" s="41">
        <f t="shared" si="1"/>
        <v>0</v>
      </c>
    </row>
    <row r="33" spans="1:12" s="42" customFormat="1" ht="25.5" x14ac:dyDescent="0.2">
      <c r="A33" s="32">
        <v>22</v>
      </c>
      <c r="B33" s="33" t="s">
        <v>41</v>
      </c>
      <c r="C33" s="34" t="s">
        <v>20</v>
      </c>
      <c r="D33" s="46">
        <v>54</v>
      </c>
      <c r="E33" s="45"/>
      <c r="F33" s="12"/>
      <c r="G33" s="13"/>
      <c r="H33" s="38">
        <f t="shared" si="2"/>
        <v>0</v>
      </c>
      <c r="I33" s="34">
        <v>0.22</v>
      </c>
      <c r="J33" s="34">
        <v>2.67</v>
      </c>
      <c r="K33" s="40">
        <f t="shared" si="0"/>
        <v>0</v>
      </c>
      <c r="L33" s="41">
        <f t="shared" si="1"/>
        <v>0</v>
      </c>
    </row>
    <row r="34" spans="1:12" s="42" customFormat="1" ht="25.5" x14ac:dyDescent="0.2">
      <c r="A34" s="32">
        <v>23</v>
      </c>
      <c r="B34" s="33" t="s">
        <v>35</v>
      </c>
      <c r="C34" s="34" t="s">
        <v>20</v>
      </c>
      <c r="D34" s="46">
        <v>3</v>
      </c>
      <c r="E34" s="45"/>
      <c r="F34" s="12"/>
      <c r="G34" s="49"/>
      <c r="H34" s="38">
        <f t="shared" si="2"/>
        <v>0</v>
      </c>
      <c r="I34" s="48">
        <v>0.21</v>
      </c>
      <c r="J34" s="48">
        <v>0.47</v>
      </c>
      <c r="K34" s="40">
        <f t="shared" si="0"/>
        <v>0</v>
      </c>
      <c r="L34" s="41">
        <f t="shared" si="1"/>
        <v>0</v>
      </c>
    </row>
    <row r="35" spans="1:12" s="42" customFormat="1" ht="38.25" x14ac:dyDescent="0.2">
      <c r="A35" s="32">
        <v>24</v>
      </c>
      <c r="B35" s="33" t="s">
        <v>36</v>
      </c>
      <c r="C35" s="34" t="s">
        <v>20</v>
      </c>
      <c r="D35" s="46">
        <v>29</v>
      </c>
      <c r="E35" s="45"/>
      <c r="F35" s="12"/>
      <c r="G35" s="47"/>
      <c r="H35" s="38">
        <f t="shared" si="2"/>
        <v>0</v>
      </c>
      <c r="I35" s="48">
        <v>3.44</v>
      </c>
      <c r="J35" s="48">
        <v>29.22</v>
      </c>
      <c r="K35" s="40">
        <f t="shared" si="0"/>
        <v>0</v>
      </c>
      <c r="L35" s="41">
        <f t="shared" si="1"/>
        <v>0</v>
      </c>
    </row>
    <row r="36" spans="1:12" s="42" customFormat="1" ht="38.25" x14ac:dyDescent="0.2">
      <c r="A36" s="32">
        <v>25</v>
      </c>
      <c r="B36" s="33" t="s">
        <v>37</v>
      </c>
      <c r="C36" s="34" t="s">
        <v>20</v>
      </c>
      <c r="D36" s="46">
        <v>6</v>
      </c>
      <c r="E36" s="45"/>
      <c r="F36" s="12"/>
      <c r="G36" s="13"/>
      <c r="H36" s="38">
        <f t="shared" si="2"/>
        <v>0</v>
      </c>
      <c r="I36" s="48">
        <v>3.43</v>
      </c>
      <c r="J36" s="48">
        <v>73.47</v>
      </c>
      <c r="K36" s="40">
        <f t="shared" si="0"/>
        <v>0</v>
      </c>
      <c r="L36" s="41">
        <f t="shared" si="1"/>
        <v>0</v>
      </c>
    </row>
    <row r="37" spans="1:12" s="42" customFormat="1" ht="38.25" x14ac:dyDescent="0.2">
      <c r="A37" s="32">
        <v>26</v>
      </c>
      <c r="B37" s="33" t="s">
        <v>38</v>
      </c>
      <c r="C37" s="34" t="s">
        <v>20</v>
      </c>
      <c r="D37" s="46">
        <v>16</v>
      </c>
      <c r="E37" s="45"/>
      <c r="F37" s="12"/>
      <c r="G37" s="13"/>
      <c r="H37" s="38">
        <f t="shared" si="2"/>
        <v>0</v>
      </c>
      <c r="I37" s="48">
        <v>3.43</v>
      </c>
      <c r="J37" s="48">
        <v>111.33</v>
      </c>
      <c r="K37" s="40">
        <f t="shared" ref="K37:K38" si="3">H37</f>
        <v>0</v>
      </c>
      <c r="L37" s="41">
        <f t="shared" ref="L37:L38" si="4">K37*D37</f>
        <v>0</v>
      </c>
    </row>
    <row r="38" spans="1:12" ht="38.25" x14ac:dyDescent="0.2">
      <c r="A38" s="32">
        <v>27</v>
      </c>
      <c r="B38" s="27" t="s">
        <v>48</v>
      </c>
      <c r="C38" s="17" t="s">
        <v>20</v>
      </c>
      <c r="D38" s="21">
        <v>34</v>
      </c>
      <c r="E38" s="28"/>
      <c r="F38" s="20"/>
      <c r="G38" s="29"/>
      <c r="H38" s="22">
        <f t="shared" ref="H38" si="5">(E38+F38+G38)/3</f>
        <v>0</v>
      </c>
      <c r="I38" s="30">
        <v>3.43</v>
      </c>
      <c r="J38" s="30">
        <v>389.92</v>
      </c>
      <c r="K38" s="25">
        <f t="shared" si="3"/>
        <v>0</v>
      </c>
      <c r="L38" s="26">
        <f t="shared" si="4"/>
        <v>0</v>
      </c>
    </row>
    <row r="39" spans="1:12" x14ac:dyDescent="0.2">
      <c r="A39" s="3"/>
      <c r="B39" s="9"/>
      <c r="C39" s="3"/>
      <c r="D39" s="3"/>
      <c r="E39" s="9"/>
      <c r="F39" s="9"/>
      <c r="G39" s="9"/>
      <c r="H39" s="3"/>
      <c r="I39" s="5"/>
      <c r="J39" s="5"/>
      <c r="K39" s="3"/>
      <c r="L39" s="31">
        <f>SUM(L12:L38)</f>
        <v>276623.85999999993</v>
      </c>
    </row>
    <row r="41" spans="1:12" x14ac:dyDescent="0.2">
      <c r="A41" s="3" t="s">
        <v>14</v>
      </c>
      <c r="B41" s="3"/>
      <c r="C41" s="3"/>
      <c r="D41" s="3" t="s">
        <v>15</v>
      </c>
    </row>
    <row r="42" spans="1:12" ht="13.5" thickBot="1" x14ac:dyDescent="0.25">
      <c r="A42" s="3"/>
      <c r="B42" s="11"/>
      <c r="C42" s="11"/>
      <c r="D42" s="3"/>
    </row>
    <row r="44" spans="1:12" x14ac:dyDescent="0.2">
      <c r="A44" s="2" t="s">
        <v>16</v>
      </c>
    </row>
  </sheetData>
  <mergeCells count="12">
    <mergeCell ref="C9:C11"/>
    <mergeCell ref="D9:D11"/>
    <mergeCell ref="E9:E10"/>
    <mergeCell ref="F9:F10"/>
    <mergeCell ref="A3:L3"/>
    <mergeCell ref="H9:H11"/>
    <mergeCell ref="I9:I11"/>
    <mergeCell ref="G9:G10"/>
    <mergeCell ref="J9:J11"/>
    <mergeCell ref="K9:L10"/>
    <mergeCell ref="A9:A11"/>
    <mergeCell ref="B9:B11"/>
  </mergeCells>
  <pageMargins left="0.70866141732283472" right="0.31496062992125984" top="0.35433070866141736" bottom="0.35433070866141736" header="0.31496062992125984" footer="0.31496062992125984"/>
  <pageSetup paperSize="9" scale="69" orientation="portrait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НМЦК</vt:lpstr>
      <vt:lpstr>Лист1</vt:lpstr>
      <vt:lpstr>Лист3</vt:lpstr>
      <vt:lpstr>Лист1!_GoBack</vt:lpstr>
      <vt:lpstr>НМЦК!Область_печати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2023-05-15T09:27:03Z</dcterms:modified>
</cp:coreProperties>
</file>