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728" windowWidth="14808" windowHeight="6396"/>
  </bookViews>
  <sheets>
    <sheet name="Приложение № 1" sheetId="4" r:id="rId1"/>
    <sheet name="Приложение № 2" sheetId="1" r:id="rId2"/>
    <sheet name="Приложение № 5" sheetId="2" r:id="rId3"/>
    <sheet name="Приложение № 8" sheetId="5" state="hidden" r:id="rId4"/>
    <sheet name="5. подк.неподк.план" sheetId="6" state="hidden" r:id="rId5"/>
    <sheet name="1.6." sheetId="11" state="hidden" r:id="rId6"/>
    <sheet name="1.6" sheetId="7" state="hidden" r:id="rId7"/>
    <sheet name="1.3" sheetId="8" state="hidden" r:id="rId8"/>
    <sheet name="8.Бюджет на 2015" sheetId="9" state="hidden" r:id="rId9"/>
    <sheet name="1. подк.неподк. факт"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s>
  <definedNames>
    <definedName name="\a" localSheetId="9">#REF!</definedName>
    <definedName name="\a" localSheetId="4">#REF!</definedName>
    <definedName name="\a">#REF!</definedName>
    <definedName name="\m" localSheetId="9">#REF!</definedName>
    <definedName name="\m" localSheetId="4">#REF!</definedName>
    <definedName name="\m">#REF!</definedName>
    <definedName name="\n" localSheetId="9">#REF!</definedName>
    <definedName name="\n" localSheetId="4">#REF!</definedName>
    <definedName name="\n">#REF!</definedName>
    <definedName name="\o" localSheetId="9">#REF!</definedName>
    <definedName name="\o" localSheetId="4">#REF!</definedName>
    <definedName name="\o">#REF!</definedName>
    <definedName name="__123Graph_AGRAPH1" localSheetId="9" hidden="1">'[1]на 1 тут'!#REF!</definedName>
    <definedName name="__123Graph_AGRAPH1" localSheetId="4" hidden="1">'[1]на 1 тут'!#REF!</definedName>
    <definedName name="__123Graph_AGRAPH1" hidden="1">'[1]на 1 тут'!#REF!</definedName>
    <definedName name="__123Graph_AGRAPH2" localSheetId="9" hidden="1">'[1]на 1 тут'!#REF!</definedName>
    <definedName name="__123Graph_AGRAPH2" localSheetId="4" hidden="1">'[1]на 1 тут'!#REF!</definedName>
    <definedName name="__123Graph_AGRAPH2" hidden="1">'[1]на 1 тут'!#REF!</definedName>
    <definedName name="__123Graph_BGRAPH1" localSheetId="9" hidden="1">'[1]на 1 тут'!#REF!</definedName>
    <definedName name="__123Graph_BGRAPH1" localSheetId="4" hidden="1">'[1]на 1 тут'!#REF!</definedName>
    <definedName name="__123Graph_BGRAPH1" hidden="1">'[1]на 1 тут'!#REF!</definedName>
    <definedName name="__123Graph_BGRAPH2" localSheetId="9" hidden="1">'[1]на 1 тут'!#REF!</definedName>
    <definedName name="__123Graph_BGRAPH2" localSheetId="4" hidden="1">'[1]на 1 тут'!#REF!</definedName>
    <definedName name="__123Graph_BGRAPH2" hidden="1">'[1]на 1 тут'!#REF!</definedName>
    <definedName name="__123Graph_CGRAPH1" localSheetId="9" hidden="1">'[1]на 1 тут'!#REF!</definedName>
    <definedName name="__123Graph_CGRAPH1" localSheetId="4" hidden="1">'[1]на 1 тут'!#REF!</definedName>
    <definedName name="__123Graph_CGRAPH1" hidden="1">'[1]на 1 тут'!#REF!</definedName>
    <definedName name="__123Graph_CGRAPH2" localSheetId="9" hidden="1">'[1]на 1 тут'!#REF!</definedName>
    <definedName name="__123Graph_CGRAPH2" localSheetId="4" hidden="1">'[1]на 1 тут'!#REF!</definedName>
    <definedName name="__123Graph_CGRAPH2" hidden="1">'[1]на 1 тут'!#REF!</definedName>
    <definedName name="__123Graph_LBL_AGRAPH1" localSheetId="9" hidden="1">'[1]на 1 тут'!#REF!</definedName>
    <definedName name="__123Graph_LBL_AGRAPH1" localSheetId="4" hidden="1">'[1]на 1 тут'!#REF!</definedName>
    <definedName name="__123Graph_LBL_AGRAPH1" hidden="1">'[1]на 1 тут'!#REF!</definedName>
    <definedName name="__123Graph_XGRAPH1" localSheetId="9" hidden="1">'[1]на 1 тут'!#REF!</definedName>
    <definedName name="__123Graph_XGRAPH1" localSheetId="4" hidden="1">'[1]на 1 тут'!#REF!</definedName>
    <definedName name="__123Graph_XGRAPH1" hidden="1">'[1]на 1 тут'!#REF!</definedName>
    <definedName name="__123Graph_XGRAPH2" localSheetId="9" hidden="1">'[1]на 1 тут'!#REF!</definedName>
    <definedName name="__123Graph_XGRAPH2" localSheetId="4" hidden="1">'[1]на 1 тут'!#REF!</definedName>
    <definedName name="__123Graph_XGRAPH2" hidden="1">'[1]на 1 тут'!#REF!</definedName>
    <definedName name="_dat1" localSheetId="9">#REF!</definedName>
    <definedName name="_dat1" localSheetId="4">#REF!</definedName>
    <definedName name="_dat1">#REF!</definedName>
    <definedName name="_dat10" localSheetId="9">#REF!</definedName>
    <definedName name="_dat10" localSheetId="4">#REF!</definedName>
    <definedName name="_dat10">#REF!</definedName>
    <definedName name="_dat11" localSheetId="9">#REF!</definedName>
    <definedName name="_dat11" localSheetId="4">#REF!</definedName>
    <definedName name="_dat11">#REF!</definedName>
    <definedName name="_dat12" localSheetId="9">#REF!</definedName>
    <definedName name="_dat12" localSheetId="4">#REF!</definedName>
    <definedName name="_dat12">#REF!</definedName>
    <definedName name="_dat13" localSheetId="9">#REF!</definedName>
    <definedName name="_dat13" localSheetId="4">#REF!</definedName>
    <definedName name="_dat13">#REF!</definedName>
    <definedName name="_dat14" localSheetId="9">#REF!</definedName>
    <definedName name="_dat14" localSheetId="4">#REF!</definedName>
    <definedName name="_dat14">#REF!</definedName>
    <definedName name="_dat15" localSheetId="9">#REF!</definedName>
    <definedName name="_dat15" localSheetId="4">#REF!</definedName>
    <definedName name="_dat15">#REF!</definedName>
    <definedName name="_dat16" localSheetId="9">#REF!</definedName>
    <definedName name="_dat16" localSheetId="4">#REF!</definedName>
    <definedName name="_dat16">#REF!</definedName>
    <definedName name="_dat17" localSheetId="9">#REF!</definedName>
    <definedName name="_dat17" localSheetId="4">#REF!</definedName>
    <definedName name="_dat17">#REF!</definedName>
    <definedName name="_dat18" localSheetId="9">#REF!</definedName>
    <definedName name="_dat18" localSheetId="4">#REF!</definedName>
    <definedName name="_dat18">#REF!</definedName>
    <definedName name="_dat19" localSheetId="9">#REF!</definedName>
    <definedName name="_dat19" localSheetId="4">#REF!</definedName>
    <definedName name="_dat19">#REF!</definedName>
    <definedName name="_dat2" localSheetId="9">#REF!</definedName>
    <definedName name="_dat2" localSheetId="4">#REF!</definedName>
    <definedName name="_dat2">#REF!</definedName>
    <definedName name="_dat20" localSheetId="9">#REF!</definedName>
    <definedName name="_dat20" localSheetId="4">#REF!</definedName>
    <definedName name="_dat20">#REF!</definedName>
    <definedName name="_dat21" localSheetId="9">#REF!</definedName>
    <definedName name="_dat21" localSheetId="4">#REF!</definedName>
    <definedName name="_dat21">#REF!</definedName>
    <definedName name="_dat22" localSheetId="9">#REF!</definedName>
    <definedName name="_dat22" localSheetId="4">#REF!</definedName>
    <definedName name="_dat22">#REF!</definedName>
    <definedName name="_dat23" localSheetId="9">#REF!</definedName>
    <definedName name="_dat23" localSheetId="4">#REF!</definedName>
    <definedName name="_dat23">#REF!</definedName>
    <definedName name="_dat24" localSheetId="9">#REF!</definedName>
    <definedName name="_dat24" localSheetId="4">#REF!</definedName>
    <definedName name="_dat24">#REF!</definedName>
    <definedName name="_dat3" localSheetId="9">#REF!</definedName>
    <definedName name="_dat3" localSheetId="4">#REF!</definedName>
    <definedName name="_dat3">#REF!</definedName>
    <definedName name="_dat4" localSheetId="9">#REF!</definedName>
    <definedName name="_dat4" localSheetId="4">#REF!</definedName>
    <definedName name="_dat4">#REF!</definedName>
    <definedName name="_dat5" localSheetId="9">#REF!</definedName>
    <definedName name="_dat5" localSheetId="4">#REF!</definedName>
    <definedName name="_dat5">#REF!</definedName>
    <definedName name="_dat6" localSheetId="9">#REF!</definedName>
    <definedName name="_dat6" localSheetId="4">#REF!</definedName>
    <definedName name="_dat6">#REF!</definedName>
    <definedName name="_dat7" localSheetId="9">#REF!</definedName>
    <definedName name="_dat7" localSheetId="4">#REF!</definedName>
    <definedName name="_dat7">#REF!</definedName>
    <definedName name="_dat8" localSheetId="9">#REF!</definedName>
    <definedName name="_dat8" localSheetId="4">#REF!</definedName>
    <definedName name="_dat8">#REF!</definedName>
    <definedName name="_dat9" localSheetId="9">#REF!</definedName>
    <definedName name="_dat9" localSheetId="4">#REF!</definedName>
    <definedName name="_dat9">#REF!</definedName>
    <definedName name="_def2000г">#REF!</definedName>
    <definedName name="_def2001г">#REF!</definedName>
    <definedName name="_def2002г">#REF!</definedName>
    <definedName name="_FY1">#N/A</definedName>
    <definedName name="_inf2000" localSheetId="9">#REF!</definedName>
    <definedName name="_inf2000">#REF!</definedName>
    <definedName name="_inf2001" localSheetId="9">#REF!</definedName>
    <definedName name="_inf2001">#REF!</definedName>
    <definedName name="_inf2002" localSheetId="9">#REF!</definedName>
    <definedName name="_inf2002">#REF!</definedName>
    <definedName name="_inf2003">#REF!</definedName>
    <definedName name="_inf2004">#REF!</definedName>
    <definedName name="_inf2005">#REF!</definedName>
    <definedName name="_inf2006">#REF!</definedName>
    <definedName name="_M8">#N/A</definedName>
    <definedName name="_M9">#N/A</definedName>
    <definedName name="_mm1">[2]ПРОГНОЗ_1!#REF!</definedName>
    <definedName name="_Num2" localSheetId="9">#REF!</definedName>
    <definedName name="_Num2" localSheetId="4">#REF!</definedName>
    <definedName name="_Num2">#REF!</definedName>
    <definedName name="_prd2">[3]Титульный!$G$8</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 localSheetId="9">#N/A</definedName>
    <definedName name="_r" localSheetId="4">#N/A</definedName>
    <definedName name="_r">#N/A</definedName>
    <definedName name="_SP1" localSheetId="9">[4]FES!#REF!</definedName>
    <definedName name="_SP1" localSheetId="4">[4]FES!#REF!</definedName>
    <definedName name="_SP1">[5]FES!#REF!</definedName>
    <definedName name="_SP10" localSheetId="9">[4]FES!#REF!</definedName>
    <definedName name="_SP10" localSheetId="4">[4]FES!#REF!</definedName>
    <definedName name="_SP10">[5]FES!#REF!</definedName>
    <definedName name="_SP11" localSheetId="9">[4]FES!#REF!</definedName>
    <definedName name="_SP11" localSheetId="4">[4]FES!#REF!</definedName>
    <definedName name="_SP11">[5]FES!#REF!</definedName>
    <definedName name="_SP12" localSheetId="9">[4]FES!#REF!</definedName>
    <definedName name="_SP12" localSheetId="4">[4]FES!#REF!</definedName>
    <definedName name="_SP12">[5]FES!#REF!</definedName>
    <definedName name="_SP13" localSheetId="9">[4]FES!#REF!</definedName>
    <definedName name="_SP13" localSheetId="4">[4]FES!#REF!</definedName>
    <definedName name="_SP13">[5]FES!#REF!</definedName>
    <definedName name="_SP14" localSheetId="9">[4]FES!#REF!</definedName>
    <definedName name="_SP14" localSheetId="4">[4]FES!#REF!</definedName>
    <definedName name="_SP14">[5]FES!#REF!</definedName>
    <definedName name="_SP15" localSheetId="9">[4]FES!#REF!</definedName>
    <definedName name="_SP15" localSheetId="4">[4]FES!#REF!</definedName>
    <definedName name="_SP15">[5]FES!#REF!</definedName>
    <definedName name="_SP16" localSheetId="9">[4]FES!#REF!</definedName>
    <definedName name="_SP16" localSheetId="4">[4]FES!#REF!</definedName>
    <definedName name="_SP16">[5]FES!#REF!</definedName>
    <definedName name="_SP17" localSheetId="9">[4]FES!#REF!</definedName>
    <definedName name="_SP17" localSheetId="4">[4]FES!#REF!</definedName>
    <definedName name="_SP17">[5]FES!#REF!</definedName>
    <definedName name="_SP18" localSheetId="9">[4]FES!#REF!</definedName>
    <definedName name="_SP18" localSheetId="4">[4]FES!#REF!</definedName>
    <definedName name="_SP18">[5]FES!#REF!</definedName>
    <definedName name="_SP19" localSheetId="9">[4]FES!#REF!</definedName>
    <definedName name="_SP19" localSheetId="4">[4]FES!#REF!</definedName>
    <definedName name="_SP19">[5]FES!#REF!</definedName>
    <definedName name="_SP2" localSheetId="9">[4]FES!#REF!</definedName>
    <definedName name="_SP2" localSheetId="4">[4]FES!#REF!</definedName>
    <definedName name="_SP2">[5]FES!#REF!</definedName>
    <definedName name="_SP20" localSheetId="9">[4]FES!#REF!</definedName>
    <definedName name="_SP20" localSheetId="4">[4]FES!#REF!</definedName>
    <definedName name="_SP20">[5]FES!#REF!</definedName>
    <definedName name="_SP3" localSheetId="9">[4]FES!#REF!</definedName>
    <definedName name="_SP3" localSheetId="4">[4]FES!#REF!</definedName>
    <definedName name="_SP3">[5]FES!#REF!</definedName>
    <definedName name="_SP4" localSheetId="9">[4]FES!#REF!</definedName>
    <definedName name="_SP4" localSheetId="4">[4]FES!#REF!</definedName>
    <definedName name="_SP4">[5]FES!#REF!</definedName>
    <definedName name="_SP5" localSheetId="9">[4]FES!#REF!</definedName>
    <definedName name="_SP5" localSheetId="4">[4]FES!#REF!</definedName>
    <definedName name="_SP5">[5]FES!#REF!</definedName>
    <definedName name="_SP7" localSheetId="9">[4]FES!#REF!</definedName>
    <definedName name="_SP7" localSheetId="4">[4]FES!#REF!</definedName>
    <definedName name="_SP7">[5]FES!#REF!</definedName>
    <definedName name="_SP8" localSheetId="9">[4]FES!#REF!</definedName>
    <definedName name="_SP8" localSheetId="4">[4]FES!#REF!</definedName>
    <definedName name="_SP8">[5]FES!#REF!</definedName>
    <definedName name="_SP9" localSheetId="9">[4]FES!#REF!</definedName>
    <definedName name="_SP9" localSheetId="4">[4]FES!#REF!</definedName>
    <definedName name="_SP9">[5]FES!#REF!</definedName>
    <definedName name="_xlnm._FilterDatabase" localSheetId="9" hidden="1">'1. подк.неподк. факт'!$AH$26:$AK$325</definedName>
    <definedName name="_xlnm._FilterDatabase" localSheetId="4" hidden="1">'5. подк.неподк.план'!$A$27:$AA$322</definedName>
    <definedName name="_xlnm._FilterDatabase" localSheetId="8" hidden="1">'8.Бюджет на 2015'!$V$2:$AX$3</definedName>
    <definedName name="÷ĺňâĺđňűé" localSheetId="9">#REF!</definedName>
    <definedName name="÷ĺňâĺđňűé" localSheetId="4">#REF!</definedName>
    <definedName name="÷ĺňâĺđňűé">#REF!</definedName>
    <definedName name="a">[6]Параметры!$E$37</definedName>
    <definedName name="a04t" localSheetId="9">#REF!</definedName>
    <definedName name="a04t">#REF!</definedName>
    <definedName name="ACCURACY_RANGE" localSheetId="9">#REF!</definedName>
    <definedName name="ACCURACY_RANGE" localSheetId="4">#REF!</definedName>
    <definedName name="ACCURACY_RANGE">#REF!</definedName>
    <definedName name="AES" localSheetId="9">#REF!</definedName>
    <definedName name="AES" localSheetId="4">#REF!</definedName>
    <definedName name="AES">#REF!</definedName>
    <definedName name="àî">#N/A</definedName>
    <definedName name="ALL_ORG" localSheetId="9">#REF!</definedName>
    <definedName name="ALL_ORG" localSheetId="4">#REF!</definedName>
    <definedName name="ALL_ORG">#REF!</definedName>
    <definedName name="AN">#N/A</definedName>
    <definedName name="âňîđîé" localSheetId="9">#REF!</definedName>
    <definedName name="âňîđîé" localSheetId="4">#REF!</definedName>
    <definedName name="âňîđîé">#REF!</definedName>
    <definedName name="anscount" hidden="1">1</definedName>
    <definedName name="AOE" localSheetId="9">#REF!</definedName>
    <definedName name="AOE" localSheetId="4">#REF!</definedName>
    <definedName name="AOE">#REF!</definedName>
    <definedName name="APR" localSheetId="9">#REF!</definedName>
    <definedName name="APR" localSheetId="4">#REF!</definedName>
    <definedName name="APR">#REF!</definedName>
    <definedName name="asdas">[7]Титульный!$G$8</definedName>
    <definedName name="asdasd" localSheetId="9" hidden="1">#N/A</definedName>
    <definedName name="asdasd" localSheetId="4" hidden="1">#N/A</definedName>
    <definedName name="asdasd" localSheetId="8" hidden="1">'8.Бюджет на 2015'!P5_T1_Protect,'8.Бюджет на 2015'!P6_T1_Protect,'8.Бюджет на 2015'!P7_T1_Protect,'8.Бюджет на 2015'!P8_T1_Protect,'8.Бюджет на 2015'!P9_T1_Protect,'8.Бюджет на 2015'!P10_T1_Protect,'8.Бюджет на 2015'!P11_T1_Protect,'8.Бюджет на 2015'!P12_T1_Protect,'8.Бюджет на 2015'!P13_T1_Protect,'8.Бюджет на 2015'!P14_T1_Protect</definedName>
    <definedName name="asdasd" hidden="1">#N/A</definedName>
    <definedName name="asdasda" localSheetId="9" hidden="1">[8]Регионы!#REF!,[8]Регионы!#REF!,[8]Регионы!#REF!,[8]Регионы!#REF!,[8]Регионы!#REF!,[8]Регионы!#REF!</definedName>
    <definedName name="asdasda" localSheetId="4" hidden="1">[8]Регионы!#REF!,[8]Регионы!#REF!,[8]Регионы!#REF!,[8]Регионы!#REF!,[8]Регионы!#REF!,[8]Регионы!#REF!</definedName>
    <definedName name="asdasda" localSheetId="8" hidden="1">[8]Регионы!#REF!,[8]Регионы!#REF!,[8]Регионы!#REF!,[8]Регионы!#REF!,[8]Регионы!#REF!,[8]Регионы!#REF!</definedName>
    <definedName name="asdasda" hidden="1">[8]Регионы!#REF!,[8]Регионы!#REF!,[8]Регионы!#REF!,[8]Регионы!#REF!,[8]Регионы!#REF!,[8]Регионы!#REF!</definedName>
    <definedName name="AUG" localSheetId="9">#REF!</definedName>
    <definedName name="AUG" localSheetId="4">#REF!</definedName>
    <definedName name="AUG">#REF!</definedName>
    <definedName name="b">[6]Параметры!$F$37</definedName>
    <definedName name="B490_02" localSheetId="9">'[9]УФ-61'!#REF!</definedName>
    <definedName name="B490_02" localSheetId="4">'[9]УФ-61'!#REF!</definedName>
    <definedName name="B490_02">'[9]УФ-61'!#REF!</definedName>
    <definedName name="BALEE_FLOAD" localSheetId="9">#REF!</definedName>
    <definedName name="BALEE_FLOAD" localSheetId="4">#REF!</definedName>
    <definedName name="BALEE_FLOAD">#REF!</definedName>
    <definedName name="BALEE_PROT" localSheetId="9">#REF!,#REF!,#REF!,#REF!</definedName>
    <definedName name="BALEE_PROT" localSheetId="4">#REF!,#REF!,#REF!,#REF!</definedName>
    <definedName name="BALEE_PROT">#REF!,#REF!,#REF!,#REF!</definedName>
    <definedName name="BALM_FLOAD" localSheetId="9">#REF!</definedName>
    <definedName name="BALM_FLOAD" localSheetId="4">#REF!</definedName>
    <definedName name="BALM_FLOAD">#REF!</definedName>
    <definedName name="BALM_PROT" localSheetId="9">#REF!,#REF!,#REF!,#REF!</definedName>
    <definedName name="BALM_PROT" localSheetId="4">#REF!,#REF!,#REF!,#REF!</definedName>
    <definedName name="BALM_PROT">#REF!,#REF!,#REF!,#REF!</definedName>
    <definedName name="C_STAT">[10]TEHSHEET!#REF!</definedName>
    <definedName name="cd">#N/A</definedName>
    <definedName name="com">#N/A</definedName>
    <definedName name="CompOt" localSheetId="9">#N/A</definedName>
    <definedName name="CompOt" localSheetId="4">#N/A</definedName>
    <definedName name="CompOt">#N/A</definedName>
    <definedName name="CompOt2">#N/A</definedName>
    <definedName name="CompRas" localSheetId="9">#N/A</definedName>
    <definedName name="CompRas" localSheetId="4">#N/A</definedName>
    <definedName name="CompRas">#N/A</definedName>
    <definedName name="Contents" localSheetId="9">#REF!</definedName>
    <definedName name="Contents" localSheetId="4">#REF!</definedName>
    <definedName name="Contents">#REF!</definedName>
    <definedName name="COPY_DIAP" localSheetId="9">#REF!</definedName>
    <definedName name="COPY_DIAP" localSheetId="4">#REF!</definedName>
    <definedName name="COPY_DIAP">#REF!</definedName>
    <definedName name="ct">#N/A</definedName>
    <definedName name="CUR_VER">[11]Заголовок!$B$21</definedName>
    <definedName name="d">[6]Параметры!$G$37</definedName>
    <definedName name="ď">#N/A</definedName>
    <definedName name="DaNet" localSheetId="9">[12]TEHSHEET!#REF!</definedName>
    <definedName name="DaNet" localSheetId="4">[12]TEHSHEET!#REF!</definedName>
    <definedName name="DaNet">[12]TEHSHEET!#REF!</definedName>
    <definedName name="DATA" localSheetId="9">#REF!</definedName>
    <definedName name="DATA" localSheetId="4">#REF!</definedName>
    <definedName name="DATA">#REF!</definedName>
    <definedName name="DATE" localSheetId="9">#REF!</definedName>
    <definedName name="DATE" localSheetId="4">#REF!</definedName>
    <definedName name="DATE">#REF!</definedName>
    <definedName name="ďď">#N/A</definedName>
    <definedName name="đđ">#N/A</definedName>
    <definedName name="ddd">[13]ПРОГНОЗ_1!#REF!</definedName>
    <definedName name="đđđ">#N/A</definedName>
    <definedName name="DEC" localSheetId="9">#REF!</definedName>
    <definedName name="DEC" localSheetId="4">#REF!</definedName>
    <definedName name="DEC">#REF!</definedName>
    <definedName name="DELETE_HL_COLUMN_MARKER" localSheetId="9">#REF!</definedName>
    <definedName name="DELETE_HL_COLUMN_MARKER" localSheetId="4">#REF!</definedName>
    <definedName name="DELETE_HL_COLUMN_MARKER">#REF!</definedName>
    <definedName name="DELETE_LOSTS_HL_COLUMN_MARKER" localSheetId="9">#REF!</definedName>
    <definedName name="DELETE_LOSTS_HL_COLUMN_MARKER" localSheetId="4">#REF!</definedName>
    <definedName name="DELETE_LOSTS_HL_COLUMN_MARKER">#REF!</definedName>
    <definedName name="dip" localSheetId="9">[14]FST5!$G$149:$G$165,[0]!P1_dip,[0]!P2_dip,[0]!P3_dip,[0]!P4_dip</definedName>
    <definedName name="dip" localSheetId="4">[14]FST5!$G$149:$G$165,[0]!P1_dip,[0]!P2_dip,[0]!P3_dip,[0]!P4_dip</definedName>
    <definedName name="dip">[14]FST5!$G$149:$G$165,P1_dip,P2_dip,P3_dip,P4_dip</definedName>
    <definedName name="ďĺđâűé" localSheetId="9">#REF!</definedName>
    <definedName name="ďĺđâűé" localSheetId="4">#REF!</definedName>
    <definedName name="ďĺđâűé">#REF!</definedName>
    <definedName name="DOC" localSheetId="9">#REF!</definedName>
    <definedName name="DOC" localSheetId="4">#REF!</definedName>
    <definedName name="DOC">#REF!</definedName>
    <definedName name="DOLL">#REF!</definedName>
    <definedName name="Down_range" localSheetId="9">#REF!</definedName>
    <definedName name="Down_range" localSheetId="4">#REF!</definedName>
    <definedName name="Down_range">#REF!</definedName>
    <definedName name="dsfsdf" hidden="1">[15]свод!$E$70:$M$79,[15]свод!$E$81:$M$81,[15]свод!$E$83:$M$88,[15]свод!$E$90:$M$90,[15]свод!$E$92:$M$96,[15]свод!$E$98:$M$98,[15]свод!$E$101:$M$102</definedName>
    <definedName name="dsragh">#N/A</definedName>
    <definedName name="e" localSheetId="9">[6]Параметры!#REF!</definedName>
    <definedName name="e" localSheetId="4">[6]Параметры!#REF!</definedName>
    <definedName name="e">[6]Параметры!#REF!</definedName>
    <definedName name="EE_DISBALANCE" localSheetId="9">#REF!</definedName>
    <definedName name="EE_DISBALANCE" localSheetId="4">#REF!</definedName>
    <definedName name="EE_DISBALANCE">#REF!</definedName>
    <definedName name="EE_TOTAL_DISBALANCE" localSheetId="9">#REF!</definedName>
    <definedName name="EE_TOTAL_DISBALANCE" localSheetId="4">#REF!</definedName>
    <definedName name="EE_TOTAL_DISBALANCE">#REF!</definedName>
    <definedName name="ęĺ">#N/A</definedName>
    <definedName name="eso" localSheetId="9">[14]FST5!$G$149:$G$165,[0]!P1_eso</definedName>
    <definedName name="eso" localSheetId="4">[14]FST5!$G$149:$G$165,[0]!P1_eso</definedName>
    <definedName name="eso">[14]FST5!$G$149:$G$165,P1_eso</definedName>
    <definedName name="ESO_ET" localSheetId="9">#REF!</definedName>
    <definedName name="ESO_ET" localSheetId="4">#REF!</definedName>
    <definedName name="ESO_ET">#REF!</definedName>
    <definedName name="ESO_PROT">#N/A</definedName>
    <definedName name="ESOcom" localSheetId="9">#REF!</definedName>
    <definedName name="ESOcom" localSheetId="4">#REF!</definedName>
    <definedName name="ESOcom">#REF!</definedName>
    <definedName name="ew" localSheetId="9">#N/A</definedName>
    <definedName name="ew" localSheetId="4">#N/A</definedName>
    <definedName name="ew">#N/A</definedName>
    <definedName name="f" localSheetId="9">[6]Параметры!#REF!</definedName>
    <definedName name="f" localSheetId="4">[6]Параметры!#REF!</definedName>
    <definedName name="f">[6]Параметры!#REF!</definedName>
    <definedName name="F_ST_ET" localSheetId="9">#REF!</definedName>
    <definedName name="F_ST_ET" localSheetId="4">#REF!</definedName>
    <definedName name="F_ST_ET">#REF!</definedName>
    <definedName name="F10_FST_OPT" localSheetId="9">#REF!</definedName>
    <definedName name="F10_FST_OPT" localSheetId="4">#REF!</definedName>
    <definedName name="F10_FST_OPT">#REF!</definedName>
    <definedName name="F10_FST_OPT_1" localSheetId="9">#REF!</definedName>
    <definedName name="F10_FST_OPT_1" localSheetId="4">#REF!</definedName>
    <definedName name="F10_FST_OPT_1">#REF!</definedName>
    <definedName name="F10_FST_OPT_2" localSheetId="9">#REF!</definedName>
    <definedName name="F10_FST_OPT_2" localSheetId="4">#REF!</definedName>
    <definedName name="F10_FST_OPT_2">#REF!</definedName>
    <definedName name="F10_FST_OPT_3" localSheetId="9">#REF!</definedName>
    <definedName name="F10_FST_OPT_3" localSheetId="4">#REF!</definedName>
    <definedName name="F10_FST_OPT_3">#REF!</definedName>
    <definedName name="F10_FST_ROZN" localSheetId="9">#REF!</definedName>
    <definedName name="F10_FST_ROZN" localSheetId="4">#REF!</definedName>
    <definedName name="F10_FST_ROZN">#REF!</definedName>
    <definedName name="F10_FST_ROZN_1" localSheetId="9">#REF!</definedName>
    <definedName name="F10_FST_ROZN_1" localSheetId="4">#REF!</definedName>
    <definedName name="F10_FST_ROZN_1">#REF!</definedName>
    <definedName name="F10_FST_ROZN_2" localSheetId="9">#REF!</definedName>
    <definedName name="F10_FST_ROZN_2" localSheetId="4">#REF!</definedName>
    <definedName name="F10_FST_ROZN_2">#REF!</definedName>
    <definedName name="F10_MAX_OPT" localSheetId="9">#REF!</definedName>
    <definedName name="F10_MAX_OPT" localSheetId="4">#REF!</definedName>
    <definedName name="F10_MAX_OPT">#REF!</definedName>
    <definedName name="F10_MAX_OPT_1" localSheetId="9">#REF!</definedName>
    <definedName name="F10_MAX_OPT_1" localSheetId="4">#REF!</definedName>
    <definedName name="F10_MAX_OPT_1">#REF!</definedName>
    <definedName name="F10_MAX_OPT_2" localSheetId="9">#REF!</definedName>
    <definedName name="F10_MAX_OPT_2" localSheetId="4">#REF!</definedName>
    <definedName name="F10_MAX_OPT_2">#REF!</definedName>
    <definedName name="F10_MAX_OPT_3" localSheetId="9">#REF!</definedName>
    <definedName name="F10_MAX_OPT_3" localSheetId="4">#REF!</definedName>
    <definedName name="F10_MAX_OPT_3">#REF!</definedName>
    <definedName name="F10_MAX_ROZN" localSheetId="9">#REF!</definedName>
    <definedName name="F10_MAX_ROZN" localSheetId="4">#REF!</definedName>
    <definedName name="F10_MAX_ROZN">#REF!</definedName>
    <definedName name="F10_MAX_ROZN_1" localSheetId="9">#REF!</definedName>
    <definedName name="F10_MAX_ROZN_1" localSheetId="4">#REF!</definedName>
    <definedName name="F10_MAX_ROZN_1">#REF!</definedName>
    <definedName name="F10_MAX_ROZN_2" localSheetId="9">#REF!</definedName>
    <definedName name="F10_MAX_ROZN_2" localSheetId="4">#REF!</definedName>
    <definedName name="F10_MAX_ROZN_2">#REF!</definedName>
    <definedName name="F10_MIN_OPT" localSheetId="9">#REF!</definedName>
    <definedName name="F10_MIN_OPT" localSheetId="4">#REF!</definedName>
    <definedName name="F10_MIN_OPT">#REF!</definedName>
    <definedName name="F10_MIN_OPT_1" localSheetId="9">#REF!</definedName>
    <definedName name="F10_MIN_OPT_1" localSheetId="4">#REF!</definedName>
    <definedName name="F10_MIN_OPT_1">#REF!</definedName>
    <definedName name="F10_MIN_OPT_2" localSheetId="9">#REF!</definedName>
    <definedName name="F10_MIN_OPT_2" localSheetId="4">#REF!</definedName>
    <definedName name="F10_MIN_OPT_2">#REF!</definedName>
    <definedName name="F10_MIN_OPT_3" localSheetId="9">#REF!</definedName>
    <definedName name="F10_MIN_OPT_3" localSheetId="4">#REF!</definedName>
    <definedName name="F10_MIN_OPT_3">#REF!</definedName>
    <definedName name="F10_MIN_ROZN" localSheetId="9">#REF!</definedName>
    <definedName name="F10_MIN_ROZN" localSheetId="4">#REF!</definedName>
    <definedName name="F10_MIN_ROZN">#REF!</definedName>
    <definedName name="F10_MIN_ROZN_1" localSheetId="9">#REF!</definedName>
    <definedName name="F10_MIN_ROZN_1" localSheetId="4">#REF!</definedName>
    <definedName name="F10_MIN_ROZN_1">#REF!</definedName>
    <definedName name="F10_MIN_ROZN_2" localSheetId="9">#REF!</definedName>
    <definedName name="F10_MIN_ROZN_2" localSheetId="4">#REF!</definedName>
    <definedName name="F10_MIN_ROZN_2">#REF!</definedName>
    <definedName name="F10_SCOPE" localSheetId="9">#REF!</definedName>
    <definedName name="F10_SCOPE" localSheetId="4">#REF!</definedName>
    <definedName name="F10_SCOPE">#REF!</definedName>
    <definedName name="F9_OPT" localSheetId="9">#REF!</definedName>
    <definedName name="F9_OPT" localSheetId="4">#REF!</definedName>
    <definedName name="F9_OPT">#REF!</definedName>
    <definedName name="F9_OPT_1" localSheetId="9">#REF!</definedName>
    <definedName name="F9_OPT_1" localSheetId="4">#REF!</definedName>
    <definedName name="F9_OPT_1">#REF!</definedName>
    <definedName name="F9_OPT_2" localSheetId="9">#REF!</definedName>
    <definedName name="F9_OPT_2" localSheetId="4">#REF!</definedName>
    <definedName name="F9_OPT_2">#REF!</definedName>
    <definedName name="F9_OPT_3" localSheetId="9">#REF!</definedName>
    <definedName name="F9_OPT_3" localSheetId="4">#REF!</definedName>
    <definedName name="F9_OPT_3">#REF!</definedName>
    <definedName name="F9_ROZN" localSheetId="9">#REF!</definedName>
    <definedName name="F9_ROZN" localSheetId="4">#REF!</definedName>
    <definedName name="F9_ROZN">#REF!</definedName>
    <definedName name="F9_ROZN_1" localSheetId="9">#REF!</definedName>
    <definedName name="F9_ROZN_1" localSheetId="4">#REF!</definedName>
    <definedName name="F9_ROZN_1">#REF!</definedName>
    <definedName name="F9_ROZN_2" localSheetId="9">#REF!</definedName>
    <definedName name="F9_ROZN_2" localSheetId="4">#REF!</definedName>
    <definedName name="F9_ROZN_2">#REF!</definedName>
    <definedName name="F9_SC_1" localSheetId="9">[12]Топливо2009!#REF!</definedName>
    <definedName name="F9_SC_1" localSheetId="4">[12]Топливо2009!#REF!</definedName>
    <definedName name="F9_SC_1">[12]Топливо2009!#REF!</definedName>
    <definedName name="F9_SC_2" localSheetId="9">[12]Топливо2009!#REF!</definedName>
    <definedName name="F9_SC_2" localSheetId="4">[12]Топливо2009!#REF!</definedName>
    <definedName name="F9_SC_2">[12]Топливо2009!#REF!</definedName>
    <definedName name="F9_SC_3" localSheetId="9">[12]Топливо2009!#REF!</definedName>
    <definedName name="F9_SC_3" localSheetId="4">[12]Топливо2009!#REF!</definedName>
    <definedName name="F9_SC_3">[12]Топливо2009!#REF!</definedName>
    <definedName name="F9_SC_4" localSheetId="9">[12]Топливо2009!#REF!</definedName>
    <definedName name="F9_SC_4" localSheetId="4">[12]Топливо2009!#REF!</definedName>
    <definedName name="F9_SC_4">[12]Топливо2009!#REF!</definedName>
    <definedName name="F9_SC_5" localSheetId="9">[12]Топливо2009!#REF!</definedName>
    <definedName name="F9_SC_5" localSheetId="4">[12]Топливо2009!#REF!</definedName>
    <definedName name="F9_SC_5">[12]Топливо2009!#REF!</definedName>
    <definedName name="F9_SC_6" localSheetId="9">[12]Топливо2009!#REF!</definedName>
    <definedName name="F9_SC_6" localSheetId="4">[12]Топливо2009!#REF!</definedName>
    <definedName name="F9_SC_6">[12]Топливо2009!#REF!</definedName>
    <definedName name="F9_SCOPE" localSheetId="9">#REF!</definedName>
    <definedName name="F9_SCOPE" localSheetId="4">#REF!</definedName>
    <definedName name="F9_SCOPE">#REF!</definedName>
    <definedName name="fbgffnjfgg">#N/A</definedName>
    <definedName name="FEB" localSheetId="9">#REF!</definedName>
    <definedName name="FEB" localSheetId="4">#REF!</definedName>
    <definedName name="FEB">#REF!</definedName>
    <definedName name="ff" localSheetId="9">#REF!</definedName>
    <definedName name="ff">#REF!</definedName>
    <definedName name="fff" localSheetId="9">#REF!</definedName>
    <definedName name="fff" localSheetId="4">#REF!</definedName>
    <definedName name="fff">#REF!</definedName>
    <definedName name="fffff">'[16]Гр5(о)'!#REF!</definedName>
    <definedName name="fg" localSheetId="9">#N/A</definedName>
    <definedName name="fg" localSheetId="4">#N/A</definedName>
    <definedName name="fg">#N/A</definedName>
    <definedName name="ForIns" localSheetId="9">[17]Регионы!#REF!</definedName>
    <definedName name="ForIns" localSheetId="4">[17]Регионы!#REF!</definedName>
    <definedName name="ForIns">[17]Регионы!#REF!</definedName>
    <definedName name="FUEL" localSheetId="9">#REF!</definedName>
    <definedName name="FUEL" localSheetId="4">#REF!</definedName>
    <definedName name="FUEL">#REF!</definedName>
    <definedName name="FUEL_ET" localSheetId="9">#REF!</definedName>
    <definedName name="FUEL_ET" localSheetId="4">#REF!</definedName>
    <definedName name="FUEL_ET">#REF!</definedName>
    <definedName name="FUELLIST" localSheetId="9">#REF!</definedName>
    <definedName name="FUELLIST" localSheetId="4">#REF!</definedName>
    <definedName name="FUELLIST">#REF!</definedName>
    <definedName name="g" localSheetId="9">[6]Параметры!#REF!</definedName>
    <definedName name="g" localSheetId="4">[6]Параметры!#REF!</definedName>
    <definedName name="g">[6]Параметры!#REF!</definedName>
    <definedName name="GES" localSheetId="9">#REF!</definedName>
    <definedName name="GES" localSheetId="4">#REF!</definedName>
    <definedName name="GES">#REF!</definedName>
    <definedName name="GES_DATA" localSheetId="9">#REF!</definedName>
    <definedName name="GES_DATA" localSheetId="4">#REF!</definedName>
    <definedName name="GES_DATA">#REF!</definedName>
    <definedName name="GES_LIST" localSheetId="9">#REF!</definedName>
    <definedName name="GES_LIST" localSheetId="4">#REF!</definedName>
    <definedName name="GES_LIST">#REF!</definedName>
    <definedName name="GES3_DATA" localSheetId="9">#REF!</definedName>
    <definedName name="GES3_DATA" localSheetId="4">#REF!</definedName>
    <definedName name="GES3_DATA">#REF!</definedName>
    <definedName name="gfg">#N/A</definedName>
    <definedName name="gggg" localSheetId="9">#REF!</definedName>
    <definedName name="gggg">#REF!</definedName>
    <definedName name="gh">#N/A</definedName>
    <definedName name="ghfgh" localSheetId="9">[0]!P1_T28_Protection,[0]!P2_T28_Protection,[0]!P3_T28_Protection,[0]!P4_T28_Protection,[0]!P5_T28_Protection,[0]!P6_T28_Protection,[0]!P7_T28_Protection,[0]!P8_T28_Protection</definedName>
    <definedName name="ghfgh" localSheetId="4">[0]!P1_T28_Protection,[0]!P2_T28_Protection,[0]!P3_T28_Protection,[0]!P4_T28_Protection,[0]!P5_T28_Protection,[0]!P6_T28_Protection,[0]!P7_T28_Protection,[0]!P8_T28_Protection</definedName>
    <definedName name="ghfgh">P1_T28_Protection,P2_T28_Protection,P3_T28_Protection,P4_T28_Protection,P5_T28_Protection,P6_T28_Protection,P7_T28_Protection,P8_T28_Protection</definedName>
    <definedName name="ghhktyi">#N/A</definedName>
    <definedName name="god">[18]Титульный!$F$8</definedName>
    <definedName name="GRES" localSheetId="9">#REF!</definedName>
    <definedName name="GRES" localSheetId="4">#REF!</definedName>
    <definedName name="GRES">#REF!</definedName>
    <definedName name="GRES_DATA" localSheetId="9">#REF!</definedName>
    <definedName name="GRES_DATA" localSheetId="4">#REF!</definedName>
    <definedName name="GRES_DATA">#REF!</definedName>
    <definedName name="GRES_LIST" localSheetId="9">#REF!</definedName>
    <definedName name="GRES_LIST" localSheetId="4">#REF!</definedName>
    <definedName name="GRES_LIST">#REF!</definedName>
    <definedName name="grety5e">#N/A</definedName>
    <definedName name="gtty">#N/A</definedName>
    <definedName name="h">#N/A</definedName>
    <definedName name="Helper_Котельные">[19]Справочники!$A$9:$A$12</definedName>
    <definedName name="Helper_ТЭС">[19]Справочники!$A$2:$A$5</definedName>
    <definedName name="Helper_ТЭС_Котельные">[20]Справочники!$A$2:$A$4,[20]Справочники!$A$16:$A$18</definedName>
    <definedName name="Helper_ФОРЭМ">[19]Справочники!$A$30:$A$35</definedName>
    <definedName name="hfte">#N/A</definedName>
    <definedName name="hhh">#N/A</definedName>
    <definedName name="hhy">#N/A</definedName>
    <definedName name="îî">#N/A</definedName>
    <definedName name="INN" localSheetId="9">#REF!</definedName>
    <definedName name="INN" localSheetId="4">#REF!</definedName>
    <definedName name="INN">#REF!</definedName>
    <definedName name="j">#N/A</definedName>
    <definedName name="JAN" localSheetId="9">#REF!</definedName>
    <definedName name="JAN" localSheetId="4">#REF!</definedName>
    <definedName name="JAN">#REF!</definedName>
    <definedName name="jjjj" localSheetId="9">'[21]Гр5(о)'!#REF!</definedName>
    <definedName name="jjjj">'[21]Гр5(о)'!#REF!</definedName>
    <definedName name="JUL" localSheetId="9">#REF!</definedName>
    <definedName name="JUL" localSheetId="4">#REF!</definedName>
    <definedName name="JUL">#REF!</definedName>
    <definedName name="JUN" localSheetId="9">#REF!</definedName>
    <definedName name="JUN" localSheetId="4">#REF!</definedName>
    <definedName name="JUN">#REF!</definedName>
    <definedName name="k" localSheetId="9">#N/A</definedName>
    <definedName name="k" localSheetId="4">#N/A</definedName>
    <definedName name="k">#N/A</definedName>
    <definedName name="knkn.n.">#N/A</definedName>
    <definedName name="kpp">[22]Титульный!$F$16</definedName>
    <definedName name="kvartal">[18]Титульный!$G$8</definedName>
    <definedName name="l" localSheetId="9">#N/A</definedName>
    <definedName name="l" localSheetId="4">#N/A</definedName>
    <definedName name="l">#N/A</definedName>
    <definedName name="M7.3">#N/A</definedName>
    <definedName name="MAR" localSheetId="9">#REF!</definedName>
    <definedName name="MAR" localSheetId="4">#REF!</definedName>
    <definedName name="MAR">#REF!</definedName>
    <definedName name="MAY" localSheetId="9">#REF!</definedName>
    <definedName name="MAY" localSheetId="4">#REF!</definedName>
    <definedName name="MAY">#REF!</definedName>
    <definedName name="MmExcelLinker_6E24F10A_D93B_4197_A91F_1E8C46B84DD5" localSheetId="9">РТ передача [23]ээ!$I$76:$I$76</definedName>
    <definedName name="MmExcelLinker_6E24F10A_D93B_4197_A91F_1E8C46B84DD5" localSheetId="4">РТ передача [23]ээ!$I$76:$I$76</definedName>
    <definedName name="MmExcelLinker_6E24F10A_D93B_4197_A91F_1E8C46B84DD5">РТ передача [23]ээ!$I$76:$I$76</definedName>
    <definedName name="MO" localSheetId="9">#REF!</definedName>
    <definedName name="MO" localSheetId="4">#REF!</definedName>
    <definedName name="MO">#REF!</definedName>
    <definedName name="MONTH" localSheetId="9">#REF!</definedName>
    <definedName name="MONTH" localSheetId="4">#REF!</definedName>
    <definedName name="MONTH">#REF!</definedName>
    <definedName name="MR_LIST">[22]REESTR_MO!$D$2:$D$45</definedName>
    <definedName name="ňđĺňčé" localSheetId="9">#REF!</definedName>
    <definedName name="ňđĺňčé" localSheetId="4">#REF!</definedName>
    <definedName name="ňđĺňčé">#REF!</definedName>
    <definedName name="net" localSheetId="9">[14]FST5!$G$100:$G$116,[0]!P1_net</definedName>
    <definedName name="net" localSheetId="4">[14]FST5!$G$100:$G$116,[0]!P1_net</definedName>
    <definedName name="net">[14]FST5!$G$100:$G$116,P1_net</definedName>
    <definedName name="nfyz">#N/A</definedName>
    <definedName name="NOM" localSheetId="9">#REF!</definedName>
    <definedName name="NOM" localSheetId="4">#REF!</definedName>
    <definedName name="NOM">#REF!</definedName>
    <definedName name="NOV" localSheetId="9">#REF!</definedName>
    <definedName name="NOV" localSheetId="4">#REF!</definedName>
    <definedName name="NOV">#REF!</definedName>
    <definedName name="NSRF" localSheetId="9">#REF!</definedName>
    <definedName name="NSRF" localSheetId="4">#REF!</definedName>
    <definedName name="NSRF">#REF!</definedName>
    <definedName name="Num" localSheetId="9">#REF!</definedName>
    <definedName name="Num" localSheetId="4">#REF!</definedName>
    <definedName name="Num">#REF!</definedName>
    <definedName name="NUM_COLUMN_MARKER" localSheetId="9">#REF!</definedName>
    <definedName name="NUM_COLUMN_MARKER" localSheetId="4">#REF!</definedName>
    <definedName name="NUM_COLUMN_MARKER">#REF!</definedName>
    <definedName name="o">#N/A</definedName>
    <definedName name="OCT" localSheetId="9">#REF!</definedName>
    <definedName name="OCT" localSheetId="4">#REF!</definedName>
    <definedName name="OCT">#REF!</definedName>
    <definedName name="OKTMO" localSheetId="9">#REF!</definedName>
    <definedName name="OKTMO" localSheetId="4">#REF!</definedName>
    <definedName name="OKTMO">#REF!</definedName>
    <definedName name="öó">#N/A</definedName>
    <definedName name="opa" hidden="1">'[15]17'!$E$13:$H$21,'[15]17'!$J$9:$J$11,'[15]17'!$J$13:$J$21,'[15]17'!$E$24:$H$26,'[15]17'!$E$28:$H$36,'[15]17'!$J$24:$M$26,'[15]17'!$J$28:$M$36,'[15]17'!$E$39:$H$41</definedName>
    <definedName name="ORE" localSheetId="9">#REF!</definedName>
    <definedName name="ORE" localSheetId="4">#REF!</definedName>
    <definedName name="ORE">#REF!</definedName>
    <definedName name="ORG" localSheetId="9">[17]Справочники!#REF!</definedName>
    <definedName name="ORG" localSheetId="4">[17]Справочники!#REF!</definedName>
    <definedName name="ORG">[17]Справочники!#REF!</definedName>
    <definedName name="Org_list" localSheetId="9">#REF!</definedName>
    <definedName name="Org_list" localSheetId="4">#REF!</definedName>
    <definedName name="Org_list">#REF!</definedName>
    <definedName name="OTH_DATA" localSheetId="9">#REF!</definedName>
    <definedName name="OTH_DATA" localSheetId="4">#REF!</definedName>
    <definedName name="OTH_DATA">#REF!</definedName>
    <definedName name="OTH_LIST" localSheetId="9">#REF!</definedName>
    <definedName name="OTH_LIST" localSheetId="4">#REF!</definedName>
    <definedName name="OTH_LIST">#REF!</definedName>
    <definedName name="p" localSheetId="9">'[24]Вводные данные систем'!#REF!</definedName>
    <definedName name="p" localSheetId="4">'[24]Вводные данные систем'!#REF!</definedName>
    <definedName name="p">'[24]Вводные данные систем'!#REF!</definedName>
    <definedName name="P1_dip" hidden="1">[14]FST5!$G$167:$G$172,[14]FST5!$G$174:$G$175,[14]FST5!$G$177:$G$180,[14]FST5!$G$182,[14]FST5!$G$184:$G$188,[14]FST5!$G$190,[14]FST5!$G$192:$G$194</definedName>
    <definedName name="P1_eso" hidden="1">[14]FST5!$G$167:$G$172,[14]FST5!$G$174:$G$175,[14]FST5!$G$177:$G$180,[14]FST5!$G$182,[14]FST5!$G$184:$G$188,[14]FST5!$G$190,[14]FST5!$G$192:$G$194</definedName>
    <definedName name="P1_ESO_PROT" localSheetId="9" hidden="1">#REF!,#REF!,#REF!,#REF!,#REF!,#REF!,#REF!,#REF!</definedName>
    <definedName name="P1_ESO_PROT" localSheetId="4" hidden="1">#REF!,#REF!,#REF!,#REF!,#REF!,#REF!,#REF!,#REF!</definedName>
    <definedName name="P1_ESO_PROT" localSheetId="8" hidden="1">#REF!,#REF!,#REF!,#REF!,#REF!,#REF!,#REF!,#REF!</definedName>
    <definedName name="P1_ESO_PROT" hidden="1">#REF!,#REF!,#REF!,#REF!,#REF!,#REF!,#REF!,#REF!</definedName>
    <definedName name="P1_net" hidden="1">[14]FST5!$G$118:$G$123,[14]FST5!$G$125:$G$126,[14]FST5!$G$128:$G$131,[14]FST5!$G$133,[14]FST5!$G$135:$G$139,[14]FST5!$G$141,[14]FST5!$G$143:$G$145</definedName>
    <definedName name="P1_SBT_PROT" localSheetId="9" hidden="1">#REF!,#REF!,#REF!,#REF!,#REF!,#REF!,#REF!</definedName>
    <definedName name="P1_SBT_PROT" localSheetId="4" hidden="1">#REF!,#REF!,#REF!,#REF!,#REF!,#REF!,#REF!</definedName>
    <definedName name="P1_SBT_PROT" localSheetId="8" hidden="1">#REF!,#REF!,#REF!,#REF!,#REF!,#REF!,#REF!</definedName>
    <definedName name="P1_SBT_PROT" hidden="1">#REF!,#REF!,#REF!,#REF!,#REF!,#REF!,#REF!</definedName>
    <definedName name="P1_SC22" localSheetId="9" hidden="1">#REF!,#REF!,#REF!,#REF!,#REF!,#REF!</definedName>
    <definedName name="P1_SC22" localSheetId="4" hidden="1">#REF!,#REF!,#REF!,#REF!,#REF!,#REF!</definedName>
    <definedName name="P1_SC22" localSheetId="8" hidden="1">#REF!,#REF!,#REF!,#REF!,#REF!,#REF!</definedName>
    <definedName name="P1_SC22" hidden="1">#REF!,#REF!,#REF!,#REF!,#REF!,#REF!</definedName>
    <definedName name="P1_SCOPE_16_PRT" hidden="1">'[15]16'!$E$15:$I$16,'[15]16'!$E$18:$I$20,'[15]16'!$E$23:$I$23,'[15]16'!$E$26:$I$26,'[15]16'!$E$29:$I$29,'[15]16'!$E$32:$I$32,'[15]16'!$E$35:$I$35,'[15]16'!$B$34,'[15]16'!$B$37</definedName>
    <definedName name="P1_SCOPE_17_PRT" hidden="1">'[15]17'!$E$13:$H$21,'[15]17'!$J$9:$J$11,'[15]17'!$J$13:$J$21,'[15]17'!$E$24:$H$26,'[15]17'!$E$28:$H$36,'[15]17'!$J$24:$M$26,'[15]17'!$J$28:$M$36,'[15]17'!$E$39:$H$41</definedName>
    <definedName name="P1_SCOPE_4_PRT" hidden="1">'[15]4'!$F$23:$I$23,'[15]4'!$F$25:$I$25,'[15]4'!$F$27:$I$31,'[15]4'!$K$14:$N$20,'[15]4'!$K$23:$N$23,'[15]4'!$K$25:$N$25,'[15]4'!$K$27:$N$31,'[15]4'!$P$14:$S$20,'[15]4'!$P$23:$S$23</definedName>
    <definedName name="P1_SCOPE_5_PRT" hidden="1">'[15]5'!$F$23:$I$23,'[15]5'!$F$25:$I$25,'[15]5'!$F$27:$I$31,'[15]5'!$K$14:$N$21,'[15]5'!$K$23:$N$23,'[15]5'!$K$25:$N$25,'[15]5'!$K$27:$N$31,'[15]5'!$P$14:$S$21,'[15]5'!$P$23:$S$23</definedName>
    <definedName name="P1_SCOPE_CORR" localSheetId="9" hidden="1">#REF!,#REF!,#REF!,#REF!,#REF!,#REF!,#REF!</definedName>
    <definedName name="P1_SCOPE_CORR" localSheetId="4" hidden="1">#REF!,#REF!,#REF!,#REF!,#REF!,#REF!,#REF!</definedName>
    <definedName name="P1_SCOPE_CORR" localSheetId="8" hidden="1">#REF!,#REF!,#REF!,#REF!,#REF!,#REF!,#REF!</definedName>
    <definedName name="P1_SCOPE_CORR" hidden="1">#REF!,#REF!,#REF!,#REF!,#REF!,#REF!,#REF!</definedName>
    <definedName name="P1_SCOPE_DOP" localSheetId="9" hidden="1">[8]Регионы!#REF!,[8]Регионы!#REF!,[8]Регионы!#REF!,[8]Регионы!#REF!,[8]Регионы!#REF!,[8]Регионы!#REF!</definedName>
    <definedName name="P1_SCOPE_DOP" localSheetId="4" hidden="1">[8]Регионы!#REF!,[8]Регионы!#REF!,[8]Регионы!#REF!,[8]Регионы!#REF!,[8]Регионы!#REF!,[8]Регионы!#REF!</definedName>
    <definedName name="P1_SCOPE_DOP" localSheetId="8" hidden="1">[8]Регионы!#REF!,[8]Регионы!#REF!,[8]Регионы!#REF!,[8]Регионы!#REF!,[8]Регионы!#REF!,[8]Регионы!#REF!</definedName>
    <definedName name="P1_SCOPE_DOP" hidden="1">[8]Регионы!#REF!,[8]Регионы!#REF!,[8]Регионы!#REF!,[8]Регионы!#REF!,[8]Регионы!#REF!,[8]Регионы!#REF!</definedName>
    <definedName name="P1_SCOPE_F1_PRT" localSheetId="9" hidden="1">#REF!,#REF!,#REF!,#REF!</definedName>
    <definedName name="P1_SCOPE_F1_PRT" localSheetId="4" hidden="1">#REF!,#REF!,#REF!,#REF!</definedName>
    <definedName name="P1_SCOPE_F1_PRT" localSheetId="8" hidden="1">#REF!,#REF!,#REF!,#REF!</definedName>
    <definedName name="P1_SCOPE_F1_PRT" hidden="1">#REF!,#REF!,#REF!,#REF!</definedName>
    <definedName name="P1_SCOPE_F2_PRT" localSheetId="9" hidden="1">#REF!,#REF!,#REF!,#REF!</definedName>
    <definedName name="P1_SCOPE_F2_PRT" localSheetId="4" hidden="1">#REF!,#REF!,#REF!,#REF!</definedName>
    <definedName name="P1_SCOPE_F2_PRT" hidden="1">#REF!,#REF!,#REF!,#REF!</definedName>
    <definedName name="P1_SCOPE_FLOAD" localSheetId="9" hidden="1">#REF!,#REF!,#REF!,#REF!,#REF!,#REF!</definedName>
    <definedName name="P1_SCOPE_FLOAD" localSheetId="4" hidden="1">#REF!,#REF!,#REF!,#REF!,#REF!,#REF!</definedName>
    <definedName name="P1_SCOPE_FLOAD" localSheetId="8" hidden="1">#REF!,#REF!,#REF!,#REF!,#REF!,#REF!</definedName>
    <definedName name="P1_SCOPE_FLOAD" hidden="1">#REF!,#REF!,#REF!,#REF!,#REF!,#REF!</definedName>
    <definedName name="P1_SCOPE_FRML" localSheetId="9" hidden="1">#REF!,#REF!,#REF!,#REF!,#REF!,#REF!</definedName>
    <definedName name="P1_SCOPE_FRML" localSheetId="4" hidden="1">#REF!,#REF!,#REF!,#REF!,#REF!,#REF!</definedName>
    <definedName name="P1_SCOPE_FRML" hidden="1">#REF!,#REF!,#REF!,#REF!,#REF!,#REF!</definedName>
    <definedName name="P1_SCOPE_FST7" localSheetId="9" hidden="1">#REF!,#REF!,#REF!,#REF!,#REF!,#REF!</definedName>
    <definedName name="P1_SCOPE_FST7" localSheetId="4" hidden="1">#REF!,#REF!,#REF!,#REF!,#REF!,#REF!</definedName>
    <definedName name="P1_SCOPE_FST7" hidden="1">#REF!,#REF!,#REF!,#REF!,#REF!,#REF!</definedName>
    <definedName name="P1_SCOPE_FULL_LOAD" localSheetId="9" hidden="1">#REF!,#REF!,#REF!,#REF!,#REF!,#REF!</definedName>
    <definedName name="P1_SCOPE_FULL_LOAD" localSheetId="4" hidden="1">#REF!,#REF!,#REF!,#REF!,#REF!,#REF!</definedName>
    <definedName name="P1_SCOPE_FULL_LOAD" hidden="1">#REF!,#REF!,#REF!,#REF!,#REF!,#REF!</definedName>
    <definedName name="P1_SCOPE_IND" localSheetId="9" hidden="1">#REF!,#REF!,#REF!,#REF!,#REF!,#REF!</definedName>
    <definedName name="P1_SCOPE_IND" localSheetId="4" hidden="1">#REF!,#REF!,#REF!,#REF!,#REF!,#REF!</definedName>
    <definedName name="P1_SCOPE_IND" hidden="1">#REF!,#REF!,#REF!,#REF!,#REF!,#REF!</definedName>
    <definedName name="P1_SCOPE_IND2" localSheetId="9" hidden="1">#REF!,#REF!,#REF!,#REF!,#REF!</definedName>
    <definedName name="P1_SCOPE_IND2" localSheetId="4" hidden="1">#REF!,#REF!,#REF!,#REF!,#REF!</definedName>
    <definedName name="P1_SCOPE_IND2" localSheetId="8" hidden="1">#REF!,#REF!,#REF!,#REF!,#REF!</definedName>
    <definedName name="P1_SCOPE_IND2" hidden="1">#REF!,#REF!,#REF!,#REF!,#REF!</definedName>
    <definedName name="P1_SCOPE_NOTIND" localSheetId="9" hidden="1">#REF!,#REF!,#REF!,#REF!,#REF!,#REF!</definedName>
    <definedName name="P1_SCOPE_NOTIND" localSheetId="4" hidden="1">#REF!,#REF!,#REF!,#REF!,#REF!,#REF!</definedName>
    <definedName name="P1_SCOPE_NOTIND" localSheetId="8" hidden="1">#REF!,#REF!,#REF!,#REF!,#REF!,#REF!</definedName>
    <definedName name="P1_SCOPE_NOTIND" hidden="1">#REF!,#REF!,#REF!,#REF!,#REF!,#REF!</definedName>
    <definedName name="P1_SCOPE_NotInd2" localSheetId="9" hidden="1">#REF!,#REF!,#REF!,#REF!,#REF!,#REF!,#REF!</definedName>
    <definedName name="P1_SCOPE_NotInd2" localSheetId="4" hidden="1">#REF!,#REF!,#REF!,#REF!,#REF!,#REF!,#REF!</definedName>
    <definedName name="P1_SCOPE_NotInd2" localSheetId="8" hidden="1">#REF!,#REF!,#REF!,#REF!,#REF!,#REF!,#REF!</definedName>
    <definedName name="P1_SCOPE_NotInd2" hidden="1">#REF!,#REF!,#REF!,#REF!,#REF!,#REF!,#REF!</definedName>
    <definedName name="P1_SCOPE_NotInd3" localSheetId="9" hidden="1">#REF!,#REF!,#REF!,#REF!,#REF!,#REF!,#REF!</definedName>
    <definedName name="P1_SCOPE_NotInd3" localSheetId="4" hidden="1">#REF!,#REF!,#REF!,#REF!,#REF!,#REF!,#REF!</definedName>
    <definedName name="P1_SCOPE_NotInd3" hidden="1">#REF!,#REF!,#REF!,#REF!,#REF!,#REF!,#REF!</definedName>
    <definedName name="P1_SCOPE_NotInt" localSheetId="9" hidden="1">#REF!,#REF!,#REF!,#REF!,#REF!,#REF!</definedName>
    <definedName name="P1_SCOPE_NotInt" localSheetId="4" hidden="1">#REF!,#REF!,#REF!,#REF!,#REF!,#REF!</definedName>
    <definedName name="P1_SCOPE_NotInt" localSheetId="8" hidden="1">#REF!,#REF!,#REF!,#REF!,#REF!,#REF!</definedName>
    <definedName name="P1_SCOPE_NotInt" hidden="1">#REF!,#REF!,#REF!,#REF!,#REF!,#REF!</definedName>
    <definedName name="P1_SCOPE_PER_PRT" hidden="1">[15]перекрестка!$H$15:$H$19,[15]перекрестка!$H$21:$H$25,[15]перекрестка!$J$14:$J$25,[15]перекрестка!$K$15:$K$19,[15]перекрестка!$K$21:$K$25</definedName>
    <definedName name="P1_SCOPE_SAVE2" localSheetId="9" hidden="1">#REF!,#REF!,#REF!,#REF!,#REF!,#REF!,#REF!</definedName>
    <definedName name="P1_SCOPE_SAVE2" localSheetId="4" hidden="1">#REF!,#REF!,#REF!,#REF!,#REF!,#REF!,#REF!</definedName>
    <definedName name="P1_SCOPE_SAVE2" localSheetId="8" hidden="1">#REF!,#REF!,#REF!,#REF!,#REF!,#REF!,#REF!</definedName>
    <definedName name="P1_SCOPE_SAVE2" hidden="1">#REF!,#REF!,#REF!,#REF!,#REF!,#REF!,#REF!</definedName>
    <definedName name="P1_SCOPE_SV_LD" localSheetId="9" hidden="1">#REF!,#REF!,#REF!,#REF!,#REF!,#REF!,#REF!</definedName>
    <definedName name="P1_SCOPE_SV_LD" localSheetId="4" hidden="1">#REF!,#REF!,#REF!,#REF!,#REF!,#REF!,#REF!</definedName>
    <definedName name="P1_SCOPE_SV_LD" hidden="1">#REF!,#REF!,#REF!,#REF!,#REF!,#REF!,#REF!</definedName>
    <definedName name="P1_SCOPE_SV_LD1" hidden="1">[15]свод!$E$70:$M$79,[15]свод!$E$81:$M$81,[15]свод!$E$83:$M$88,[15]свод!$E$90:$M$90,[15]свод!$E$92:$M$96,[15]свод!$E$98:$M$98,[15]свод!$E$101:$M$102</definedName>
    <definedName name="P1_SCOPE_SV_PRT" hidden="1">[15]свод!$E$23:$H$26,[15]свод!$E$28:$I$29,[15]свод!$E$32:$I$36,[15]свод!$E$38:$I$40,[15]свод!$E$42:$I$53,[15]свод!$E$55:$I$56,[15]свод!$E$58:$I$63</definedName>
    <definedName name="P1_SET_PROT" localSheetId="9" hidden="1">#REF!,#REF!,#REF!,#REF!,#REF!,#REF!,#REF!</definedName>
    <definedName name="P1_SET_PROT" localSheetId="4" hidden="1">#REF!,#REF!,#REF!,#REF!,#REF!,#REF!,#REF!</definedName>
    <definedName name="P1_SET_PROT" hidden="1">#REF!,#REF!,#REF!,#REF!,#REF!,#REF!,#REF!</definedName>
    <definedName name="P1_SET_PRT" localSheetId="9" hidden="1">#REF!,#REF!,#REF!,#REF!,#REF!,#REF!,#REF!</definedName>
    <definedName name="P1_SET_PRT" localSheetId="4" hidden="1">#REF!,#REF!,#REF!,#REF!,#REF!,#REF!,#REF!</definedName>
    <definedName name="P1_SET_PRT" hidden="1">#REF!,#REF!,#REF!,#REF!,#REF!,#REF!,#REF!</definedName>
    <definedName name="P1_T1_Protect" localSheetId="9" hidden="1">[25]перекрестка!$J$42:$K$46,[25]перекрестка!$J$49,[25]перекрестка!$J$50:$K$54,[25]перекрестка!$J$55,[25]перекрестка!$J$56:$K$60,[25]перекрестка!$J$62:$K$66</definedName>
    <definedName name="P1_T1_Protect" localSheetId="4" hidden="1">[25]перекрестка!$J$42:$K$46,[25]перекрестка!$J$49,[25]перекрестка!$J$50:$K$54,[25]перекрестка!$J$55,[25]перекрестка!$J$56:$K$60,[25]перекрестка!$J$62:$K$66</definedName>
    <definedName name="P1_T1_Protect" localSheetId="8" hidden="1">#REF!,#REF!,#REF!,#REF!,#REF!,#REF!</definedName>
    <definedName name="P1_T1_Protect" hidden="1">#REF!,#REF!,#REF!,#REF!,#REF!,#REF!</definedName>
    <definedName name="P1_T16?axis?R?ДОГОВОР" hidden="1">'[26]16'!$E$76:$M$76,'[26]16'!$E$8:$M$8,'[26]16'!$E$12:$M$12,'[26]16'!$E$52:$M$52,'[26]16'!$E$16:$M$16,'[26]16'!$E$64:$M$64,'[26]16'!$E$84:$M$85,'[26]16'!$E$48:$M$48,'[26]16'!$E$80:$M$80,'[26]16'!$E$72:$M$72,'[26]16'!$E$44:$M$44</definedName>
    <definedName name="P1_T16?axis?R?ДОГОВОР?" hidden="1">'[26]16'!$A$76,'[26]16'!$A$84:$A$85,'[26]16'!$A$72,'[26]16'!$A$80,'[26]16'!$A$68,'[26]16'!$A$64,'[26]16'!$A$60,'[26]16'!$A$56,'[26]16'!$A$52,'[26]16'!$A$48,'[26]16'!$A$44,'[26]16'!$A$40,'[26]16'!$A$36,'[26]16'!$A$32,'[26]16'!$A$28,'[26]16'!$A$24,'[26]16'!$A$20</definedName>
    <definedName name="P1_T16?L1" hidden="1">'[26]16'!$A$74:$M$74,'[26]16'!$A$14:$M$14,'[26]16'!$A$10:$M$10,'[26]16'!$A$50:$M$50,'[26]16'!$A$6:$M$6,'[26]16'!$A$62:$M$62,'[26]16'!$A$78:$M$78,'[26]16'!$A$46:$M$46,'[26]16'!$A$82:$M$82,'[26]16'!$A$70:$M$70,'[26]16'!$A$42:$M$42</definedName>
    <definedName name="P1_T16?L1.x" hidden="1">'[26]16'!$A$76:$M$76,'[26]16'!$A$16:$M$16,'[26]16'!$A$12:$M$12,'[26]16'!$A$52:$M$52,'[26]16'!$A$8:$M$8,'[26]16'!$A$64:$M$64,'[26]16'!$A$80:$M$80,'[26]16'!$A$48:$M$48,'[26]16'!$A$84:$M$85,'[26]16'!$A$72:$M$72,'[26]16'!$A$44:$M$44</definedName>
    <definedName name="P1_T16_Protect" localSheetId="9" hidden="1">'[25]16'!$G$10:$K$14,'[25]16'!$G$17:$K$17,'[25]16'!$G$20:$K$20,'[25]16'!$G$23:$K$23,'[25]16'!$G$26:$K$26,'[25]16'!$G$29:$K$29,'[25]16'!$G$33:$K$34,'[25]16'!$G$38:$K$40</definedName>
    <definedName name="P1_T16_Protect" localSheetId="4" hidden="1">'[25]16'!$G$10:$K$14,'[25]16'!$G$17:$K$17,'[25]16'!$G$20:$K$20,'[25]16'!$G$23:$K$23,'[25]16'!$G$26:$K$26,'[25]16'!$G$29:$K$29,'[25]16'!$G$33:$K$34,'[25]16'!$G$38:$K$40</definedName>
    <definedName name="P1_T16_Protect" localSheetId="8" hidden="1">#REF!,#REF!,#REF!,#REF!,#REF!,#REF!,#REF!,#REF!</definedName>
    <definedName name="P1_T16_Protect" hidden="1">#REF!,#REF!,#REF!,#REF!,#REF!,#REF!,#REF!,#REF!</definedName>
    <definedName name="P1_T17?L4">'[20]29'!$J$18:$J$25,'[20]29'!$G$18:$G$25,'[20]29'!$G$35:$G$42,'[20]29'!$J$35:$J$42,'[20]29'!$G$60,'[20]29'!$J$60,'[20]29'!$M$60,'[20]29'!$P$60,'[20]29'!$P$18:$P$25,'[20]29'!$G$9:$G$16</definedName>
    <definedName name="P1_T17?unit?РУБ.ГКАЛ">'[20]29'!$F$44:$F$51,'[20]29'!$I$44:$I$51,'[20]29'!$L$44:$L$51,'[20]29'!$F$18:$F$25,'[20]29'!$I$60,'[20]29'!$L$60,'[20]29'!$O$60,'[20]29'!$F$60,'[20]29'!$F$9:$F$16,'[20]29'!$I$9:$I$16</definedName>
    <definedName name="P1_T17?unit?ТГКАЛ">'[20]29'!$M$18:$M$25,'[20]29'!$J$18:$J$25,'[20]29'!$G$18:$G$25,'[20]29'!$G$35:$G$42,'[20]29'!$J$35:$J$42,'[20]29'!$G$60,'[20]29'!$J$60,'[20]29'!$M$60,'[20]29'!$P$60,'[20]29'!$G$9:$G$16</definedName>
    <definedName name="P1_T17_Protection">'[20]29'!$O$47:$P$51,'[20]29'!$L$47:$M$51,'[20]29'!$L$53:$M$53,'[20]29'!$L$55:$M$59,'[20]29'!$O$53:$P$53,'[20]29'!$O$55:$P$59,'[20]29'!$F$12:$G$16,'[20]29'!$F$10:$G$10</definedName>
    <definedName name="P1_T18.2_Protect" localSheetId="9" hidden="1">'[25]18.2'!$F$12:$J$19,'[25]18.2'!$F$22:$J$25,'[25]18.2'!$B$28:$J$30,'[25]18.2'!$F$32:$J$32,'[25]18.2'!$B$34:$J$38,'[25]18.2'!$F$42:$J$47,'[25]18.2'!$F$54:$J$54</definedName>
    <definedName name="P1_T18.2_Protect" localSheetId="4" hidden="1">'[25]18.2'!$F$12:$J$19,'[25]18.2'!$F$22:$J$25,'[25]18.2'!$B$28:$J$30,'[25]18.2'!$F$32:$J$32,'[25]18.2'!$B$34:$J$38,'[25]18.2'!$F$42:$J$47,'[25]18.2'!$F$54:$J$54</definedName>
    <definedName name="P1_T18.2_Protect" localSheetId="8" hidden="1">#REF!,#REF!,#REF!,#REF!,#REF!,#REF!,#REF!</definedName>
    <definedName name="P1_T18.2_Protect" hidden="1">#REF!,#REF!,#REF!,#REF!,#REF!,#REF!,#REF!</definedName>
    <definedName name="P1_T20_Protection" hidden="1">'[20]20'!$E$4:$H$4,'[20]20'!$E$13:$H$13,'[20]20'!$E$16:$H$17,'[20]20'!$E$19:$H$19,'[20]20'!$J$4:$M$4,'[20]20'!$J$8:$M$11,'[20]20'!$J$13:$M$13,'[20]20'!$J$16:$M$17,'[20]20'!$J$19:$M$19</definedName>
    <definedName name="P1_T21_Protection">'[20]21'!$O$31:$S$33,'[20]21'!$E$11,'[20]21'!$G$11:$K$11,'[20]21'!$M$11,'[20]21'!$O$11:$S$11,'[20]21'!$E$14:$E$16,'[20]21'!$G$14:$K$16,'[20]21'!$M$14:$M$16,'[20]21'!$O$14:$S$16</definedName>
    <definedName name="P1_T23_Protection">'[20]23'!$F$9:$J$25,'[20]23'!$O$9:$P$25,'[20]23'!$A$32:$A$34,'[20]23'!$F$32:$J$34,'[20]23'!$O$32:$P$34,'[20]23'!$A$37:$A$53,'[20]23'!$F$37:$J$53,'[20]23'!$O$37:$P$53</definedName>
    <definedName name="P1_T25_protection">'[20]25'!$G$8:$J$21,'[20]25'!$G$24:$J$28,'[20]25'!$G$30:$J$33,'[20]25'!$G$35:$J$37,'[20]25'!$G$41:$J$42,'[20]25'!$L$8:$O$21,'[20]25'!$L$24:$O$28,'[20]25'!$L$30:$O$33</definedName>
    <definedName name="P1_T26_Protection">'[20]26'!$B$34:$B$36,'[20]26'!$F$8:$I$8,'[20]26'!$F$10:$I$11,'[20]26'!$F$13:$I$15,'[20]26'!$F$18:$I$19,'[20]26'!$F$22:$I$24,'[20]26'!$F$26:$I$26,'[20]26'!$F$29:$I$32</definedName>
    <definedName name="P1_T27_Protection">'[20]27'!$B$34:$B$36,'[20]27'!$F$8:$I$8,'[20]27'!$F$10:$I$11,'[20]27'!$F$13:$I$15,'[20]27'!$F$18:$I$19,'[20]27'!$F$22:$I$24,'[20]27'!$F$26:$I$26,'[20]27'!$F$29:$I$32</definedName>
    <definedName name="P1_T28?axis?R?ПЭ">'[20]28'!$D$16:$I$18,'[20]28'!$D$22:$I$24,'[20]28'!$D$28:$I$30,'[20]28'!$D$37:$I$39,'[20]28'!$D$42:$I$44,'[20]28'!$D$48:$I$50,'[20]28'!$D$54:$I$56,'[20]28'!$D$63:$I$65</definedName>
    <definedName name="P1_T28?axis?R?ПЭ?">'[20]28'!$B$16:$B$18,'[20]28'!$B$22:$B$24,'[20]28'!$B$28:$B$30,'[20]28'!$B$37:$B$39,'[20]28'!$B$42:$B$44,'[20]28'!$B$48:$B$50,'[20]28'!$B$54:$B$56,'[20]28'!$B$63:$B$65</definedName>
    <definedName name="P1_T28?Data">'[20]28'!$G$242:$H$265,'[20]28'!$D$242:$E$265,'[20]28'!$G$216:$H$239,'[20]28'!$D$268:$E$292,'[20]28'!$G$268:$H$292,'[20]28'!$D$216:$E$239,'[20]28'!$G$190:$H$213</definedName>
    <definedName name="P1_T28_Protection">'[20]28'!$B$74:$B$76,'[20]28'!$B$80:$B$82,'[20]28'!$B$89:$B$91,'[20]28'!$B$94:$B$96,'[20]28'!$B$100:$B$102,'[20]28'!$B$106:$B$108,'[20]28'!$B$115:$B$117,'[20]28'!$B$120:$B$122</definedName>
    <definedName name="P1_T4_Protect" localSheetId="9" hidden="1">'[25]4'!$G$20:$J$20,'[25]4'!$G$22:$J$22,'[25]4'!$G$24:$J$28,'[25]4'!$L$11:$O$17,'[25]4'!$L$20:$O$20,'[25]4'!$L$22:$O$22,'[25]4'!$L$24:$O$28,'[25]4'!$Q$11:$T$17,'[25]4'!$Q$20:$T$20</definedName>
    <definedName name="P1_T4_Protect" localSheetId="4" hidden="1">'[25]4'!$G$20:$J$20,'[25]4'!$G$22:$J$22,'[25]4'!$G$24:$J$28,'[25]4'!$L$11:$O$17,'[25]4'!$L$20:$O$20,'[25]4'!$L$22:$O$22,'[25]4'!$L$24:$O$28,'[25]4'!$Q$11:$T$17,'[25]4'!$Q$20:$T$20</definedName>
    <definedName name="P1_T4_Protect" hidden="1">'[27]4'!$G$20:$J$20,'[27]4'!$G$22:$J$22,'[27]4'!$G$24:$J$28,'[27]4'!$L$11:$O$17,'[27]4'!$L$20:$O$20,'[27]4'!$L$22:$O$22,'[27]4'!$L$24:$O$28,'[27]4'!$Q$11:$T$17,'[27]4'!$Q$20:$T$20</definedName>
    <definedName name="P1_T6_Protect" localSheetId="9" hidden="1">'[25]6'!$D$46:$H$55,'[25]6'!$J$46:$N$55,'[25]6'!$D$57:$H$59,'[25]6'!$J$57:$N$59,'[25]6'!$B$10:$B$19,'[25]6'!$D$10:$H$19,'[25]6'!$J$10:$N$19,'[25]6'!$D$21:$H$23,'[25]6'!$J$21:$N$23</definedName>
    <definedName name="P1_T6_Protect" localSheetId="4" hidden="1">'[25]6'!$D$46:$H$55,'[25]6'!$J$46:$N$55,'[25]6'!$D$57:$H$59,'[25]6'!$J$57:$N$59,'[25]6'!$B$10:$B$19,'[25]6'!$D$10:$H$19,'[25]6'!$J$10:$N$19,'[25]6'!$D$21:$H$23,'[25]6'!$J$21:$N$23</definedName>
    <definedName name="P1_T6_Protect" localSheetId="8" hidden="1">#REF!,#REF!,#REF!,#REF!,#REF!,#REF!,#REF!,#REF!,#REF!</definedName>
    <definedName name="P1_T6_Protect" hidden="1">#REF!,#REF!,#REF!,#REF!,#REF!,#REF!,#REF!,#REF!,#REF!</definedName>
    <definedName name="P10_SCOPE_FULL_LOAD" localSheetId="9" hidden="1">#REF!,#REF!,#REF!,#REF!,#REF!,#REF!</definedName>
    <definedName name="P10_SCOPE_FULL_LOAD" localSheetId="4" hidden="1">#REF!,#REF!,#REF!,#REF!,#REF!,#REF!</definedName>
    <definedName name="P10_SCOPE_FULL_LOAD" localSheetId="8" hidden="1">#REF!,#REF!,#REF!,#REF!,#REF!,#REF!</definedName>
    <definedName name="P10_SCOPE_FULL_LOAD" hidden="1">#REF!,#REF!,#REF!,#REF!,#REF!,#REF!</definedName>
    <definedName name="P10_T1_Protect" localSheetId="9" hidden="1">[25]перекрестка!$F$42:$H$46,[25]перекрестка!$F$49:$G$49,[25]перекрестка!$F$50:$H$54,[25]перекрестка!$F$55:$G$55,[25]перекрестка!$F$56:$H$60</definedName>
    <definedName name="P10_T1_Protect" localSheetId="4" hidden="1">[25]перекрестка!$F$42:$H$46,[25]перекрестка!$F$49:$G$49,[25]перекрестка!$F$50:$H$54,[25]перекрестка!$F$55:$G$55,[25]перекрестка!$F$56:$H$60</definedName>
    <definedName name="P10_T1_Protect" localSheetId="8" hidden="1">#REF!,#REF!,#REF!,#REF!,#REF!</definedName>
    <definedName name="P10_T1_Protect" hidden="1">#REF!,#REF!,#REF!,#REF!,#REF!</definedName>
    <definedName name="P10_T28_Protection">'[20]28'!$G$167:$H$169,'[20]28'!$D$172:$E$174,'[20]28'!$G$172:$H$174,'[20]28'!$D$178:$E$180,'[20]28'!$G$178:$H$181,'[20]28'!$D$184:$E$186,'[20]28'!$G$184:$H$186</definedName>
    <definedName name="P11_SCOPE_FULL_LOAD" localSheetId="9" hidden="1">#REF!,#REF!,#REF!,#REF!,#REF!</definedName>
    <definedName name="P11_SCOPE_FULL_LOAD" localSheetId="4" hidden="1">#REF!,#REF!,#REF!,#REF!,#REF!</definedName>
    <definedName name="P11_SCOPE_FULL_LOAD" localSheetId="8" hidden="1">#REF!,#REF!,#REF!,#REF!,#REF!</definedName>
    <definedName name="P11_SCOPE_FULL_LOAD" hidden="1">#REF!,#REF!,#REF!,#REF!,#REF!</definedName>
    <definedName name="P11_T1_Protect" localSheetId="9" hidden="1">[25]перекрестка!$F$62:$H$66,[25]перекрестка!$F$68:$H$72,[25]перекрестка!$F$74:$H$78,[25]перекрестка!$F$80:$H$84,[25]перекрестка!$F$89:$G$89</definedName>
    <definedName name="P11_T1_Protect" localSheetId="4" hidden="1">[25]перекрестка!$F$62:$H$66,[25]перекрестка!$F$68:$H$72,[25]перекрестка!$F$74:$H$78,[25]перекрестка!$F$80:$H$84,[25]перекрестка!$F$89:$G$89</definedName>
    <definedName name="P11_T1_Protect" localSheetId="8" hidden="1">#REF!,#REF!,#REF!,#REF!,#REF!</definedName>
    <definedName name="P11_T1_Protect" hidden="1">#REF!,#REF!,#REF!,#REF!,#REF!</definedName>
    <definedName name="P11_T28_Protection">'[20]28'!$D$193:$E$195,'[20]28'!$G$193:$H$195,'[20]28'!$D$198:$E$200,'[20]28'!$G$198:$H$200,'[20]28'!$D$204:$E$206,'[20]28'!$G$204:$H$206,'[20]28'!$D$210:$E$212,'[20]28'!$B$68:$B$70</definedName>
    <definedName name="P12_SCOPE_FULL_LOAD" localSheetId="9" hidden="1">#REF!,#REF!,#REF!,#REF!,#REF!,#REF!</definedName>
    <definedName name="P12_SCOPE_FULL_LOAD" localSheetId="4" hidden="1">#REF!,#REF!,#REF!,#REF!,#REF!,#REF!</definedName>
    <definedName name="P12_SCOPE_FULL_LOAD" localSheetId="8" hidden="1">#REF!,#REF!,#REF!,#REF!,#REF!,#REF!</definedName>
    <definedName name="P12_SCOPE_FULL_LOAD" hidden="1">#REF!,#REF!,#REF!,#REF!,#REF!,#REF!</definedName>
    <definedName name="P12_T1_Protect" localSheetId="9" hidden="1">[25]перекрестка!$F$90:$H$94,[25]перекрестка!$F$95:$G$95,[25]перекрестка!$F$96:$H$100,[25]перекрестка!$F$102:$H$106,[25]перекрестка!$F$108:$H$112</definedName>
    <definedName name="P12_T1_Protect" localSheetId="4" hidden="1">[25]перекрестка!$F$90:$H$94,[25]перекрестка!$F$95:$G$95,[25]перекрестка!$F$96:$H$100,[25]перекрестка!$F$102:$H$106,[25]перекрестка!$F$108:$H$112</definedName>
    <definedName name="P12_T1_Protect" localSheetId="8" hidden="1">#REF!,#REF!,#REF!,#REF!,#REF!</definedName>
    <definedName name="P12_T1_Protect" hidden="1">#REF!,#REF!,#REF!,#REF!,#REF!</definedName>
    <definedName name="P12_T28_Protection" localSheetId="9">[0]!P1_T28_Protection,[0]!P2_T28_Protection,[0]!P3_T28_Protection,[0]!P4_T28_Protection,[0]!P5_T28_Protection,[0]!P6_T28_Protection,[0]!P7_T28_Protection,[0]!P8_T28_Protection</definedName>
    <definedName name="P12_T28_Protection" localSheetId="4">[0]!P1_T28_Protection,[0]!P2_T28_Protection,[0]!P3_T28_Protection,[0]!P4_T28_Protection,[0]!P5_T28_Protection,[0]!P6_T28_Protection,[0]!P7_T28_Protection,[0]!P8_T28_Protection</definedName>
    <definedName name="P12_T28_Protection">P1_T28_Protection,P2_T28_Protection,P3_T28_Protection,P4_T28_Protection,P5_T28_Protection,P6_T28_Protection,P7_T28_Protection,P8_T28_Protection</definedName>
    <definedName name="P13_SCOPE_FULL_LOAD" localSheetId="9" hidden="1">#REF!,#REF!,#REF!,#REF!,#REF!,#REF!</definedName>
    <definedName name="P13_SCOPE_FULL_LOAD" localSheetId="4" hidden="1">#REF!,#REF!,#REF!,#REF!,#REF!,#REF!</definedName>
    <definedName name="P13_SCOPE_FULL_LOAD" localSheetId="8" hidden="1">#REF!,#REF!,#REF!,#REF!,#REF!,#REF!</definedName>
    <definedName name="P13_SCOPE_FULL_LOAD" hidden="1">#REF!,#REF!,#REF!,#REF!,#REF!,#REF!</definedName>
    <definedName name="P13_T1_Protect" localSheetId="9" hidden="1">[25]перекрестка!$F$114:$H$118,[25]перекрестка!$F$120:$H$124,[25]перекрестка!$F$127:$G$127,[25]перекрестка!$F$128:$H$132,[25]перекрестка!$F$133:$G$133</definedName>
    <definedName name="P13_T1_Protect" localSheetId="4" hidden="1">[25]перекрестка!$F$114:$H$118,[25]перекрестка!$F$120:$H$124,[25]перекрестка!$F$127:$G$127,[25]перекрестка!$F$128:$H$132,[25]перекрестка!$F$133:$G$133</definedName>
    <definedName name="P13_T1_Protect" localSheetId="8" hidden="1">#REF!,#REF!,#REF!,#REF!,#REF!</definedName>
    <definedName name="P13_T1_Protect" hidden="1">#REF!,#REF!,#REF!,#REF!,#REF!</definedName>
    <definedName name="P14_SCOPE_FULL_LOAD" localSheetId="9" hidden="1">#REF!,#REF!,#REF!,#REF!,#REF!,#REF!</definedName>
    <definedName name="P14_SCOPE_FULL_LOAD" localSheetId="4" hidden="1">#REF!,#REF!,#REF!,#REF!,#REF!,#REF!</definedName>
    <definedName name="P14_SCOPE_FULL_LOAD" localSheetId="8" hidden="1">#REF!,#REF!,#REF!,#REF!,#REF!,#REF!</definedName>
    <definedName name="P14_SCOPE_FULL_LOAD" hidden="1">#REF!,#REF!,#REF!,#REF!,#REF!,#REF!</definedName>
    <definedName name="P14_T1_Protect" localSheetId="9" hidden="1">[25]перекрестка!$F$134:$H$138,[25]перекрестка!$F$140:$H$144,[25]перекрестка!$F$146:$H$150,[25]перекрестка!$F$152:$H$156,[25]перекрестка!$F$158:$H$162</definedName>
    <definedName name="P14_T1_Protect" localSheetId="4" hidden="1">[25]перекрестка!$F$134:$H$138,[25]перекрестка!$F$140:$H$144,[25]перекрестка!$F$146:$H$150,[25]перекрестка!$F$152:$H$156,[25]перекрестка!$F$158:$H$162</definedName>
    <definedName name="P14_T1_Protect" localSheetId="8" hidden="1">#REF!,#REF!,#REF!,#REF!,#REF!</definedName>
    <definedName name="P14_T1_Protect" hidden="1">#REF!,#REF!,#REF!,#REF!,#REF!</definedName>
    <definedName name="P15_SCOPE_FULL_LOAD" localSheetId="9" hidden="1">#REF!,#REF!,#REF!,#REF!,#REF!,'1. подк.неподк. факт'!P1_SCOPE_FULL_LOAD</definedName>
    <definedName name="P15_SCOPE_FULL_LOAD" localSheetId="4" hidden="1">#REF!,#REF!,#REF!,#REF!,#REF!,'5. подк.неподк.план'!P1_SCOPE_FULL_LOAD</definedName>
    <definedName name="P15_SCOPE_FULL_LOAD" localSheetId="8" hidden="1">#REF!,#REF!,#REF!,#REF!,#REF!,P1_SCOPE_FULL_LOAD</definedName>
    <definedName name="P15_SCOPE_FULL_LOAD" hidden="1">#REF!,#REF!,#REF!,#REF!,#REF!,P1_SCOPE_FULL_LOAD</definedName>
    <definedName name="P15_T1_Protect" localSheetId="9" hidden="1">[25]перекрестка!$J$158:$K$162,[25]перекрестка!$J$152:$K$156,[25]перекрестка!$J$146:$K$150,[25]перекрестка!$J$140:$K$144,[25]перекрестка!$J$11</definedName>
    <definedName name="P15_T1_Protect" localSheetId="4" hidden="1">[25]перекрестка!$J$158:$K$162,[25]перекрестка!$J$152:$K$156,[25]перекрестка!$J$146:$K$150,[25]перекрестка!$J$140:$K$144,[25]перекрестка!$J$11</definedName>
    <definedName name="P15_T1_Protect" localSheetId="8" hidden="1">#REF!,#REF!,#REF!,#REF!,#REF!</definedName>
    <definedName name="P15_T1_Protect" hidden="1">#REF!,#REF!,#REF!,#REF!,#REF!</definedName>
    <definedName name="P16_SCOPE_FULL_LOAD" hidden="1">#N/A</definedName>
    <definedName name="P16_T1_Protect" localSheetId="9" hidden="1">[25]перекрестка!$J$12:$K$16,[25]перекрестка!$J$17,[25]перекрестка!$J$18:$K$22,[25]перекрестка!$J$24:$K$28,[25]перекрестка!$J$30:$K$34,[25]перекрестка!$F$23:$G$23</definedName>
    <definedName name="P16_T1_Protect" localSheetId="4" hidden="1">[25]перекрестка!$J$12:$K$16,[25]перекрестка!$J$17,[25]перекрестка!$J$18:$K$22,[25]перекрестка!$J$24:$K$28,[25]перекрестка!$J$30:$K$34,[25]перекрестка!$F$23:$G$23</definedName>
    <definedName name="P16_T1_Protect" localSheetId="8" hidden="1">#REF!,#REF!,#REF!,#REF!,#REF!,#REF!</definedName>
    <definedName name="P16_T1_Protect" hidden="1">#REF!,#REF!,#REF!,#REF!,#REF!,#REF!</definedName>
    <definedName name="P17_SCOPE_FULL_LOAD" hidden="1">#N/A</definedName>
    <definedName name="P17_T1_Protect" localSheetId="9" hidden="1">[25]перекрестка!$F$29:$G$29,[25]перекрестка!$F$61:$G$61,[25]перекрестка!$F$67:$G$67,[25]перекрестка!$F$101:$G$101,[25]перекрестка!$F$107:$G$107</definedName>
    <definedName name="P17_T1_Protect" localSheetId="4" hidden="1">[25]перекрестка!$F$29:$G$29,[25]перекрестка!$F$61:$G$61,[25]перекрестка!$F$67:$G$67,[25]перекрестка!$F$101:$G$101,[25]перекрестка!$F$107:$G$107</definedName>
    <definedName name="P17_T1_Protect" localSheetId="8" hidden="1">#REF!,#REF!,#REF!,#REF!,#REF!</definedName>
    <definedName name="P17_T1_Protect" hidden="1">#REF!,#REF!,#REF!,#REF!,#REF!</definedName>
    <definedName name="P18_T1_Protect" localSheetId="9" hidden="1">#N/A</definedName>
    <definedName name="P18_T1_Protect" localSheetId="4" hidden="1">#N/A</definedName>
    <definedName name="P18_T1_Protect" localSheetId="8" hidden="1">#REF!,#REF!,#REF!,'8.Бюджет на 2015'!P1_T1_Protect,'8.Бюджет на 2015'!P2_T1_Protect,'8.Бюджет на 2015'!P3_T1_Protect,'8.Бюджет на 2015'!P4_T1_Protect</definedName>
    <definedName name="P18_T1_Protect" hidden="1">#N/A</definedName>
    <definedName name="P19_T1_Protect" localSheetId="9" hidden="1">#N/A</definedName>
    <definedName name="P19_T1_Protect" localSheetId="4" hidden="1">#N/A</definedName>
    <definedName name="P19_T1_Protect" localSheetId="8" hidden="1">'8.Бюджет на 2015'!P5_T1_Protect,'8.Бюджет на 2015'!P6_T1_Protect,'8.Бюджет на 2015'!P7_T1_Protect,'8.Бюджет на 2015'!P8_T1_Protect,'8.Бюджет на 2015'!P9_T1_Protect,'8.Бюджет на 2015'!P10_T1_Protect,'8.Бюджет на 2015'!P11_T1_Protect,'8.Бюджет на 2015'!P12_T1_Protect,'8.Бюджет на 2015'!P13_T1_Protect,'8.Бюджет на 2015'!P14_T1_Protect</definedName>
    <definedName name="P19_T1_Protect" hidden="1">#N/A</definedName>
    <definedName name="P2_dip" hidden="1">[14]FST5!$G$100:$G$116,[14]FST5!$G$118:$G$123,[14]FST5!$G$125:$G$126,[14]FST5!$G$128:$G$131,[14]FST5!$G$133,[14]FST5!$G$135:$G$139,[14]FST5!$G$141</definedName>
    <definedName name="P2_SC22" localSheetId="9" hidden="1">#REF!,#REF!,#REF!,#REF!,#REF!,#REF!,#REF!</definedName>
    <definedName name="P2_SC22" localSheetId="4" hidden="1">#REF!,#REF!,#REF!,#REF!,#REF!,#REF!,#REF!</definedName>
    <definedName name="P2_SC22" localSheetId="8" hidden="1">#REF!,#REF!,#REF!,#REF!,#REF!,#REF!,#REF!</definedName>
    <definedName name="P2_SC22" hidden="1">#REF!,#REF!,#REF!,#REF!,#REF!,#REF!,#REF!</definedName>
    <definedName name="P2_SCOPE_16_PRT" hidden="1">'[15]16'!$E$38:$I$38,'[15]16'!$E$41:$I$41,'[15]16'!$E$45:$I$47,'[15]16'!$E$49:$I$49,'[15]16'!$E$53:$I$54,'[15]16'!$E$56:$I$57,'[15]16'!$E$59:$I$59,'[15]16'!$E$9:$I$13</definedName>
    <definedName name="P2_SCOPE_4_PRT" hidden="1">'[15]4'!$P$25:$S$25,'[15]4'!$P$27:$S$31,'[15]4'!$U$14:$X$20,'[15]4'!$U$23:$X$23,'[15]4'!$U$25:$X$25,'[15]4'!$U$27:$X$31,'[15]4'!$Z$14:$AC$20,'[15]4'!$Z$23:$AC$23,'[15]4'!$Z$25:$AC$25</definedName>
    <definedName name="P2_SCOPE_5_PRT" hidden="1">'[15]5'!$P$25:$S$25,'[15]5'!$P$27:$S$31,'[15]5'!$U$14:$X$21,'[15]5'!$U$23:$X$23,'[15]5'!$U$25:$X$25,'[15]5'!$U$27:$X$31,'[15]5'!$Z$14:$AC$21,'[15]5'!$Z$23:$AC$23,'[15]5'!$Z$25:$AC$25</definedName>
    <definedName name="P2_SCOPE_CORR" localSheetId="9" hidden="1">#REF!,#REF!,#REF!,#REF!,#REF!,#REF!,#REF!,#REF!</definedName>
    <definedName name="P2_SCOPE_CORR" localSheetId="4" hidden="1">#REF!,#REF!,#REF!,#REF!,#REF!,#REF!,#REF!,#REF!</definedName>
    <definedName name="P2_SCOPE_CORR" localSheetId="8" hidden="1">#REF!,#REF!,#REF!,#REF!,#REF!,#REF!,#REF!,#REF!</definedName>
    <definedName name="P2_SCOPE_CORR" hidden="1">#REF!,#REF!,#REF!,#REF!,#REF!,#REF!,#REF!,#REF!</definedName>
    <definedName name="P2_SCOPE_F1_PRT" localSheetId="9" hidden="1">#REF!,#REF!,#REF!,#REF!</definedName>
    <definedName name="P2_SCOPE_F1_PRT" localSheetId="4" hidden="1">#REF!,#REF!,#REF!,#REF!</definedName>
    <definedName name="P2_SCOPE_F1_PRT" localSheetId="8" hidden="1">#REF!,#REF!,#REF!,#REF!</definedName>
    <definedName name="P2_SCOPE_F1_PRT" hidden="1">#REF!,#REF!,#REF!,#REF!</definedName>
    <definedName name="P2_SCOPE_F2_PRT" localSheetId="9" hidden="1">#REF!,#REF!,#REF!,#REF!</definedName>
    <definedName name="P2_SCOPE_F2_PRT" localSheetId="4" hidden="1">#REF!,#REF!,#REF!,#REF!</definedName>
    <definedName name="P2_SCOPE_F2_PRT" hidden="1">#REF!,#REF!,#REF!,#REF!</definedName>
    <definedName name="P2_SCOPE_FULL_LOAD" localSheetId="9" hidden="1">#REF!,#REF!,#REF!,#REF!,#REF!,#REF!</definedName>
    <definedName name="P2_SCOPE_FULL_LOAD" localSheetId="4" hidden="1">#REF!,#REF!,#REF!,#REF!,#REF!,#REF!</definedName>
    <definedName name="P2_SCOPE_FULL_LOAD" localSheetId="8" hidden="1">#REF!,#REF!,#REF!,#REF!,#REF!,#REF!</definedName>
    <definedName name="P2_SCOPE_FULL_LOAD" hidden="1">#REF!,#REF!,#REF!,#REF!,#REF!,#REF!</definedName>
    <definedName name="P2_SCOPE_IND" localSheetId="9" hidden="1">#REF!,#REF!,#REF!,#REF!,#REF!,#REF!</definedName>
    <definedName name="P2_SCOPE_IND" localSheetId="4" hidden="1">#REF!,#REF!,#REF!,#REF!,#REF!,#REF!</definedName>
    <definedName name="P2_SCOPE_IND" hidden="1">#REF!,#REF!,#REF!,#REF!,#REF!,#REF!</definedName>
    <definedName name="P2_SCOPE_IND2" localSheetId="9" hidden="1">#REF!,#REF!,#REF!,#REF!,#REF!</definedName>
    <definedName name="P2_SCOPE_IND2" localSheetId="4" hidden="1">#REF!,#REF!,#REF!,#REF!,#REF!</definedName>
    <definedName name="P2_SCOPE_IND2" localSheetId="8" hidden="1">#REF!,#REF!,#REF!,#REF!,#REF!</definedName>
    <definedName name="P2_SCOPE_IND2" hidden="1">#REF!,#REF!,#REF!,#REF!,#REF!</definedName>
    <definedName name="P2_SCOPE_NOTIND" localSheetId="9" hidden="1">#REF!,#REF!,#REF!,#REF!,#REF!,#REF!,#REF!</definedName>
    <definedName name="P2_SCOPE_NOTIND" localSheetId="4" hidden="1">#REF!,#REF!,#REF!,#REF!,#REF!,#REF!,#REF!</definedName>
    <definedName name="P2_SCOPE_NOTIND" localSheetId="8" hidden="1">#REF!,#REF!,#REF!,#REF!,#REF!,#REF!,#REF!</definedName>
    <definedName name="P2_SCOPE_NOTIND" hidden="1">#REF!,#REF!,#REF!,#REF!,#REF!,#REF!,#REF!</definedName>
    <definedName name="P2_SCOPE_NotInd2" localSheetId="9" hidden="1">#REF!,#REF!,#REF!,#REF!,#REF!,#REF!</definedName>
    <definedName name="P2_SCOPE_NotInd2" localSheetId="4" hidden="1">#REF!,#REF!,#REF!,#REF!,#REF!,#REF!</definedName>
    <definedName name="P2_SCOPE_NotInd2" localSheetId="8" hidden="1">#REF!,#REF!,#REF!,#REF!,#REF!,#REF!</definedName>
    <definedName name="P2_SCOPE_NotInd2" hidden="1">#REF!,#REF!,#REF!,#REF!,#REF!,#REF!</definedName>
    <definedName name="P2_SCOPE_NotInd3" localSheetId="9" hidden="1">#REF!,#REF!,#REF!,#REF!,#REF!,#REF!,#REF!</definedName>
    <definedName name="P2_SCOPE_NotInd3" localSheetId="4" hidden="1">#REF!,#REF!,#REF!,#REF!,#REF!,#REF!,#REF!</definedName>
    <definedName name="P2_SCOPE_NotInd3" localSheetId="8" hidden="1">#REF!,#REF!,#REF!,#REF!,#REF!,#REF!,#REF!</definedName>
    <definedName name="P2_SCOPE_NotInd3" hidden="1">#REF!,#REF!,#REF!,#REF!,#REF!,#REF!,#REF!</definedName>
    <definedName name="P2_SCOPE_NotInt" localSheetId="9" hidden="1">#REF!,#REF!,#REF!,#REF!,#REF!,#REF!,#REF!</definedName>
    <definedName name="P2_SCOPE_NotInt" localSheetId="4" hidden="1">#REF!,#REF!,#REF!,#REF!,#REF!,#REF!,#REF!</definedName>
    <definedName name="P2_SCOPE_NotInt" hidden="1">#REF!,#REF!,#REF!,#REF!,#REF!,#REF!,#REF!</definedName>
    <definedName name="P2_SCOPE_PER_PRT" hidden="1">[15]перекрестка!$N$14:$N$25,[15]перекрестка!$N$27:$N$31,[15]перекрестка!$J$27:$K$31,[15]перекрестка!$F$27:$H$31,[15]перекрестка!$F$33:$H$37</definedName>
    <definedName name="P2_SCOPE_SAVE2" localSheetId="9" hidden="1">#REF!,#REF!,#REF!,#REF!,#REF!,#REF!</definedName>
    <definedName name="P2_SCOPE_SAVE2" localSheetId="4" hidden="1">#REF!,#REF!,#REF!,#REF!,#REF!,#REF!</definedName>
    <definedName name="P2_SCOPE_SAVE2" localSheetId="8" hidden="1">#REF!,#REF!,#REF!,#REF!,#REF!,#REF!</definedName>
    <definedName name="P2_SCOPE_SAVE2" hidden="1">#REF!,#REF!,#REF!,#REF!,#REF!,#REF!</definedName>
    <definedName name="P2_SCOPE_SV_PRT" hidden="1">[15]свод!$E$72:$I$79,[15]свод!$E$81:$I$81,[15]свод!$E$85:$H$88,[15]свод!$E$90:$I$90,[15]свод!$E$107:$I$112,[15]свод!$E$114:$I$117,[15]свод!$E$124:$H$127</definedName>
    <definedName name="P2_T1_Protect" localSheetId="9" hidden="1">[25]перекрестка!$J$68:$K$72,[25]перекрестка!$J$74:$K$78,[25]перекрестка!$J$80:$K$84,[25]перекрестка!$J$89,[25]перекрестка!$J$90:$K$94,[25]перекрестка!$J$95</definedName>
    <definedName name="P2_T1_Protect" localSheetId="4" hidden="1">[25]перекрестка!$J$68:$K$72,[25]перекрестка!$J$74:$K$78,[25]перекрестка!$J$80:$K$84,[25]перекрестка!$J$89,[25]перекрестка!$J$90:$K$94,[25]перекрестка!$J$95</definedName>
    <definedName name="P2_T1_Protect" localSheetId="8" hidden="1">#REF!,#REF!,#REF!,#REF!,#REF!,#REF!</definedName>
    <definedName name="P2_T1_Protect" hidden="1">#REF!,#REF!,#REF!,#REF!,#REF!,#REF!</definedName>
    <definedName name="P2_T17?L4">'[20]29'!$J$9:$J$16,'[20]29'!$M$9:$M$16,'[20]29'!$P$9:$P$16,'[20]29'!$G$44:$G$51,'[20]29'!$J$44:$J$51,'[20]29'!$M$44:$M$51,'[20]29'!$M$35:$M$42,'[20]29'!$P$35:$P$42,'[20]29'!$P$44:$P$51</definedName>
    <definedName name="P2_T17?unit?РУБ.ГКАЛ">'[20]29'!$I$18:$I$25,'[20]29'!$L$9:$L$16,'[20]29'!$L$18:$L$25,'[20]29'!$O$9:$O$16,'[20]29'!$F$35:$F$42,'[20]29'!$I$35:$I$42,'[20]29'!$L$35:$L$42,'[20]29'!$O$35:$O$51</definedName>
    <definedName name="P2_T17?unit?ТГКАЛ">'[20]29'!$J$9:$J$16,'[20]29'!$M$9:$M$16,'[20]29'!$P$9:$P$16,'[20]29'!$M$35:$M$42,'[20]29'!$P$35:$P$42,'[20]29'!$G$44:$G$51,'[20]29'!$J$44:$J$51,'[20]29'!$M$44:$M$51,'[20]29'!$P$44:$P$51</definedName>
    <definedName name="P2_T17_Protection">'[20]29'!$F$19:$G$19,'[20]29'!$F$21:$G$25,'[20]29'!$F$27:$G$27,'[20]29'!$F$29:$G$33,'[20]29'!$F$36:$G$36,'[20]29'!$F$38:$G$42,'[20]29'!$F$45:$G$45,'[20]29'!$F$47:$G$51</definedName>
    <definedName name="P2_T21_Protection">'[20]21'!$E$20:$E$22,'[20]21'!$G$20:$K$22,'[20]21'!$M$20:$M$22,'[20]21'!$O$20:$S$22,'[20]21'!$E$26:$E$28,'[20]21'!$G$26:$K$28,'[20]21'!$M$26:$M$28,'[20]21'!$O$26:$S$28</definedName>
    <definedName name="P2_T25_protection">'[20]25'!$L$35:$O$37,'[20]25'!$L$41:$O$42,'[20]25'!$Q$8:$T$21,'[20]25'!$Q$24:$T$28,'[20]25'!$Q$30:$T$33,'[20]25'!$Q$35:$T$37,'[20]25'!$Q$41:$T$42,'[20]25'!$B$35:$B$37</definedName>
    <definedName name="P2_T26_Protection">'[20]26'!$F$34:$I$36,'[20]26'!$K$8:$N$8,'[20]26'!$K$10:$N$11,'[20]26'!$K$13:$N$15,'[20]26'!$K$18:$N$19,'[20]26'!$K$22:$N$24,'[20]26'!$K$26:$N$26,'[20]26'!$K$29:$N$32</definedName>
    <definedName name="P2_T27_Protection">'[20]27'!$F$34:$I$36,'[20]27'!$K$8:$N$8,'[20]27'!$K$10:$N$11,'[20]27'!$K$13:$N$15,'[20]27'!$K$18:$N$19,'[20]27'!$K$22:$N$24,'[20]27'!$K$26:$N$26,'[20]27'!$K$29:$N$32</definedName>
    <definedName name="P2_T28?axis?R?ПЭ">'[20]28'!$D$68:$I$70,'[20]28'!$D$74:$I$76,'[20]28'!$D$80:$I$82,'[20]28'!$D$89:$I$91,'[20]28'!$D$94:$I$96,'[20]28'!$D$100:$I$102,'[20]28'!$D$106:$I$108,'[20]28'!$D$115:$I$117</definedName>
    <definedName name="P2_T28?axis?R?ПЭ?">'[20]28'!$B$68:$B$70,'[20]28'!$B$74:$B$76,'[20]28'!$B$80:$B$82,'[20]28'!$B$89:$B$91,'[20]28'!$B$94:$B$96,'[20]28'!$B$100:$B$102,'[20]28'!$B$106:$B$108,'[20]28'!$B$115:$B$117</definedName>
    <definedName name="P2_T28_Protection">'[20]28'!$B$126:$B$128,'[20]28'!$B$132:$B$134,'[20]28'!$B$141:$B$143,'[20]28'!$B$146:$B$148,'[20]28'!$B$152:$B$154,'[20]28'!$B$158:$B$160,'[20]28'!$B$167:$B$169</definedName>
    <definedName name="P2_T4_Protect" localSheetId="9" hidden="1">'[25]4'!$Q$22:$T$22,'[25]4'!$Q$24:$T$28,'[25]4'!$V$24:$Y$28,'[25]4'!$V$22:$Y$22,'[25]4'!$V$20:$Y$20,'[25]4'!$V$11:$Y$17,'[25]4'!$AA$11:$AD$17,'[25]4'!$AA$20:$AD$20,'[25]4'!$AA$22:$AD$22</definedName>
    <definedName name="P2_T4_Protect" localSheetId="4" hidden="1">'[25]4'!$Q$22:$T$22,'[25]4'!$Q$24:$T$28,'[25]4'!$V$24:$Y$28,'[25]4'!$V$22:$Y$22,'[25]4'!$V$20:$Y$20,'[25]4'!$V$11:$Y$17,'[25]4'!$AA$11:$AD$17,'[25]4'!$AA$20:$AD$20,'[25]4'!$AA$22:$AD$22</definedName>
    <definedName name="P2_T4_Protect" hidden="1">'[27]4'!$Q$22:$T$22,'[27]4'!$Q$24:$T$28,'[27]4'!$V$24:$Y$28,'[27]4'!$V$22:$Y$22,'[27]4'!$V$20:$Y$20,'[27]4'!$V$11:$Y$17,'[27]4'!$AA$11:$AD$17,'[27]4'!$AA$20:$AD$20,'[27]4'!$AA$22:$AD$22</definedName>
    <definedName name="P3_dip" hidden="1">[14]FST5!$G$143:$G$145,[14]FST5!$G$214:$G$217,[14]FST5!$G$219:$G$224,[14]FST5!$G$226,[14]FST5!$G$228,[14]FST5!$G$230,[14]FST5!$G$232,[14]FST5!$G$197:$G$212</definedName>
    <definedName name="P3_SC22" localSheetId="9" hidden="1">#REF!,#REF!,#REF!,#REF!,#REF!,#REF!</definedName>
    <definedName name="P3_SC22" localSheetId="4" hidden="1">#REF!,#REF!,#REF!,#REF!,#REF!,#REF!</definedName>
    <definedName name="P3_SC22" localSheetId="8" hidden="1">#REF!,#REF!,#REF!,#REF!,#REF!,#REF!</definedName>
    <definedName name="P3_SC22" hidden="1">#REF!,#REF!,#REF!,#REF!,#REF!,#REF!</definedName>
    <definedName name="P3_SCOPE_F1_PRT" localSheetId="9" hidden="1">#REF!,#REF!,#REF!,#REF!</definedName>
    <definedName name="P3_SCOPE_F1_PRT" localSheetId="4" hidden="1">#REF!,#REF!,#REF!,#REF!</definedName>
    <definedName name="P3_SCOPE_F1_PRT" localSheetId="8" hidden="1">#REF!,#REF!,#REF!,#REF!</definedName>
    <definedName name="P3_SCOPE_F1_PRT" hidden="1">#REF!,#REF!,#REF!,#REF!</definedName>
    <definedName name="P3_SCOPE_FULL_LOAD" localSheetId="9" hidden="1">#REF!,#REF!,#REF!,#REF!,#REF!,#REF!</definedName>
    <definedName name="P3_SCOPE_FULL_LOAD" localSheetId="4" hidden="1">#REF!,#REF!,#REF!,#REF!,#REF!,#REF!</definedName>
    <definedName name="P3_SCOPE_FULL_LOAD" localSheetId="8" hidden="1">#REF!,#REF!,#REF!,#REF!,#REF!,#REF!</definedName>
    <definedName name="P3_SCOPE_FULL_LOAD" hidden="1">#REF!,#REF!,#REF!,#REF!,#REF!,#REF!</definedName>
    <definedName name="P3_SCOPE_IND" localSheetId="9" hidden="1">#REF!,#REF!,#REF!,#REF!,#REF!</definedName>
    <definedName name="P3_SCOPE_IND" localSheetId="4" hidden="1">#REF!,#REF!,#REF!,#REF!,#REF!</definedName>
    <definedName name="P3_SCOPE_IND" localSheetId="8" hidden="1">#REF!,#REF!,#REF!,#REF!,#REF!</definedName>
    <definedName name="P3_SCOPE_IND" hidden="1">#REF!,#REF!,#REF!,#REF!,#REF!</definedName>
    <definedName name="P3_SCOPE_IND2" localSheetId="9" hidden="1">#REF!,#REF!,#REF!,#REF!,#REF!</definedName>
    <definedName name="P3_SCOPE_IND2" localSheetId="4" hidden="1">#REF!,#REF!,#REF!,#REF!,#REF!</definedName>
    <definedName name="P3_SCOPE_IND2" hidden="1">#REF!,#REF!,#REF!,#REF!,#REF!</definedName>
    <definedName name="P3_SCOPE_NOTIND" localSheetId="9" hidden="1">#REF!,#REF!,#REF!,#REF!,#REF!,#REF!,#REF!</definedName>
    <definedName name="P3_SCOPE_NOTIND" localSheetId="4" hidden="1">#REF!,#REF!,#REF!,#REF!,#REF!,#REF!,#REF!</definedName>
    <definedName name="P3_SCOPE_NOTIND" localSheetId="8" hidden="1">#REF!,#REF!,#REF!,#REF!,#REF!,#REF!,#REF!</definedName>
    <definedName name="P3_SCOPE_NOTIND" hidden="1">#REF!,#REF!,#REF!,#REF!,#REF!,#REF!,#REF!</definedName>
    <definedName name="P3_SCOPE_NotInd2" localSheetId="9" hidden="1">#REF!,#REF!,#REF!,#REF!,#REF!,#REF!,#REF!</definedName>
    <definedName name="P3_SCOPE_NotInd2" localSheetId="4" hidden="1">#REF!,#REF!,#REF!,#REF!,#REF!,#REF!,#REF!</definedName>
    <definedName name="P3_SCOPE_NotInd2" hidden="1">#REF!,#REF!,#REF!,#REF!,#REF!,#REF!,#REF!</definedName>
    <definedName name="P3_SCOPE_NotInt" localSheetId="9" hidden="1">#REF!,#REF!,#REF!,#REF!,#REF!,#REF!</definedName>
    <definedName name="P3_SCOPE_NotInt" localSheetId="4" hidden="1">#REF!,#REF!,#REF!,#REF!,#REF!,#REF!</definedName>
    <definedName name="P3_SCOPE_NotInt" localSheetId="8" hidden="1">#REF!,#REF!,#REF!,#REF!,#REF!,#REF!</definedName>
    <definedName name="P3_SCOPE_NotInt" hidden="1">#REF!,#REF!,#REF!,#REF!,#REF!,#REF!</definedName>
    <definedName name="P3_SCOPE_PER_PRT" hidden="1">[15]перекрестка!$J$33:$K$37,[15]перекрестка!$N$33:$N$37,[15]перекрестка!$F$39:$H$43,[15]перекрестка!$J$39:$K$43,[15]перекрестка!$N$39:$N$43</definedName>
    <definedName name="P3_SCOPE_SV_PRT" hidden="1">[15]свод!$D$135:$G$135,[15]свод!$I$135:$I$141,[15]свод!$H$137:$H$141,[15]свод!$D$138:$G$141,[15]свод!$E$15:$I$16,[15]свод!$E$120:$I$121,[15]свод!$E$18:$I$19</definedName>
    <definedName name="P3_T1_Protect" localSheetId="9" hidden="1">[25]перекрестка!$J$96:$K$100,[25]перекрестка!$J$102:$K$106,[25]перекрестка!$J$108:$K$112,[25]перекрестка!$J$114:$K$118,[25]перекрестка!$J$120:$K$124</definedName>
    <definedName name="P3_T1_Protect" localSheetId="4" hidden="1">[25]перекрестка!$J$96:$K$100,[25]перекрестка!$J$102:$K$106,[25]перекрестка!$J$108:$K$112,[25]перекрестка!$J$114:$K$118,[25]перекрестка!$J$120:$K$124</definedName>
    <definedName name="P3_T1_Protect" localSheetId="8" hidden="1">#REF!,#REF!,#REF!,#REF!,#REF!</definedName>
    <definedName name="P3_T1_Protect" hidden="1">#REF!,#REF!,#REF!,#REF!,#REF!</definedName>
    <definedName name="P3_T17_Protection">'[20]29'!$F$53:$G$53,'[20]29'!$F$55:$G$59,'[20]29'!$I$55:$J$59,'[20]29'!$I$53:$J$53,'[20]29'!$I$47:$J$51,'[20]29'!$I$45:$J$45,'[20]29'!$I$38:$J$42,'[20]29'!$I$36:$J$36</definedName>
    <definedName name="P3_T21_Protection" localSheetId="9">'[20]21'!$E$31:$E$33,'[20]21'!$G$31:$K$33,'[20]21'!$B$14:$B$16,'[20]21'!$B$20:$B$22,'[20]21'!$B$26:$B$28,'[20]21'!$B$31:$B$33,'[20]21'!$M$31:$M$33,[0]!P1_T21_Protection</definedName>
    <definedName name="P3_T21_Protection" localSheetId="4">'[20]21'!$E$31:$E$33,'[20]21'!$G$31:$K$33,'[20]21'!$B$14:$B$16,'[20]21'!$B$20:$B$22,'[20]21'!$B$26:$B$28,'[20]21'!$B$31:$B$33,'[20]21'!$M$31:$M$33,[0]!P1_T21_Protection</definedName>
    <definedName name="P3_T21_Protection">'[20]21'!$E$31:$E$33,'[20]21'!$G$31:$K$33,'[20]21'!$B$14:$B$16,'[20]21'!$B$20:$B$22,'[20]21'!$B$26:$B$28,'[20]21'!$B$31:$B$33,'[20]21'!$M$31:$M$33,P1_T21_Protection</definedName>
    <definedName name="P3_T27_Protection">'[20]27'!$K$34:$N$36,'[20]27'!$P$8:$S$8,'[20]27'!$P$10:$S$11,'[20]27'!$P$13:$S$15,'[20]27'!$P$18:$S$19,'[20]27'!$P$22:$S$24,'[20]27'!$P$26:$S$26,'[20]27'!$P$29:$S$32</definedName>
    <definedName name="P3_T28?axis?R?ПЭ">'[20]28'!$D$120:$I$122,'[20]28'!$D$126:$I$128,'[20]28'!$D$132:$I$134,'[20]28'!$D$141:$I$143,'[20]28'!$D$146:$I$148,'[20]28'!$D$152:$I$154,'[20]28'!$D$158:$I$160</definedName>
    <definedName name="P3_T28?axis?R?ПЭ?">'[20]28'!$B$120:$B$122,'[20]28'!$B$126:$B$128,'[20]28'!$B$132:$B$134,'[20]28'!$B$141:$B$143,'[20]28'!$B$146:$B$148,'[20]28'!$B$152:$B$154,'[20]28'!$B$158:$B$160</definedName>
    <definedName name="P3_T28_Protection">'[20]28'!$B$172:$B$174,'[20]28'!$B$178:$B$180,'[20]28'!$B$184:$B$186,'[20]28'!$B$193:$B$195,'[20]28'!$B$198:$B$200,'[20]28'!$B$204:$B$206,'[20]28'!$B$210:$B$212</definedName>
    <definedName name="P4_dip" hidden="1">[14]FST5!$G$70:$G$75,[14]FST5!$G$77:$G$78,[14]FST5!$G$80:$G$83,[14]FST5!$G$85,[14]FST5!$G$87:$G$91,[14]FST5!$G$93,[14]FST5!$G$95:$G$97,[14]FST5!$G$52:$G$68</definedName>
    <definedName name="P4_SCOPE_F1_PRT" localSheetId="9" hidden="1">#REF!,#REF!,#REF!,#REF!</definedName>
    <definedName name="P4_SCOPE_F1_PRT" localSheetId="4" hidden="1">#REF!,#REF!,#REF!,#REF!</definedName>
    <definedName name="P4_SCOPE_F1_PRT" localSheetId="8" hidden="1">#REF!,#REF!,#REF!,#REF!</definedName>
    <definedName name="P4_SCOPE_F1_PRT" hidden="1">#REF!,#REF!,#REF!,#REF!</definedName>
    <definedName name="P4_SCOPE_FULL_LOAD" localSheetId="9" hidden="1">#REF!,#REF!,#REF!,#REF!,#REF!,#REF!</definedName>
    <definedName name="P4_SCOPE_FULL_LOAD" localSheetId="4" hidden="1">#REF!,#REF!,#REF!,#REF!,#REF!,#REF!</definedName>
    <definedName name="P4_SCOPE_FULL_LOAD" localSheetId="8" hidden="1">#REF!,#REF!,#REF!,#REF!,#REF!,#REF!</definedName>
    <definedName name="P4_SCOPE_FULL_LOAD" hidden="1">#REF!,#REF!,#REF!,#REF!,#REF!,#REF!</definedName>
    <definedName name="P4_SCOPE_IND" localSheetId="9" hidden="1">#REF!,#REF!,#REF!,#REF!,#REF!</definedName>
    <definedName name="P4_SCOPE_IND" localSheetId="4" hidden="1">#REF!,#REF!,#REF!,#REF!,#REF!</definedName>
    <definedName name="P4_SCOPE_IND" localSheetId="8" hidden="1">#REF!,#REF!,#REF!,#REF!,#REF!</definedName>
    <definedName name="P4_SCOPE_IND" hidden="1">#REF!,#REF!,#REF!,#REF!,#REF!</definedName>
    <definedName name="P4_SCOPE_IND2" localSheetId="9" hidden="1">#REF!,#REF!,#REF!,#REF!,#REF!,#REF!</definedName>
    <definedName name="P4_SCOPE_IND2" localSheetId="4" hidden="1">#REF!,#REF!,#REF!,#REF!,#REF!,#REF!</definedName>
    <definedName name="P4_SCOPE_IND2" localSheetId="8" hidden="1">#REF!,#REF!,#REF!,#REF!,#REF!,#REF!</definedName>
    <definedName name="P4_SCOPE_IND2" hidden="1">#REF!,#REF!,#REF!,#REF!,#REF!,#REF!</definedName>
    <definedName name="P4_SCOPE_NOTIND" localSheetId="9" hidden="1">#REF!,#REF!,#REF!,#REF!,#REF!,#REF!,#REF!</definedName>
    <definedName name="P4_SCOPE_NOTIND" localSheetId="4" hidden="1">#REF!,#REF!,#REF!,#REF!,#REF!,#REF!,#REF!</definedName>
    <definedName name="P4_SCOPE_NOTIND" localSheetId="8" hidden="1">#REF!,#REF!,#REF!,#REF!,#REF!,#REF!,#REF!</definedName>
    <definedName name="P4_SCOPE_NOTIND" hidden="1">#REF!,#REF!,#REF!,#REF!,#REF!,#REF!,#REF!</definedName>
    <definedName name="P4_SCOPE_NotInd2" localSheetId="9" hidden="1">#REF!,#REF!,#REF!,#REF!,#REF!,#REF!,#REF!</definedName>
    <definedName name="P4_SCOPE_NotInd2" localSheetId="4" hidden="1">#REF!,#REF!,#REF!,#REF!,#REF!,#REF!,#REF!</definedName>
    <definedName name="P4_SCOPE_NotInd2" hidden="1">#REF!,#REF!,#REF!,#REF!,#REF!,#REF!,#REF!</definedName>
    <definedName name="P4_SCOPE_PER_PRT" hidden="1">[15]перекрестка!$F$45:$H$49,[15]перекрестка!$J$45:$K$49,[15]перекрестка!$N$45:$N$49,[15]перекрестка!$F$53:$G$64,[15]перекрестка!$H$54:$H$58</definedName>
    <definedName name="P4_T1_Protect" localSheetId="9" hidden="1">[25]перекрестка!$J$127,[25]перекрестка!$J$128:$K$132,[25]перекрестка!$J$133,[25]перекрестка!$J$134:$K$138,[25]перекрестка!$N$11:$N$22,[25]перекрестка!$N$24:$N$28</definedName>
    <definedName name="P4_T1_Protect" localSheetId="4" hidden="1">[25]перекрестка!$J$127,[25]перекрестка!$J$128:$K$132,[25]перекрестка!$J$133,[25]перекрестка!$J$134:$K$138,[25]перекрестка!$N$11:$N$22,[25]перекрестка!$N$24:$N$28</definedName>
    <definedName name="P4_T1_Protect" localSheetId="8" hidden="1">#REF!,#REF!,#REF!,#REF!,#REF!,#REF!</definedName>
    <definedName name="P4_T1_Protect" hidden="1">#REF!,#REF!,#REF!,#REF!,#REF!,#REF!</definedName>
    <definedName name="P4_T17_Protection">'[20]29'!$I$29:$J$33,'[20]29'!$I$27:$J$27,'[20]29'!$I$21:$J$25,'[20]29'!$I$19:$J$19,'[20]29'!$I$12:$J$16,'[20]29'!$I$10:$J$10,'[20]29'!$L$10:$M$10,'[20]29'!$L$12:$M$16</definedName>
    <definedName name="P4_T28?axis?R?ПЭ">'[20]28'!$D$167:$I$169,'[20]28'!$D$172:$I$174,'[20]28'!$D$178:$I$180,'[20]28'!$D$184:$I$186,'[20]28'!$D$193:$I$195,'[20]28'!$D$198:$I$200,'[20]28'!$D$204:$I$206</definedName>
    <definedName name="P4_T28?axis?R?ПЭ?">'[20]28'!$B$167:$B$169,'[20]28'!$B$172:$B$174,'[20]28'!$B$178:$B$180,'[20]28'!$B$184:$B$186,'[20]28'!$B$193:$B$195,'[20]28'!$B$198:$B$200,'[20]28'!$B$204:$B$206</definedName>
    <definedName name="P4_T28_Protection">'[20]28'!$B$219:$B$221,'[20]28'!$B$224:$B$226,'[20]28'!$B$230:$B$232,'[20]28'!$B$236:$B$238,'[20]28'!$B$245:$B$247,'[20]28'!$B$250:$B$252,'[20]28'!$B$256:$B$258</definedName>
    <definedName name="P5_SCOPE_FULL_LOAD" localSheetId="9" hidden="1">#REF!,#REF!,#REF!,#REF!,#REF!,#REF!</definedName>
    <definedName name="P5_SCOPE_FULL_LOAD" localSheetId="4" hidden="1">#REF!,#REF!,#REF!,#REF!,#REF!,#REF!</definedName>
    <definedName name="P5_SCOPE_FULL_LOAD" localSheetId="8" hidden="1">#REF!,#REF!,#REF!,#REF!,#REF!,#REF!</definedName>
    <definedName name="P5_SCOPE_FULL_LOAD" hidden="1">#REF!,#REF!,#REF!,#REF!,#REF!,#REF!</definedName>
    <definedName name="P5_SCOPE_NOTIND" localSheetId="9" hidden="1">#REF!,#REF!,#REF!,#REF!,#REF!,#REF!,#REF!</definedName>
    <definedName name="P5_SCOPE_NOTIND" localSheetId="4" hidden="1">#REF!,#REF!,#REF!,#REF!,#REF!,#REF!,#REF!</definedName>
    <definedName name="P5_SCOPE_NOTIND" localSheetId="8" hidden="1">#REF!,#REF!,#REF!,#REF!,#REF!,#REF!,#REF!</definedName>
    <definedName name="P5_SCOPE_NOTIND" hidden="1">#REF!,#REF!,#REF!,#REF!,#REF!,#REF!,#REF!</definedName>
    <definedName name="P5_SCOPE_NotInd2" localSheetId="9" hidden="1">#REF!,#REF!,#REF!,#REF!,#REF!,#REF!,#REF!</definedName>
    <definedName name="P5_SCOPE_NotInd2" localSheetId="4" hidden="1">#REF!,#REF!,#REF!,#REF!,#REF!,#REF!,#REF!</definedName>
    <definedName name="P5_SCOPE_NotInd2" hidden="1">#REF!,#REF!,#REF!,#REF!,#REF!,#REF!,#REF!</definedName>
    <definedName name="P5_SCOPE_PER_PRT" hidden="1">[15]перекрестка!$H$60:$H$64,[15]перекрестка!$J$53:$J$64,[15]перекрестка!$K$54:$K$58,[15]перекрестка!$K$60:$K$64,[15]перекрестка!$N$53:$N$64</definedName>
    <definedName name="P5_T1_Protect" localSheetId="9" hidden="1">[25]перекрестка!$N$30:$N$34,[25]перекрестка!$N$36:$N$40,[25]перекрестка!$N$42:$N$46,[25]перекрестка!$N$49:$N$60,[25]перекрестка!$N$62:$N$66</definedName>
    <definedName name="P5_T1_Protect" localSheetId="4" hidden="1">[25]перекрестка!$N$30:$N$34,[25]перекрестка!$N$36:$N$40,[25]перекрестка!$N$42:$N$46,[25]перекрестка!$N$49:$N$60,[25]перекрестка!$N$62:$N$66</definedName>
    <definedName name="P5_T1_Protect" localSheetId="8" hidden="1">#REF!,#REF!,#REF!,#REF!,#REF!</definedName>
    <definedName name="P5_T1_Protect" hidden="1">#REF!,#REF!,#REF!,#REF!,#REF!</definedName>
    <definedName name="P5_T17_Protection">'[20]29'!$L$19:$M$19,'[20]29'!$L$21:$M$27,'[20]29'!$L$29:$M$33,'[20]29'!$L$36:$M$36,'[20]29'!$L$38:$M$42,'[20]29'!$L$45:$M$45,'[20]29'!$O$10:$P$10,'[20]29'!$O$12:$P$16</definedName>
    <definedName name="P5_T28?axis?R?ПЭ">'[20]28'!$D$210:$I$212,'[20]28'!$D$219:$I$221,'[20]28'!$D$224:$I$226,'[20]28'!$D$230:$I$232,'[20]28'!$D$236:$I$238,'[20]28'!$D$245:$I$247,'[20]28'!$D$250:$I$252</definedName>
    <definedName name="P5_T28?axis?R?ПЭ?">'[20]28'!$B$210:$B$212,'[20]28'!$B$219:$B$221,'[20]28'!$B$224:$B$226,'[20]28'!$B$230:$B$232,'[20]28'!$B$236:$B$238,'[20]28'!$B$245:$B$247,'[20]28'!$B$250:$B$252</definedName>
    <definedName name="P5_T28_Protection">'[20]28'!$B$262:$B$264,'[20]28'!$B$271:$B$273,'[20]28'!$B$276:$B$278,'[20]28'!$B$282:$B$284,'[20]28'!$B$288:$B$291,'[20]28'!$B$11:$B$13,'[20]28'!$B$16:$B$18,'[20]28'!$B$22:$B$24</definedName>
    <definedName name="P6_SCOPE_FULL_LOAD" localSheetId="9" hidden="1">#REF!,#REF!,#REF!,#REF!,#REF!,#REF!</definedName>
    <definedName name="P6_SCOPE_FULL_LOAD" localSheetId="4" hidden="1">#REF!,#REF!,#REF!,#REF!,#REF!,#REF!</definedName>
    <definedName name="P6_SCOPE_FULL_LOAD" localSheetId="8" hidden="1">#REF!,#REF!,#REF!,#REF!,#REF!,#REF!</definedName>
    <definedName name="P6_SCOPE_FULL_LOAD" hidden="1">#REF!,#REF!,#REF!,#REF!,#REF!,#REF!</definedName>
    <definedName name="P6_SCOPE_NOTIND" localSheetId="9" hidden="1">#REF!,#REF!,#REF!,#REF!,#REF!,#REF!,#REF!</definedName>
    <definedName name="P6_SCOPE_NOTIND" localSheetId="4" hidden="1">#REF!,#REF!,#REF!,#REF!,#REF!,#REF!,#REF!</definedName>
    <definedName name="P6_SCOPE_NOTIND" localSheetId="8" hidden="1">#REF!,#REF!,#REF!,#REF!,#REF!,#REF!,#REF!</definedName>
    <definedName name="P6_SCOPE_NOTIND" hidden="1">#REF!,#REF!,#REF!,#REF!,#REF!,#REF!,#REF!</definedName>
    <definedName name="P6_SCOPE_NotInd2" localSheetId="9" hidden="1">#REF!,#REF!,#REF!,#REF!,#REF!,#REF!,#REF!</definedName>
    <definedName name="P6_SCOPE_NotInd2" localSheetId="4" hidden="1">#REF!,#REF!,#REF!,#REF!,#REF!,#REF!,#REF!</definedName>
    <definedName name="P6_SCOPE_NotInd2" hidden="1">#REF!,#REF!,#REF!,#REF!,#REF!,#REF!,#REF!</definedName>
    <definedName name="P6_SCOPE_PER_PRT" hidden="1">[15]перекрестка!$F$66:$H$70,[15]перекрестка!$J$66:$K$70,[15]перекрестка!$N$66:$N$70,[15]перекрестка!$F$72:$H$76,[15]перекрестка!$J$72:$K$76</definedName>
    <definedName name="P6_T1_Protect" localSheetId="9" hidden="1">[25]перекрестка!$N$68:$N$72,[25]перекрестка!$N$74:$N$78,[25]перекрестка!$N$80:$N$84,[25]перекрестка!$N$89:$N$100,[25]перекрестка!$N$102:$N$106</definedName>
    <definedName name="P6_T1_Protect" localSheetId="4" hidden="1">[25]перекрестка!$N$68:$N$72,[25]перекрестка!$N$74:$N$78,[25]перекрестка!$N$80:$N$84,[25]перекрестка!$N$89:$N$100,[25]перекрестка!$N$102:$N$106</definedName>
    <definedName name="P6_T1_Protect" localSheetId="8" hidden="1">#REF!,#REF!,#REF!,#REF!,#REF!</definedName>
    <definedName name="P6_T1_Protect" hidden="1">#REF!,#REF!,#REF!,#REF!,#REF!</definedName>
    <definedName name="P6_T17_Protection" localSheetId="9">'[20]29'!$O$19:$P$19,'[20]29'!$O$21:$P$25,'[20]29'!$O$27:$P$27,'[20]29'!$O$29:$P$33,'[20]29'!$O$36:$P$36,'[20]29'!$O$38:$P$42,'[20]29'!$O$45:$P$45,[0]!P1_T17_Protection</definedName>
    <definedName name="P6_T17_Protection" localSheetId="4">'[20]29'!$O$19:$P$19,'[20]29'!$O$21:$P$25,'[20]29'!$O$27:$P$27,'[20]29'!$O$29:$P$33,'[20]29'!$O$36:$P$36,'[20]29'!$O$38:$P$42,'[20]29'!$O$45:$P$45,[0]!P1_T17_Protection</definedName>
    <definedName name="P6_T17_Protection">'[20]29'!$O$19:$P$19,'[20]29'!$O$21:$P$25,'[20]29'!$O$27:$P$27,'[20]29'!$O$29:$P$33,'[20]29'!$O$36:$P$36,'[20]29'!$O$38:$P$42,'[20]29'!$O$45:$P$45,P1_T17_Protection</definedName>
    <definedName name="P6_T2.1?Protection" localSheetId="9">P1_T2.1?Protection</definedName>
    <definedName name="P6_T2.1?Protection" localSheetId="4">P1_T2.1?Protection</definedName>
    <definedName name="P6_T2.1?Protection">P1_T2.1?Protection</definedName>
    <definedName name="P6_T28?axis?R?ПЭ" localSheetId="9">'[20]28'!$D$256:$I$258,'[20]28'!$D$262:$I$264,'[20]28'!$D$271:$I$273,'[20]28'!$D$276:$I$278,'[20]28'!$D$282:$I$284,'[20]28'!$D$288:$I$291,'[20]28'!$D$11:$I$13,[0]!P1_T28?axis?R?ПЭ</definedName>
    <definedName name="P6_T28?axis?R?ПЭ" localSheetId="4">'[20]28'!$D$256:$I$258,'[20]28'!$D$262:$I$264,'[20]28'!$D$271:$I$273,'[20]28'!$D$276:$I$278,'[20]28'!$D$282:$I$284,'[20]28'!$D$288:$I$291,'[20]28'!$D$11:$I$13,[0]!P1_T28?axis?R?ПЭ</definedName>
    <definedName name="P6_T28?axis?R?ПЭ">'[20]28'!$D$256:$I$258,'[20]28'!$D$262:$I$264,'[20]28'!$D$271:$I$273,'[20]28'!$D$276:$I$278,'[20]28'!$D$282:$I$284,'[20]28'!$D$288:$I$291,'[20]28'!$D$11:$I$13,P1_T28?axis?R?ПЭ</definedName>
    <definedName name="P6_T28?axis?R?ПЭ?" localSheetId="9">'[20]28'!$B$256:$B$258,'[20]28'!$B$262:$B$264,'[20]28'!$B$271:$B$273,'[20]28'!$B$276:$B$278,'[20]28'!$B$282:$B$284,'[20]28'!$B$288:$B$291,'[20]28'!$B$11:$B$13,[0]!P1_T28?axis?R?ПЭ?</definedName>
    <definedName name="P6_T28?axis?R?ПЭ?" localSheetId="4">'[20]28'!$B$256:$B$258,'[20]28'!$B$262:$B$264,'[20]28'!$B$271:$B$273,'[20]28'!$B$276:$B$278,'[20]28'!$B$282:$B$284,'[20]28'!$B$288:$B$291,'[20]28'!$B$11:$B$13,[0]!P1_T28?axis?R?ПЭ?</definedName>
    <definedName name="P6_T28?axis?R?ПЭ?">'[20]28'!$B$256:$B$258,'[20]28'!$B$262:$B$264,'[20]28'!$B$271:$B$273,'[20]28'!$B$276:$B$278,'[20]28'!$B$282:$B$284,'[20]28'!$B$288:$B$291,'[20]28'!$B$11:$B$13,P1_T28?axis?R?ПЭ?</definedName>
    <definedName name="P6_T28_Protection">'[20]28'!$B$28:$B$30,'[20]28'!$B$37:$B$39,'[20]28'!$B$42:$B$44,'[20]28'!$B$48:$B$50,'[20]28'!$B$54:$B$56,'[20]28'!$B$63:$B$65,'[20]28'!$G$210:$H$212,'[20]28'!$D$11:$E$13</definedName>
    <definedName name="P7_SCOPE_FULL_LOAD" localSheetId="9" hidden="1">#REF!,#REF!,#REF!,#REF!,#REF!,#REF!</definedName>
    <definedName name="P7_SCOPE_FULL_LOAD" localSheetId="4" hidden="1">#REF!,#REF!,#REF!,#REF!,#REF!,#REF!</definedName>
    <definedName name="P7_SCOPE_FULL_LOAD" localSheetId="8" hidden="1">#REF!,#REF!,#REF!,#REF!,#REF!,#REF!</definedName>
    <definedName name="P7_SCOPE_FULL_LOAD" hidden="1">#REF!,#REF!,#REF!,#REF!,#REF!,#REF!</definedName>
    <definedName name="P7_SCOPE_NOTIND" localSheetId="9" hidden="1">#REF!,#REF!,#REF!,#REF!,#REF!,#REF!</definedName>
    <definedName name="P7_SCOPE_NOTIND" localSheetId="4" hidden="1">#REF!,#REF!,#REF!,#REF!,#REF!,#REF!</definedName>
    <definedName name="P7_SCOPE_NOTIND" hidden="1">#REF!,#REF!,#REF!,#REF!,#REF!,#REF!</definedName>
    <definedName name="P7_SCOPE_NotInd2" localSheetId="9" hidden="1">#REF!,#REF!,#REF!,#REF!,#REF!,'1. подк.неподк. факт'!P1_SCOPE_NotInd2,'1. подк.неподк. факт'!P2_SCOPE_NotInd2,'1. подк.неподк. факт'!P3_SCOPE_NotInd2</definedName>
    <definedName name="P7_SCOPE_NotInd2" localSheetId="4" hidden="1">#REF!,#REF!,#REF!,#REF!,#REF!,'5. подк.неподк.план'!P1_SCOPE_NotInd2,'5. подк.неподк.план'!P2_SCOPE_NotInd2,'5. подк.неподк.план'!P3_SCOPE_NotInd2</definedName>
    <definedName name="P7_SCOPE_NotInd2" localSheetId="8" hidden="1">#REF!,#REF!,#REF!,#REF!,#REF!,'8.Бюджет на 2015'!P1_SCOPE_NotInd2,'8.Бюджет на 2015'!P2_SCOPE_NotInd2,P3_SCOPE_NotInd2</definedName>
    <definedName name="P7_SCOPE_NotInd2" hidden="1">#REF!,#REF!,#REF!,#REF!,#REF!,P1_SCOPE_NotInd2,P2_SCOPE_NotInd2,P3_SCOPE_NotInd2</definedName>
    <definedName name="P7_SCOPE_PER_PRT" hidden="1">[15]перекрестка!$N$72:$N$76,[15]перекрестка!$F$78:$H$82,[15]перекрестка!$J$78:$K$82,[15]перекрестка!$N$78:$N$82,[15]перекрестка!$F$84:$H$88</definedName>
    <definedName name="P7_T1_Protect" localSheetId="9" hidden="1">[25]перекрестка!$N$108:$N$112,[25]перекрестка!$N$114:$N$118,[25]перекрестка!$N$120:$N$124,[25]перекрестка!$N$127:$N$138,[25]перекрестка!$N$140:$N$144</definedName>
    <definedName name="P7_T1_Protect" localSheetId="4" hidden="1">[25]перекрестка!$N$108:$N$112,[25]перекрестка!$N$114:$N$118,[25]перекрестка!$N$120:$N$124,[25]перекрестка!$N$127:$N$138,[25]перекрестка!$N$140:$N$144</definedName>
    <definedName name="P7_T1_Protect" localSheetId="8" hidden="1">#REF!,#REF!,#REF!,#REF!,#REF!</definedName>
    <definedName name="P7_T1_Protect" hidden="1">#REF!,#REF!,#REF!,#REF!,#REF!</definedName>
    <definedName name="P7_T28_Protection">'[20]28'!$G$11:$H$13,'[20]28'!$D$16:$E$18,'[20]28'!$G$16:$H$18,'[20]28'!$D$22:$E$24,'[20]28'!$G$22:$H$24,'[20]28'!$D$28:$E$30,'[20]28'!$G$28:$H$30,'[20]28'!$D$37:$E$39</definedName>
    <definedName name="P8_SCOPE_FULL_LOAD" localSheetId="9" hidden="1">#REF!,#REF!,#REF!,#REF!,#REF!,#REF!</definedName>
    <definedName name="P8_SCOPE_FULL_LOAD" localSheetId="4" hidden="1">#REF!,#REF!,#REF!,#REF!,#REF!,#REF!</definedName>
    <definedName name="P8_SCOPE_FULL_LOAD" localSheetId="8" hidden="1">#REF!,#REF!,#REF!,#REF!,#REF!,#REF!</definedName>
    <definedName name="P8_SCOPE_FULL_LOAD" hidden="1">#REF!,#REF!,#REF!,#REF!,#REF!,#REF!</definedName>
    <definedName name="P8_SCOPE_NOTIND" localSheetId="9" hidden="1">#REF!,#REF!,#REF!,#REF!,#REF!,#REF!</definedName>
    <definedName name="P8_SCOPE_NOTIND" localSheetId="4" hidden="1">#REF!,#REF!,#REF!,#REF!,#REF!,#REF!</definedName>
    <definedName name="P8_SCOPE_NOTIND" hidden="1">#REF!,#REF!,#REF!,#REF!,#REF!,#REF!</definedName>
    <definedName name="P8_SCOPE_PER_PRT" localSheetId="9">[15]перекрестка!$J$84:$K$88,[15]перекрестка!$N$84:$N$88,[15]перекрестка!$F$14:$G$25,P1_SCOPE_PER_PRT,P2_SCOPE_PER_PRT,P3_SCOPE_PER_PRT,P4_SCOPE_PER_PRT</definedName>
    <definedName name="P8_SCOPE_PER_PRT" hidden="1">[15]перекрестка!$J$84:$K$88,[15]перекрестка!$N$84:$N$88,[15]перекрестка!$F$14:$G$25,P1_SCOPE_PER_PRT,P2_SCOPE_PER_PRT,P3_SCOPE_PER_PRT,P4_SCOPE_PER_PRT</definedName>
    <definedName name="P8_T1_Protect" localSheetId="9" hidden="1">[25]перекрестка!$N$146:$N$150,[25]перекрестка!$N$152:$N$156,[25]перекрестка!$N$158:$N$162,[25]перекрестка!$F$11:$G$11,[25]перекрестка!$F$12:$H$16</definedName>
    <definedName name="P8_T1_Protect" localSheetId="4" hidden="1">[25]перекрестка!$N$146:$N$150,[25]перекрестка!$N$152:$N$156,[25]перекрестка!$N$158:$N$162,[25]перекрестка!$F$11:$G$11,[25]перекрестка!$F$12:$H$16</definedName>
    <definedName name="P8_T1_Protect" localSheetId="8" hidden="1">#REF!,#REF!,#REF!,#REF!,#REF!</definedName>
    <definedName name="P8_T1_Protect" hidden="1">#REF!,#REF!,#REF!,#REF!,#REF!</definedName>
    <definedName name="P8_T28_Protection">'[20]28'!$G$37:$H$39,'[20]28'!$D$42:$E$44,'[20]28'!$G$42:$H$44,'[20]28'!$D$48:$E$50,'[20]28'!$G$48:$H$50,'[20]28'!$D$54:$E$56,'[20]28'!$G$54:$H$56,'[20]28'!$D$89:$E$91</definedName>
    <definedName name="P9_SCOPE_FULL_LOAD" localSheetId="9" hidden="1">#REF!,#REF!,#REF!,#REF!,#REF!,#REF!</definedName>
    <definedName name="P9_SCOPE_FULL_LOAD" localSheetId="4" hidden="1">#REF!,#REF!,#REF!,#REF!,#REF!,#REF!</definedName>
    <definedName name="P9_SCOPE_FULL_LOAD" localSheetId="8" hidden="1">#REF!,#REF!,#REF!,#REF!,#REF!,#REF!</definedName>
    <definedName name="P9_SCOPE_FULL_LOAD" hidden="1">#REF!,#REF!,#REF!,#REF!,#REF!,#REF!</definedName>
    <definedName name="P9_SCOPE_NotInd" localSheetId="9" hidden="1">#REF!,'1. подк.неподк. факт'!P1_SCOPE_NOTIND,'1. подк.неподк. факт'!P2_SCOPE_NOTIND,'1. подк.неподк. факт'!P3_SCOPE_NOTIND,'1. подк.неподк. факт'!P4_SCOPE_NOTIND,'1. подк.неподк. факт'!P5_SCOPE_NOTIND,'1. подк.неподк. факт'!P6_SCOPE_NOTIND,'1. подк.неподк. факт'!P7_SCOPE_NOTIND</definedName>
    <definedName name="P9_SCOPE_NotInd" localSheetId="4" hidden="1">#REF!,'5. подк.неподк.план'!P1_SCOPE_NOTIND,'5. подк.неподк.план'!P2_SCOPE_NOTIND,'5. подк.неподк.план'!P3_SCOPE_NOTIND,'5. подк.неподк.план'!P4_SCOPE_NOTIND,'5. подк.неподк.план'!P5_SCOPE_NOTIND,'5. подк.неподк.план'!P6_SCOPE_NOTIND,'5. подк.неподк.план'!P7_SCOPE_NOTIND</definedName>
    <definedName name="P9_SCOPE_NotInd" localSheetId="8" hidden="1">#REF!,'8.Бюджет на 2015'!P1_SCOPE_NOTIND,'8.Бюджет на 2015'!P2_SCOPE_NOTIND,'8.Бюджет на 2015'!P3_SCOPE_NOTIND,'8.Бюджет на 2015'!P4_SCOPE_NOTIND,'8.Бюджет на 2015'!P5_SCOPE_NOTIND,'8.Бюджет на 2015'!P6_SCOPE_NOTIND,P7_SCOPE_NOTIND</definedName>
    <definedName name="P9_SCOPE_NotInd" hidden="1">#REF!,P1_SCOPE_NOTIND,P2_SCOPE_NOTIND,P3_SCOPE_NOTIND,P4_SCOPE_NOTIND,P5_SCOPE_NOTIND,P6_SCOPE_NOTIND,P7_SCOPE_NOTIND</definedName>
    <definedName name="P9_T1_Protect" localSheetId="9" hidden="1">[25]перекрестка!$F$17:$G$17,[25]перекрестка!$F$18:$H$22,[25]перекрестка!$F$24:$H$28,[25]перекрестка!$F$30:$H$34,[25]перекрестка!$F$36:$H$40</definedName>
    <definedName name="P9_T1_Protect" localSheetId="4" hidden="1">[25]перекрестка!$F$17:$G$17,[25]перекрестка!$F$18:$H$22,[25]перекрестка!$F$24:$H$28,[25]перекрестка!$F$30:$H$34,[25]перекрестка!$F$36:$H$40</definedName>
    <definedName name="P9_T1_Protect" localSheetId="8" hidden="1">#REF!,#REF!,#REF!,#REF!,#REF!</definedName>
    <definedName name="P9_T1_Protect" hidden="1">#REF!,#REF!,#REF!,#REF!,#REF!</definedName>
    <definedName name="P9_T28_Protection">'[20]28'!$G$89:$H$91,'[20]28'!$G$94:$H$96,'[20]28'!$D$94:$E$96,'[20]28'!$D$100:$E$102,'[20]28'!$G$100:$H$102,'[20]28'!$D$106:$E$108,'[20]28'!$G$106:$H$108,'[20]28'!$D$167:$E$169</definedName>
    <definedName name="PER_ET" localSheetId="9">#REF!</definedName>
    <definedName name="PER_ET" localSheetId="4">#REF!</definedName>
    <definedName name="PER_ET">#REF!</definedName>
    <definedName name="Personal">'[28]6 Списки'!$A$2:$A$20</definedName>
    <definedName name="polta" localSheetId="9">#REF!</definedName>
    <definedName name="polta" localSheetId="4">#REF!</definedName>
    <definedName name="polta">#REF!</definedName>
    <definedName name="post_without_enes_name">[18]REESTR_ORG!$X$156:$X$189</definedName>
    <definedName name="POWER_DISBALANCE" localSheetId="9">#REF!</definedName>
    <definedName name="POWER_DISBALANCE" localSheetId="4">#REF!</definedName>
    <definedName name="POWER_DISBALANCE">#REF!</definedName>
    <definedName name="POWER_TOTAL_DISBALANCE" localSheetId="9">#REF!</definedName>
    <definedName name="POWER_TOTAL_DISBALANCE" localSheetId="4">#REF!</definedName>
    <definedName name="POWER_TOTAL_DISBALANCE">#REF!</definedName>
    <definedName name="PR_ET">[10]TEHSHEET!#REF!</definedName>
    <definedName name="PR_OBJ_ET">[10]TEHSHEET!#REF!</definedName>
    <definedName name="PR_OPT" localSheetId="9">#REF!</definedName>
    <definedName name="PR_OPT" localSheetId="4">#REF!</definedName>
    <definedName name="PR_OPT">#REF!</definedName>
    <definedName name="PR_ROZN" localSheetId="9">#REF!</definedName>
    <definedName name="PR_ROZN" localSheetId="4">#REF!</definedName>
    <definedName name="PR_ROZN">#REF!</definedName>
    <definedName name="Project">[29]Списки!$B$2:$B$21</definedName>
    <definedName name="PROT" localSheetId="9">#REF!,#REF!,#REF!,#REF!,#REF!,#REF!</definedName>
    <definedName name="PROT" localSheetId="4">#REF!,#REF!,#REF!,#REF!,#REF!,#REF!</definedName>
    <definedName name="PROT">#REF!,#REF!,#REF!,#REF!,#REF!,#REF!</definedName>
    <definedName name="qweqweq" localSheetId="9" hidden="1">[25]перекрестка!$F$139:$G$139,[25]перекрестка!$F$145:$G$145,[25]перекрестка!$J$36:$K$40,'1. подк.неподк. факт'!P1_T1_Protect,'1. подк.неподк. факт'!P2_T1_Protect,'1. подк.неподк. факт'!P3_T1_Protect,'1. подк.неподк. факт'!P4_T1_Protect</definedName>
    <definedName name="qweqweq" localSheetId="4" hidden="1">[25]перекрестка!$F$139:$G$139,[25]перекрестка!$F$145:$G$145,[25]перекрестка!$J$36:$K$40,'5. подк.неподк.план'!P1_T1_Protect,'5. подк.неподк.план'!P2_T1_Protect,'5. подк.неподк.план'!P3_T1_Protect,'5. подк.неподк.план'!P4_T1_Protect</definedName>
    <definedName name="qweqweq" localSheetId="8" hidden="1">[25]перекрестка!$F$139:$G$139,[25]перекрестка!$F$145:$G$145,[25]перекрестка!$J$36:$K$40,'8.Бюджет на 2015'!P1_T1_Protect,'8.Бюджет на 2015'!P2_T1_Protect,'8.Бюджет на 2015'!P3_T1_Protect,'8.Бюджет на 2015'!P4_T1_Protect</definedName>
    <definedName name="qweqweq" hidden="1">[25]перекрестка!$F$139:$G$139,[25]перекрестка!$F$145:$G$145,[25]перекрестка!$J$36:$K$40,[0]!P1_T1_Protect,[0]!P2_T1_Protect,[0]!P3_T1_Protect,[0]!P4_T1_Protect</definedName>
    <definedName name="REG_ET" localSheetId="9">#REF!</definedName>
    <definedName name="REG_ET" localSheetId="4">#REF!</definedName>
    <definedName name="REG_ET">#REF!</definedName>
    <definedName name="reg_name">[18]Титульный!$F$6</definedName>
    <definedName name="REG_PROT" localSheetId="9">#REF!,#REF!,#REF!,#REF!,#REF!,#REF!,#REF!</definedName>
    <definedName name="REG_PROT" localSheetId="4">#REF!,#REF!,#REF!,#REF!,#REF!,#REF!,#REF!</definedName>
    <definedName name="REG_PROT">#REF!,#REF!,#REF!,#REF!,#REF!,#REF!,#REF!</definedName>
    <definedName name="REGcom" localSheetId="9">#REF!</definedName>
    <definedName name="REGcom" localSheetId="4">#REF!</definedName>
    <definedName name="REGcom">#REF!</definedName>
    <definedName name="REGION">[30]TEHSHEET!$B$2:$B$86</definedName>
    <definedName name="region_name">[22]Титульный!$F$8</definedName>
    <definedName name="REGIONS">[15]TEHSHEET!$C$6:$C$89</definedName>
    <definedName name="REGUL" localSheetId="9">#REF!</definedName>
    <definedName name="REGUL" localSheetId="4">#REF!</definedName>
    <definedName name="REGUL">#REF!</definedName>
    <definedName name="rgk">[14]FST5!$G$214:$G$217,[14]FST5!$G$219:$G$224,[14]FST5!$G$226,[14]FST5!$G$228,[14]FST5!$G$230,[14]FST5!$G$232,[14]FST5!$G$197:$G$212</definedName>
    <definedName name="ROW_MARKER_1" localSheetId="9">#REF!</definedName>
    <definedName name="ROW_MARKER_1" localSheetId="4">#REF!</definedName>
    <definedName name="ROW_MARKER_1">#REF!</definedName>
    <definedName name="ROW_MARKER_2" localSheetId="9">#REF!</definedName>
    <definedName name="ROW_MARKER_2" localSheetId="4">#REF!</definedName>
    <definedName name="ROW_MARKER_2">#REF!</definedName>
    <definedName name="ROZN_09" localSheetId="9">'[12]2009'!#REF!</definedName>
    <definedName name="ROZN_09" localSheetId="4">'[12]2009'!#REF!</definedName>
    <definedName name="ROZN_09">'[12]2009'!#REF!</definedName>
    <definedName name="rr">#N/A</definedName>
    <definedName name="ŕŕ">#N/A</definedName>
    <definedName name="RRE" localSheetId="9">#REF!</definedName>
    <definedName name="RRE" localSheetId="4">#REF!</definedName>
    <definedName name="RRE">#REF!</definedName>
    <definedName name="rrtget6">#N/A</definedName>
    <definedName name="S1_" localSheetId="9">#REF!</definedName>
    <definedName name="S1_" localSheetId="4">#REF!</definedName>
    <definedName name="S1_">#REF!</definedName>
    <definedName name="S10_" localSheetId="9">#REF!</definedName>
    <definedName name="S10_" localSheetId="4">#REF!</definedName>
    <definedName name="S10_">#REF!</definedName>
    <definedName name="S11_" localSheetId="9">#REF!</definedName>
    <definedName name="S11_" localSheetId="4">#REF!</definedName>
    <definedName name="S11_">#REF!</definedName>
    <definedName name="S12_" localSheetId="9">#REF!</definedName>
    <definedName name="S12_" localSheetId="4">#REF!</definedName>
    <definedName name="S12_">#REF!</definedName>
    <definedName name="S13_" localSheetId="9">#REF!</definedName>
    <definedName name="S13_" localSheetId="4">#REF!</definedName>
    <definedName name="S13_">#REF!</definedName>
    <definedName name="S14_" localSheetId="9">#REF!</definedName>
    <definedName name="S14_" localSheetId="4">#REF!</definedName>
    <definedName name="S14_">#REF!</definedName>
    <definedName name="S15_" localSheetId="9">#REF!</definedName>
    <definedName name="S15_" localSheetId="4">#REF!</definedName>
    <definedName name="S15_">#REF!</definedName>
    <definedName name="S16_" localSheetId="9">#REF!</definedName>
    <definedName name="S16_" localSheetId="4">#REF!</definedName>
    <definedName name="S16_">#REF!</definedName>
    <definedName name="S17_" localSheetId="9">#REF!</definedName>
    <definedName name="S17_" localSheetId="4">#REF!</definedName>
    <definedName name="S17_">#REF!</definedName>
    <definedName name="S18_" localSheetId="9">#REF!</definedName>
    <definedName name="S18_" localSheetId="4">#REF!</definedName>
    <definedName name="S18_">#REF!</definedName>
    <definedName name="S19_" localSheetId="9">#REF!</definedName>
    <definedName name="S19_" localSheetId="4">#REF!</definedName>
    <definedName name="S19_">#REF!</definedName>
    <definedName name="S2_" localSheetId="9">#REF!</definedName>
    <definedName name="S2_" localSheetId="4">#REF!</definedName>
    <definedName name="S2_">#REF!</definedName>
    <definedName name="S20_" localSheetId="9">#REF!</definedName>
    <definedName name="S20_" localSheetId="4">#REF!</definedName>
    <definedName name="S20_">#REF!</definedName>
    <definedName name="S3_" localSheetId="9">#REF!</definedName>
    <definedName name="S3_" localSheetId="4">#REF!</definedName>
    <definedName name="S3_">#REF!</definedName>
    <definedName name="S4_" localSheetId="9">#REF!</definedName>
    <definedName name="S4_" localSheetId="4">#REF!</definedName>
    <definedName name="S4_">#REF!</definedName>
    <definedName name="S5_" localSheetId="9">#REF!</definedName>
    <definedName name="S5_" localSheetId="4">#REF!</definedName>
    <definedName name="S5_">#REF!</definedName>
    <definedName name="S6_" localSheetId="9">#REF!</definedName>
    <definedName name="S6_" localSheetId="4">#REF!</definedName>
    <definedName name="S6_">#REF!</definedName>
    <definedName name="S7_" localSheetId="9">#REF!</definedName>
    <definedName name="S7_" localSheetId="4">#REF!</definedName>
    <definedName name="S7_">#REF!</definedName>
    <definedName name="S8_" localSheetId="9">#REF!</definedName>
    <definedName name="S8_" localSheetId="4">#REF!</definedName>
    <definedName name="S8_">#REF!</definedName>
    <definedName name="S9_" localSheetId="9">#REF!</definedName>
    <definedName name="S9_" localSheetId="4">#REF!</definedName>
    <definedName name="S9_">#REF!</definedName>
    <definedName name="SAPBEXrevision" hidden="1">1</definedName>
    <definedName name="SAPBEXsysID" hidden="1">"BW2"</definedName>
    <definedName name="SAPBEXwbID" hidden="1">"479GSPMTNK9HM4ZSIVE5K2SH6"</definedName>
    <definedName name="SBT_ET" localSheetId="9">#REF!</definedName>
    <definedName name="SBT_ET" localSheetId="4">#REF!</definedName>
    <definedName name="SBT_ET">#REF!</definedName>
    <definedName name="SBT_PROT">#N/A</definedName>
    <definedName name="SBTcom" localSheetId="9">#REF!</definedName>
    <definedName name="SBTcom" localSheetId="4">#REF!</definedName>
    <definedName name="SBTcom">#REF!</definedName>
    <definedName name="sbwt_name">[18]REESTR_ORG!$H$156:$H$185</definedName>
    <definedName name="sbyt">[14]FST5!$G$70:$G$75,[14]FST5!$G$77:$G$78,[14]FST5!$G$80:$G$83,[14]FST5!$G$85,[14]FST5!$G$87:$G$91,[14]FST5!$G$93,[14]FST5!$G$95:$G$97,[14]FST5!$G$52:$G$68</definedName>
    <definedName name="sch" localSheetId="9">#REF!</definedName>
    <definedName name="sch" localSheetId="4">#REF!</definedName>
    <definedName name="sch">#REF!</definedName>
    <definedName name="SCOPE" localSheetId="9">#REF!</definedName>
    <definedName name="SCOPE" localSheetId="4">#REF!</definedName>
    <definedName name="SCOPE">#REF!</definedName>
    <definedName name="SCOPE_16_PRT" localSheetId="9">#N/A</definedName>
    <definedName name="SCOPE_16_PRT" localSheetId="4">#N/A</definedName>
    <definedName name="SCOPE_16_PRT">#N/A</definedName>
    <definedName name="SCOPE_17.1_LD" localSheetId="9">#REF!</definedName>
    <definedName name="SCOPE_17.1_LD" localSheetId="4">#REF!</definedName>
    <definedName name="SCOPE_17.1_LD">#REF!</definedName>
    <definedName name="SCOPE_17.1_PRT" localSheetId="9">#REF!,#REF!,#REF!,#REF!,#REF!,#REF!</definedName>
    <definedName name="SCOPE_17.1_PRT" localSheetId="4">#REF!,#REF!,#REF!,#REF!,#REF!,#REF!</definedName>
    <definedName name="SCOPE_17.1_PRT">#REF!,#REF!,#REF!,#REF!,#REF!,#REF!</definedName>
    <definedName name="SCOPE_17_LD" localSheetId="9">#REF!</definedName>
    <definedName name="SCOPE_17_LD" localSheetId="4">#REF!</definedName>
    <definedName name="SCOPE_17_LD">#REF!</definedName>
    <definedName name="SCOPE_17_PRT">'[15]17'!$J$39:$M$41,'[15]17'!$E$43:$H$51,'[15]17'!$J$43:$M$51,'[15]17'!$E$54:$H$56,'[15]17'!$E$58:$H$66,'[15]17'!$E$69:$M$81,'[15]17'!$E$9:$H$11,P1_SCOPE_17_PRT</definedName>
    <definedName name="SCOPE_2" localSheetId="9">#REF!</definedName>
    <definedName name="SCOPE_2" localSheetId="4">#REF!</definedName>
    <definedName name="SCOPE_2">#REF!</definedName>
    <definedName name="SCOPE_2_1" localSheetId="9">#REF!</definedName>
    <definedName name="SCOPE_2_1" localSheetId="4">#REF!</definedName>
    <definedName name="SCOPE_2_1">#REF!</definedName>
    <definedName name="SCOPE_2_DR1" localSheetId="9">#REF!</definedName>
    <definedName name="SCOPE_2_DR1" localSheetId="4">#REF!</definedName>
    <definedName name="SCOPE_2_DR1">#REF!</definedName>
    <definedName name="SCOPE_2_DR10" localSheetId="9">#REF!</definedName>
    <definedName name="SCOPE_2_DR10" localSheetId="4">#REF!</definedName>
    <definedName name="SCOPE_2_DR10">#REF!</definedName>
    <definedName name="SCOPE_2_DR11" localSheetId="9">#REF!</definedName>
    <definedName name="SCOPE_2_DR11" localSheetId="4">#REF!</definedName>
    <definedName name="SCOPE_2_DR11">#REF!</definedName>
    <definedName name="SCOPE_2_DR2" localSheetId="9">#REF!</definedName>
    <definedName name="SCOPE_2_DR2" localSheetId="4">#REF!</definedName>
    <definedName name="SCOPE_2_DR2">#REF!</definedName>
    <definedName name="SCOPE_2_DR3" localSheetId="9">#REF!</definedName>
    <definedName name="SCOPE_2_DR3" localSheetId="4">#REF!</definedName>
    <definedName name="SCOPE_2_DR3">#REF!</definedName>
    <definedName name="SCOPE_2_DR4" localSheetId="9">#REF!</definedName>
    <definedName name="SCOPE_2_DR4" localSheetId="4">#REF!</definedName>
    <definedName name="SCOPE_2_DR4">#REF!</definedName>
    <definedName name="SCOPE_2_DR5" localSheetId="9">#REF!</definedName>
    <definedName name="SCOPE_2_DR5" localSheetId="4">#REF!</definedName>
    <definedName name="SCOPE_2_DR5">#REF!</definedName>
    <definedName name="SCOPE_2_DR6" localSheetId="9">#REF!</definedName>
    <definedName name="SCOPE_2_DR6" localSheetId="4">#REF!</definedName>
    <definedName name="SCOPE_2_DR6">#REF!</definedName>
    <definedName name="SCOPE_2_DR7" localSheetId="9">#REF!</definedName>
    <definedName name="SCOPE_2_DR7" localSheetId="4">#REF!</definedName>
    <definedName name="SCOPE_2_DR7">#REF!</definedName>
    <definedName name="SCOPE_2_DR8" localSheetId="9">#REF!</definedName>
    <definedName name="SCOPE_2_DR8" localSheetId="4">#REF!</definedName>
    <definedName name="SCOPE_2_DR8">#REF!</definedName>
    <definedName name="SCOPE_2_DR9" localSheetId="9">#REF!</definedName>
    <definedName name="SCOPE_2_DR9" localSheetId="4">#REF!</definedName>
    <definedName name="SCOPE_2_DR9">#REF!</definedName>
    <definedName name="SCOPE_24_LD">'[15]24'!$E$8:$J$47,'[15]24'!$E$49:$J$66</definedName>
    <definedName name="SCOPE_24_PRT">'[15]24'!$E$41:$I$41,'[15]24'!$E$34:$I$34,'[15]24'!$E$36:$I$36,'[15]24'!$E$43:$I$43</definedName>
    <definedName name="SCOPE_25_PRT">'[15]25'!$E$20:$I$20,'[15]25'!$E$34:$I$34,'[15]25'!$E$41:$I$41,'[15]25'!$E$8:$I$10</definedName>
    <definedName name="SCOPE_3_DR1" localSheetId="9">#REF!</definedName>
    <definedName name="SCOPE_3_DR1" localSheetId="4">#REF!</definedName>
    <definedName name="SCOPE_3_DR1">#REF!</definedName>
    <definedName name="SCOPE_3_DR10" localSheetId="9">#REF!</definedName>
    <definedName name="SCOPE_3_DR10" localSheetId="4">#REF!</definedName>
    <definedName name="SCOPE_3_DR10">#REF!</definedName>
    <definedName name="SCOPE_3_DR11" localSheetId="9">#REF!</definedName>
    <definedName name="SCOPE_3_DR11" localSheetId="4">#REF!</definedName>
    <definedName name="SCOPE_3_DR11">#REF!</definedName>
    <definedName name="SCOPE_3_DR2" localSheetId="9">#REF!</definedName>
    <definedName name="SCOPE_3_DR2" localSheetId="4">#REF!</definedName>
    <definedName name="SCOPE_3_DR2">#REF!</definedName>
    <definedName name="SCOPE_3_DR3" localSheetId="9">#REF!</definedName>
    <definedName name="SCOPE_3_DR3" localSheetId="4">#REF!</definedName>
    <definedName name="SCOPE_3_DR3">#REF!</definedName>
    <definedName name="SCOPE_3_DR4" localSheetId="9">#REF!</definedName>
    <definedName name="SCOPE_3_DR4" localSheetId="4">#REF!</definedName>
    <definedName name="SCOPE_3_DR4">#REF!</definedName>
    <definedName name="SCOPE_3_DR5" localSheetId="9">#REF!</definedName>
    <definedName name="SCOPE_3_DR5" localSheetId="4">#REF!</definedName>
    <definedName name="SCOPE_3_DR5">#REF!</definedName>
    <definedName name="SCOPE_3_DR6" localSheetId="9">#REF!</definedName>
    <definedName name="SCOPE_3_DR6" localSheetId="4">#REF!</definedName>
    <definedName name="SCOPE_3_DR6">#REF!</definedName>
    <definedName name="SCOPE_3_DR7" localSheetId="9">#REF!</definedName>
    <definedName name="SCOPE_3_DR7" localSheetId="4">#REF!</definedName>
    <definedName name="SCOPE_3_DR7">#REF!</definedName>
    <definedName name="SCOPE_3_DR8" localSheetId="9">#REF!</definedName>
    <definedName name="SCOPE_3_DR8" localSheetId="4">#REF!</definedName>
    <definedName name="SCOPE_3_DR8">#REF!</definedName>
    <definedName name="SCOPE_3_DR9" localSheetId="9">#REF!</definedName>
    <definedName name="SCOPE_3_DR9" localSheetId="4">#REF!</definedName>
    <definedName name="SCOPE_3_DR9">#REF!</definedName>
    <definedName name="SCOPE_4_PRT">'[15]4'!$Z$27:$AC$31,'[15]4'!$F$14:$I$20,P1_SCOPE_4_PRT,P2_SCOPE_4_PRT</definedName>
    <definedName name="SCOPE_5_PRT">'[15]5'!$Z$27:$AC$31,'[15]5'!$F$14:$I$21,P1_SCOPE_5_PRT,P2_SCOPE_5_PRT</definedName>
    <definedName name="SCOPE_APR" localSheetId="9">#REF!</definedName>
    <definedName name="SCOPE_APR" localSheetId="4">#REF!</definedName>
    <definedName name="SCOPE_APR">#REF!</definedName>
    <definedName name="SCOPE_AUG" localSheetId="9">#REF!</definedName>
    <definedName name="SCOPE_AUG" localSheetId="4">#REF!</definedName>
    <definedName name="SCOPE_AUG">#REF!</definedName>
    <definedName name="SCOPE_BAL_EN" localSheetId="9">#REF!</definedName>
    <definedName name="SCOPE_BAL_EN" localSheetId="4">#REF!</definedName>
    <definedName name="SCOPE_BAL_EN">#REF!</definedName>
    <definedName name="SCOPE_BAL_PW" localSheetId="9">[31]мощность!$D$18:$P$21,[31]мощность!$S$18:$AE$21,[31]мощность!$AH$18:$AT$21,[31]мощность!$AW$18:$BI$21,[31]мощность!$BL$18:$BX$21,[31]мощность!$CA$18:$CM$21,[31]мощность!$CP$18:$DB$21,[31]мощность!$DE$18:$DQ$21,[31]мощность!$DT$18:$EF$21,[31]мощность!$EI$18:$EU$21,[31]мощность!$EX$18:$FJ$21,[31]мощность!$FM$18:$FY$21,[31]мощность!$GD$18:$GP$21</definedName>
    <definedName name="SCOPE_BAL_PW" localSheetId="4">[31]мощность!$D$18:$P$21,[31]мощность!$S$18:$AE$21,[31]мощность!$AH$18:$AT$21,[31]мощность!$AW$18:$BI$21,[31]мощность!$BL$18:$BX$21,[31]мощность!$CA$18:$CM$21,[31]мощность!$CP$18:$DB$21,[31]мощность!$DE$18:$DQ$21,[31]мощность!$DT$18:$EF$21,[31]мощность!$EI$18:$EU$21,[31]мощность!$EX$18:$FJ$21,[31]мощность!$FM$18:$FY$21,[31]мощность!$GD$18:$GP$21</definedName>
    <definedName name="SCOPE_BAL_PW">[32]мощность!$D$18:$P$21,[32]мощность!$S$18:$AE$21,[32]мощность!$AH$18:$AT$21,[32]мощность!$AW$18:$BI$21,[32]мощность!$BL$18:$BX$21,[32]мощность!$CA$18:$CM$21,[32]мощность!$CP$18:$DB$21,[32]мощность!$DE$18:$DQ$21,[32]мощность!$DT$18:$EF$21,[32]мощность!$EI$18:$EU$21,[32]мощность!$EX$18:$FJ$21,[32]мощность!$FM$18:$FY$21,[32]мощность!$GD$18:$GP$21</definedName>
    <definedName name="SCOPE_CL">[33]Справочники!$F$11:$F$11</definedName>
    <definedName name="SCOPE_CORR" localSheetId="9">#REF!,#REF!,#REF!,#REF!,#REF!,'1. подк.неподк. факт'!P1_SCOPE_CORR,'1. подк.неподк. факт'!P2_SCOPE_CORR</definedName>
    <definedName name="SCOPE_CORR" localSheetId="4">#REF!,#REF!,#REF!,#REF!,#REF!,'5. подк.неподк.план'!P1_SCOPE_CORR,'5. подк.неподк.план'!P2_SCOPE_CORR</definedName>
    <definedName name="SCOPE_CORR">#REF!,#REF!,#REF!,#REF!,#REF!,P1_SCOPE_CORR,P2_SCOPE_CORR</definedName>
    <definedName name="SCOPE_CPR" localSheetId="9">#REF!</definedName>
    <definedName name="SCOPE_CPR" localSheetId="4">#REF!</definedName>
    <definedName name="SCOPE_CPR">#REF!</definedName>
    <definedName name="SCOPE_DEC" localSheetId="9">#REF!</definedName>
    <definedName name="SCOPE_DEC" localSheetId="4">#REF!</definedName>
    <definedName name="SCOPE_DEC">#REF!</definedName>
    <definedName name="SCOPE_DOP" localSheetId="9">[8]Регионы!#REF!,'1. подк.неподк. факт'!P1_SCOPE_DOP</definedName>
    <definedName name="SCOPE_DOP" localSheetId="4">[8]Регионы!#REF!,'5. подк.неподк.план'!P1_SCOPE_DOP</definedName>
    <definedName name="SCOPE_DOP">[8]Регионы!#REF!,P1_SCOPE_DOP</definedName>
    <definedName name="SCOPE_DOP2" localSheetId="9">#REF!,#REF!,#REF!,#REF!,#REF!,#REF!</definedName>
    <definedName name="SCOPE_DOP2" localSheetId="4">#REF!,#REF!,#REF!,#REF!,#REF!,#REF!</definedName>
    <definedName name="SCOPE_DOP2">#REF!,#REF!,#REF!,#REF!,#REF!,#REF!</definedName>
    <definedName name="SCOPE_DOP3" localSheetId="9">#REF!,#REF!,#REF!,#REF!,#REF!,#REF!</definedName>
    <definedName name="SCOPE_DOP3" localSheetId="4">#REF!,#REF!,#REF!,#REF!,#REF!,#REF!</definedName>
    <definedName name="SCOPE_DOP3">#REF!,#REF!,#REF!,#REF!,#REF!,#REF!</definedName>
    <definedName name="SCOPE_ESOLD" localSheetId="9">#REF!</definedName>
    <definedName name="SCOPE_ESOLD" localSheetId="4">#REF!</definedName>
    <definedName name="SCOPE_ESOLD">#REF!</definedName>
    <definedName name="SCOPE_ETALON" localSheetId="9">#REF!</definedName>
    <definedName name="SCOPE_ETALON" localSheetId="4">#REF!</definedName>
    <definedName name="SCOPE_ETALON">#REF!</definedName>
    <definedName name="SCOPE_ETALON2" localSheetId="9">#REF!</definedName>
    <definedName name="SCOPE_ETALON2" localSheetId="4">#REF!</definedName>
    <definedName name="SCOPE_ETALON2">#REF!</definedName>
    <definedName name="SCOPE_F1_PRT" localSheetId="9">#REF!,'1. подк.неподк. факт'!P1_SCOPE_F1_PRT,'1. подк.неподк. факт'!P2_SCOPE_F1_PRT,'1. подк.неподк. факт'!P3_SCOPE_F1_PRT,'1. подк.неподк. факт'!P4_SCOPE_F1_PRT</definedName>
    <definedName name="SCOPE_F1_PRT" localSheetId="4">#REF!,'5. подк.неподк.план'!P1_SCOPE_F1_PRT,'5. подк.неподк.план'!P2_SCOPE_F1_PRT,'5. подк.неподк.план'!P3_SCOPE_F1_PRT,'5. подк.неподк.план'!P4_SCOPE_F1_PRT</definedName>
    <definedName name="SCOPE_F1_PRT">#REF!,P1_SCOPE_F1_PRT,P2_SCOPE_F1_PRT,P3_SCOPE_F1_PRT,P4_SCOPE_F1_PRT</definedName>
    <definedName name="SCOPE_F2_LD1" localSheetId="9">#REF!</definedName>
    <definedName name="SCOPE_F2_LD1" localSheetId="4">#REF!</definedName>
    <definedName name="SCOPE_F2_LD1">#REF!</definedName>
    <definedName name="SCOPE_F2_LD2" localSheetId="9">#REF!</definedName>
    <definedName name="SCOPE_F2_LD2" localSheetId="4">#REF!</definedName>
    <definedName name="SCOPE_F2_LD2">#REF!</definedName>
    <definedName name="SCOPE_F2_PRT" localSheetId="9">#REF!,#REF!,#REF!,'1. подк.неподк. факт'!P1_SCOPE_F2_PRT,'1. подк.неподк. факт'!P2_SCOPE_F2_PRT</definedName>
    <definedName name="SCOPE_F2_PRT" localSheetId="4">#REF!,#REF!,#REF!,'5. подк.неподк.план'!P1_SCOPE_F2_PRT,'5. подк.неподк.план'!P2_SCOPE_F2_PRT</definedName>
    <definedName name="SCOPE_F2_PRT">#REF!,#REF!,#REF!,P1_SCOPE_F2_PRT,P2_SCOPE_F2_PRT</definedName>
    <definedName name="SCOPE_FEB" localSheetId="9">#REF!</definedName>
    <definedName name="SCOPE_FEB" localSheetId="4">#REF!</definedName>
    <definedName name="SCOPE_FEB">#REF!</definedName>
    <definedName name="SCOPE_FL">[33]Справочники!$H$11:$H$14</definedName>
    <definedName name="SCOPE_FLOAD">#N/A</definedName>
    <definedName name="SCOPE_FORM46_EE1" localSheetId="9">#REF!</definedName>
    <definedName name="SCOPE_FORM46_EE1" localSheetId="4">#REF!</definedName>
    <definedName name="SCOPE_FORM46_EE1">#REF!</definedName>
    <definedName name="SCOPE_FORM46_EE1_ZAG_KOD">[10]Заголовок!#REF!</definedName>
    <definedName name="SCOPE_FRML">#N/A</definedName>
    <definedName name="SCOPE_FST7" localSheetId="9">#REF!,#REF!,#REF!,#REF!,'1. подк.неподк. факт'!P1_SCOPE_FST7</definedName>
    <definedName name="SCOPE_FST7" localSheetId="4">#REF!,#REF!,#REF!,#REF!,'5. подк.неподк.план'!P1_SCOPE_FST7</definedName>
    <definedName name="SCOPE_FST7">#REF!,#REF!,#REF!,#REF!,P1_SCOPE_FST7</definedName>
    <definedName name="SCOPE_FULL_LOAD" localSheetId="9">[0]!P16_SCOPE_FULL_LOAD,[0]!P17_SCOPE_FULL_LOAD</definedName>
    <definedName name="SCOPE_FULL_LOAD" localSheetId="4">[0]!P16_SCOPE_FULL_LOAD,[0]!P17_SCOPE_FULL_LOAD</definedName>
    <definedName name="SCOPE_FULL_LOAD">P16_SCOPE_FULL_LOAD,P17_SCOPE_FULL_LOAD</definedName>
    <definedName name="SCOPE_IND" localSheetId="9">#REF!,#REF!,'1. подк.неподк. факт'!P1_SCOPE_IND,'1. подк.неподк. факт'!P2_SCOPE_IND,'1. подк.неподк. факт'!P3_SCOPE_IND,'1. подк.неподк. факт'!P4_SCOPE_IND</definedName>
    <definedName name="SCOPE_IND" localSheetId="4">#REF!,#REF!,'5. подк.неподк.план'!P1_SCOPE_IND,'5. подк.неподк.план'!P2_SCOPE_IND,'5. подк.неподк.план'!P3_SCOPE_IND,'5. подк.неподк.план'!P4_SCOPE_IND</definedName>
    <definedName name="SCOPE_IND">#REF!,#REF!,P1_SCOPE_IND,P2_SCOPE_IND,P3_SCOPE_IND,P4_SCOPE_IND</definedName>
    <definedName name="SCOPE_IND2" localSheetId="9">#REF!,#REF!,#REF!,'1. подк.неподк. факт'!P1_SCOPE_IND2,'1. подк.неподк. факт'!P2_SCOPE_IND2,'1. подк.неподк. факт'!P3_SCOPE_IND2,'1. подк.неподк. факт'!P4_SCOPE_IND2</definedName>
    <definedName name="SCOPE_IND2" localSheetId="4">#REF!,#REF!,#REF!,'5. подк.неподк.план'!P1_SCOPE_IND2,'5. подк.неподк.план'!P2_SCOPE_IND2,'5. подк.неподк.план'!P3_SCOPE_IND2,'5. подк.неподк.план'!P4_SCOPE_IND2</definedName>
    <definedName name="SCOPE_IND2">#REF!,#REF!,#REF!,P1_SCOPE_IND2,P2_SCOPE_IND2,P3_SCOPE_IND2,P4_SCOPE_IND2</definedName>
    <definedName name="SCOPE_JAN" localSheetId="9">#REF!</definedName>
    <definedName name="SCOPE_JAN" localSheetId="4">#REF!</definedName>
    <definedName name="SCOPE_JAN">#REF!</definedName>
    <definedName name="SCOPE_JUL" localSheetId="9">#REF!</definedName>
    <definedName name="SCOPE_JUL" localSheetId="4">#REF!</definedName>
    <definedName name="SCOPE_JUL">#REF!</definedName>
    <definedName name="SCOPE_JUN" localSheetId="9">#REF!</definedName>
    <definedName name="SCOPE_JUN" localSheetId="4">#REF!</definedName>
    <definedName name="SCOPE_JUN">#REF!</definedName>
    <definedName name="scope_ld" localSheetId="9">#REF!</definedName>
    <definedName name="scope_ld" localSheetId="4">#REF!</definedName>
    <definedName name="scope_ld">#REF!</definedName>
    <definedName name="SCOPE_LOAD" localSheetId="9">#REF!</definedName>
    <definedName name="SCOPE_LOAD" localSheetId="4">#REF!</definedName>
    <definedName name="SCOPE_LOAD">#REF!</definedName>
    <definedName name="SCOPE_LOAD_FUEL" localSheetId="9">#REF!</definedName>
    <definedName name="SCOPE_LOAD_FUEL" localSheetId="4">#REF!</definedName>
    <definedName name="SCOPE_LOAD_FUEL">#REF!</definedName>
    <definedName name="SCOPE_LOAD1" localSheetId="9">#REF!</definedName>
    <definedName name="SCOPE_LOAD1" localSheetId="4">#REF!</definedName>
    <definedName name="SCOPE_LOAD1">#REF!</definedName>
    <definedName name="SCOPE_LOAD2">'[34]Стоимость ЭЭ'!$G$111:$AN$113,'[34]Стоимость ЭЭ'!$G$93:$AN$95,'[34]Стоимость ЭЭ'!$G$51:$AN$53</definedName>
    <definedName name="SCOPE_MAR" localSheetId="9">#REF!</definedName>
    <definedName name="SCOPE_MAR" localSheetId="4">#REF!</definedName>
    <definedName name="SCOPE_MAR">#REF!</definedName>
    <definedName name="SCOPE_MAY" localSheetId="9">#REF!</definedName>
    <definedName name="SCOPE_MAY" localSheetId="4">#REF!</definedName>
    <definedName name="SCOPE_MAY">#REF!</definedName>
    <definedName name="SCOPE_MO" localSheetId="9">[35]Справочники!$K$6:$K$742,[35]Справочники!#REF!</definedName>
    <definedName name="SCOPE_MO" localSheetId="4">[35]Справочники!$K$6:$K$742,[35]Справочники!#REF!</definedName>
    <definedName name="SCOPE_MO">[35]Справочники!$K$6:$K$742,[35]Справочники!#REF!</definedName>
    <definedName name="SCOPE_MUPS" localSheetId="9">[35]Свод!#REF!,[35]Свод!#REF!</definedName>
    <definedName name="SCOPE_MUPS" localSheetId="4">[35]Свод!#REF!,[35]Свод!#REF!</definedName>
    <definedName name="SCOPE_MUPS">[35]Свод!#REF!,[35]Свод!#REF!</definedName>
    <definedName name="SCOPE_MUPS_NAMES" localSheetId="9">[35]Свод!#REF!,[35]Свод!#REF!</definedName>
    <definedName name="SCOPE_MUPS_NAMES" localSheetId="4">[35]Свод!#REF!,[35]Свод!#REF!</definedName>
    <definedName name="SCOPE_MUPS_NAMES">[35]Свод!#REF!,[35]Свод!#REF!</definedName>
    <definedName name="SCOPE_NALOG">[36]Справочники!$R$3:$R$4</definedName>
    <definedName name="SCOPE_NOTIND" localSheetId="9">'1. подк.неподк. факт'!P1_SCOPE_NOTIND,'1. подк.неподк. факт'!P2_SCOPE_NOTIND,'1. подк.неподк. факт'!P3_SCOPE_NOTIND,'1. подк.неподк. факт'!P4_SCOPE_NOTIND,'1. подк.неподк. факт'!P5_SCOPE_NOTIND,'1. подк.неподк. факт'!P6_SCOPE_NOTIND,'1. подк.неподк. факт'!P7_SCOPE_NOTIND,'1. подк.неподк. факт'!P8_SCOPE_NOTIND</definedName>
    <definedName name="SCOPE_NOTIND" localSheetId="4">'5. подк.неподк.план'!P1_SCOPE_NOTIND,'5. подк.неподк.план'!P2_SCOPE_NOTIND,'5. подк.неподк.план'!P3_SCOPE_NOTIND,'5. подк.неподк.план'!P4_SCOPE_NOTIND,'5. подк.неподк.план'!P5_SCOPE_NOTIND,'5. подк.неподк.план'!P6_SCOPE_NOTIND,'5. подк.неподк.план'!P7_SCOPE_NOTIND,'5. подк.неподк.план'!P8_SCOPE_NOTIND</definedName>
    <definedName name="SCOPE_NOTIND">P1_SCOPE_NOTIND,P2_SCOPE_NOTIND,P3_SCOPE_NOTIND,P4_SCOPE_NOTIND,P5_SCOPE_NOTIND,P6_SCOPE_NOTIND,P7_SCOPE_NOTIND,P8_SCOPE_NOTIND</definedName>
    <definedName name="SCOPE_NotInd2" localSheetId="9">'1. подк.неподк. факт'!P4_SCOPE_NotInd2,'1. подк.неподк. факт'!P5_SCOPE_NotInd2,'1. подк.неподк. факт'!P6_SCOPE_NotInd2,'1. подк.неподк. факт'!P7_SCOPE_NotInd2</definedName>
    <definedName name="SCOPE_NotInd2" localSheetId="4">'5. подк.неподк.план'!P4_SCOPE_NotInd2,'5. подк.неподк.план'!P5_SCOPE_NotInd2,'5. подк.неподк.план'!P6_SCOPE_NotInd2,'5. подк.неподк.план'!P7_SCOPE_NotInd2</definedName>
    <definedName name="SCOPE_NotInd2">P4_SCOPE_NotInd2,P5_SCOPE_NotInd2,P6_SCOPE_NotInd2,P7_SCOPE_NotInd2</definedName>
    <definedName name="SCOPE_NotInd3" localSheetId="9">#REF!,#REF!,#REF!,'1. подк.неподк. факт'!P1_SCOPE_NotInd3,'1. подк.неподк. факт'!P2_SCOPE_NotInd3</definedName>
    <definedName name="SCOPE_NotInd3" localSheetId="4">#REF!,#REF!,#REF!,'5. подк.неподк.план'!P1_SCOPE_NotInd3,'5. подк.неподк.план'!P2_SCOPE_NotInd3</definedName>
    <definedName name="SCOPE_NotInd3">#REF!,#REF!,#REF!,P1_SCOPE_NotInd3,P2_SCOPE_NotInd3</definedName>
    <definedName name="SCOPE_NOV" localSheetId="9">#REF!</definedName>
    <definedName name="SCOPE_NOV" localSheetId="4">#REF!</definedName>
    <definedName name="SCOPE_NOV">#REF!</definedName>
    <definedName name="SCOPE_OCT" localSheetId="9">#REF!</definedName>
    <definedName name="SCOPE_OCT" localSheetId="4">#REF!</definedName>
    <definedName name="SCOPE_OCT">#REF!</definedName>
    <definedName name="SCOPE_ORE" localSheetId="9">#REF!</definedName>
    <definedName name="SCOPE_ORE" localSheetId="4">#REF!</definedName>
    <definedName name="SCOPE_ORE">#REF!</definedName>
    <definedName name="SCOPE_OUTD">[14]FST5!$G$23:$G$30,[14]FST5!$G$32:$G$35,[14]FST5!$G$37,[14]FST5!$G$39:$G$45,[14]FST5!$G$47,[14]FST5!$G$49,[14]FST5!$G$5:$G$21</definedName>
    <definedName name="SCOPE_PER_PRT" localSheetId="9">#N/A</definedName>
    <definedName name="SCOPE_PER_PRT" localSheetId="4">#N/A</definedName>
    <definedName name="SCOPE_PER_PRT">#N/A</definedName>
    <definedName name="SCOPE_PRD" localSheetId="9">#REF!</definedName>
    <definedName name="SCOPE_PRD" localSheetId="4">#REF!</definedName>
    <definedName name="SCOPE_PRD">#REF!</definedName>
    <definedName name="SCOPE_PRD_ET" localSheetId="9">#REF!</definedName>
    <definedName name="SCOPE_PRD_ET" localSheetId="4">#REF!</definedName>
    <definedName name="SCOPE_PRD_ET">#REF!</definedName>
    <definedName name="SCOPE_PRD_ET2" localSheetId="9">#REF!</definedName>
    <definedName name="SCOPE_PRD_ET2" localSheetId="4">#REF!</definedName>
    <definedName name="SCOPE_PRD_ET2">#REF!</definedName>
    <definedName name="SCOPE_PRT" localSheetId="9">#REF!,#REF!,#REF!,#REF!,#REF!,#REF!</definedName>
    <definedName name="SCOPE_PRT" localSheetId="4">#REF!,#REF!,#REF!,#REF!,#REF!,#REF!</definedName>
    <definedName name="SCOPE_PRT">#REF!,#REF!,#REF!,#REF!,#REF!,#REF!</definedName>
    <definedName name="SCOPE_PRZ" localSheetId="9">#REF!</definedName>
    <definedName name="SCOPE_PRZ" localSheetId="4">#REF!</definedName>
    <definedName name="SCOPE_PRZ">#REF!</definedName>
    <definedName name="SCOPE_PRZ_ET" localSheetId="9">#REF!</definedName>
    <definedName name="SCOPE_PRZ_ET" localSheetId="4">#REF!</definedName>
    <definedName name="SCOPE_PRZ_ET">#REF!</definedName>
    <definedName name="SCOPE_PRZ_ET2" localSheetId="9">#REF!</definedName>
    <definedName name="SCOPE_PRZ_ET2" localSheetId="4">#REF!</definedName>
    <definedName name="SCOPE_PRZ_ET2">#REF!</definedName>
    <definedName name="SCOPE_REGIONS" localSheetId="9">#REF!</definedName>
    <definedName name="SCOPE_REGIONS" localSheetId="4">#REF!</definedName>
    <definedName name="SCOPE_REGIONS">#REF!</definedName>
    <definedName name="SCOPE_REGLD" localSheetId="9">#REF!</definedName>
    <definedName name="SCOPE_REGLD" localSheetId="4">#REF!</definedName>
    <definedName name="SCOPE_REGLD">#REF!</definedName>
    <definedName name="SCOPE_RG" localSheetId="9">#REF!</definedName>
    <definedName name="SCOPE_RG" localSheetId="4">#REF!</definedName>
    <definedName name="SCOPE_RG">#REF!</definedName>
    <definedName name="SCOPE_SAVE2" localSheetId="9">#REF!,#REF!,#REF!,#REF!,#REF!,'1. подк.неподк. факт'!P1_SCOPE_SAVE2,'1. подк.неподк. факт'!P2_SCOPE_SAVE2</definedName>
    <definedName name="SCOPE_SAVE2" localSheetId="4">#REF!,#REF!,#REF!,#REF!,#REF!,'5. подк.неподк.план'!P1_SCOPE_SAVE2,'5. подк.неподк.план'!P2_SCOPE_SAVE2</definedName>
    <definedName name="SCOPE_SAVE2">#REF!,#REF!,#REF!,#REF!,#REF!,P1_SCOPE_SAVE2,P2_SCOPE_SAVE2</definedName>
    <definedName name="SCOPE_SBTLD" localSheetId="9">#REF!</definedName>
    <definedName name="SCOPE_SBTLD" localSheetId="4">#REF!</definedName>
    <definedName name="SCOPE_SBTLD">#REF!</definedName>
    <definedName name="SCOPE_SEP" localSheetId="9">#REF!</definedName>
    <definedName name="SCOPE_SEP" localSheetId="4">#REF!</definedName>
    <definedName name="SCOPE_SEP">#REF!</definedName>
    <definedName name="SCOPE_SETLD" localSheetId="9">#REF!</definedName>
    <definedName name="SCOPE_SETLD" localSheetId="4">#REF!</definedName>
    <definedName name="SCOPE_SETLD">#REF!</definedName>
    <definedName name="SCOPE_SPR_PRT">[15]Справочники!$D$21:$J$22,[15]Справочники!$E$13:$I$14,[15]Справочники!$F$27:$H$28</definedName>
    <definedName name="SCOPE_SS" localSheetId="9">#REF!,#REF!,#REF!,#REF!,#REF!,#REF!</definedName>
    <definedName name="SCOPE_SS" localSheetId="4">#REF!,#REF!,#REF!,#REF!,#REF!,#REF!</definedName>
    <definedName name="SCOPE_SS">#REF!,#REF!,#REF!,#REF!,#REF!,#REF!</definedName>
    <definedName name="SCOPE_SS2" localSheetId="9">#REF!</definedName>
    <definedName name="SCOPE_SS2" localSheetId="4">#REF!</definedName>
    <definedName name="SCOPE_SS2">#REF!</definedName>
    <definedName name="SCOPE_SV_LD1">[15]свод!$E$104:$M$104,[15]свод!$E$106:$M$117,[15]свод!$E$120:$M$121,[15]свод!$E$123:$M$127,[15]свод!$E$10:$M$68,P1_SCOPE_SV_LD1</definedName>
    <definedName name="SCOPE_SV_PRT" localSheetId="9">#N/A</definedName>
    <definedName name="SCOPE_SV_PRT" localSheetId="4">#N/A</definedName>
    <definedName name="SCOPE_SV_PRT">#N/A</definedName>
    <definedName name="SCOPE_TEST" localSheetId="9">#REF!</definedName>
    <definedName name="SCOPE_TEST" localSheetId="4">#REF!</definedName>
    <definedName name="SCOPE_TEST">#REF!</definedName>
    <definedName name="SCOPE_TP">[14]FST5!$L$12:$L$23,[14]FST5!$L$5:$L$8</definedName>
    <definedName name="SCOPE_YEAR" localSheetId="9">#REF!</definedName>
    <definedName name="SCOPE_YEAR" localSheetId="4">#REF!</definedName>
    <definedName name="SCOPE_YEAR">#REF!</definedName>
    <definedName name="SCOPE10" localSheetId="9">#REF!</definedName>
    <definedName name="SCOPE10" localSheetId="4">#REF!</definedName>
    <definedName name="SCOPE10">#REF!</definedName>
    <definedName name="SCOPE11" localSheetId="9">#REF!</definedName>
    <definedName name="SCOPE11" localSheetId="4">#REF!</definedName>
    <definedName name="SCOPE11">#REF!</definedName>
    <definedName name="SCOPE12" localSheetId="9">#REF!</definedName>
    <definedName name="SCOPE12" localSheetId="4">#REF!</definedName>
    <definedName name="SCOPE12">#REF!</definedName>
    <definedName name="SCOPE2" localSheetId="9">#REF!</definedName>
    <definedName name="SCOPE2" localSheetId="4">#REF!</definedName>
    <definedName name="SCOPE2">#REF!</definedName>
    <definedName name="SCOPE3" localSheetId="9">#REF!</definedName>
    <definedName name="SCOPE3" localSheetId="4">#REF!</definedName>
    <definedName name="SCOPE3">#REF!</definedName>
    <definedName name="SCOPE4" localSheetId="9">#REF!</definedName>
    <definedName name="SCOPE4" localSheetId="4">#REF!</definedName>
    <definedName name="SCOPE4">#REF!</definedName>
    <definedName name="SCOPE5" localSheetId="9">#REF!</definedName>
    <definedName name="SCOPE5" localSheetId="4">#REF!</definedName>
    <definedName name="SCOPE5">#REF!</definedName>
    <definedName name="SCOPE6" localSheetId="9">#REF!</definedName>
    <definedName name="SCOPE6" localSheetId="4">#REF!</definedName>
    <definedName name="SCOPE6">#REF!</definedName>
    <definedName name="SCOPE7" localSheetId="9">#REF!</definedName>
    <definedName name="SCOPE7" localSheetId="4">#REF!</definedName>
    <definedName name="SCOPE7">#REF!</definedName>
    <definedName name="SCOPE8" localSheetId="9">#REF!</definedName>
    <definedName name="SCOPE8" localSheetId="4">#REF!</definedName>
    <definedName name="SCOPE8">#REF!</definedName>
    <definedName name="SCOPE9" localSheetId="9">#REF!</definedName>
    <definedName name="SCOPE9" localSheetId="4">#REF!</definedName>
    <definedName name="SCOPE9">#REF!</definedName>
    <definedName name="SEP" localSheetId="9">#REF!</definedName>
    <definedName name="SEP" localSheetId="4">#REF!</definedName>
    <definedName name="SEP">#REF!</definedName>
    <definedName name="SET_ET" localSheetId="9">#REF!</definedName>
    <definedName name="SET_ET" localSheetId="4">#REF!</definedName>
    <definedName name="SET_ET">#REF!</definedName>
    <definedName name="SET_PROT">#N/A</definedName>
    <definedName name="SET_PRT">#N/A</definedName>
    <definedName name="SETcom" localSheetId="9">#REF!</definedName>
    <definedName name="SETcom" localSheetId="4">#REF!</definedName>
    <definedName name="SETcom">#REF!</definedName>
    <definedName name="Sheet2?prefix?">"H"</definedName>
    <definedName name="SP_OPT" localSheetId="9">#REF!</definedName>
    <definedName name="SP_OPT" localSheetId="4">#REF!</definedName>
    <definedName name="SP_OPT">#REF!</definedName>
    <definedName name="SP_OPT_ET">[10]TEHSHEET!#REF!</definedName>
    <definedName name="SP_ROZN" localSheetId="9">#REF!</definedName>
    <definedName name="SP_ROZN" localSheetId="4">#REF!</definedName>
    <definedName name="SP_ROZN">#REF!</definedName>
    <definedName name="SP_ROZN_ET">[10]TEHSHEET!#REF!</definedName>
    <definedName name="SP_SC_1" localSheetId="9">#REF!</definedName>
    <definedName name="SP_SC_1" localSheetId="4">#REF!</definedName>
    <definedName name="SP_SC_1">#REF!</definedName>
    <definedName name="SP_SC_2" localSheetId="9">#REF!</definedName>
    <definedName name="SP_SC_2" localSheetId="4">#REF!</definedName>
    <definedName name="SP_SC_2">#REF!</definedName>
    <definedName name="SP_SC_3" localSheetId="9">#REF!</definedName>
    <definedName name="SP_SC_3" localSheetId="4">#REF!</definedName>
    <definedName name="SP_SC_3">#REF!</definedName>
    <definedName name="SP_SC_4" localSheetId="9">#REF!</definedName>
    <definedName name="SP_SC_4" localSheetId="4">#REF!</definedName>
    <definedName name="SP_SC_4">#REF!</definedName>
    <definedName name="SP_SC_5" localSheetId="9">#REF!</definedName>
    <definedName name="SP_SC_5" localSheetId="4">#REF!</definedName>
    <definedName name="SP_SC_5">#REF!</definedName>
    <definedName name="SP_ST_OPT">[10]TEHSHEET!#REF!</definedName>
    <definedName name="SP_ST_ROZN">[10]TEHSHEET!#REF!</definedName>
    <definedName name="SPR_ET">[10]TEHSHEET!#REF!</definedName>
    <definedName name="SPR_GES_ET" localSheetId="9">#REF!</definedName>
    <definedName name="SPR_GES_ET" localSheetId="4">#REF!</definedName>
    <definedName name="SPR_GES_ET">#REF!</definedName>
    <definedName name="SPR_GRES_ET" localSheetId="9">#REF!</definedName>
    <definedName name="SPR_GRES_ET" localSheetId="4">#REF!</definedName>
    <definedName name="SPR_GRES_ET">#REF!</definedName>
    <definedName name="SPR_OTH_ET" localSheetId="9">#REF!</definedName>
    <definedName name="SPR_OTH_ET" localSheetId="4">#REF!</definedName>
    <definedName name="SPR_OTH_ET">#REF!</definedName>
    <definedName name="SPR_PROT" localSheetId="9">#REF!,#REF!</definedName>
    <definedName name="SPR_PROT" localSheetId="4">#REF!,#REF!</definedName>
    <definedName name="SPR_PROT">#REF!,#REF!</definedName>
    <definedName name="SPR_SCOPE" localSheetId="9">#REF!</definedName>
    <definedName name="SPR_SCOPE" localSheetId="4">#REF!</definedName>
    <definedName name="SPR_SCOPE">#REF!</definedName>
    <definedName name="SPR_TES_ET" localSheetId="9">#REF!</definedName>
    <definedName name="SPR_TES_ET" localSheetId="4">#REF!</definedName>
    <definedName name="SPR_TES_ET">#REF!</definedName>
    <definedName name="SPRAV_PROT">[35]Справочники!$E$6,[35]Справочники!$D$11:$D$902,[35]Справочники!$E$3</definedName>
    <definedName name="sq" localSheetId="9">#REF!</definedName>
    <definedName name="sq" localSheetId="4">#REF!</definedName>
    <definedName name="sq">#REF!</definedName>
    <definedName name="T0?axis?ПРД?БАЗ">'[26]0'!$I$7:$J$112,'[26]0'!$F$7:$G$112</definedName>
    <definedName name="T0?axis?ПРД?ПРЕД">'[26]0'!$K$7:$L$112,'[26]0'!$D$7:$E$112</definedName>
    <definedName name="T0?axis?ПРД?РЕГ" localSheetId="9">#REF!</definedName>
    <definedName name="T0?axis?ПРД?РЕГ" localSheetId="4">#REF!</definedName>
    <definedName name="T0?axis?ПРД?РЕГ">#REF!</definedName>
    <definedName name="T0?axis?ПФ?ПЛАН">'[26]0'!$I$7:$I$112,'[26]0'!$D$7:$D$112,'[26]0'!$K$7:$K$112,'[26]0'!$F$7:$F$112</definedName>
    <definedName name="T0?axis?ПФ?ФАКТ">'[26]0'!$J$7:$J$112,'[26]0'!$E$7:$E$112,'[26]0'!$L$7:$L$112,'[26]0'!$G$7:$G$112</definedName>
    <definedName name="T0?Data">'[26]0'!$D$8:$L$52,   '[26]0'!$D$54:$L$59,   '[26]0'!$D$63:$L$64,   '[26]0'!$D$68:$L$70,   '[26]0'!$D$72:$L$74,   '[26]0'!$D$77:$L$92,   '[26]0'!$D$95:$L$97,   '[26]0'!$D$99:$L$104,   '[26]0'!$D$107:$L$108,   '[26]0'!$D$111:$L$112</definedName>
    <definedName name="T0?item_ext?РОСТ" localSheetId="9">#REF!</definedName>
    <definedName name="T0?item_ext?РОСТ" localSheetId="4">#REF!</definedName>
    <definedName name="T0?item_ext?РОСТ">#REF!</definedName>
    <definedName name="T0?L0.1" localSheetId="9">#REF!</definedName>
    <definedName name="T0?L0.1" localSheetId="4">#REF!</definedName>
    <definedName name="T0?L0.1">#REF!</definedName>
    <definedName name="T0?L0.2" localSheetId="9">#REF!</definedName>
    <definedName name="T0?L0.2" localSheetId="4">#REF!</definedName>
    <definedName name="T0?L0.2">#REF!</definedName>
    <definedName name="T0?L1" localSheetId="9">#REF!</definedName>
    <definedName name="T0?L1" localSheetId="4">#REF!</definedName>
    <definedName name="T0?L1">#REF!</definedName>
    <definedName name="T0?L10" localSheetId="9">#REF!</definedName>
    <definedName name="T0?L10" localSheetId="4">#REF!</definedName>
    <definedName name="T0?L10">#REF!</definedName>
    <definedName name="T0?L10.1" localSheetId="9">#REF!</definedName>
    <definedName name="T0?L10.1" localSheetId="4">#REF!</definedName>
    <definedName name="T0?L10.1">#REF!</definedName>
    <definedName name="T0?L10.2" localSheetId="9">#REF!</definedName>
    <definedName name="T0?L10.2" localSheetId="4">#REF!</definedName>
    <definedName name="T0?L10.2">#REF!</definedName>
    <definedName name="T0?L10.3" localSheetId="9">#REF!</definedName>
    <definedName name="T0?L10.3" localSheetId="4">#REF!</definedName>
    <definedName name="T0?L10.3">#REF!</definedName>
    <definedName name="T0?L10.4" localSheetId="9">#REF!</definedName>
    <definedName name="T0?L10.4" localSheetId="4">#REF!</definedName>
    <definedName name="T0?L10.4">#REF!</definedName>
    <definedName name="T0?L10.5" localSheetId="9">#REF!</definedName>
    <definedName name="T0?L10.5" localSheetId="4">#REF!</definedName>
    <definedName name="T0?L10.5">#REF!</definedName>
    <definedName name="T0?L11" localSheetId="9">#REF!</definedName>
    <definedName name="T0?L11" localSheetId="4">#REF!</definedName>
    <definedName name="T0?L11">#REF!</definedName>
    <definedName name="T0?L12" localSheetId="9">#REF!</definedName>
    <definedName name="T0?L12" localSheetId="4">#REF!</definedName>
    <definedName name="T0?L12">#REF!</definedName>
    <definedName name="T0?L13" localSheetId="9">#REF!</definedName>
    <definedName name="T0?L13" localSheetId="4">#REF!</definedName>
    <definedName name="T0?L13">#REF!</definedName>
    <definedName name="T0?L13.1" localSheetId="9">#REF!</definedName>
    <definedName name="T0?L13.1" localSheetId="4">#REF!</definedName>
    <definedName name="T0?L13.1">#REF!</definedName>
    <definedName name="T0?L13.2" localSheetId="9">#REF!</definedName>
    <definedName name="T0?L13.2" localSheetId="4">#REF!</definedName>
    <definedName name="T0?L13.2">#REF!</definedName>
    <definedName name="T0?L14" localSheetId="9">#REF!</definedName>
    <definedName name="T0?L14" localSheetId="4">#REF!</definedName>
    <definedName name="T0?L14">#REF!</definedName>
    <definedName name="T0?L14.1" localSheetId="9">#REF!</definedName>
    <definedName name="T0?L14.1" localSheetId="4">#REF!</definedName>
    <definedName name="T0?L14.1">#REF!</definedName>
    <definedName name="T0?L14.2" localSheetId="9">#REF!</definedName>
    <definedName name="T0?L14.2" localSheetId="4">#REF!</definedName>
    <definedName name="T0?L14.2">#REF!</definedName>
    <definedName name="T0?L15" localSheetId="9">#REF!</definedName>
    <definedName name="T0?L15" localSheetId="4">#REF!</definedName>
    <definedName name="T0?L15">#REF!</definedName>
    <definedName name="T0?L15.1" localSheetId="9">#REF!</definedName>
    <definedName name="T0?L15.1" localSheetId="4">#REF!</definedName>
    <definedName name="T0?L15.1">#REF!</definedName>
    <definedName name="T0?L15.2" localSheetId="9">#REF!</definedName>
    <definedName name="T0?L15.2" localSheetId="4">#REF!</definedName>
    <definedName name="T0?L15.2">#REF!</definedName>
    <definedName name="T0?L15.2.1" localSheetId="9">#REF!</definedName>
    <definedName name="T0?L15.2.1" localSheetId="4">#REF!</definedName>
    <definedName name="T0?L15.2.1">#REF!</definedName>
    <definedName name="T0?L15.2.2" localSheetId="9">#REF!</definedName>
    <definedName name="T0?L15.2.2" localSheetId="4">#REF!</definedName>
    <definedName name="T0?L15.2.2">#REF!</definedName>
    <definedName name="T0?L16" localSheetId="9">#REF!</definedName>
    <definedName name="T0?L16" localSheetId="4">#REF!</definedName>
    <definedName name="T0?L16">#REF!</definedName>
    <definedName name="T0?L17" localSheetId="9">#REF!</definedName>
    <definedName name="T0?L17" localSheetId="4">#REF!</definedName>
    <definedName name="T0?L17">#REF!</definedName>
    <definedName name="T0?L17.1" localSheetId="9">#REF!</definedName>
    <definedName name="T0?L17.1" localSheetId="4">#REF!</definedName>
    <definedName name="T0?L17.1">#REF!</definedName>
    <definedName name="T0?L18" localSheetId="9">#REF!</definedName>
    <definedName name="T0?L18" localSheetId="4">#REF!</definedName>
    <definedName name="T0?L18">#REF!</definedName>
    <definedName name="T0?L19" localSheetId="9">#REF!</definedName>
    <definedName name="T0?L19" localSheetId="4">#REF!</definedName>
    <definedName name="T0?L19">#REF!</definedName>
    <definedName name="T0?L2" localSheetId="9">#REF!</definedName>
    <definedName name="T0?L2" localSheetId="4">#REF!</definedName>
    <definedName name="T0?L2">#REF!</definedName>
    <definedName name="T0?L20" localSheetId="9">#REF!</definedName>
    <definedName name="T0?L20" localSheetId="4">#REF!</definedName>
    <definedName name="T0?L20">#REF!</definedName>
    <definedName name="T0?L21" localSheetId="9">#REF!</definedName>
    <definedName name="T0?L21" localSheetId="4">#REF!</definedName>
    <definedName name="T0?L21">#REF!</definedName>
    <definedName name="T0?L22" localSheetId="9">#REF!</definedName>
    <definedName name="T0?L22" localSheetId="4">#REF!</definedName>
    <definedName name="T0?L22">#REF!</definedName>
    <definedName name="T0?L22.1" localSheetId="9">#REF!</definedName>
    <definedName name="T0?L22.1" localSheetId="4">#REF!</definedName>
    <definedName name="T0?L22.1">#REF!</definedName>
    <definedName name="T0?L22.2" localSheetId="9">#REF!</definedName>
    <definedName name="T0?L22.2" localSheetId="4">#REF!</definedName>
    <definedName name="T0?L22.2">#REF!</definedName>
    <definedName name="T0?L23" localSheetId="9">#REF!</definedName>
    <definedName name="T0?L23" localSheetId="4">#REF!</definedName>
    <definedName name="T0?L23">#REF!</definedName>
    <definedName name="T0?L24" localSheetId="9">#REF!</definedName>
    <definedName name="T0?L24" localSheetId="4">#REF!</definedName>
    <definedName name="T0?L24">#REF!</definedName>
    <definedName name="T0?L24.1" localSheetId="9">#REF!</definedName>
    <definedName name="T0?L24.1" localSheetId="4">#REF!</definedName>
    <definedName name="T0?L24.1">#REF!</definedName>
    <definedName name="T0?L24.2" localSheetId="9">#REF!</definedName>
    <definedName name="T0?L24.2" localSheetId="4">#REF!</definedName>
    <definedName name="T0?L24.2">#REF!</definedName>
    <definedName name="T0?L25" localSheetId="9">#REF!</definedName>
    <definedName name="T0?L25" localSheetId="4">#REF!</definedName>
    <definedName name="T0?L25">#REF!</definedName>
    <definedName name="T0?L25.1" localSheetId="9">#REF!</definedName>
    <definedName name="T0?L25.1" localSheetId="4">#REF!</definedName>
    <definedName name="T0?L25.1">#REF!</definedName>
    <definedName name="T0?L25.1.1" localSheetId="9">#REF!</definedName>
    <definedName name="T0?L25.1.1" localSheetId="4">#REF!</definedName>
    <definedName name="T0?L25.1.1">#REF!</definedName>
    <definedName name="T0?L25.1.2" localSheetId="9">#REF!</definedName>
    <definedName name="T0?L25.1.2" localSheetId="4">#REF!</definedName>
    <definedName name="T0?L25.1.2">#REF!</definedName>
    <definedName name="T0?L25.2" localSheetId="9">#REF!</definedName>
    <definedName name="T0?L25.2" localSheetId="4">#REF!</definedName>
    <definedName name="T0?L25.2">#REF!</definedName>
    <definedName name="T0?L25.3" localSheetId="9">#REF!</definedName>
    <definedName name="T0?L25.3" localSheetId="4">#REF!</definedName>
    <definedName name="T0?L25.3">#REF!</definedName>
    <definedName name="T0?L26.1" localSheetId="9">#REF!</definedName>
    <definedName name="T0?L26.1" localSheetId="4">#REF!</definedName>
    <definedName name="T0?L26.1">#REF!</definedName>
    <definedName name="T0?L26.2" localSheetId="9">#REF!</definedName>
    <definedName name="T0?L26.2" localSheetId="4">#REF!</definedName>
    <definedName name="T0?L26.2">#REF!</definedName>
    <definedName name="T0?L27.1" localSheetId="9">#REF!</definedName>
    <definedName name="T0?L27.1" localSheetId="4">#REF!</definedName>
    <definedName name="T0?L27.1">#REF!</definedName>
    <definedName name="T0?L27.2" localSheetId="9">#REF!</definedName>
    <definedName name="T0?L27.2" localSheetId="4">#REF!</definedName>
    <definedName name="T0?L27.2">#REF!</definedName>
    <definedName name="T0?L3" localSheetId="9">#REF!</definedName>
    <definedName name="T0?L3" localSheetId="4">#REF!</definedName>
    <definedName name="T0?L3">#REF!</definedName>
    <definedName name="T0?L4" localSheetId="9">#REF!</definedName>
    <definedName name="T0?L4" localSheetId="4">#REF!</definedName>
    <definedName name="T0?L4">#REF!</definedName>
    <definedName name="T0?L5" localSheetId="9">#REF!</definedName>
    <definedName name="T0?L5" localSheetId="4">#REF!</definedName>
    <definedName name="T0?L5">#REF!</definedName>
    <definedName name="T0?L6" localSheetId="9">#REF!</definedName>
    <definedName name="T0?L6" localSheetId="4">#REF!</definedName>
    <definedName name="T0?L6">#REF!</definedName>
    <definedName name="T0?L7" localSheetId="9">#REF!</definedName>
    <definedName name="T0?L7" localSheetId="4">#REF!</definedName>
    <definedName name="T0?L7">#REF!</definedName>
    <definedName name="T0?L7.1" localSheetId="9">#REF!</definedName>
    <definedName name="T0?L7.1" localSheetId="4">#REF!</definedName>
    <definedName name="T0?L7.1">#REF!</definedName>
    <definedName name="T0?L7.1.2" localSheetId="9">#REF!</definedName>
    <definedName name="T0?L7.1.2" localSheetId="4">#REF!</definedName>
    <definedName name="T0?L7.1.2">#REF!</definedName>
    <definedName name="T0?L7.1.3" localSheetId="9">#REF!</definedName>
    <definedName name="T0?L7.1.3" localSheetId="4">#REF!</definedName>
    <definedName name="T0?L7.1.3">#REF!</definedName>
    <definedName name="T0?L7.2" localSheetId="9">#REF!</definedName>
    <definedName name="T0?L7.2" localSheetId="4">#REF!</definedName>
    <definedName name="T0?L7.2">#REF!</definedName>
    <definedName name="T0?L7.3" localSheetId="9">#REF!</definedName>
    <definedName name="T0?L7.3" localSheetId="4">#REF!</definedName>
    <definedName name="T0?L7.3">#REF!</definedName>
    <definedName name="T0?L7.4" localSheetId="9">#REF!</definedName>
    <definedName name="T0?L7.4" localSheetId="4">#REF!</definedName>
    <definedName name="T0?L7.4">#REF!</definedName>
    <definedName name="T0?L7.5" localSheetId="9">#REF!</definedName>
    <definedName name="T0?L7.5" localSheetId="4">#REF!</definedName>
    <definedName name="T0?L7.5">#REF!</definedName>
    <definedName name="T0?L7.6" localSheetId="9">#REF!</definedName>
    <definedName name="T0?L7.6" localSheetId="4">#REF!</definedName>
    <definedName name="T0?L7.6">#REF!</definedName>
    <definedName name="T0?L7.7" localSheetId="9">#REF!</definedName>
    <definedName name="T0?L7.7" localSheetId="4">#REF!</definedName>
    <definedName name="T0?L7.7">#REF!</definedName>
    <definedName name="T0?L7.7.1" localSheetId="9">#REF!</definedName>
    <definedName name="T0?L7.7.1" localSheetId="4">#REF!</definedName>
    <definedName name="T0?L7.7.1">#REF!</definedName>
    <definedName name="T0?L7.7.10" localSheetId="9">#REF!</definedName>
    <definedName name="T0?L7.7.10" localSheetId="4">#REF!</definedName>
    <definedName name="T0?L7.7.10">#REF!</definedName>
    <definedName name="T0?L7.7.11" localSheetId="9">#REF!</definedName>
    <definedName name="T0?L7.7.11" localSheetId="4">#REF!</definedName>
    <definedName name="T0?L7.7.11">#REF!</definedName>
    <definedName name="T0?L7.7.12" localSheetId="9">#REF!</definedName>
    <definedName name="T0?L7.7.12" localSheetId="4">#REF!</definedName>
    <definedName name="T0?L7.7.12">#REF!</definedName>
    <definedName name="T0?L7.7.2" localSheetId="9">#REF!</definedName>
    <definedName name="T0?L7.7.2" localSheetId="4">#REF!</definedName>
    <definedName name="T0?L7.7.2">#REF!</definedName>
    <definedName name="T0?L7.7.3" localSheetId="9">#REF!</definedName>
    <definedName name="T0?L7.7.3" localSheetId="4">#REF!</definedName>
    <definedName name="T0?L7.7.3">#REF!</definedName>
    <definedName name="T0?L7.7.4" localSheetId="9">#REF!</definedName>
    <definedName name="T0?L7.7.4" localSheetId="4">#REF!</definedName>
    <definedName name="T0?L7.7.4">#REF!</definedName>
    <definedName name="T0?L7.7.4.1" localSheetId="9">#REF!</definedName>
    <definedName name="T0?L7.7.4.1" localSheetId="4">#REF!</definedName>
    <definedName name="T0?L7.7.4.1">#REF!</definedName>
    <definedName name="T0?L7.7.4.3" localSheetId="9">#REF!</definedName>
    <definedName name="T0?L7.7.4.3" localSheetId="4">#REF!</definedName>
    <definedName name="T0?L7.7.4.3">#REF!</definedName>
    <definedName name="T0?L7.7.4.4" localSheetId="9">#REF!</definedName>
    <definedName name="T0?L7.7.4.4" localSheetId="4">#REF!</definedName>
    <definedName name="T0?L7.7.4.4">#REF!</definedName>
    <definedName name="T0?L7.7.4.5" localSheetId="9">#REF!</definedName>
    <definedName name="T0?L7.7.4.5" localSheetId="4">#REF!</definedName>
    <definedName name="T0?L7.7.4.5">#REF!</definedName>
    <definedName name="T0?L7.7.5" localSheetId="9">#REF!</definedName>
    <definedName name="T0?L7.7.5" localSheetId="4">#REF!</definedName>
    <definedName name="T0?L7.7.5">#REF!</definedName>
    <definedName name="T0?L7.7.6" localSheetId="9">#REF!</definedName>
    <definedName name="T0?L7.7.6" localSheetId="4">#REF!</definedName>
    <definedName name="T0?L7.7.6">#REF!</definedName>
    <definedName name="T0?L7.7.7" localSheetId="9">#REF!</definedName>
    <definedName name="T0?L7.7.7" localSheetId="4">#REF!</definedName>
    <definedName name="T0?L7.7.7">#REF!</definedName>
    <definedName name="T0?L7.7.8" localSheetId="9">#REF!</definedName>
    <definedName name="T0?L7.7.8" localSheetId="4">#REF!</definedName>
    <definedName name="T0?L7.7.8">#REF!</definedName>
    <definedName name="T0?L7.7.9" localSheetId="9">#REF!</definedName>
    <definedName name="T0?L7.7.9" localSheetId="4">#REF!</definedName>
    <definedName name="T0?L7.7.9">#REF!</definedName>
    <definedName name="T0?L8" localSheetId="9">#REF!</definedName>
    <definedName name="T0?L8" localSheetId="4">#REF!</definedName>
    <definedName name="T0?L8">#REF!</definedName>
    <definedName name="T0?L8.1" localSheetId="9">#REF!</definedName>
    <definedName name="T0?L8.1" localSheetId="4">#REF!</definedName>
    <definedName name="T0?L8.1">#REF!</definedName>
    <definedName name="T0?L8.2" localSheetId="9">#REF!</definedName>
    <definedName name="T0?L8.2" localSheetId="4">#REF!</definedName>
    <definedName name="T0?L8.2">#REF!</definedName>
    <definedName name="T0?L8.3" localSheetId="9">#REF!</definedName>
    <definedName name="T0?L8.3" localSheetId="4">#REF!</definedName>
    <definedName name="T0?L8.3">#REF!</definedName>
    <definedName name="T0?L8.4" localSheetId="9">#REF!</definedName>
    <definedName name="T0?L8.4" localSheetId="4">#REF!</definedName>
    <definedName name="T0?L8.4">#REF!</definedName>
    <definedName name="T0?L8.5" localSheetId="9">#REF!</definedName>
    <definedName name="T0?L8.5" localSheetId="4">#REF!</definedName>
    <definedName name="T0?L8.5">#REF!</definedName>
    <definedName name="T0?L8.6" localSheetId="9">#REF!</definedName>
    <definedName name="T0?L8.6" localSheetId="4">#REF!</definedName>
    <definedName name="T0?L8.6">#REF!</definedName>
    <definedName name="T0?L9" localSheetId="9">#REF!</definedName>
    <definedName name="T0?L9" localSheetId="4">#REF!</definedName>
    <definedName name="T0?L9">#REF!</definedName>
    <definedName name="T0?L9.1" localSheetId="9">#REF!</definedName>
    <definedName name="T0?L9.1" localSheetId="4">#REF!</definedName>
    <definedName name="T0?L9.1">#REF!</definedName>
    <definedName name="T0?L9.2" localSheetId="9">#REF!</definedName>
    <definedName name="T0?L9.2" localSheetId="4">#REF!</definedName>
    <definedName name="T0?L9.2">#REF!</definedName>
    <definedName name="T0?L9.3" localSheetId="9">#REF!</definedName>
    <definedName name="T0?L9.3" localSheetId="4">#REF!</definedName>
    <definedName name="T0?L9.3">#REF!</definedName>
    <definedName name="T0?L9.3.1" localSheetId="9">#REF!</definedName>
    <definedName name="T0?L9.3.1" localSheetId="4">#REF!</definedName>
    <definedName name="T0?L9.3.1">#REF!</definedName>
    <definedName name="T0?L9.3.2" localSheetId="9">#REF!</definedName>
    <definedName name="T0?L9.3.2" localSheetId="4">#REF!</definedName>
    <definedName name="T0?L9.3.2">#REF!</definedName>
    <definedName name="T0?Name" localSheetId="9">#REF!</definedName>
    <definedName name="T0?Name" localSheetId="4">#REF!</definedName>
    <definedName name="T0?Name">#REF!</definedName>
    <definedName name="T0?Table" localSheetId="9">#REF!</definedName>
    <definedName name="T0?Table" localSheetId="4">#REF!</definedName>
    <definedName name="T0?Table">#REF!</definedName>
    <definedName name="T0?Title" localSheetId="9">#REF!</definedName>
    <definedName name="T0?Title" localSheetId="4">#REF!</definedName>
    <definedName name="T0?Title">#REF!</definedName>
    <definedName name="T0?unit?МВТ">'[26]0'!$D$8:$H$8,   '[26]0'!$D$86:$H$86</definedName>
    <definedName name="T0?unit?МКВТЧ" localSheetId="9">#REF!</definedName>
    <definedName name="T0?unit?МКВТЧ" localSheetId="4">#REF!</definedName>
    <definedName name="T0?unit?МКВТЧ">#REF!</definedName>
    <definedName name="T0?unit?ПРЦ">'[26]0'!$D$87:$H$88,   '[26]0'!$D$96:$H$97,   '[26]0'!$D$107:$H$108,   '[26]0'!$D$111:$H$112,   '[26]0'!$I$7:$L$112</definedName>
    <definedName name="T0?unit?РУБ.ГКАЛ">'[26]0'!$D$89:$H$89,   '[26]0'!$D$92:$H$92</definedName>
    <definedName name="T0?unit?РУБ.МВТ.МЕС" localSheetId="9">#REF!</definedName>
    <definedName name="T0?unit?РУБ.МВТ.МЕС" localSheetId="4">#REF!</definedName>
    <definedName name="T0?unit?РУБ.МВТ.МЕС">#REF!</definedName>
    <definedName name="T0?unit?РУБ.ТКВТЧ" localSheetId="9">#REF!</definedName>
    <definedName name="T0?unit?РУБ.ТКВТЧ" localSheetId="4">#REF!</definedName>
    <definedName name="T0?unit?РУБ.ТКВТЧ">#REF!</definedName>
    <definedName name="T0?unit?ТГКАЛ" localSheetId="9">#REF!</definedName>
    <definedName name="T0?unit?ТГКАЛ" localSheetId="4">#REF!</definedName>
    <definedName name="T0?unit?ТГКАЛ">#REF!</definedName>
    <definedName name="T0?unit?ТРУБ">'[26]0'!$D$14:$H$52,   '[26]0'!$D$54:$H$59,   '[26]0'!$D$63:$H$64,   '[26]0'!$D$68:$H$70,   '[26]0'!$D$72:$H$74,   '[26]0'!$D$77:$H$77,   '[26]0'!$D$79:$H$81,   '[26]0'!$D$90:$H$91,   '[26]0'!$D$99:$H$104,   '[26]0'!$D$78:$H$78</definedName>
    <definedName name="T1?axis?ПРД?БАЗ">'[26]1'!$I$6:$J$23,'[26]1'!$F$6:$G$23</definedName>
    <definedName name="T1?axis?ПРД?ПРЕД">'[26]1'!$K$6:$L$23,'[26]1'!$D$6:$E$23</definedName>
    <definedName name="T1?axis?ПРД?РЕГ" localSheetId="9">#REF!</definedName>
    <definedName name="T1?axis?ПРД?РЕГ" localSheetId="4">#REF!</definedName>
    <definedName name="T1?axis?ПРД?РЕГ">#REF!</definedName>
    <definedName name="T1?axis?ПФ?ПЛАН">'[26]1'!$I$6:$I$23,'[26]1'!$D$6:$D$23,'[26]1'!$K$6:$K$23,'[26]1'!$F$6:$F$23</definedName>
    <definedName name="T1?axis?ПФ?ФАКТ">'[26]1'!$J$6:$J$23,'[26]1'!$E$6:$E$23,'[26]1'!$L$6:$L$23,'[26]1'!$G$6:$G$23</definedName>
    <definedName name="T1?Columns" localSheetId="9">#REF!</definedName>
    <definedName name="T1?Columns" localSheetId="4">#REF!</definedName>
    <definedName name="T1?Columns">#REF!</definedName>
    <definedName name="T1?Data">'[26]1'!$D$6:$L$12,   '[26]1'!$D$14:$L$18,   '[26]1'!$D$20:$L$23</definedName>
    <definedName name="T1?item_ext?РОСТ" localSheetId="9">#REF!</definedName>
    <definedName name="T1?item_ext?РОСТ" localSheetId="4">#REF!</definedName>
    <definedName name="T1?item_ext?РОСТ">#REF!</definedName>
    <definedName name="T1?L1" localSheetId="9">#REF!</definedName>
    <definedName name="T1?L1" localSheetId="4">#REF!</definedName>
    <definedName name="T1?L1">#REF!</definedName>
    <definedName name="T1?L2" localSheetId="9">#REF!</definedName>
    <definedName name="T1?L2" localSheetId="4">#REF!</definedName>
    <definedName name="T1?L2">#REF!</definedName>
    <definedName name="T1?L3" localSheetId="9">#REF!</definedName>
    <definedName name="T1?L3" localSheetId="4">#REF!</definedName>
    <definedName name="T1?L3">#REF!</definedName>
    <definedName name="T1?L4" localSheetId="9">#REF!</definedName>
    <definedName name="T1?L4" localSheetId="4">#REF!</definedName>
    <definedName name="T1?L4">#REF!</definedName>
    <definedName name="T1?L5" localSheetId="9">#REF!</definedName>
    <definedName name="T1?L5" localSheetId="4">#REF!</definedName>
    <definedName name="T1?L5">#REF!</definedName>
    <definedName name="T1?L6" localSheetId="9">#REF!</definedName>
    <definedName name="T1?L6" localSheetId="4">#REF!</definedName>
    <definedName name="T1?L6">#REF!</definedName>
    <definedName name="T1?L7" localSheetId="9">#REF!</definedName>
    <definedName name="T1?L7" localSheetId="4">#REF!</definedName>
    <definedName name="T1?L7">#REF!</definedName>
    <definedName name="T1?L7.1" localSheetId="9">#REF!</definedName>
    <definedName name="T1?L7.1" localSheetId="4">#REF!</definedName>
    <definedName name="T1?L7.1">#REF!</definedName>
    <definedName name="T1?L7.2" localSheetId="9">#REF!</definedName>
    <definedName name="T1?L7.2" localSheetId="4">#REF!</definedName>
    <definedName name="T1?L7.2">#REF!</definedName>
    <definedName name="T1?L7.3" localSheetId="9">#REF!</definedName>
    <definedName name="T1?L7.3" localSheetId="4">#REF!</definedName>
    <definedName name="T1?L7.3">#REF!</definedName>
    <definedName name="T1?L7.4" localSheetId="9">#REF!</definedName>
    <definedName name="T1?L7.4" localSheetId="4">#REF!</definedName>
    <definedName name="T1?L7.4">#REF!</definedName>
    <definedName name="T1?L8" localSheetId="9">#REF!</definedName>
    <definedName name="T1?L8" localSheetId="4">#REF!</definedName>
    <definedName name="T1?L8">#REF!</definedName>
    <definedName name="T1?L8.1" localSheetId="9">#REF!</definedName>
    <definedName name="T1?L8.1" localSheetId="4">#REF!</definedName>
    <definedName name="T1?L8.1">#REF!</definedName>
    <definedName name="T1?L8.2" localSheetId="9">#REF!</definedName>
    <definedName name="T1?L8.2" localSheetId="4">#REF!</definedName>
    <definedName name="T1?L8.2">#REF!</definedName>
    <definedName name="T1?L8.3" localSheetId="9">#REF!</definedName>
    <definedName name="T1?L8.3" localSheetId="4">#REF!</definedName>
    <definedName name="T1?L8.3">#REF!</definedName>
    <definedName name="T1?L9" localSheetId="9">#REF!</definedName>
    <definedName name="T1?L9" localSheetId="4">#REF!</definedName>
    <definedName name="T1?L9">#REF!</definedName>
    <definedName name="T1?Name" localSheetId="9">#REF!</definedName>
    <definedName name="T1?Name" localSheetId="4">#REF!</definedName>
    <definedName name="T1?Name">#REF!</definedName>
    <definedName name="T1?Scope" localSheetId="9">#REF!</definedName>
    <definedName name="T1?Scope" localSheetId="4">#REF!</definedName>
    <definedName name="T1?Scope">#REF!</definedName>
    <definedName name="T1?Table" localSheetId="9">#REF!</definedName>
    <definedName name="T1?Table" localSheetId="4">#REF!</definedName>
    <definedName name="T1?Table">#REF!</definedName>
    <definedName name="T1?Title" localSheetId="9">#REF!</definedName>
    <definedName name="T1?Title" localSheetId="4">#REF!</definedName>
    <definedName name="T1?Title">#REF!</definedName>
    <definedName name="T1?unit?МВТ" localSheetId="9">#REF!</definedName>
    <definedName name="T1?unit?МВТ" localSheetId="4">#REF!</definedName>
    <definedName name="T1?unit?МВТ">#REF!</definedName>
    <definedName name="T1?unit?ПРЦ" localSheetId="9">#REF!</definedName>
    <definedName name="T1?unit?ПРЦ" localSheetId="4">#REF!</definedName>
    <definedName name="T1?unit?ПРЦ">#REF!</definedName>
    <definedName name="T1_" localSheetId="9">#REF!</definedName>
    <definedName name="T1_" localSheetId="4">#REF!</definedName>
    <definedName name="T1_">#REF!</definedName>
    <definedName name="T1_Protect" localSheetId="9">'1. подк.неподк. факт'!P15_T1_Protect,'1. подк.неподк. факт'!P16_T1_Protect,'1. подк.неподк. факт'!P17_T1_Protect,'1. подк.неподк. факт'!P18_T1_Protect,'1. подк.неподк. факт'!P19_T1_Protect</definedName>
    <definedName name="T1_Protect" localSheetId="4">'5. подк.неподк.план'!P15_T1_Protect,'5. подк.неподк.план'!P16_T1_Protect,'5. подк.неподк.план'!P17_T1_Protect,'5. подк.неподк.план'!P18_T1_Protect,'5. подк.неподк.план'!P19_T1_Protect</definedName>
    <definedName name="T1_Protect">P15_T1_Protect,P16_T1_Protect,P17_T1_Protect,P18_T1_Protect,P19_T1_Protect</definedName>
    <definedName name="T10?axis?R?ДОГОВОР">'[26]10'!$D$9:$L$11, '[26]10'!$D$15:$L$17, '[26]10'!$D$21:$L$23, '[26]10'!$D$27:$L$29</definedName>
    <definedName name="T10?axis?R?ДОГОВОР?">'[26]10'!$B$9:$B$11, '[26]10'!$B$15:$B$17, '[26]10'!$B$21:$B$23, '[26]10'!$B$27:$B$29</definedName>
    <definedName name="T10?axis?ПРД?БАЗ">'[26]10'!$I$6:$J$31,'[26]10'!$F$6:$G$31</definedName>
    <definedName name="T10?axis?ПРД?ПРЕД">'[26]10'!$K$6:$L$31,'[26]10'!$D$6:$E$31</definedName>
    <definedName name="T10?axis?ПРД?РЕГ" localSheetId="9">#REF!</definedName>
    <definedName name="T10?axis?ПРД?РЕГ" localSheetId="4">#REF!</definedName>
    <definedName name="T10?axis?ПРД?РЕГ">#REF!</definedName>
    <definedName name="T10?axis?ПФ?ПЛАН">'[26]10'!$I$6:$I$31,'[26]10'!$D$6:$D$31,'[26]10'!$K$6:$K$31,'[26]10'!$F$6:$F$31</definedName>
    <definedName name="T10?axis?ПФ?ФАКТ">'[26]10'!$J$6:$J$31,'[26]10'!$E$6:$E$31,'[26]10'!$L$6:$L$31,'[26]10'!$G$6:$G$31</definedName>
    <definedName name="T10?Data">'[26]10'!$D$6:$L$7, '[26]10'!$D$9:$L$11, '[26]10'!$D$13:$L$13, '[26]10'!$D$15:$L$17, '[26]10'!$D$19:$L$19, '[26]10'!$D$21:$L$23, '[26]10'!$D$25:$L$25, '[26]10'!$D$27:$L$29, '[26]10'!$D$31:$L$31</definedName>
    <definedName name="T10?item_ext?РОСТ" localSheetId="9">#REF!</definedName>
    <definedName name="T10?item_ext?РОСТ" localSheetId="4">#REF!</definedName>
    <definedName name="T10?item_ext?РОСТ">#REF!</definedName>
    <definedName name="T10?L1" localSheetId="9">#REF!</definedName>
    <definedName name="T10?L1" localSheetId="4">#REF!</definedName>
    <definedName name="T10?L1">#REF!</definedName>
    <definedName name="T10?L1.1" localSheetId="9">#REF!</definedName>
    <definedName name="T10?L1.1" localSheetId="4">#REF!</definedName>
    <definedName name="T10?L1.1">#REF!</definedName>
    <definedName name="T10?L1.1.x" localSheetId="9">#REF!</definedName>
    <definedName name="T10?L1.1.x" localSheetId="4">#REF!</definedName>
    <definedName name="T10?L1.1.x">#REF!</definedName>
    <definedName name="T10?L1.2" localSheetId="9">#REF!</definedName>
    <definedName name="T10?L1.2" localSheetId="4">#REF!</definedName>
    <definedName name="T10?L1.2">#REF!</definedName>
    <definedName name="T10?L1.2.x" localSheetId="9">#REF!</definedName>
    <definedName name="T10?L1.2.x" localSheetId="4">#REF!</definedName>
    <definedName name="T10?L1.2.x">#REF!</definedName>
    <definedName name="T10?L2" localSheetId="9">#REF!</definedName>
    <definedName name="T10?L2" localSheetId="4">#REF!</definedName>
    <definedName name="T10?L2">#REF!</definedName>
    <definedName name="T10?L2.x" localSheetId="9">#REF!</definedName>
    <definedName name="T10?L2.x" localSheetId="4">#REF!</definedName>
    <definedName name="T10?L2.x">#REF!</definedName>
    <definedName name="T10?L3" localSheetId="9">#REF!</definedName>
    <definedName name="T10?L3" localSheetId="4">#REF!</definedName>
    <definedName name="T10?L3">#REF!</definedName>
    <definedName name="T10?L3.x" localSheetId="9">#REF!</definedName>
    <definedName name="T10?L3.x" localSheetId="4">#REF!</definedName>
    <definedName name="T10?L3.x">#REF!</definedName>
    <definedName name="T10?L4" localSheetId="9">#REF!</definedName>
    <definedName name="T10?L4" localSheetId="4">#REF!</definedName>
    <definedName name="T10?L4">#REF!</definedName>
    <definedName name="T10?Name" localSheetId="9">#REF!</definedName>
    <definedName name="T10?Name" localSheetId="4">#REF!</definedName>
    <definedName name="T10?Name">#REF!</definedName>
    <definedName name="T10?Table" localSheetId="9">#REF!</definedName>
    <definedName name="T10?Table" localSheetId="4">#REF!</definedName>
    <definedName name="T10?Table">#REF!</definedName>
    <definedName name="T10?Title" localSheetId="9">#REF!</definedName>
    <definedName name="T10?Title" localSheetId="4">#REF!</definedName>
    <definedName name="T10?Title">#REF!</definedName>
    <definedName name="T10?unit?ПРЦ" localSheetId="9">#REF!</definedName>
    <definedName name="T10?unit?ПРЦ" localSheetId="4">#REF!</definedName>
    <definedName name="T10?unit?ПРЦ">#REF!</definedName>
    <definedName name="T10?unit?ТРУБ" localSheetId="9">#REF!</definedName>
    <definedName name="T10?unit?ТРУБ" localSheetId="4">#REF!</definedName>
    <definedName name="T10?unit?ТРУБ">#REF!</definedName>
    <definedName name="T10_Copy1" localSheetId="9">#REF!</definedName>
    <definedName name="T10_Copy1" localSheetId="4">#REF!</definedName>
    <definedName name="T10_Copy1">#REF!</definedName>
    <definedName name="T10_Copy2" localSheetId="9">#REF!</definedName>
    <definedName name="T10_Copy2" localSheetId="4">#REF!</definedName>
    <definedName name="T10_Copy2">#REF!</definedName>
    <definedName name="T10_Copy3" localSheetId="9">#REF!</definedName>
    <definedName name="T10_Copy3" localSheetId="4">#REF!</definedName>
    <definedName name="T10_Copy3">#REF!</definedName>
    <definedName name="T10_Copy4" localSheetId="9">#REF!</definedName>
    <definedName name="T10_Copy4" localSheetId="4">#REF!</definedName>
    <definedName name="T10_Copy4">#REF!</definedName>
    <definedName name="T10_ET">[10]TEHSHEET!#REF!</definedName>
    <definedName name="T10_OPT" localSheetId="9">#REF!</definedName>
    <definedName name="T10_OPT" localSheetId="4">#REF!</definedName>
    <definedName name="T10_OPT">#REF!</definedName>
    <definedName name="T10_ROZN" localSheetId="9">#REF!</definedName>
    <definedName name="T10_ROZN" localSheetId="4">#REF!</definedName>
    <definedName name="T10_ROZN">#REF!</definedName>
    <definedName name="T11?axis?R?ДОГОВОР">'[26]11'!$D$8:$L$11, '[26]11'!$D$15:$L$18, '[26]11'!$D$22:$L$23, '[26]11'!$D$29:$L$32, '[26]11'!$D$36:$L$39, '[26]11'!$D$43:$L$46, '[26]11'!$D$51:$L$54, '[26]11'!$D$58:$L$61, '[26]11'!$D$65:$L$68, '[26]11'!$D$72:$L$82</definedName>
    <definedName name="T11?axis?R?ДОГОВОР?">'[26]11'!$B$72:$B$82, '[26]11'!$B$65:$B$68, '[26]11'!$B$58:$B$61, '[26]11'!$B$51:$B$54, '[26]11'!$B$43:$B$46, '[26]11'!$B$36:$B$39, '[26]11'!$B$29:$B$33, '[26]11'!$B$22:$B$25, '[26]11'!$B$15:$B$18, '[26]11'!$B$8:$B$11</definedName>
    <definedName name="T11?axis?ПРД?БАЗ">'[26]11'!$I$6:$J$84,'[26]11'!$F$6:$G$84</definedName>
    <definedName name="T11?axis?ПРД?ПРЕД">'[26]11'!$K$6:$L$84,'[26]11'!$D$6:$E$84</definedName>
    <definedName name="T11?axis?ПРД?РЕГ" localSheetId="9">'[37]услуги непроизводств.'!#REF!</definedName>
    <definedName name="T11?axis?ПРД?РЕГ" localSheetId="4">'[37]услуги непроизводств.'!#REF!</definedName>
    <definedName name="T11?axis?ПРД?РЕГ">'[37]услуги непроизводств.'!#REF!</definedName>
    <definedName name="T11?axis?ПФ?ПЛАН">'[26]11'!$I$6:$I$84,'[26]11'!$D$6:$D$84,'[26]11'!$K$6:$K$84,'[26]11'!$F$6:$F$84</definedName>
    <definedName name="T11?axis?ПФ?ФАКТ">'[26]11'!$J$6:$J$84,'[26]11'!$E$6:$E$84,'[26]11'!$L$6:$L$84,'[26]11'!$G$6:$G$84</definedName>
    <definedName name="T11?Data">#N/A</definedName>
    <definedName name="T11?Name" localSheetId="9">'[37]услуги непроизводств.'!#REF!</definedName>
    <definedName name="T11?Name" localSheetId="4">'[37]услуги непроизводств.'!#REF!</definedName>
    <definedName name="T11?Name">'[37]услуги непроизводств.'!#REF!</definedName>
    <definedName name="T11_Copy1" localSheetId="9">'[37]услуги непроизводств.'!#REF!</definedName>
    <definedName name="T11_Copy1" localSheetId="4">'[37]услуги непроизводств.'!#REF!</definedName>
    <definedName name="T11_Copy1">'[37]услуги непроизводств.'!#REF!</definedName>
    <definedName name="T11_Copy2" localSheetId="9">'[37]услуги непроизводств.'!#REF!</definedName>
    <definedName name="T11_Copy2" localSheetId="4">'[37]услуги непроизводств.'!#REF!</definedName>
    <definedName name="T11_Copy2">'[37]услуги непроизводств.'!#REF!</definedName>
    <definedName name="T11_Copy3" localSheetId="9">'[37]услуги непроизводств.'!#REF!</definedName>
    <definedName name="T11_Copy3" localSheetId="4">'[37]услуги непроизводств.'!#REF!</definedName>
    <definedName name="T11_Copy3">'[37]услуги непроизводств.'!#REF!</definedName>
    <definedName name="T11_Copy4" localSheetId="9">'[37]услуги непроизводств.'!#REF!</definedName>
    <definedName name="T11_Copy4" localSheetId="4">'[37]услуги непроизводств.'!#REF!</definedName>
    <definedName name="T11_Copy4">'[37]услуги непроизводств.'!#REF!</definedName>
    <definedName name="T11_Copy5" localSheetId="9">'[37]услуги непроизводств.'!#REF!</definedName>
    <definedName name="T11_Copy5" localSheetId="4">'[37]услуги непроизводств.'!#REF!</definedName>
    <definedName name="T11_Copy5">'[37]услуги непроизводств.'!#REF!</definedName>
    <definedName name="T11_Copy6" localSheetId="9">'[37]услуги непроизводств.'!#REF!</definedName>
    <definedName name="T11_Copy6" localSheetId="4">'[37]услуги непроизводств.'!#REF!</definedName>
    <definedName name="T11_Copy6">'[37]услуги непроизводств.'!#REF!</definedName>
    <definedName name="T11_Copy7.1" localSheetId="9">'[37]услуги непроизводств.'!#REF!</definedName>
    <definedName name="T11_Copy7.1" localSheetId="4">'[37]услуги непроизводств.'!#REF!</definedName>
    <definedName name="T11_Copy7.1">'[37]услуги непроизводств.'!#REF!</definedName>
    <definedName name="T11_Copy7.2" localSheetId="9">'[37]услуги непроизводств.'!#REF!</definedName>
    <definedName name="T11_Copy7.2" localSheetId="4">'[37]услуги непроизводств.'!#REF!</definedName>
    <definedName name="T11_Copy7.2">'[37]услуги непроизводств.'!#REF!</definedName>
    <definedName name="T11_Copy8" localSheetId="9">'[37]услуги непроизводств.'!#REF!</definedName>
    <definedName name="T11_Copy8" localSheetId="4">'[37]услуги непроизводств.'!#REF!</definedName>
    <definedName name="T11_Copy8">'[37]услуги непроизводств.'!#REF!</definedName>
    <definedName name="T11_Copy9" localSheetId="9">'[37]услуги непроизводств.'!#REF!</definedName>
    <definedName name="T11_Copy9" localSheetId="4">'[37]услуги непроизводств.'!#REF!</definedName>
    <definedName name="T11_Copy9">'[37]услуги непроизводств.'!#REF!</definedName>
    <definedName name="T12?axis?R?ДОГОВОР" localSheetId="9">#REF!</definedName>
    <definedName name="T12?axis?R?ДОГОВОР" localSheetId="4">#REF!</definedName>
    <definedName name="T12?axis?R?ДОГОВОР">#REF!</definedName>
    <definedName name="T12?axis?R?ДОГОВОР?" localSheetId="9">#REF!</definedName>
    <definedName name="T12?axis?R?ДОГОВОР?" localSheetId="4">#REF!</definedName>
    <definedName name="T12?axis?R?ДОГОВОР?">#REF!</definedName>
    <definedName name="T12?axis?ПРД?БАЗ">'[26]12'!$J$6:$K$20,'[26]12'!$G$6:$H$20</definedName>
    <definedName name="T12?axis?ПРД?ПРЕД">'[26]12'!$L$6:$M$20,'[26]12'!$E$6:$F$20</definedName>
    <definedName name="T12?axis?ПРД?РЕГ" localSheetId="9">#REF!</definedName>
    <definedName name="T12?axis?ПРД?РЕГ" localSheetId="4">#REF!</definedName>
    <definedName name="T12?axis?ПРД?РЕГ">#REF!</definedName>
    <definedName name="T12?axis?ПФ?ПЛАН">'[26]12'!$J$6:$J$20,'[26]12'!$E$6:$E$20,'[26]12'!$L$6:$L$20,'[26]12'!$G$6:$G$20</definedName>
    <definedName name="T12?axis?ПФ?ФАКТ">'[26]12'!$K$6:$K$20,'[26]12'!$F$6:$F$20,'[26]12'!$M$6:$M$20,'[26]12'!$H$6:$H$20</definedName>
    <definedName name="T12?Data">'[26]12'!$E$6:$M$9,  '[26]12'!$E$11:$M$18,  '[26]12'!$E$20:$M$20</definedName>
    <definedName name="T12?item_ext?РОСТ" localSheetId="9">#REF!</definedName>
    <definedName name="T12?item_ext?РОСТ" localSheetId="4">#REF!</definedName>
    <definedName name="T12?item_ext?РОСТ">#REF!</definedName>
    <definedName name="T12?L1" localSheetId="9">#REF!</definedName>
    <definedName name="T12?L1" localSheetId="4">#REF!</definedName>
    <definedName name="T12?L1">#REF!</definedName>
    <definedName name="T12?L1.1" localSheetId="9">#REF!</definedName>
    <definedName name="T12?L1.1" localSheetId="4">#REF!</definedName>
    <definedName name="T12?L1.1">#REF!</definedName>
    <definedName name="T12?L2" localSheetId="9">#REF!</definedName>
    <definedName name="T12?L2" localSheetId="4">#REF!</definedName>
    <definedName name="T12?L2">#REF!</definedName>
    <definedName name="T12?L2.1" localSheetId="9">#REF!</definedName>
    <definedName name="T12?L2.1" localSheetId="4">#REF!</definedName>
    <definedName name="T12?L2.1">#REF!</definedName>
    <definedName name="T12?L2.1.x">'[26]12'!$A$16:$M$16, '[26]12'!$A$14:$M$14, '[26]12'!$A$12:$M$12, '[26]12'!$A$18:$M$18</definedName>
    <definedName name="T12?L2.x">'[26]12'!$A$15:$M$15, '[26]12'!$A$13:$M$13, '[26]12'!$A$11:$M$11, '[26]12'!$A$17:$M$17</definedName>
    <definedName name="T12?L3" localSheetId="9">#REF!</definedName>
    <definedName name="T12?L3" localSheetId="4">#REF!</definedName>
    <definedName name="T12?L3">#REF!</definedName>
    <definedName name="T12?Name" localSheetId="9">#REF!</definedName>
    <definedName name="T12?Name" localSheetId="4">#REF!</definedName>
    <definedName name="T12?Name">#REF!</definedName>
    <definedName name="T12?Table" localSheetId="9">#REF!</definedName>
    <definedName name="T12?Table" localSheetId="4">#REF!</definedName>
    <definedName name="T12?Table">#REF!</definedName>
    <definedName name="T12?Title" localSheetId="9">#REF!</definedName>
    <definedName name="T12?Title" localSheetId="4">#REF!</definedName>
    <definedName name="T12?Title">#REF!</definedName>
    <definedName name="T12?unit?ГА">'[26]12'!$E$16:$I$16, '[26]12'!$E$14:$I$14, '[26]12'!$E$9:$I$9, '[26]12'!$E$12:$I$12, '[26]12'!$E$18:$I$18, '[26]12'!$E$7:$I$7</definedName>
    <definedName name="T12?unit?ПРЦ" localSheetId="9">#REF!</definedName>
    <definedName name="T12?unit?ПРЦ" localSheetId="4">#REF!</definedName>
    <definedName name="T12?unit?ПРЦ">#REF!</definedName>
    <definedName name="T12?unit?ТРУБ">'[26]12'!$E$15:$I$15, '[26]12'!$E$13:$I$13, '[26]12'!$E$6:$I$6, '[26]12'!$E$8:$I$8, '[26]12'!$E$11:$I$11, '[26]12'!$E$17:$I$17, '[26]12'!$E$20:$I$20</definedName>
    <definedName name="T12_Copy" localSheetId="9">#REF!</definedName>
    <definedName name="T12_Copy" localSheetId="4">#REF!</definedName>
    <definedName name="T12_Copy">#REF!</definedName>
    <definedName name="T13?axis?ПРД?БАЗ">'[26]13'!$I$6:$J$16,'[26]13'!$F$6:$G$16</definedName>
    <definedName name="T13?axis?ПРД?ПРЕД">'[26]13'!$K$6:$L$16,'[26]13'!$D$6:$E$16</definedName>
    <definedName name="T13?axis?ПРД?РЕГ" localSheetId="9">#REF!</definedName>
    <definedName name="T13?axis?ПРД?РЕГ" localSheetId="4">#REF!</definedName>
    <definedName name="T13?axis?ПРД?РЕГ">#REF!</definedName>
    <definedName name="T13?axis?ПФ?ПЛАН">'[26]13'!$I$6:$I$16,'[26]13'!$D$6:$D$16,'[26]13'!$K$6:$K$16,'[26]13'!$F$6:$F$16</definedName>
    <definedName name="T13?axis?ПФ?ФАКТ">'[26]13'!$J$6:$J$16,'[26]13'!$E$6:$E$16,'[26]13'!$L$6:$L$16,'[26]13'!$G$6:$G$16</definedName>
    <definedName name="T13?Data">'[26]13'!$D$6:$L$7, '[26]13'!$D$8:$L$8, '[26]13'!$D$9:$L$16</definedName>
    <definedName name="T13?item_ext?РОСТ" localSheetId="9">#REF!</definedName>
    <definedName name="T13?item_ext?РОСТ" localSheetId="4">#REF!</definedName>
    <definedName name="T13?item_ext?РОСТ">#REF!</definedName>
    <definedName name="T13?L1.1" localSheetId="9">#REF!</definedName>
    <definedName name="T13?L1.1" localSheetId="4">#REF!</definedName>
    <definedName name="T13?L1.1">#REF!</definedName>
    <definedName name="T13?L1.2" localSheetId="9">#REF!</definedName>
    <definedName name="T13?L1.2" localSheetId="4">#REF!</definedName>
    <definedName name="T13?L1.2">#REF!</definedName>
    <definedName name="T13?L2" localSheetId="9">#REF!</definedName>
    <definedName name="T13?L2" localSheetId="4">#REF!</definedName>
    <definedName name="T13?L2">#REF!</definedName>
    <definedName name="T13?L2.1" localSheetId="9">#REF!</definedName>
    <definedName name="T13?L2.1" localSheetId="4">#REF!</definedName>
    <definedName name="T13?L2.1">#REF!</definedName>
    <definedName name="T13?L2.1.1" localSheetId="9">#REF!</definedName>
    <definedName name="T13?L2.1.1" localSheetId="4">#REF!</definedName>
    <definedName name="T13?L2.1.1">#REF!</definedName>
    <definedName name="T13?L2.1.2" localSheetId="9">#REF!</definedName>
    <definedName name="T13?L2.1.2" localSheetId="4">#REF!</definedName>
    <definedName name="T13?L2.1.2">#REF!</definedName>
    <definedName name="T13?L2.2" localSheetId="9">#REF!</definedName>
    <definedName name="T13?L2.2" localSheetId="4">#REF!</definedName>
    <definedName name="T13?L2.2">#REF!</definedName>
    <definedName name="T13?L2.2.1" localSheetId="9">#REF!</definedName>
    <definedName name="T13?L2.2.1" localSheetId="4">#REF!</definedName>
    <definedName name="T13?L2.2.1">#REF!</definedName>
    <definedName name="T13?L2.2.2" localSheetId="9">#REF!</definedName>
    <definedName name="T13?L2.2.2" localSheetId="4">#REF!</definedName>
    <definedName name="T13?L2.2.2">#REF!</definedName>
    <definedName name="T13?L3" localSheetId="9">#REF!</definedName>
    <definedName name="T13?L3" localSheetId="4">#REF!</definedName>
    <definedName name="T13?L3">#REF!</definedName>
    <definedName name="T13?L4" localSheetId="9">#REF!</definedName>
    <definedName name="T13?L4" localSheetId="4">#REF!</definedName>
    <definedName name="T13?L4">#REF!</definedName>
    <definedName name="T13?Name" localSheetId="9">#REF!</definedName>
    <definedName name="T13?Name" localSheetId="4">#REF!</definedName>
    <definedName name="T13?Name">#REF!</definedName>
    <definedName name="T13?Table" localSheetId="9">#REF!</definedName>
    <definedName name="T13?Table" localSheetId="4">#REF!</definedName>
    <definedName name="T13?Table">#REF!</definedName>
    <definedName name="T13?Title" localSheetId="9">#REF!</definedName>
    <definedName name="T13?Title" localSheetId="4">#REF!</definedName>
    <definedName name="T13?Title">#REF!</definedName>
    <definedName name="T13?unit?МКВТЧ" localSheetId="9">#REF!</definedName>
    <definedName name="T13?unit?МКВТЧ" localSheetId="4">#REF!</definedName>
    <definedName name="T13?unit?МКВТЧ">#REF!</definedName>
    <definedName name="T13?unit?ПРЦ" localSheetId="9">#REF!</definedName>
    <definedName name="T13?unit?ПРЦ" localSheetId="4">#REF!</definedName>
    <definedName name="T13?unit?ПРЦ">#REF!</definedName>
    <definedName name="T13?unit?РУБ.ТМКБ">'[26]13'!$D$14:$H$14,'[26]13'!$D$11:$H$11</definedName>
    <definedName name="T13?unit?ТГКАЛ" localSheetId="9">#REF!</definedName>
    <definedName name="T13?unit?ТГКАЛ" localSheetId="4">#REF!</definedName>
    <definedName name="T13?unit?ТГКАЛ">#REF!</definedName>
    <definedName name="T13?unit?ТМКБ">'[26]13'!$D$13:$H$13,'[26]13'!$D$10:$H$10</definedName>
    <definedName name="T13?unit?ТРУБ">'[26]13'!$D$12:$H$12,'[26]13'!$D$15:$H$16,'[26]13'!$D$8:$H$9</definedName>
    <definedName name="T14?axis?R?ВРАС" localSheetId="9">#REF!</definedName>
    <definedName name="T14?axis?R?ВРАС" localSheetId="4">#REF!</definedName>
    <definedName name="T14?axis?R?ВРАС">#REF!</definedName>
    <definedName name="T14?axis?R?ВРАС?" localSheetId="9">#REF!</definedName>
    <definedName name="T14?axis?R?ВРАС?" localSheetId="4">#REF!</definedName>
    <definedName name="T14?axis?R?ВРАС?">#REF!</definedName>
    <definedName name="T14?axis?ПРД?БАЗ">'[26]14'!$J$6:$K$20,'[26]14'!$G$6:$H$20</definedName>
    <definedName name="T14?axis?ПРД?ПРЕД">'[26]14'!$L$6:$M$20,'[26]14'!$E$6:$F$20</definedName>
    <definedName name="T14?axis?ПРД?РЕГ" localSheetId="9">#REF!</definedName>
    <definedName name="T14?axis?ПРД?РЕГ" localSheetId="4">#REF!</definedName>
    <definedName name="T14?axis?ПРД?РЕГ">#REF!</definedName>
    <definedName name="T14?axis?ПФ?ПЛАН">'[26]14'!$G$6:$G$20,'[26]14'!$J$6:$J$20,'[26]14'!$L$6:$L$20,'[26]14'!$E$6:$E$20</definedName>
    <definedName name="T14?axis?ПФ?ФАКТ">'[26]14'!$H$6:$H$20,'[26]14'!$K$6:$K$20,'[26]14'!$M$6:$M$20,'[26]14'!$F$6:$F$20</definedName>
    <definedName name="T14?Data">'[26]14'!$E$7:$M$18,  '[26]14'!$E$20:$M$20</definedName>
    <definedName name="T14?item_ext?РОСТ" localSheetId="9">#REF!</definedName>
    <definedName name="T14?item_ext?РОСТ" localSheetId="4">#REF!</definedName>
    <definedName name="T14?item_ext?РОСТ">#REF!</definedName>
    <definedName name="T14?L1">'[26]14'!$A$13:$M$13, '[26]14'!$A$10:$M$10, '[26]14'!$A$7:$M$7, '[26]14'!$A$16:$M$16</definedName>
    <definedName name="T14?L1.1">'[26]14'!$A$14:$M$14, '[26]14'!$A$11:$M$11, '[26]14'!$A$8:$M$8, '[26]14'!$A$17:$M$17</definedName>
    <definedName name="T14?L1.2">'[26]14'!$A$15:$M$15, '[26]14'!$A$12:$M$12, '[26]14'!$A$9:$M$9, '[26]14'!$A$18:$M$18</definedName>
    <definedName name="T14?L2" localSheetId="9">#REF!</definedName>
    <definedName name="T14?L2" localSheetId="4">#REF!</definedName>
    <definedName name="T14?L2">#REF!</definedName>
    <definedName name="T14?Name" localSheetId="9">#REF!</definedName>
    <definedName name="T14?Name" localSheetId="4">#REF!</definedName>
    <definedName name="T14?Name">#REF!</definedName>
    <definedName name="T14?Table" localSheetId="9">#REF!</definedName>
    <definedName name="T14?Table" localSheetId="4">#REF!</definedName>
    <definedName name="T14?Table">#REF!</definedName>
    <definedName name="T14?Title" localSheetId="9">#REF!</definedName>
    <definedName name="T14?Title" localSheetId="4">#REF!</definedName>
    <definedName name="T14?Title">#REF!</definedName>
    <definedName name="T14?unit?ПРЦ">'[26]14'!$E$15:$I$15, '[26]14'!$E$12:$I$12, '[26]14'!$E$9:$I$9, '[26]14'!$E$18:$I$18, '[26]14'!$J$6:$M$20</definedName>
    <definedName name="T14?unit?ТРУБ">'[26]14'!$E$13:$I$14, '[26]14'!$E$10:$I$11, '[26]14'!$E$7:$I$8, '[26]14'!$E$16:$I$17, '[26]14'!$E$20:$I$20</definedName>
    <definedName name="T14_Copy" localSheetId="9">#REF!</definedName>
    <definedName name="T14_Copy" localSheetId="4">#REF!</definedName>
    <definedName name="T14_Copy">#REF!</definedName>
    <definedName name="T15?axis?ПРД?БАЗ">'[26]15'!$I$6:$J$11,'[26]15'!$F$6:$G$11</definedName>
    <definedName name="T15?axis?ПРД?ПРЕД">'[26]15'!$K$6:$L$11,'[26]15'!$D$6:$E$11</definedName>
    <definedName name="T15?axis?ПФ?ПЛАН">'[26]15'!$I$6:$I$11,'[26]15'!$D$6:$D$11,'[26]15'!$K$6:$K$11,'[26]15'!$F$6:$F$11</definedName>
    <definedName name="T15?axis?ПФ?ФАКТ">'[26]15'!$J$6:$J$11,'[26]15'!$E$6:$E$11,'[26]15'!$L$6:$L$11,'[26]15'!$G$6:$G$11</definedName>
    <definedName name="T15?Columns" localSheetId="9">#REF!</definedName>
    <definedName name="T15?Columns" localSheetId="4">#REF!</definedName>
    <definedName name="T15?Columns">#REF!</definedName>
    <definedName name="T15?item_ext?РОСТ" localSheetId="9">[37]экология!#REF!</definedName>
    <definedName name="T15?item_ext?РОСТ" localSheetId="4">[37]экология!#REF!</definedName>
    <definedName name="T15?item_ext?РОСТ">[37]экология!#REF!</definedName>
    <definedName name="T15?ItemComments" localSheetId="9">#REF!</definedName>
    <definedName name="T15?ItemComments" localSheetId="4">#REF!</definedName>
    <definedName name="T15?ItemComments">#REF!</definedName>
    <definedName name="T15?Items" localSheetId="9">#REF!</definedName>
    <definedName name="T15?Items" localSheetId="4">#REF!</definedName>
    <definedName name="T15?Items">#REF!</definedName>
    <definedName name="T15?Name" localSheetId="9">[37]экология!#REF!</definedName>
    <definedName name="T15?Name" localSheetId="4">[37]экология!#REF!</definedName>
    <definedName name="T15?Name">[37]экология!#REF!</definedName>
    <definedName name="T15?Scope" localSheetId="9">#REF!</definedName>
    <definedName name="T15?Scope" localSheetId="4">#REF!</definedName>
    <definedName name="T15?Scope">#REF!</definedName>
    <definedName name="T15?unit?ПРЦ" localSheetId="9">[37]экология!#REF!</definedName>
    <definedName name="T15?unit?ПРЦ" localSheetId="4">[37]экология!#REF!</definedName>
    <definedName name="T15?unit?ПРЦ">[37]экология!#REF!</definedName>
    <definedName name="T15?ВРАС" localSheetId="9">#REF!</definedName>
    <definedName name="T15?ВРАС" localSheetId="4">#REF!</definedName>
    <definedName name="T15?ВРАС">#REF!</definedName>
    <definedName name="T15_Protect" localSheetId="9">'[25]15'!$E$25:$I$29,'[25]15'!$E$31:$I$34,'[25]15'!$E$36:$I$40,'[25]15'!$E$44:$I$45,'[25]15'!$E$9:$I$17,'[25]15'!$B$36:$B$40,'[25]15'!$E$19:$I$21</definedName>
    <definedName name="T15_Protect" localSheetId="4">'[25]15'!$E$25:$I$29,'[25]15'!$E$31:$I$34,'[25]15'!$E$36:$I$40,'[25]15'!$E$44:$I$45,'[25]15'!$E$9:$I$17,'[25]15'!$B$36:$B$40,'[25]15'!$E$19:$I$21</definedName>
    <definedName name="T15_Protect">#REF!,#REF!,#REF!,#REF!,#REF!,#REF!,#REF!</definedName>
    <definedName name="T16?axis?R?ДОГОВОР" localSheetId="9">'[26]16'!$E$40:$M$40,'[26]16'!$E$60:$M$60,'[26]16'!$E$36:$M$36,'[26]16'!$E$32:$M$32,'[26]16'!$E$28:$M$28,'[26]16'!$E$24:$M$24,'[26]16'!$E$68:$M$68,'[26]16'!$E$56:$M$56,'[26]16'!$E$20:$M$20,[0]!P1_T16?axis?R?ДОГОВОР</definedName>
    <definedName name="T16?axis?R?ДОГОВОР" localSheetId="4">'[26]16'!$E$40:$M$40,'[26]16'!$E$60:$M$60,'[26]16'!$E$36:$M$36,'[26]16'!$E$32:$M$32,'[26]16'!$E$28:$M$28,'[26]16'!$E$24:$M$24,'[26]16'!$E$68:$M$68,'[26]16'!$E$56:$M$56,'[26]16'!$E$20:$M$20,[0]!P1_T16?axis?R?ДОГОВОР</definedName>
    <definedName name="T16?axis?R?ДОГОВОР">'[26]16'!$E$40:$M$40,'[26]16'!$E$60:$M$60,'[26]16'!$E$36:$M$36,'[26]16'!$E$32:$M$32,'[26]16'!$E$28:$M$28,'[26]16'!$E$24:$M$24,'[26]16'!$E$68:$M$68,'[26]16'!$E$56:$M$56,'[26]16'!$E$20:$M$20,P1_T16?axis?R?ДОГОВОР</definedName>
    <definedName name="T16?axis?R?ДОГОВОР?" localSheetId="9">'[26]16'!$A$8,'[26]16'!$A$12,'[26]16'!$A$16,[0]!P1_T16?axis?R?ДОГОВОР?</definedName>
    <definedName name="T16?axis?R?ДОГОВОР?" localSheetId="4">'[26]16'!$A$8,'[26]16'!$A$12,'[26]16'!$A$16,[0]!P1_T16?axis?R?ДОГОВОР?</definedName>
    <definedName name="T16?axis?R?ДОГОВОР?">'[26]16'!$A$8,'[26]16'!$A$12,'[26]16'!$A$16,P1_T16?axis?R?ДОГОВОР?</definedName>
    <definedName name="T16?axis?R?ОРГ" localSheetId="9">#REF!</definedName>
    <definedName name="T16?axis?R?ОРГ" localSheetId="4">#REF!</definedName>
    <definedName name="T16?axis?R?ОРГ">#REF!</definedName>
    <definedName name="T16?axis?R?ОРГ?" localSheetId="9">#REF!</definedName>
    <definedName name="T16?axis?R?ОРГ?" localSheetId="4">#REF!</definedName>
    <definedName name="T16?axis?R?ОРГ?">#REF!</definedName>
    <definedName name="T16?axis?ПРД?БАЗ">'[26]16'!$J$6:$K$88,               '[26]16'!$G$6:$H$88</definedName>
    <definedName name="T16?axis?ПРД?ПРЕД">'[26]16'!$L$6:$M$88,               '[26]16'!$E$6:$F$88</definedName>
    <definedName name="T16?axis?ПРД?РЕГ" localSheetId="9">#REF!</definedName>
    <definedName name="T16?axis?ПРД?РЕГ" localSheetId="4">#REF!</definedName>
    <definedName name="T16?axis?ПРД?РЕГ">#REF!</definedName>
    <definedName name="T16?axis?ПФ?ПЛАН">'[26]16'!$J$6:$J$88,               '[26]16'!$E$6:$E$88,               '[26]16'!$L$6:$L$88,               '[26]16'!$G$6:$G$88</definedName>
    <definedName name="T16?axis?ПФ?ФАКТ">'[26]16'!$K$6:$K$88,               '[26]16'!$F$6:$F$88,               '[26]16'!$M$6:$M$88,               '[26]16'!$H$6:$H$88</definedName>
    <definedName name="T16?Columns" localSheetId="9">#REF!</definedName>
    <definedName name="T16?Columns" localSheetId="4">#REF!</definedName>
    <definedName name="T16?Columns">#REF!</definedName>
    <definedName name="T16?Data" localSheetId="9">#REF!</definedName>
    <definedName name="T16?Data" localSheetId="4">#REF!</definedName>
    <definedName name="T16?Data">#REF!</definedName>
    <definedName name="T16?item_ext?РОСТ" localSheetId="9">#REF!</definedName>
    <definedName name="T16?item_ext?РОСТ" localSheetId="4">#REF!</definedName>
    <definedName name="T16?item_ext?РОСТ">#REF!</definedName>
    <definedName name="T16?ItemComments" localSheetId="9">#REF!</definedName>
    <definedName name="T16?ItemComments" localSheetId="4">#REF!</definedName>
    <definedName name="T16?ItemComments">#REF!</definedName>
    <definedName name="T16?Items" localSheetId="9">#REF!</definedName>
    <definedName name="T16?Items" localSheetId="4">#REF!</definedName>
    <definedName name="T16?Items">#REF!</definedName>
    <definedName name="T16?L1" localSheetId="9">'[26]16'!$A$38:$M$38,'[26]16'!$A$58:$M$58,'[26]16'!$A$34:$M$34,'[26]16'!$A$30:$M$30,'[26]16'!$A$26:$M$26,'[26]16'!$A$22:$M$22,'[26]16'!$A$66:$M$66,'[26]16'!$A$54:$M$54,'[26]16'!$A$18:$M$18,[0]!P1_T16?L1</definedName>
    <definedName name="T16?L1" localSheetId="4">'[26]16'!$A$38:$M$38,'[26]16'!$A$58:$M$58,'[26]16'!$A$34:$M$34,'[26]16'!$A$30:$M$30,'[26]16'!$A$26:$M$26,'[26]16'!$A$22:$M$22,'[26]16'!$A$66:$M$66,'[26]16'!$A$54:$M$54,'[26]16'!$A$18:$M$18,[0]!P1_T16?L1</definedName>
    <definedName name="T16?L1">'[26]16'!$A$38:$M$38,'[26]16'!$A$58:$M$58,'[26]16'!$A$34:$M$34,'[26]16'!$A$30:$M$30,'[26]16'!$A$26:$M$26,'[26]16'!$A$22:$M$22,'[26]16'!$A$66:$M$66,'[26]16'!$A$54:$M$54,'[26]16'!$A$18:$M$18,P1_T16?L1</definedName>
    <definedName name="T16?L1.x" localSheetId="9">'[26]16'!$A$40:$M$40,'[26]16'!$A$60:$M$60,'[26]16'!$A$36:$M$36,'[26]16'!$A$32:$M$32,'[26]16'!$A$28:$M$28,'[26]16'!$A$24:$M$24,'[26]16'!$A$68:$M$68,'[26]16'!$A$56:$M$56,'[26]16'!$A$20:$M$20,[0]!P1_T16?L1.x</definedName>
    <definedName name="T16?L1.x" localSheetId="4">'[26]16'!$A$40:$M$40,'[26]16'!$A$60:$M$60,'[26]16'!$A$36:$M$36,'[26]16'!$A$32:$M$32,'[26]16'!$A$28:$M$28,'[26]16'!$A$24:$M$24,'[26]16'!$A$68:$M$68,'[26]16'!$A$56:$M$56,'[26]16'!$A$20:$M$20,[0]!P1_T16?L1.x</definedName>
    <definedName name="T16?L1.x">'[26]16'!$A$40:$M$40,'[26]16'!$A$60:$M$60,'[26]16'!$A$36:$M$36,'[26]16'!$A$32:$M$32,'[26]16'!$A$28:$M$28,'[26]16'!$A$24:$M$24,'[26]16'!$A$68:$M$68,'[26]16'!$A$56:$M$56,'[26]16'!$A$20:$M$20,P1_T16?L1.x</definedName>
    <definedName name="T16?L2" localSheetId="9">#REF!</definedName>
    <definedName name="T16?L2" localSheetId="4">#REF!</definedName>
    <definedName name="T16?L2">#REF!</definedName>
    <definedName name="T16?Name" localSheetId="9">#REF!</definedName>
    <definedName name="T16?Name" localSheetId="4">#REF!</definedName>
    <definedName name="T16?Name">#REF!</definedName>
    <definedName name="T16?Scope" localSheetId="9">#REF!</definedName>
    <definedName name="T16?Scope" localSheetId="4">#REF!</definedName>
    <definedName name="T16?Scope">#REF!</definedName>
    <definedName name="T16?Table" localSheetId="9">#REF!</definedName>
    <definedName name="T16?Table" localSheetId="4">#REF!</definedName>
    <definedName name="T16?Table">#REF!</definedName>
    <definedName name="T16?Title" localSheetId="9">#REF!</definedName>
    <definedName name="T16?Title" localSheetId="4">#REF!</definedName>
    <definedName name="T16?Title">#REF!</definedName>
    <definedName name="T16?unit?ПРЦ" localSheetId="9">#REF!</definedName>
    <definedName name="T16?unit?ПРЦ" localSheetId="4">#REF!</definedName>
    <definedName name="T16?unit?ПРЦ">#REF!</definedName>
    <definedName name="T16?unit?ТРУБ" localSheetId="9">#REF!</definedName>
    <definedName name="T16?unit?ТРУБ" localSheetId="4">#REF!</definedName>
    <definedName name="T16?unit?ТРУБ">#REF!</definedName>
    <definedName name="T16?Units" localSheetId="9">#REF!</definedName>
    <definedName name="T16?Units" localSheetId="4">#REF!</definedName>
    <definedName name="T16?Units">#REF!</definedName>
    <definedName name="T16_Copy" localSheetId="9">#REF!</definedName>
    <definedName name="T16_Copy" localSheetId="4">#REF!</definedName>
    <definedName name="T16_Copy">#REF!</definedName>
    <definedName name="T16_Copy2" localSheetId="9">#REF!</definedName>
    <definedName name="T16_Copy2" localSheetId="4">#REF!</definedName>
    <definedName name="T16_Copy2">#REF!</definedName>
    <definedName name="T16_Protect" localSheetId="9">'[25]16'!$G$44:$K$44,'[25]16'!$G$7:$K$8,'1. подк.неподк. факт'!P1_T16_Protect</definedName>
    <definedName name="T16_Protect" localSheetId="4">'[25]16'!$G$44:$K$44,'[25]16'!$G$7:$K$8,'5. подк.неподк.план'!P1_T16_Protect</definedName>
    <definedName name="T16_Protect">#REF!,#REF!,P1_T16_Protect</definedName>
    <definedName name="T17.1?axis?C?НП">'[26]17.1'!$E$6:$L$16, '[26]17.1'!$E$18:$L$28</definedName>
    <definedName name="T17.1?axis?C?НП?" localSheetId="9">#REF!</definedName>
    <definedName name="T17.1?axis?C?НП?" localSheetId="4">#REF!</definedName>
    <definedName name="T17.1?axis?C?НП?">#REF!</definedName>
    <definedName name="T17.1?axis?ПРД?БАЗ" localSheetId="9">#REF!</definedName>
    <definedName name="T17.1?axis?ПРД?БАЗ" localSheetId="4">#REF!</definedName>
    <definedName name="T17.1?axis?ПРД?БАЗ">#REF!</definedName>
    <definedName name="T17.1?axis?ПРД?РЕГ" localSheetId="9">#REF!</definedName>
    <definedName name="T17.1?axis?ПРД?РЕГ" localSheetId="4">#REF!</definedName>
    <definedName name="T17.1?axis?ПРД?РЕГ">#REF!</definedName>
    <definedName name="T17.1?Data">'[26]17.1'!$E$6:$L$16, '[26]17.1'!$N$6:$N$16, '[26]17.1'!$E$18:$L$28, '[26]17.1'!$N$18:$N$28</definedName>
    <definedName name="T17.1?Equipment" localSheetId="9">#REF!</definedName>
    <definedName name="T17.1?Equipment" localSheetId="4">#REF!</definedName>
    <definedName name="T17.1?Equipment">#REF!</definedName>
    <definedName name="T17.1?item_ext?ВСЕГО">'[26]17.1'!$N$6:$N$16, '[26]17.1'!$N$18:$N$28</definedName>
    <definedName name="T17.1?ItemComments" localSheetId="9">#REF!</definedName>
    <definedName name="T17.1?ItemComments" localSheetId="4">#REF!</definedName>
    <definedName name="T17.1?ItemComments">#REF!</definedName>
    <definedName name="T17.1?Items" localSheetId="9">#REF!</definedName>
    <definedName name="T17.1?Items" localSheetId="4">#REF!</definedName>
    <definedName name="T17.1?Items">#REF!</definedName>
    <definedName name="T17.1?L1">'[26]17.1'!$A$6:$N$6, '[26]17.1'!$A$18:$N$18</definedName>
    <definedName name="T17.1?L2">'[26]17.1'!$A$7:$N$7, '[26]17.1'!$A$19:$N$19</definedName>
    <definedName name="T17.1?L3">'[26]17.1'!$A$8:$N$8, '[26]17.1'!$A$20:$N$20</definedName>
    <definedName name="T17.1?L3.1">'[26]17.1'!$A$9:$N$9, '[26]17.1'!$A$21:$N$21</definedName>
    <definedName name="T17.1?L4">'[26]17.1'!$A$10:$N$10, '[26]17.1'!$A$22:$N$22</definedName>
    <definedName name="T17.1?L4.1">'[26]17.1'!$A$11:$N$11, '[26]17.1'!$A$23:$N$23</definedName>
    <definedName name="T17.1?L5">'[26]17.1'!$A$12:$N$12, '[26]17.1'!$A$24:$N$24</definedName>
    <definedName name="T17.1?L5.1">'[26]17.1'!$A$13:$N$13, '[26]17.1'!$A$25:$N$25</definedName>
    <definedName name="T17.1?L6">'[26]17.1'!$A$14:$N$14, '[26]17.1'!$A$26:$N$26</definedName>
    <definedName name="T17.1?L7">'[26]17.1'!$A$15:$N$15, '[26]17.1'!$A$27:$N$27</definedName>
    <definedName name="T17.1?L8">'[26]17.1'!$A$16:$N$16, '[26]17.1'!$A$28:$N$28</definedName>
    <definedName name="T17.1?Name" localSheetId="9">#REF!</definedName>
    <definedName name="T17.1?Name" localSheetId="4">#REF!</definedName>
    <definedName name="T17.1?Name">#REF!</definedName>
    <definedName name="T17.1?Scope" localSheetId="9">#REF!</definedName>
    <definedName name="T17.1?Scope" localSheetId="4">#REF!</definedName>
    <definedName name="T17.1?Scope">#REF!</definedName>
    <definedName name="T17.1?Table" localSheetId="9">#REF!</definedName>
    <definedName name="T17.1?Table" localSheetId="4">#REF!</definedName>
    <definedName name="T17.1?Table">#REF!</definedName>
    <definedName name="T17.1?Title" localSheetId="9">#REF!</definedName>
    <definedName name="T17.1?Title" localSheetId="4">#REF!</definedName>
    <definedName name="T17.1?Title">#REF!</definedName>
    <definedName name="T17.1?unit?РУБ">'[26]17.1'!$D$9:$N$9, '[26]17.1'!$D$11:$N$11, '[26]17.1'!$D$13:$N$13, '[26]17.1'!$D$21:$N$21, '[26]17.1'!$D$23:$N$23, '[26]17.1'!$D$25:$N$25</definedName>
    <definedName name="T17.1?unit?ТРУБ">'[26]17.1'!$D$8:$N$8, '[26]17.1'!$D$10:$N$10, '[26]17.1'!$D$12:$N$12, '[26]17.1'!$D$14:$N$16, '[26]17.1'!$D$20:$N$20, '[26]17.1'!$D$22:$N$22, '[26]17.1'!$D$24:$N$24, '[26]17.1'!$D$26:$N$28</definedName>
    <definedName name="T17.1?unit?ЧДН">'[26]17.1'!$D$7:$N$7, '[26]17.1'!$D$19:$N$19</definedName>
    <definedName name="T17.1?unit?ЧЕЛ">'[26]17.1'!$D$18:$N$18, '[26]17.1'!$D$6:$N$6</definedName>
    <definedName name="T17.1_Copy" localSheetId="9">#REF!</definedName>
    <definedName name="T17.1_Copy" localSheetId="4">#REF!</definedName>
    <definedName name="T17.1_Copy">#REF!</definedName>
    <definedName name="T17.1_Protect" localSheetId="9">'[25]17.1'!$D$14:$F$17,'[25]17.1'!$D$19:$F$22,'[25]17.1'!$I$9:$I$12,'[25]17.1'!$I$14:$I$17,'[25]17.1'!$I$19:$I$22,'[25]17.1'!$D$9:$F$12</definedName>
    <definedName name="T17.1_Protect" localSheetId="4">'[25]17.1'!$D$14:$F$17,'[25]17.1'!$D$19:$F$22,'[25]17.1'!$I$9:$I$12,'[25]17.1'!$I$14:$I$17,'[25]17.1'!$I$19:$I$22,'[25]17.1'!$D$9:$F$12</definedName>
    <definedName name="T17.1_Protect">#REF!,#REF!,#REF!,#REF!,#REF!,#REF!</definedName>
    <definedName name="T17?axis?ПРД?БАЗ">'[26]17'!$I$6:$J$13,'[26]17'!$F$6:$G$13</definedName>
    <definedName name="T17?axis?ПРД?ПРЕД">'[26]17'!$K$6:$L$13,'[26]17'!$D$6:$E$13</definedName>
    <definedName name="T17?axis?ПРД?РЕГ" localSheetId="9">#REF!</definedName>
    <definedName name="T17?axis?ПРД?РЕГ" localSheetId="4">#REF!</definedName>
    <definedName name="T17?axis?ПРД?РЕГ">#REF!</definedName>
    <definedName name="T17?axis?ПФ?ПЛАН">'[26]17'!$I$6:$I$13,'[26]17'!$D$6:$D$13,'[26]17'!$K$6:$K$13,'[26]17'!$F$6:$F$13</definedName>
    <definedName name="T17?axis?ПФ?ФАКТ">'[26]17'!$J$6:$J$13,'[26]17'!$E$6:$E$13,'[26]17'!$L$6:$L$13,'[26]17'!$G$6:$G$13</definedName>
    <definedName name="T17?Columns" localSheetId="9">#REF!</definedName>
    <definedName name="T17?Columns" localSheetId="4">#REF!</definedName>
    <definedName name="T17?Columns">#REF!</definedName>
    <definedName name="T17?Data" localSheetId="9">#REF!</definedName>
    <definedName name="T17?Data" localSheetId="4">#REF!</definedName>
    <definedName name="T17?Data">#REF!</definedName>
    <definedName name="T17?item_ext?РОСТ" localSheetId="9">#REF!</definedName>
    <definedName name="T17?item_ext?РОСТ" localSheetId="4">#REF!</definedName>
    <definedName name="T17?item_ext?РОСТ">#REF!</definedName>
    <definedName name="T17?ItemComments" localSheetId="9">#REF!</definedName>
    <definedName name="T17?ItemComments" localSheetId="4">#REF!</definedName>
    <definedName name="T17?ItemComments">#REF!</definedName>
    <definedName name="T17?Items" localSheetId="9">#REF!</definedName>
    <definedName name="T17?Items" localSheetId="4">#REF!</definedName>
    <definedName name="T17?Items">#REF!</definedName>
    <definedName name="T17?L1" localSheetId="9">#REF!</definedName>
    <definedName name="T17?L1" localSheetId="4">#REF!</definedName>
    <definedName name="T17?L1">#REF!</definedName>
    <definedName name="T17?L2" localSheetId="9">#REF!</definedName>
    <definedName name="T17?L2" localSheetId="4">#REF!</definedName>
    <definedName name="T17?L2">#REF!</definedName>
    <definedName name="T17?L3" localSheetId="9">#REF!</definedName>
    <definedName name="T17?L3" localSheetId="4">#REF!</definedName>
    <definedName name="T17?L3">#REF!</definedName>
    <definedName name="T17?L4" localSheetId="9">#REF!</definedName>
    <definedName name="T17?L4" localSheetId="4">#REF!</definedName>
    <definedName name="T17?L4">#REF!</definedName>
    <definedName name="T17?L5" localSheetId="9">#REF!</definedName>
    <definedName name="T17?L5" localSheetId="4">#REF!</definedName>
    <definedName name="T17?L5">#REF!</definedName>
    <definedName name="T17?L6" localSheetId="9">#REF!</definedName>
    <definedName name="T17?L6" localSheetId="4">#REF!</definedName>
    <definedName name="T17?L6">#REF!</definedName>
    <definedName name="T17?L7" localSheetId="9">#REF!</definedName>
    <definedName name="T17?L7" localSheetId="4">#REF!</definedName>
    <definedName name="T17?L7">'[20]29'!$L$60,'[20]29'!$O$60,'[20]29'!$F$60,'[20]29'!$I$60</definedName>
    <definedName name="T17?L8" localSheetId="9">#REF!</definedName>
    <definedName name="T17?L8" localSheetId="4">#REF!</definedName>
    <definedName name="T17?L8">#REF!</definedName>
    <definedName name="T17?Name" localSheetId="9">#REF!</definedName>
    <definedName name="T17?Name" localSheetId="4">#REF!</definedName>
    <definedName name="T17?Name">#REF!</definedName>
    <definedName name="T17?Scope" localSheetId="9">#REF!</definedName>
    <definedName name="T17?Scope" localSheetId="4">#REF!</definedName>
    <definedName name="T17?Scope">#REF!</definedName>
    <definedName name="T17?Table" localSheetId="9">#REF!</definedName>
    <definedName name="T17?Table" localSheetId="4">#REF!</definedName>
    <definedName name="T17?Table">#REF!</definedName>
    <definedName name="T17?Title" localSheetId="9">#REF!</definedName>
    <definedName name="T17?Title" localSheetId="4">#REF!</definedName>
    <definedName name="T17?Title">#REF!</definedName>
    <definedName name="T17?unit?ГКАЛЧ">'[20]29'!$M$26:$M$33,'[20]29'!$P$26:$P$33,'[20]29'!$G$52:$G$59,'[20]29'!$J$52:$J$59,'[20]29'!$M$52:$M$59,'[20]29'!$P$52:$P$59,'[20]29'!$G$26:$G$33,'[20]29'!$J$26:$J$33</definedName>
    <definedName name="T17?unit?РУБ.ГКАЛ" localSheetId="9">'[20]29'!$O$18:$O$25,[0]!P1_T17?unit?РУБ.ГКАЛ,[0]!P2_T17?unit?РУБ.ГКАЛ</definedName>
    <definedName name="T17?unit?РУБ.ГКАЛ" localSheetId="4">'[20]29'!$O$18:$O$25,[0]!P1_T17?unit?РУБ.ГКАЛ,[0]!P2_T17?unit?РУБ.ГКАЛ</definedName>
    <definedName name="T17?unit?РУБ.ГКАЛ">'[20]29'!$O$18:$O$25,P1_T17?unit?РУБ.ГКАЛ,P2_T17?unit?РУБ.ГКАЛ</definedName>
    <definedName name="T17?unit?ТГКАЛ" localSheetId="9">'[20]29'!$P$18:$P$25,[0]!P1_T17?unit?ТГКАЛ,[0]!P2_T17?unit?ТГКАЛ</definedName>
    <definedName name="T17?unit?ТГКАЛ" localSheetId="4">'[20]29'!$P$18:$P$25,[0]!P1_T17?unit?ТГКАЛ,[0]!P2_T17?unit?ТГКАЛ</definedName>
    <definedName name="T17?unit?ТГКАЛ">'[20]29'!$P$18:$P$25,P1_T17?unit?ТГКАЛ,P2_T17?unit?ТГКАЛ</definedName>
    <definedName name="T17?unit?ТРУБ" localSheetId="9">#REF!</definedName>
    <definedName name="T17?unit?ТРУБ" localSheetId="4">#REF!</definedName>
    <definedName name="T17?unit?ТРУБ">#REF!</definedName>
    <definedName name="T17?unit?ТРУБ.ГКАЛЧ.МЕС">'[20]29'!$L$26:$L$33,'[20]29'!$O$26:$O$33,'[20]29'!$F$52:$F$59,'[20]29'!$I$52:$I$59,'[20]29'!$L$52:$L$59,'[20]29'!$O$52:$O$59,'[20]29'!$F$26:$F$33,'[20]29'!$I$26:$I$33</definedName>
    <definedName name="T17?unit?ЧДН" localSheetId="9">#REF!</definedName>
    <definedName name="T17?unit?ЧДН" localSheetId="4">#REF!</definedName>
    <definedName name="T17?unit?ЧДН">#REF!</definedName>
    <definedName name="T17?unit?ЧЕЛ" localSheetId="9">#REF!</definedName>
    <definedName name="T17?unit?ЧЕЛ" localSheetId="4">#REF!</definedName>
    <definedName name="T17?unit?ЧЕЛ">#REF!</definedName>
    <definedName name="T17_Protect" localSheetId="9">'[25]21.3'!$E$66:$I$69,'[25]21.3'!$E$10:$I$10,P1_T17_Protect</definedName>
    <definedName name="T17_Protect" localSheetId="4">'[25]21.3'!$E$66:$I$69,'[25]21.3'!$E$10:$I$10,P1_T17_Protect</definedName>
    <definedName name="T17_Protect">#REF!,#REF!,P1_T17_Protect</definedName>
    <definedName name="T17_Protection" localSheetId="9">[0]!P2_T17_Protection,[0]!P3_T17_Protection,[0]!P4_T17_Protection,[0]!P5_T17_Protection,'1. подк.неподк. факт'!P6_T17_Protection</definedName>
    <definedName name="T17_Protection" localSheetId="4">[0]!P2_T17_Protection,[0]!P3_T17_Protection,[0]!P4_T17_Protection,[0]!P5_T17_Protection,'5. подк.неподк.план'!P6_T17_Protection</definedName>
    <definedName name="T17_Protection">P2_T17_Protection,P3_T17_Protection,P4_T17_Protection,P5_T17_Protection,P6_T17_Protection</definedName>
    <definedName name="T18.1?Data" localSheetId="9">P1_T18.1?Data,P2_T18.1?Data</definedName>
    <definedName name="T18.1?Data" localSheetId="4">P1_T18.1?Data,P2_T18.1?Data</definedName>
    <definedName name="T18.1?Data">P1_T18.1?Data,P2_T18.1?Data</definedName>
    <definedName name="T18.2?Columns" localSheetId="9">#REF!</definedName>
    <definedName name="T18.2?Columns" localSheetId="4">#REF!</definedName>
    <definedName name="T18.2?Columns">#REF!</definedName>
    <definedName name="T18.2?item_ext?СБЫТ" localSheetId="9">'[25]18.2'!#REF!,'[25]18.2'!#REF!</definedName>
    <definedName name="T18.2?item_ext?СБЫТ" localSheetId="4">'[25]18.2'!#REF!,'[25]18.2'!#REF!</definedName>
    <definedName name="T18.2?item_ext?СБЫТ">#REF!,#REF!</definedName>
    <definedName name="T18.2?ItemComments" localSheetId="9">#REF!</definedName>
    <definedName name="T18.2?ItemComments" localSheetId="4">#REF!</definedName>
    <definedName name="T18.2?ItemComments">#REF!</definedName>
    <definedName name="T18.2?Items" localSheetId="9">#REF!</definedName>
    <definedName name="T18.2?Items" localSheetId="4">#REF!</definedName>
    <definedName name="T18.2?Items">#REF!</definedName>
    <definedName name="T18.2?Scope" localSheetId="9">#REF!</definedName>
    <definedName name="T18.2?Scope" localSheetId="4">#REF!</definedName>
    <definedName name="T18.2?Scope">#REF!</definedName>
    <definedName name="T18.2?Units" localSheetId="9">#REF!</definedName>
    <definedName name="T18.2?Units" localSheetId="4">#REF!</definedName>
    <definedName name="T18.2?Units">#REF!</definedName>
    <definedName name="T18.2?ВРАС" localSheetId="9">'[25]18.2'!$B$34:$B$38,'[25]18.2'!$B$28:$B$30</definedName>
    <definedName name="T18.2?ВРАС" localSheetId="4">'[25]18.2'!$B$34:$B$38,'[25]18.2'!$B$28:$B$30</definedName>
    <definedName name="T18.2?ВРАС">#REF!,#REF!</definedName>
    <definedName name="T18.2_Protect" localSheetId="9">'[25]18.2'!$F$58:$J$59,'[25]18.2'!$F$62:$J$62,'[25]18.2'!$F$64:$J$67,'[25]18.2'!$F$6:$J$8,'1. подк.неподк. факт'!P1_T18.2_Protect</definedName>
    <definedName name="T18.2_Protect" localSheetId="4">'[25]18.2'!$F$58:$J$59,'[25]18.2'!$F$62:$J$62,'[25]18.2'!$F$64:$J$67,'[25]18.2'!$F$6:$J$8,'5. подк.неподк.план'!P1_T18.2_Protect</definedName>
    <definedName name="T18.2_Protect">#REF!,#REF!,#REF!,#REF!,P1_T18.2_Protect</definedName>
    <definedName name="T18?axis?R?ДОГОВОР">'[26]18'!$D$14:$L$16,'[26]18'!$D$20:$L$22,'[26]18'!$D$26:$L$28,'[26]18'!$D$32:$L$34,'[26]18'!$D$38:$L$40,'[26]18'!$D$8:$L$10</definedName>
    <definedName name="T18?axis?R?ДОГОВОР?">'[26]18'!$B$14:$B$16,'[26]18'!$B$20:$B$22,'[26]18'!$B$26:$B$28,'[26]18'!$B$32:$B$34,'[26]18'!$B$38:$B$40,'[26]18'!$B$8:$B$10</definedName>
    <definedName name="T18?axis?ПРД?БАЗ">'[26]18'!$I$6:$J$42,'[26]18'!$F$6:$G$42</definedName>
    <definedName name="T18?axis?ПРД?ПРЕД">'[26]18'!$K$6:$L$42,'[26]18'!$D$6:$E$42</definedName>
    <definedName name="T18?axis?ПФ?ПЛАН">'[26]18'!$I$6:$I$42,'[26]18'!$D$6:$D$42,'[26]18'!$K$6:$K$42,'[26]18'!$F$6:$F$42</definedName>
    <definedName name="T18?axis?ПФ?ФАКТ">'[26]18'!$J$6:$J$42,'[26]18'!$E$6:$E$42,'[26]18'!$L$6:$L$42,'[26]18'!$G$6:$G$42</definedName>
    <definedName name="T18_Copy1" localSheetId="9">[37]страховые!#REF!</definedName>
    <definedName name="T18_Copy1" localSheetId="4">[37]страховые!#REF!</definedName>
    <definedName name="T18_Copy1">[37]страховые!#REF!</definedName>
    <definedName name="T18_Copy2" localSheetId="9">[37]страховые!#REF!</definedName>
    <definedName name="T18_Copy2" localSheetId="4">[37]страховые!#REF!</definedName>
    <definedName name="T18_Copy2">[37]страховые!#REF!</definedName>
    <definedName name="T18_Copy3" localSheetId="9">[37]страховые!#REF!</definedName>
    <definedName name="T18_Copy3" localSheetId="4">[37]страховые!#REF!</definedName>
    <definedName name="T18_Copy3">[37]страховые!#REF!</definedName>
    <definedName name="T18_Copy4" localSheetId="9">[37]страховые!#REF!</definedName>
    <definedName name="T18_Copy4" localSheetId="4">[37]страховые!#REF!</definedName>
    <definedName name="T18_Copy4">[37]страховые!#REF!</definedName>
    <definedName name="T18_Copy5" localSheetId="9">[37]страховые!#REF!</definedName>
    <definedName name="T18_Copy5" localSheetId="4">[37]страховые!#REF!</definedName>
    <definedName name="T18_Copy5">[37]страховые!#REF!</definedName>
    <definedName name="T18_Copy6" localSheetId="9">[37]страховые!#REF!</definedName>
    <definedName name="T18_Copy6" localSheetId="4">[37]страховые!#REF!</definedName>
    <definedName name="T18_Copy6">[37]страховые!#REF!</definedName>
    <definedName name="T19.1.1?Data" localSheetId="9">P1_T19.1.1?Data,P2_T19.1.1?Data</definedName>
    <definedName name="T19.1.1?Data" localSheetId="4">P1_T19.1.1?Data,P2_T19.1.1?Data</definedName>
    <definedName name="T19.1.1?Data">P1_T19.1.1?Data,P2_T19.1.1?Data</definedName>
    <definedName name="T19.1.2?Data" localSheetId="9">P1_T19.1.2?Data,P2_T19.1.2?Data</definedName>
    <definedName name="T19.1.2?Data" localSheetId="4">P1_T19.1.2?Data,P2_T19.1.2?Data</definedName>
    <definedName name="T19.1.2?Data">P1_T19.1.2?Data,P2_T19.1.2?Data</definedName>
    <definedName name="T19.2?Data" localSheetId="9">P1_T19.2?Data,P2_T19.2?Data</definedName>
    <definedName name="T19.2?Data" localSheetId="4">P1_T19.2?Data,P2_T19.2?Data</definedName>
    <definedName name="T19.2?Data">P1_T19.2?Data,P2_T19.2?Data</definedName>
    <definedName name="T19?axis?R?ВРАС?" localSheetId="9">[37]НИОКР!#REF!</definedName>
    <definedName name="T19?axis?R?ВРАС?" localSheetId="4">[37]НИОКР!#REF!</definedName>
    <definedName name="T19?axis?R?ВРАС?">[37]НИОКР!#REF!</definedName>
    <definedName name="T19?axis?R?ДОГОВОР">'[26]19'!$E$8:$M$9,'[26]19'!$E$13:$M$14,'[26]19'!$E$18:$M$18,'[26]19'!$E$26:$M$27,'[26]19'!$E$22:$M$22</definedName>
    <definedName name="T19?axis?R?ДОГОВОР?">'[26]19'!$A$8:$A$9,'[26]19'!$A$13:$A$14,'[26]19'!$A$18,'[26]19'!$A$26:$A$27,'[26]19'!$A$22</definedName>
    <definedName name="T19?axis?ПРД?БАЗ">'[26]19'!$J$6:$K$30,'[26]19'!$G$6:$H$30</definedName>
    <definedName name="T19?axis?ПРД?ПРЕД">'[26]19'!$L$6:$M$30,'[26]19'!$E$6:$F$30</definedName>
    <definedName name="T19?axis?ПФ?ПЛАН">'[26]19'!$J$6:$J$30,'[26]19'!$E$6:$E$30,'[26]19'!$L$6:$L$30,'[26]19'!$G$6:$G$30</definedName>
    <definedName name="T19?axis?ПФ?ФАКТ">'[26]19'!$K$6:$K$30,'[26]19'!$F$6:$F$30,'[26]19'!$M$6:$M$30,'[26]19'!$H$6:$H$30</definedName>
    <definedName name="T19?Data">'[20]19'!$J$8:$M$16,'[20]19'!$C$8:$H$16</definedName>
    <definedName name="T19?item_ext?РОСТ" localSheetId="9">[37]НИОКР!#REF!</definedName>
    <definedName name="T19?item_ext?РОСТ" localSheetId="4">[37]НИОКР!#REF!</definedName>
    <definedName name="T19?item_ext?РОСТ">[37]НИОКР!#REF!</definedName>
    <definedName name="T19?L1">'[26]19'!$A$16:$M$16, '[26]19'!$A$11:$M$11, '[26]19'!$A$6:$M$6, '[26]19'!$A$20:$M$20, '[26]19'!$A$24:$M$24</definedName>
    <definedName name="T19?L1.x">'[26]19'!$A$18:$M$18, '[26]19'!$A$13:$M$14, '[26]19'!$A$8:$M$9, '[26]19'!$A$22:$M$22, '[26]19'!$A$26:$M$27</definedName>
    <definedName name="T19?Name" localSheetId="9">[37]НИОКР!#REF!</definedName>
    <definedName name="T19?Name" localSheetId="4">[37]НИОКР!#REF!</definedName>
    <definedName name="T19?Name">[37]НИОКР!#REF!</definedName>
    <definedName name="T19?unit?ПРЦ" localSheetId="9">[37]НИОКР!#REF!</definedName>
    <definedName name="T19?unit?ПРЦ" localSheetId="4">[37]НИОКР!#REF!</definedName>
    <definedName name="T19?unit?ПРЦ">[37]НИОКР!#REF!</definedName>
    <definedName name="T19_Copy" localSheetId="9">[37]НИОКР!#REF!</definedName>
    <definedName name="T19_Copy" localSheetId="4">[37]НИОКР!#REF!</definedName>
    <definedName name="T19_Copy">[37]НИОКР!#REF!</definedName>
    <definedName name="T19_Copy2" localSheetId="9">[37]НИОКР!#REF!</definedName>
    <definedName name="T19_Copy2" localSheetId="4">[37]НИОКР!#REF!</definedName>
    <definedName name="T19_Copy2">[37]НИОКР!#REF!</definedName>
    <definedName name="T19_Protection">'[20]19'!$E$13:$H$13,'[20]19'!$E$15:$H$15,'[20]19'!$J$8:$M$11,'[20]19'!$J$13:$M$13,'[20]19'!$J$15:$M$15,'[20]19'!$E$4:$H$4,'[20]19'!$J$4:$M$4,'[20]19'!$E$8:$H$11</definedName>
    <definedName name="T2.1?Data">#N/A</definedName>
    <definedName name="T2.1?Protection" localSheetId="9">'1. подк.неподк. факт'!P6_T2.1?Protection</definedName>
    <definedName name="T2.1?Protection" localSheetId="4">'5. подк.неподк.план'!P6_T2.1?Protection</definedName>
    <definedName name="T2.1?Protection">P6_T2.1?Protection</definedName>
    <definedName name="T2.3_Protect" localSheetId="9">'[25]2.3'!$F$30:$G$34,'[25]2.3'!$H$24:$K$28</definedName>
    <definedName name="T2.3_Protect" localSheetId="4">'[25]2.3'!$F$30:$G$34,'[25]2.3'!$H$24:$K$28</definedName>
    <definedName name="T2.3_Protect">#REF!,#REF!</definedName>
    <definedName name="T2?axis?ПРД?БАЗ">'[26]2'!$I$6:$J$19,'[26]2'!$F$6:$G$19</definedName>
    <definedName name="T2?axis?ПРД?ПРЕД">'[26]2'!$K$6:$L$19,'[26]2'!$D$6:$E$19</definedName>
    <definedName name="T2?axis?ПРД?РЕГ" localSheetId="9">#REF!</definedName>
    <definedName name="T2?axis?ПРД?РЕГ" localSheetId="4">#REF!</definedName>
    <definedName name="T2?axis?ПРД?РЕГ">#REF!</definedName>
    <definedName name="T2?axis?ПФ?ПЛАН">'[26]2'!$I$6:$I$19,'[26]2'!$D$6:$D$19,'[26]2'!$K$6:$K$19,'[26]2'!$F$6:$F$19</definedName>
    <definedName name="T2?axis?ПФ?ФАКТ">'[26]2'!$J$6:$J$19,'[26]2'!$E$6:$E$19,'[26]2'!$L$6:$L$19,'[26]2'!$G$6:$G$19</definedName>
    <definedName name="T2?Data" localSheetId="9">#REF!</definedName>
    <definedName name="T2?Data" localSheetId="4">#REF!</definedName>
    <definedName name="T2?Data">#REF!</definedName>
    <definedName name="T2?item_ext?РОСТ" localSheetId="9">#REF!</definedName>
    <definedName name="T2?item_ext?РОСТ" localSheetId="4">#REF!</definedName>
    <definedName name="T2?item_ext?РОСТ">#REF!</definedName>
    <definedName name="T2?L1" localSheetId="9">#REF!</definedName>
    <definedName name="T2?L1" localSheetId="4">#REF!</definedName>
    <definedName name="T2?L1">#REF!</definedName>
    <definedName name="T2?L2" localSheetId="9">#REF!</definedName>
    <definedName name="T2?L2" localSheetId="4">#REF!</definedName>
    <definedName name="T2?L2">#REF!</definedName>
    <definedName name="T2?L2.1" localSheetId="9">#REF!</definedName>
    <definedName name="T2?L2.1" localSheetId="4">#REF!</definedName>
    <definedName name="T2?L2.1">#REF!</definedName>
    <definedName name="T2?L2.1.ПРЦ" localSheetId="9">#REF!</definedName>
    <definedName name="T2?L2.1.ПРЦ" localSheetId="4">#REF!</definedName>
    <definedName name="T2?L2.1.ПРЦ">#REF!</definedName>
    <definedName name="T2?L2.2" localSheetId="9">#REF!</definedName>
    <definedName name="T2?L2.2" localSheetId="4">#REF!</definedName>
    <definedName name="T2?L2.2">#REF!</definedName>
    <definedName name="T2?L2.2.КВТЧ" localSheetId="9">#REF!</definedName>
    <definedName name="T2?L2.2.КВТЧ" localSheetId="4">#REF!</definedName>
    <definedName name="T2?L2.2.КВТЧ">#REF!</definedName>
    <definedName name="T2?L3" localSheetId="9">#REF!</definedName>
    <definedName name="T2?L3" localSheetId="4">#REF!</definedName>
    <definedName name="T2?L3">#REF!</definedName>
    <definedName name="T2?L4" localSheetId="9">#REF!</definedName>
    <definedName name="T2?L4" localSheetId="4">#REF!</definedName>
    <definedName name="T2?L4">#REF!</definedName>
    <definedName name="T2?L4.ПРЦ" localSheetId="9">#REF!</definedName>
    <definedName name="T2?L4.ПРЦ" localSheetId="4">#REF!</definedName>
    <definedName name="T2?L4.ПРЦ">#REF!</definedName>
    <definedName name="T2?L5" localSheetId="9">#REF!</definedName>
    <definedName name="T2?L5" localSheetId="4">#REF!</definedName>
    <definedName name="T2?L5">#REF!</definedName>
    <definedName name="T2?L6" localSheetId="9">#REF!</definedName>
    <definedName name="T2?L6" localSheetId="4">#REF!</definedName>
    <definedName name="T2?L6">#REF!</definedName>
    <definedName name="T2?L7" localSheetId="9">#REF!</definedName>
    <definedName name="T2?L7" localSheetId="4">#REF!</definedName>
    <definedName name="T2?L7">#REF!</definedName>
    <definedName name="T2?L7.ПРЦ" localSheetId="9">#REF!</definedName>
    <definedName name="T2?L7.ПРЦ" localSheetId="4">#REF!</definedName>
    <definedName name="T2?L7.ПРЦ">#REF!</definedName>
    <definedName name="T2?L8" localSheetId="9">#REF!</definedName>
    <definedName name="T2?L8" localSheetId="4">#REF!</definedName>
    <definedName name="T2?L8">#REF!</definedName>
    <definedName name="T2?Name" localSheetId="9">#REF!</definedName>
    <definedName name="T2?Name" localSheetId="4">#REF!</definedName>
    <definedName name="T2?Name">#REF!</definedName>
    <definedName name="T2?Protection" localSheetId="9">P1_T2?Protection,P2_T2?Protection</definedName>
    <definedName name="T2?Protection" localSheetId="4">P1_T2?Protection,P2_T2?Protection</definedName>
    <definedName name="T2?Protection">P1_T2?Protection,P2_T2?Protection</definedName>
    <definedName name="T2?Table" localSheetId="9">#REF!</definedName>
    <definedName name="T2?Table" localSheetId="4">#REF!</definedName>
    <definedName name="T2?Table">#REF!</definedName>
    <definedName name="T2?Title" localSheetId="9">#REF!</definedName>
    <definedName name="T2?Title" localSheetId="4">#REF!</definedName>
    <definedName name="T2?Title">#REF!</definedName>
    <definedName name="T2?unit?КВТЧ.ГКАЛ" localSheetId="9">#REF!</definedName>
    <definedName name="T2?unit?КВТЧ.ГКАЛ" localSheetId="4">#REF!</definedName>
    <definedName name="T2?unit?КВТЧ.ГКАЛ">#REF!</definedName>
    <definedName name="T2?unit?МКВТЧ">'[26]2'!$D$6:$H$8,   '[26]2'!$D$10:$H$10,   '[26]2'!$D$12:$H$13,   '[26]2'!$D$15:$H$15</definedName>
    <definedName name="T2?unit?ПРЦ">'[26]2'!$D$9:$H$9,   '[26]2'!$D$14:$H$14,   '[26]2'!$I$6:$L$19,   '[26]2'!$D$18:$H$18</definedName>
    <definedName name="T2?unit?ТГКАЛ">'[26]2'!$D$16:$H$17,   '[26]2'!$D$19:$H$19</definedName>
    <definedName name="T2_" localSheetId="9">#REF!</definedName>
    <definedName name="T2_" localSheetId="4">#REF!</definedName>
    <definedName name="T2_">#REF!</definedName>
    <definedName name="T2_DiapProt" localSheetId="9">P1_T2_DiapProt,P2_T2_DiapProt</definedName>
    <definedName name="T2_DiapProt" localSheetId="4">P1_T2_DiapProt,P2_T2_DiapProt</definedName>
    <definedName name="T2_DiapProt">P1_T2_DiapProt,P2_T2_DiapProt</definedName>
    <definedName name="T20.1?Columns" localSheetId="9">#REF!</definedName>
    <definedName name="T20.1?Columns" localSheetId="4">#REF!</definedName>
    <definedName name="T20.1?Columns">#REF!</definedName>
    <definedName name="T20.1?Investments" localSheetId="9">#REF!</definedName>
    <definedName name="T20.1?Investments" localSheetId="4">#REF!</definedName>
    <definedName name="T20.1?Investments">#REF!</definedName>
    <definedName name="T20.1?Scope" localSheetId="9">#REF!</definedName>
    <definedName name="T20.1?Scope" localSheetId="4">#REF!</definedName>
    <definedName name="T20.1?Scope">#REF!</definedName>
    <definedName name="T20.1_Protect" localSheetId="9">#REF!</definedName>
    <definedName name="T20.1_Protect" localSheetId="4">#REF!</definedName>
    <definedName name="T20.1_Protect">#REF!</definedName>
    <definedName name="T20?axis?R?ДОГОВОР">'[26]20'!$G$7:$O$26,       '[26]20'!$G$28:$O$41</definedName>
    <definedName name="T20?axis?R?ДОГОВОР?">'[26]20'!$D$7:$D$26,       '[26]20'!$D$28:$D$41</definedName>
    <definedName name="T20?axis?ПРД?БАЗ">'[26]20'!$L$6:$M$42,  '[26]20'!$I$6:$J$42</definedName>
    <definedName name="T20?axis?ПРД?ПРЕД">'[26]20'!$N$6:$O$41,  '[26]20'!$G$6:$H$42</definedName>
    <definedName name="T20?axis?ПФ?ПЛАН">'[26]20'!$L$6:$L$42,  '[26]20'!$G$6:$G$42,  '[26]20'!$N$6:$N$42,  '[26]20'!$I$6:$I$42</definedName>
    <definedName name="T20?axis?ПФ?ФАКТ">'[26]20'!$M$6:$M$42,  '[26]20'!$H$6:$H$42,  '[26]20'!$O$6:$O$42,  '[26]20'!$J$6:$J$42</definedName>
    <definedName name="T20?Columns" localSheetId="9">#REF!</definedName>
    <definedName name="T20?Columns" localSheetId="4">#REF!</definedName>
    <definedName name="T20?Columns">#REF!</definedName>
    <definedName name="T20?Data">'[26]20'!$G$6:$O$6,       '[26]20'!$G$8:$O$25,       '[26]20'!$G$27:$O$27,       '[26]20'!$G$29:$O$40,       '[26]20'!$G$42:$O$42</definedName>
    <definedName name="T20?item_ext?РОСТ" localSheetId="9">[37]аренда!#REF!</definedName>
    <definedName name="T20?item_ext?РОСТ" localSheetId="4">[37]аренда!#REF!</definedName>
    <definedName name="T20?item_ext?РОСТ">[37]аренда!#REF!</definedName>
    <definedName name="T20?ItemComments" localSheetId="9">#REF!</definedName>
    <definedName name="T20?ItemComments" localSheetId="4">#REF!</definedName>
    <definedName name="T20?ItemComments">#REF!</definedName>
    <definedName name="T20?Items" localSheetId="9">#REF!</definedName>
    <definedName name="T20?Items" localSheetId="4">#REF!</definedName>
    <definedName name="T20?Items">#REF!</definedName>
    <definedName name="T20?L1.1">'[26]20'!$A$20:$O$20,'[26]20'!$A$17:$O$17,'[26]20'!$A$8:$O$8,'[26]20'!$A$11:$O$11,'[26]20'!$A$14:$O$14,'[26]20'!$A$23:$O$23</definedName>
    <definedName name="T20?L1.2">'[26]20'!$A$21:$O$21,'[26]20'!$A$18:$O$18,'[26]20'!$A$9:$O$9,'[26]20'!$A$12:$O$12,'[26]20'!$A$15:$O$15,'[26]20'!$A$24:$O$24</definedName>
    <definedName name="T20?L1.3">'[26]20'!$A$22:$O$22,'[26]20'!$A$19:$O$19,'[26]20'!$A$10:$O$10,'[26]20'!$A$13:$O$13,'[26]20'!$A$16:$O$16,'[26]20'!$A$25:$O$25</definedName>
    <definedName name="T20?L2.1">'[26]20'!$A$29:$O$29,   '[26]20'!$A$32:$O$32,   '[26]20'!$A$35:$O$35,   '[26]20'!$A$38:$O$38</definedName>
    <definedName name="T20?L2.2">'[26]20'!$A$30:$O$30,   '[26]20'!$A$33:$O$33,   '[26]20'!$A$36:$O$36,   '[26]20'!$A$39:$O$39</definedName>
    <definedName name="T20?L2.3">'[26]20'!$A$31:$O$31,   '[26]20'!$A$34:$O$34,   '[26]20'!$A$37:$O$37,   '[26]20'!$A$40:$O$40</definedName>
    <definedName name="T20?Name" localSheetId="9">[37]аренда!#REF!</definedName>
    <definedName name="T20?Name" localSheetId="4">[37]аренда!#REF!</definedName>
    <definedName name="T20?Name">[37]аренда!#REF!</definedName>
    <definedName name="T20?Scope" localSheetId="9">#REF!</definedName>
    <definedName name="T20?Scope" localSheetId="4">#REF!</definedName>
    <definedName name="T20?Scope">#REF!</definedName>
    <definedName name="T20?unit?МКВТЧ">'[20]20'!$C$13:$M$13,'[20]20'!$C$15:$M$19,'[20]20'!$C$8:$M$11</definedName>
    <definedName name="T20?unit?ПРЦ" localSheetId="9">[37]аренда!#REF!</definedName>
    <definedName name="T20?unit?ПРЦ" localSheetId="4">[37]аренда!#REF!</definedName>
    <definedName name="T20?unit?ПРЦ">[37]аренда!#REF!</definedName>
    <definedName name="T20_Copy1" localSheetId="9">[37]аренда!#REF!</definedName>
    <definedName name="T20_Copy1" localSheetId="4">[37]аренда!#REF!</definedName>
    <definedName name="T20_Copy1">[37]аренда!#REF!</definedName>
    <definedName name="T20_Copy2" localSheetId="9">[37]аренда!#REF!</definedName>
    <definedName name="T20_Copy2" localSheetId="4">[37]аренда!#REF!</definedName>
    <definedName name="T20_Copy2">[37]аренда!#REF!</definedName>
    <definedName name="T20_Protect" localSheetId="9">'[25]20'!$E$13:$I$20,'[25]20'!$E$9:$I$10</definedName>
    <definedName name="T20_Protect" localSheetId="4">'[25]20'!$E$13:$I$20,'[25]20'!$E$9:$I$10</definedName>
    <definedName name="T20_Protect">'[27]20'!$E$13:$I$20,'[27]20'!$E$9:$I$10</definedName>
    <definedName name="T20_Protection" localSheetId="9">'[20]20'!$E$8:$H$11,[0]!P1_T20_Protection</definedName>
    <definedName name="T20_Protection" localSheetId="4">'[20]20'!$E$8:$H$11,[0]!P1_T20_Protection</definedName>
    <definedName name="T20_Protection">'[20]20'!$E$8:$H$11,P1_T20_Protection</definedName>
    <definedName name="T21.2.1?Data" localSheetId="9">P1_T21.2.1?Data,P2_T21.2.1?Data</definedName>
    <definedName name="T21.2.1?Data" localSheetId="4">P1_T21.2.1?Data,P2_T21.2.1?Data</definedName>
    <definedName name="T21.2.1?Data">P1_T21.2.1?Data,P2_T21.2.1?Data</definedName>
    <definedName name="T21.2.2?Data" localSheetId="9">P1_T21.2.2?Data,P2_T21.2.2?Data</definedName>
    <definedName name="T21.2.2?Data" localSheetId="4">P1_T21.2.2?Data,P2_T21.2.2?Data</definedName>
    <definedName name="T21.2.2?Data">P1_T21.2.2?Data,P2_T21.2.2?Data</definedName>
    <definedName name="T21.3?Columns" localSheetId="9">#REF!</definedName>
    <definedName name="T21.3?Columns" localSheetId="4">#REF!</definedName>
    <definedName name="T21.3?Columns">#REF!</definedName>
    <definedName name="T21.3?item_ext?СБЫТ" localSheetId="9">'[25]21.3'!#REF!,'[25]21.3'!#REF!</definedName>
    <definedName name="T21.3?item_ext?СБЫТ" localSheetId="4">'[25]21.3'!#REF!,'[25]21.3'!#REF!</definedName>
    <definedName name="T21.3?item_ext?СБЫТ">#REF!,#REF!</definedName>
    <definedName name="T21.3?ItemComments" localSheetId="9">#REF!</definedName>
    <definedName name="T21.3?ItemComments" localSheetId="4">#REF!</definedName>
    <definedName name="T21.3?ItemComments">#REF!</definedName>
    <definedName name="T21.3?Items" localSheetId="9">#REF!</definedName>
    <definedName name="T21.3?Items" localSheetId="4">#REF!</definedName>
    <definedName name="T21.3?Items">#REF!</definedName>
    <definedName name="T21.3?Scope" localSheetId="9">#REF!</definedName>
    <definedName name="T21.3?Scope" localSheetId="4">#REF!</definedName>
    <definedName name="T21.3?Scope">#REF!</definedName>
    <definedName name="T21.3?ВРАС" localSheetId="9">'[25]21.3'!$B$28:$B$42,'[25]21.3'!$B$60:$B$62</definedName>
    <definedName name="T21.3?ВРАС" localSheetId="4">'[25]21.3'!$B$28:$B$42,'[25]21.3'!$B$60:$B$62</definedName>
    <definedName name="T21.3?ВРАС">#REF!,#REF!</definedName>
    <definedName name="T21.3_Protect" localSheetId="9">'[25]21.3'!$E$19:$I$22,'[25]21.3'!$E$24:$I$25,'[25]21.3'!$B$28:$I$42,'[25]21.3'!$E$44:$I$44,'[25]21.3'!$E$47:$I$57,'[25]21.3'!$B$60:$I$62,'[25]21.3'!$E$13:$I$17</definedName>
    <definedName name="T21.3_Protect" localSheetId="4">'[25]21.3'!$E$19:$I$22,'[25]21.3'!$E$24:$I$25,'[25]21.3'!$B$28:$I$42,'[25]21.3'!$E$44:$I$44,'[25]21.3'!$E$47:$I$57,'[25]21.3'!$B$60:$I$62,'[25]21.3'!$E$13:$I$17</definedName>
    <definedName name="T21.3_Protect">#REF!,#REF!,#REF!,#REF!,#REF!,#REF!,#REF!</definedName>
    <definedName name="T21.4?Data" localSheetId="9">P1_T21.4?Data,P2_T21.4?Data</definedName>
    <definedName name="T21.4?Data" localSheetId="4">P1_T21.4?Data,P2_T21.4?Data</definedName>
    <definedName name="T21.4?Data">P1_T21.4?Data,P2_T21.4?Data</definedName>
    <definedName name="T21?axis?R?ДОГОВОР" localSheetId="9">#REF!</definedName>
    <definedName name="T21?axis?R?ДОГОВОР" localSheetId="4">#REF!</definedName>
    <definedName name="T21?axis?R?ДОГОВОР">#REF!</definedName>
    <definedName name="T21?axis?R?ДОГОВОР?" localSheetId="9">#REF!</definedName>
    <definedName name="T21?axis?R?ДОГОВОР?" localSheetId="4">#REF!</definedName>
    <definedName name="T21?axis?R?ДОГОВОР?">#REF!</definedName>
    <definedName name="T21?axis?R?ПЭ">'[20]21'!$D$14:$S$16,'[20]21'!$D$26:$S$28,'[20]21'!$D$20:$S$22</definedName>
    <definedName name="T21?axis?R?ПЭ?">'[20]21'!$B$14:$B$16,'[20]21'!$B$26:$B$28,'[20]21'!$B$20:$B$22</definedName>
    <definedName name="T21?axis?ПРД?БАЗ">'[26]21'!$I$6:$J$18,'[26]21'!$F$6:$G$18</definedName>
    <definedName name="T21?axis?ПРД?ПРЕД">'[26]21'!$K$6:$L$18,'[26]21'!$D$6:$E$18</definedName>
    <definedName name="T21?axis?ПРД?РЕГ" localSheetId="9">#REF!</definedName>
    <definedName name="T21?axis?ПРД?РЕГ" localSheetId="4">#REF!</definedName>
    <definedName name="T21?axis?ПРД?РЕГ">#REF!</definedName>
    <definedName name="T21?axis?ПФ?ПЛАН">'[26]21'!$I$6:$I$18,'[26]21'!$D$6:$D$18,'[26]21'!$K$6:$K$18,'[26]21'!$F$6:$F$18</definedName>
    <definedName name="T21?axis?ПФ?ФАКТ">'[26]21'!$J$6:$J$18,'[26]21'!$E$6:$E$18,'[26]21'!$L$6:$L$18,'[26]21'!$G$6:$G$18</definedName>
    <definedName name="T21?Data" localSheetId="9">'[26]21'!$D$6:$L$9, '[26]21'!$D$11:$L$14, '[26]21'!$D$16:$L$18</definedName>
    <definedName name="T21?Data" localSheetId="4">'[26]21'!$D$6:$L$9, '[26]21'!$D$11:$L$14, '[26]21'!$D$16:$L$18</definedName>
    <definedName name="T21?Data">'[20]21'!$D$14:$S$16,'[20]21'!$D$18:$S$18,'[20]21'!$D$20:$S$22,'[20]21'!$D$24:$S$24,'[20]21'!$D$26:$S$28,'[20]21'!$D$31:$S$33,'[20]21'!$D$11:$S$12</definedName>
    <definedName name="T21?item_ext?РОСТ" localSheetId="9">#REF!</definedName>
    <definedName name="T21?item_ext?РОСТ" localSheetId="4">#REF!</definedName>
    <definedName name="T21?item_ext?РОСТ">#REF!</definedName>
    <definedName name="T21?L1" localSheetId="9">#REF!</definedName>
    <definedName name="T21?L1" localSheetId="4">#REF!</definedName>
    <definedName name="T21?L1">'[20]21'!$D$11:$S$12,'[20]21'!$D$14:$S$16,'[20]21'!$D$18:$S$18,'[20]21'!$D$20:$S$22,'[20]21'!$D$26:$S$28,'[20]21'!$D$24:$S$24</definedName>
    <definedName name="T21?L2" localSheetId="9">#REF!</definedName>
    <definedName name="T21?L2" localSheetId="4">#REF!</definedName>
    <definedName name="T21?L2">#REF!</definedName>
    <definedName name="T21?L3" localSheetId="9">#REF!</definedName>
    <definedName name="T21?L3" localSheetId="4">#REF!</definedName>
    <definedName name="T21?L3">#REF!</definedName>
    <definedName name="T21?L4" localSheetId="9">#REF!</definedName>
    <definedName name="T21?L4" localSheetId="4">#REF!</definedName>
    <definedName name="T21?L4">#REF!</definedName>
    <definedName name="T21?L4.x" localSheetId="9">#REF!</definedName>
    <definedName name="T21?L4.x" localSheetId="4">#REF!</definedName>
    <definedName name="T21?L4.x">#REF!</definedName>
    <definedName name="T21?L5" localSheetId="9">#REF!</definedName>
    <definedName name="T21?L5" localSheetId="4">#REF!</definedName>
    <definedName name="T21?L5">#REF!</definedName>
    <definedName name="T21?L6" localSheetId="9">#REF!</definedName>
    <definedName name="T21?L6" localSheetId="4">#REF!</definedName>
    <definedName name="T21?L6">#REF!</definedName>
    <definedName name="T21?L7" localSheetId="9">#REF!</definedName>
    <definedName name="T21?L7" localSheetId="4">#REF!</definedName>
    <definedName name="T21?L7">#REF!</definedName>
    <definedName name="T21?Name" localSheetId="9">#REF!</definedName>
    <definedName name="T21?Name" localSheetId="4">#REF!</definedName>
    <definedName name="T21?Name">#REF!</definedName>
    <definedName name="T21?Table" localSheetId="9">#REF!</definedName>
    <definedName name="T21?Table" localSheetId="4">#REF!</definedName>
    <definedName name="T21?Table">#REF!</definedName>
    <definedName name="T21?Title" localSheetId="9">#REF!</definedName>
    <definedName name="T21?Title" localSheetId="4">#REF!</definedName>
    <definedName name="T21?Title">#REF!</definedName>
    <definedName name="T21?unit?ПРЦ" localSheetId="9">#REF!</definedName>
    <definedName name="T21?unit?ПРЦ" localSheetId="4">#REF!</definedName>
    <definedName name="T21?unit?ПРЦ">#REF!</definedName>
    <definedName name="T21?unit?ТРУБ" localSheetId="9">#REF!</definedName>
    <definedName name="T21?unit?ТРУБ" localSheetId="4">#REF!</definedName>
    <definedName name="T21?unit?ТРУБ">#REF!</definedName>
    <definedName name="T21_Copy" localSheetId="9">#REF!</definedName>
    <definedName name="T21_Copy" localSheetId="4">#REF!</definedName>
    <definedName name="T21_Copy">#REF!</definedName>
    <definedName name="T21_Protection" localSheetId="9">[0]!P2_T21_Protection,'1. подк.неподк. факт'!P3_T21_Protection</definedName>
    <definedName name="T21_Protection" localSheetId="4">[0]!P2_T21_Protection,'5. подк.неподк.план'!P3_T21_Protection</definedName>
    <definedName name="T21_Protection">P2_T21_Protection,P3_T21_Protection</definedName>
    <definedName name="T22?axis?R?ДОГОВОР">'[26]22'!$E$8:$M$9,'[26]22'!$E$13:$M$14,'[26]22'!$E$22:$M$23,'[26]22'!$E$18:$M$18</definedName>
    <definedName name="T22?axis?R?ДОГОВОР?">'[26]22'!$A$8:$A$9,'[26]22'!$A$13:$A$14,'[26]22'!$A$22:$A$23,'[26]22'!$A$18</definedName>
    <definedName name="T22?axis?ПРД?БАЗ">'[26]22'!$J$6:$K$26, '[26]22'!$G$6:$H$26</definedName>
    <definedName name="T22?axis?ПРД?ПРЕД">'[26]22'!$L$6:$M$26, '[26]22'!$E$6:$F$26</definedName>
    <definedName name="T22?axis?ПФ?ПЛАН">'[26]22'!$J$6:$J$26,'[26]22'!$E$6:$E$26,'[26]22'!$L$6:$L$26,'[26]22'!$G$6:$G$26</definedName>
    <definedName name="T22?axis?ПФ?ФАКТ">'[26]22'!$K$6:$K$26,'[26]22'!$F$6:$F$26,'[26]22'!$M$6:$M$26,'[26]22'!$H$6:$H$26</definedName>
    <definedName name="T22?item_ext?ВСЕГО">'[20]22'!$E$8:$F$31,'[20]22'!$I$8:$J$31</definedName>
    <definedName name="T22?item_ext?РОСТ" localSheetId="9">'[37]другие затраты с-ст'!#REF!</definedName>
    <definedName name="T22?item_ext?РОСТ" localSheetId="4">'[37]другие затраты с-ст'!#REF!</definedName>
    <definedName name="T22?item_ext?РОСТ">'[37]другие затраты с-ст'!#REF!</definedName>
    <definedName name="T22?item_ext?ЭС">'[20]22'!$K$8:$L$31,'[20]22'!$G$8:$H$31</definedName>
    <definedName name="T22?L1" localSheetId="9" xml:space="preserve"> '[26]22'!$A$11:$M$11,    '[26]22'!$A$6:$M$6,    '[26]22'!$A$16:$M$16,    '[26]22'!$A$20:$M$20</definedName>
    <definedName name="T22?L1" localSheetId="4" xml:space="preserve"> '[26]22'!$A$11:$M$11,    '[26]22'!$A$6:$M$6,    '[26]22'!$A$16:$M$16,    '[26]22'!$A$20:$M$20</definedName>
    <definedName name="T22?L1">'[20]22'!$G$8:$G$31,'[20]22'!$I$8:$I$31,'[20]22'!$K$8:$K$31,'[20]22'!$E$8:$E$31</definedName>
    <definedName name="T22?L1.x">'[26]22'!$A$13:$M$14, '[26]22'!$A$8:$M$9, '[26]22'!$A$18:$M$18, '[26]22'!$A$22:$M$23</definedName>
    <definedName name="T22?L2" localSheetId="9">'[37]другие затраты с-ст'!#REF!</definedName>
    <definedName name="T22?L2" localSheetId="4">'[37]другие затраты с-ст'!#REF!</definedName>
    <definedName name="T22?L2">'[20]22'!$H$8:$H$31,'[20]22'!$J$8:$J$31,'[20]22'!$L$8:$L$31,'[20]22'!$F$8:$F$31</definedName>
    <definedName name="T22?Name" localSheetId="9">'[37]другие затраты с-ст'!#REF!</definedName>
    <definedName name="T22?Name" localSheetId="4">'[37]другие затраты с-ст'!#REF!</definedName>
    <definedName name="T22?Name">'[37]другие затраты с-ст'!#REF!</definedName>
    <definedName name="T22?unit?ГКАЛ.Ч">'[20]22'!$G$8:$G$31,'[20]22'!$I$8:$I$31,'[20]22'!$K$8:$K$31,'[20]22'!$E$8:$E$31</definedName>
    <definedName name="T22?unit?ПРЦ" localSheetId="9">'[37]другие затраты с-ст'!#REF!</definedName>
    <definedName name="T22?unit?ПРЦ" localSheetId="4">'[37]другие затраты с-ст'!#REF!</definedName>
    <definedName name="T22?unit?ПРЦ">'[37]другие затраты с-ст'!#REF!</definedName>
    <definedName name="T22?unit?ТГКАЛ">'[20]22'!$H$8:$H$31,'[20]22'!$J$8:$J$31,'[20]22'!$L$8:$L$31,'[20]22'!$F$8:$F$31</definedName>
    <definedName name="T22_Copy" localSheetId="9">'[37]другие затраты с-ст'!#REF!</definedName>
    <definedName name="T22_Copy" localSheetId="4">'[37]другие затраты с-ст'!#REF!</definedName>
    <definedName name="T22_Copy">'[37]другие затраты с-ст'!#REF!</definedName>
    <definedName name="T22_Copy2" localSheetId="9">'[37]другие затраты с-ст'!#REF!</definedName>
    <definedName name="T22_Copy2" localSheetId="4">'[37]другие затраты с-ст'!#REF!</definedName>
    <definedName name="T22_Copy2">'[37]другие затраты с-ст'!#REF!</definedName>
    <definedName name="T22_Protection">'[20]22'!$E$19:$L$23,'[20]22'!$E$25:$L$25,'[20]22'!$E$27:$L$31,'[20]22'!$E$17:$L$17</definedName>
    <definedName name="T23?axis?R?ВТОП">'[20]23'!$E$8:$P$30,'[20]23'!$E$36:$P$58</definedName>
    <definedName name="T23?axis?R?ВТОП?">'[20]23'!$C$8:$C$30,'[20]23'!$C$36:$C$58</definedName>
    <definedName name="T23?axis?R?ПЭ">'[20]23'!$E$8:$P$30,'[20]23'!$E$36:$P$58</definedName>
    <definedName name="T23?axis?R?ПЭ?">'[20]23'!$B$8:$B$30,'[20]23'!$B$36:$B$58</definedName>
    <definedName name="T23?axis?R?СЦТ">'[20]23'!$E$32:$P$34,'[20]23'!$E$60:$P$62</definedName>
    <definedName name="T23?axis?R?СЦТ?">'[20]23'!$A$60:$A$62,'[20]23'!$A$32:$A$34</definedName>
    <definedName name="T23?axis?ПРД?БАЗ">'[26]23'!$I$6:$J$13,'[26]23'!$F$6:$G$13</definedName>
    <definedName name="T23?axis?ПРД?ПРЕД">'[26]23'!$K$6:$L$13,'[26]23'!$D$6:$E$13</definedName>
    <definedName name="T23?axis?ПРД?РЕГ" localSheetId="9">'[37]налоги в с-ст'!#REF!</definedName>
    <definedName name="T23?axis?ПРД?РЕГ" localSheetId="4">'[37]налоги в с-ст'!#REF!</definedName>
    <definedName name="T23?axis?ПРД?РЕГ">'[37]налоги в с-ст'!#REF!</definedName>
    <definedName name="T23?axis?ПФ?ПЛАН">'[26]23'!$I$6:$I$13,'[26]23'!$D$6:$D$13,'[26]23'!$K$6:$K$13,'[26]23'!$F$6:$F$13</definedName>
    <definedName name="T23?axis?ПФ?ФАКТ">'[26]23'!$J$6:$J$13,'[26]23'!$E$6:$E$13,'[26]23'!$L$6:$L$13,'[26]23'!$G$6:$G$13</definedName>
    <definedName name="T23?Data" localSheetId="9">'[26]23'!$D$9:$L$9,'[26]23'!$D$11:$L$13,'[26]23'!$D$6:$L$7</definedName>
    <definedName name="T23?Data" localSheetId="4">'[26]23'!$D$9:$L$9,'[26]23'!$D$11:$L$13,'[26]23'!$D$6:$L$7</definedName>
    <definedName name="T23?Data">'[20]23'!$E$37:$P$63,'[20]23'!$E$9:$P$35</definedName>
    <definedName name="T23?item_ext?ВСЕГО">'[20]23'!$A$55:$P$58,'[20]23'!$A$27:$P$30</definedName>
    <definedName name="T23?item_ext?ИТОГО">'[20]23'!$A$59:$P$59,'[20]23'!$A$31:$P$31</definedName>
    <definedName name="T23?item_ext?РОСТ" localSheetId="9">'[37]налоги в с-ст'!#REF!</definedName>
    <definedName name="T23?item_ext?РОСТ" localSheetId="4">'[37]налоги в с-ст'!#REF!</definedName>
    <definedName name="T23?item_ext?РОСТ">'[37]налоги в с-ст'!#REF!</definedName>
    <definedName name="T23?item_ext?СЦТ">'[20]23'!$A$60:$P$62,'[20]23'!$A$32:$P$34</definedName>
    <definedName name="T23?L1" localSheetId="9">'[37]налоги в с-ст'!#REF!</definedName>
    <definedName name="T23?L1" localSheetId="4">'[37]налоги в с-ст'!#REF!</definedName>
    <definedName name="T23?L1">'[37]налоги в с-ст'!#REF!</definedName>
    <definedName name="T23?L1.1" localSheetId="9">'[37]налоги в с-ст'!#REF!</definedName>
    <definedName name="T23?L1.1" localSheetId="4">'[37]налоги в с-ст'!#REF!</definedName>
    <definedName name="T23?L1.1">'[37]налоги в с-ст'!#REF!</definedName>
    <definedName name="T23?L1.2" localSheetId="9">'[37]налоги в с-ст'!#REF!</definedName>
    <definedName name="T23?L1.2" localSheetId="4">'[37]налоги в с-ст'!#REF!</definedName>
    <definedName name="T23?L1.2">'[37]налоги в с-ст'!#REF!</definedName>
    <definedName name="T23?L2" localSheetId="9">'[37]налоги в с-ст'!#REF!</definedName>
    <definedName name="T23?L2" localSheetId="4">'[37]налоги в с-ст'!#REF!</definedName>
    <definedName name="T23?L2">'[37]налоги в с-ст'!#REF!</definedName>
    <definedName name="T23?L3" localSheetId="9">'[37]налоги в с-ст'!#REF!</definedName>
    <definedName name="T23?L3" localSheetId="4">'[37]налоги в с-ст'!#REF!</definedName>
    <definedName name="T23?L3">'[37]налоги в с-ст'!#REF!</definedName>
    <definedName name="T23?L4" localSheetId="9">'[37]налоги в с-ст'!#REF!</definedName>
    <definedName name="T23?L4" localSheetId="4">'[37]налоги в с-ст'!#REF!</definedName>
    <definedName name="T23?L4">'[37]налоги в с-ст'!#REF!</definedName>
    <definedName name="T23?Name" localSheetId="9">'[37]налоги в с-ст'!#REF!</definedName>
    <definedName name="T23?Name" localSheetId="4">'[37]налоги в с-ст'!#REF!</definedName>
    <definedName name="T23?Name">'[37]налоги в с-ст'!#REF!</definedName>
    <definedName name="T23?Table" localSheetId="9">'[37]налоги в с-ст'!#REF!</definedName>
    <definedName name="T23?Table" localSheetId="4">'[37]налоги в с-ст'!#REF!</definedName>
    <definedName name="T23?Table">'[37]налоги в с-ст'!#REF!</definedName>
    <definedName name="T23?Title" localSheetId="9">'[37]налоги в с-ст'!#REF!</definedName>
    <definedName name="T23?Title" localSheetId="4">'[37]налоги в с-ст'!#REF!</definedName>
    <definedName name="T23?Title">'[37]налоги в с-ст'!#REF!</definedName>
    <definedName name="T23?unit?ПРЦ">'[26]23'!$D$12:$H$12,'[26]23'!$I$6:$L$13</definedName>
    <definedName name="T23?unit?ТРУБ">'[26]23'!$D$9:$H$9,'[26]23'!$D$11:$H$11,'[26]23'!$D$13:$H$13,'[26]23'!$D$6:$H$7</definedName>
    <definedName name="T23_Protection" localSheetId="9">'[20]23'!$A$60:$A$62,'[20]23'!$F$60:$J$62,'[20]23'!$O$60:$P$62,'[20]23'!$A$9:$A$25,[0]!P1_T23_Protection</definedName>
    <definedName name="T23_Protection" localSheetId="4">'[20]23'!$A$60:$A$62,'[20]23'!$F$60:$J$62,'[20]23'!$O$60:$P$62,'[20]23'!$A$9:$A$25,[0]!P1_T23_Protection</definedName>
    <definedName name="T23_Protection">'[20]23'!$A$60:$A$62,'[20]23'!$F$60:$J$62,'[20]23'!$O$60:$P$62,'[20]23'!$A$9:$A$25,P1_T23_Protection</definedName>
    <definedName name="T24.1?Data">'[26]24.1'!$E$6:$J$21, '[26]24.1'!$E$23, '[26]24.1'!$H$23:$J$23, '[26]24.1'!$E$28:$J$42, '[26]24.1'!$E$44, '[26]24.1'!$H$44:$J$44</definedName>
    <definedName name="T24.1?unit?ТРУБ">'[26]24.1'!$E$5:$E$44, '[26]24.1'!$J$5:$J$44</definedName>
    <definedName name="T24.1_Copy1" localSheetId="9">'[37]% за кредит'!#REF!</definedName>
    <definedName name="T24.1_Copy1" localSheetId="4">'[37]% за кредит'!#REF!</definedName>
    <definedName name="T24.1_Copy1">'[37]% за кредит'!#REF!</definedName>
    <definedName name="T24.1_Copy2" localSheetId="9">'[37]% за кредит'!#REF!</definedName>
    <definedName name="T24.1_Copy2" localSheetId="4">'[37]% за кредит'!#REF!</definedName>
    <definedName name="T24.1_Copy2">'[37]% за кредит'!#REF!</definedName>
    <definedName name="T24?axis?R?ДОГОВОР">'[26]24'!$D$27:$L$37,'[26]24'!$D$8:$L$18</definedName>
    <definedName name="T24?axis?R?ДОГОВОР?">'[26]24'!$B$27:$B$37,'[26]24'!$B$8:$B$18</definedName>
    <definedName name="T24?axis?ПРД?БАЗ">'[26]24'!$I$6:$J$39,'[26]24'!$F$6:$G$39</definedName>
    <definedName name="T24?axis?ПРД?ПРЕД">'[26]24'!$K$6:$L$39,'[26]24'!$D$6:$E$39</definedName>
    <definedName name="T24?axis?ПРД?РЕГ" localSheetId="9">#REF!</definedName>
    <definedName name="T24?axis?ПРД?РЕГ" localSheetId="4">#REF!</definedName>
    <definedName name="T24?axis?ПРД?РЕГ">#REF!</definedName>
    <definedName name="T24?axis?ПФ?ПЛАН">'[26]24'!$I$6:$I$39,'[26]24'!$D$6:$D$39,'[26]24'!$K$6:$K$39,'[26]24'!$F$6:$F$38</definedName>
    <definedName name="T24?axis?ПФ?ФАКТ">'[26]24'!$J$6:$J$39,'[26]24'!$E$6:$E$39,'[26]24'!$L$6:$L$39,'[26]24'!$G$6:$G$39</definedName>
    <definedName name="T24?Data">'[26]24'!$D$6:$L$6, '[26]24'!$D$8:$L$18, '[26]24'!$D$20:$L$25, '[26]24'!$D$27:$L$37, '[26]24'!$D$39:$L$39</definedName>
    <definedName name="T24?item_ext?РОСТ" localSheetId="9">#REF!</definedName>
    <definedName name="T24?item_ext?РОСТ" localSheetId="4">#REF!</definedName>
    <definedName name="T24?item_ext?РОСТ">#REF!</definedName>
    <definedName name="T24?L1" localSheetId="9">#REF!</definedName>
    <definedName name="T24?L1" localSheetId="4">#REF!</definedName>
    <definedName name="T24?L1">#REF!</definedName>
    <definedName name="T24?L1.x" localSheetId="9">#REF!</definedName>
    <definedName name="T24?L1.x" localSheetId="4">#REF!</definedName>
    <definedName name="T24?L1.x">#REF!</definedName>
    <definedName name="T24?L2" localSheetId="9">#REF!</definedName>
    <definedName name="T24?L2" localSheetId="4">#REF!</definedName>
    <definedName name="T24?L2">#REF!</definedName>
    <definedName name="T24?L2.1" localSheetId="9">#REF!</definedName>
    <definedName name="T24?L2.1" localSheetId="4">#REF!</definedName>
    <definedName name="T24?L2.1">#REF!</definedName>
    <definedName name="T24?L2.2" localSheetId="9">#REF!</definedName>
    <definedName name="T24?L2.2" localSheetId="4">#REF!</definedName>
    <definedName name="T24?L2.2">#REF!</definedName>
    <definedName name="T24?L3" localSheetId="9">#REF!</definedName>
    <definedName name="T24?L3" localSheetId="4">#REF!</definedName>
    <definedName name="T24?L3">#REF!</definedName>
    <definedName name="T24?L4" localSheetId="9">#REF!</definedName>
    <definedName name="T24?L4" localSheetId="4">#REF!</definedName>
    <definedName name="T24?L4">#REF!</definedName>
    <definedName name="T24?L5" localSheetId="9">#REF!</definedName>
    <definedName name="T24?L5" localSheetId="4">#REF!</definedName>
    <definedName name="T24?L5">#REF!</definedName>
    <definedName name="T24?L5.x" localSheetId="9">#REF!</definedName>
    <definedName name="T24?L5.x" localSheetId="4">#REF!</definedName>
    <definedName name="T24?L5.x">#REF!</definedName>
    <definedName name="T24?L6" localSheetId="9">#REF!</definedName>
    <definedName name="T24?L6" localSheetId="4">#REF!</definedName>
    <definedName name="T24?L6">#REF!</definedName>
    <definedName name="T24?Name" localSheetId="9">#REF!</definedName>
    <definedName name="T24?Name" localSheetId="4">#REF!</definedName>
    <definedName name="T24?Name">#REF!</definedName>
    <definedName name="T24?Table" localSheetId="9">#REF!</definedName>
    <definedName name="T24?Table" localSheetId="4">#REF!</definedName>
    <definedName name="T24?Table">#REF!</definedName>
    <definedName name="T24?Title" localSheetId="9">#REF!</definedName>
    <definedName name="T24?Title" localSheetId="4">#REF!</definedName>
    <definedName name="T24?Title">#REF!</definedName>
    <definedName name="T24?unit?ПРЦ">'[26]24'!$D$22:$H$22, '[26]24'!$I$6:$L$6, '[26]24'!$I$8:$L$18, '[26]24'!$I$20:$L$25, '[26]24'!$I$27:$L$37, '[26]24'!$I$39:$L$39</definedName>
    <definedName name="T24?unit?ТРУБ">'[26]24'!$D$6:$H$6, '[26]24'!$D$8:$H$18, '[26]24'!$D$20:$H$21, '[26]24'!$D$23:$H$25, '[26]24'!$D$27:$H$37, '[26]24'!$D$39:$H$39</definedName>
    <definedName name="T24_Copy1" localSheetId="9">#REF!</definedName>
    <definedName name="T24_Copy1" localSheetId="4">#REF!</definedName>
    <definedName name="T24_Copy1">#REF!</definedName>
    <definedName name="T24_Copy2" localSheetId="9">#REF!</definedName>
    <definedName name="T24_Copy2" localSheetId="4">#REF!</definedName>
    <definedName name="T24_Copy2">#REF!</definedName>
    <definedName name="T24_Protection">'[20]24'!$E$24:$H$37,'[20]24'!$B$35:$B$37,'[20]24'!$E$41:$H$42,'[20]24'!$J$8:$M$21,'[20]24'!$J$24:$M$37,'[20]24'!$J$41:$M$42,'[20]24'!$E$8:$H$21</definedName>
    <definedName name="T25?axis?R?ВРАС" localSheetId="9">#REF!</definedName>
    <definedName name="T25?axis?R?ВРАС" localSheetId="4">#REF!</definedName>
    <definedName name="T25?axis?R?ВРАС">#REF!</definedName>
    <definedName name="T25?axis?R?ВРАС?" localSheetId="9">#REF!</definedName>
    <definedName name="T25?axis?R?ВРАС?" localSheetId="4">#REF!</definedName>
    <definedName name="T25?axis?R?ВРАС?">#REF!</definedName>
    <definedName name="T25?axis?R?ДОГОВОР">'[26]25'!$G$19:$O$20, '[26]25'!$G$9:$O$10, '[26]25'!$G$14:$O$15, '[26]25'!$G$24:$O$24, '[26]25'!$G$29:$O$34, '[26]25'!$G$38:$O$40</definedName>
    <definedName name="T25?axis?R?ДОГОВОР?">'[26]25'!$E$19:$E$20, '[26]25'!$E$9:$E$10, '[26]25'!$E$14:$E$15, '[26]25'!$E$24, '[26]25'!$E$29:$E$34, '[26]25'!$E$38:$E$40</definedName>
    <definedName name="T25?axis?ПРД?БАЗ" localSheetId="9">#REF!</definedName>
    <definedName name="T25?axis?ПРД?БАЗ" localSheetId="4">#REF!</definedName>
    <definedName name="T25?axis?ПРД?БАЗ">#REF!</definedName>
    <definedName name="T25?axis?ПРД?ПРЕД" localSheetId="9">#REF!</definedName>
    <definedName name="T25?axis?ПРД?ПРЕД" localSheetId="4">#REF!</definedName>
    <definedName name="T25?axis?ПРД?ПРЕД">#REF!</definedName>
    <definedName name="T25?axis?ПРД?РЕГ" localSheetId="9">#REF!</definedName>
    <definedName name="T25?axis?ПРД?РЕГ" localSheetId="4">#REF!</definedName>
    <definedName name="T25?axis?ПРД?РЕГ">#REF!</definedName>
    <definedName name="T25?axis?ПФ?ПЛАН">'[26]25'!$I$7:$I$51,         '[26]25'!$L$7:$L$51</definedName>
    <definedName name="T25?axis?ПФ?ФАКТ">'[26]25'!$J$7:$J$51,         '[26]25'!$M$7:$M$51</definedName>
    <definedName name="T25?Data" localSheetId="9">#REF!</definedName>
    <definedName name="T25?Data" localSheetId="4">#REF!</definedName>
    <definedName name="T25?Data">#REF!</definedName>
    <definedName name="T25?item_ext?РОСТ" localSheetId="9">#REF!</definedName>
    <definedName name="T25?item_ext?РОСТ" localSheetId="4">#REF!</definedName>
    <definedName name="T25?item_ext?РОСТ">#REF!</definedName>
    <definedName name="T25?item_ext?РОСТ2" localSheetId="9">#REF!</definedName>
    <definedName name="T25?item_ext?РОСТ2" localSheetId="4">#REF!</definedName>
    <definedName name="T25?item_ext?РОСТ2">#REF!</definedName>
    <definedName name="T25?L1" xml:space="preserve"> '[26]25'!$A$17:$O$17,  '[26]25'!$A$7:$O$7,  '[26]25'!$A$12:$O$12,  '[26]25'!$A$22:$O$22,  '[26]25'!$A$26:$O$26,  '[26]25'!$A$36:$O$36</definedName>
    <definedName name="T25?L1.1">'[26]25'!$A$19:$O$20, '[26]25'!$A$31:$O$31, '[26]25'!$A$9:$O$10, '[26]25'!$A$14:$O$15, '[26]25'!$A$24:$O$24, '[26]25'!$A$29:$O$29, '[26]25'!$A$33:$O$33, '[26]25'!$A$38:$O$40</definedName>
    <definedName name="T25?L1.2" localSheetId="9">#REF!</definedName>
    <definedName name="T25?L1.2" localSheetId="4">#REF!</definedName>
    <definedName name="T25?L1.2">#REF!</definedName>
    <definedName name="T25?L1.2.1" xml:space="preserve"> '[26]25'!$A$32:$O$32,     '[26]25'!$A$30:$O$30,     '[26]25'!$A$34:$O$34</definedName>
    <definedName name="T25?L2" localSheetId="9">#REF!</definedName>
    <definedName name="T25?L2" localSheetId="4">#REF!</definedName>
    <definedName name="T25?L2">#REF!</definedName>
    <definedName name="T25?L2.1" localSheetId="9">#REF!</definedName>
    <definedName name="T25?L2.1" localSheetId="4">#REF!</definedName>
    <definedName name="T25?L2.1">#REF!</definedName>
    <definedName name="T25?L2.1.1" localSheetId="9">#REF!</definedName>
    <definedName name="T25?L2.1.1" localSheetId="4">#REF!</definedName>
    <definedName name="T25?L2.1.1">#REF!</definedName>
    <definedName name="T25?L2.1.2" localSheetId="9">#REF!</definedName>
    <definedName name="T25?L2.1.2" localSheetId="4">#REF!</definedName>
    <definedName name="T25?L2.1.2">#REF!</definedName>
    <definedName name="T25?L2.2" localSheetId="9">#REF!</definedName>
    <definedName name="T25?L2.2" localSheetId="4">#REF!</definedName>
    <definedName name="T25?L2.2">#REF!</definedName>
    <definedName name="T25?L2.2.1" localSheetId="9">#REF!</definedName>
    <definedName name="T25?L2.2.1" localSheetId="4">#REF!</definedName>
    <definedName name="T25?L2.2.1">#REF!</definedName>
    <definedName name="T25?L2.2.2" localSheetId="9">#REF!</definedName>
    <definedName name="T25?L2.2.2" localSheetId="4">#REF!</definedName>
    <definedName name="T25?L2.2.2">#REF!</definedName>
    <definedName name="T25?L2.2.3" localSheetId="9">#REF!</definedName>
    <definedName name="T25?L2.2.3" localSheetId="4">#REF!</definedName>
    <definedName name="T25?L2.2.3">#REF!</definedName>
    <definedName name="T25?L2.2.4" localSheetId="9">#REF!</definedName>
    <definedName name="T25?L2.2.4" localSheetId="4">#REF!</definedName>
    <definedName name="T25?L2.2.4">#REF!</definedName>
    <definedName name="T25?Name" localSheetId="9">#REF!</definedName>
    <definedName name="T25?Name" localSheetId="4">#REF!</definedName>
    <definedName name="T25?Name">#REF!</definedName>
    <definedName name="T25?Table" localSheetId="9">#REF!</definedName>
    <definedName name="T25?Table" localSheetId="4">#REF!</definedName>
    <definedName name="T25?Table">#REF!</definedName>
    <definedName name="T25?Title" localSheetId="9">#REF!</definedName>
    <definedName name="T25?Title" localSheetId="4">#REF!</definedName>
    <definedName name="T25?Title">#REF!</definedName>
    <definedName name="T25?unit?ГА" xml:space="preserve"> '[26]25'!$G$32:$K$32,     '[26]25'!$G$27:$K$27,     '[26]25'!$G$30:$K$30,     '[26]25'!$G$34:$K$34</definedName>
    <definedName name="T25?unit?ПРЦ" localSheetId="9">#REF!</definedName>
    <definedName name="T25?unit?ПРЦ" localSheetId="4">#REF!</definedName>
    <definedName name="T25?unit?ПРЦ">#REF!</definedName>
    <definedName name="T25?unit?ТРУБ" xml:space="preserve"> '[26]25'!$G$31:$K$31,     '[26]25'!$G$6:$K$26,     '[26]25'!$G$29:$K$29,     '[26]25'!$G$33:$K$33,     '[26]25'!$G$36:$K$51</definedName>
    <definedName name="T25_Copy1" localSheetId="9">#REF!</definedName>
    <definedName name="T25_Copy1" localSheetId="4">#REF!</definedName>
    <definedName name="T25_Copy1">#REF!</definedName>
    <definedName name="T25_Copy2" localSheetId="9">#REF!</definedName>
    <definedName name="T25_Copy2" localSheetId="4">#REF!</definedName>
    <definedName name="T25_Copy2">#REF!</definedName>
    <definedName name="T25_Copy3" localSheetId="9">#REF!</definedName>
    <definedName name="T25_Copy3" localSheetId="4">#REF!</definedName>
    <definedName name="T25_Copy3">#REF!</definedName>
    <definedName name="T25_Copy4" localSheetId="9">#REF!</definedName>
    <definedName name="T25_Copy4" localSheetId="4">#REF!</definedName>
    <definedName name="T25_Copy4">#REF!</definedName>
    <definedName name="T25_protection" localSheetId="9">[0]!P1_T25_protection,[0]!P2_T25_protection</definedName>
    <definedName name="T25_protection" localSheetId="4">[0]!P1_T25_protection,[0]!P2_T25_protection</definedName>
    <definedName name="T25_protection">P1_T25_protection,P2_T25_protection</definedName>
    <definedName name="T26?axis?R?ВРАС">'[20]26'!$C$34:$N$36,'[20]26'!$C$22:$N$24</definedName>
    <definedName name="T26?axis?R?ВРАС?">'[20]26'!$B$34:$B$36,'[20]26'!$B$22:$B$24</definedName>
    <definedName name="T26?axis?ПРД?БАЗ">'[26]26'!$I$6:$J$20,'[26]26'!$F$6:$G$20</definedName>
    <definedName name="T26?axis?ПРД?ПРЕД">'[26]26'!$K$6:$L$20,'[26]26'!$D$6:$E$20</definedName>
    <definedName name="T26?axis?ПФ?ПЛАН">'[26]26'!$I$6:$I$20,'[26]26'!$D$6:$D$20,'[26]26'!$K$6:$K$20,'[26]26'!$F$6:$F$20</definedName>
    <definedName name="T26?axis?ПФ?ФАКТ">'[26]26'!$J$6:$J$20,'[26]26'!$E$6:$E$20,'[26]26'!$L$6:$L$20,'[26]26'!$G$6:$G$20</definedName>
    <definedName name="T26?Data">'[26]26'!$D$6:$L$8, '[26]26'!$D$10:$L$20</definedName>
    <definedName name="T26?item_ext?РОСТ" localSheetId="9">'[37]поощрение (ДВ)'!#REF!</definedName>
    <definedName name="T26?item_ext?РОСТ" localSheetId="4">'[37]поощрение (ДВ)'!#REF!</definedName>
    <definedName name="T26?item_ext?РОСТ">'[37]поощрение (ДВ)'!#REF!</definedName>
    <definedName name="T26?L1">'[20]26'!$F$8:$N$8,'[20]26'!$C$8:$D$8</definedName>
    <definedName name="T26?L1.1">'[20]26'!$F$10:$N$10,'[20]26'!$C$10:$D$10</definedName>
    <definedName name="T26?L2">'[20]26'!$F$11:$N$11,'[20]26'!$C$11:$D$11</definedName>
    <definedName name="T26?L2.1">'[20]26'!$F$13:$N$13,'[20]26'!$C$13:$D$13</definedName>
    <definedName name="T26?L2.7" localSheetId="9">'[37]поощрение (ДВ)'!#REF!</definedName>
    <definedName name="T26?L2.7" localSheetId="4">'[37]поощрение (ДВ)'!#REF!</definedName>
    <definedName name="T26?L2.7">'[37]поощрение (ДВ)'!#REF!</definedName>
    <definedName name="T26?L2.8" localSheetId="9">'[37]поощрение (ДВ)'!#REF!</definedName>
    <definedName name="T26?L2.8" localSheetId="4">'[37]поощрение (ДВ)'!#REF!</definedName>
    <definedName name="T26?L2.8">'[37]поощрение (ДВ)'!#REF!</definedName>
    <definedName name="T26?L3" localSheetId="9">'[37]поощрение (ДВ)'!#REF!</definedName>
    <definedName name="T26?L3" localSheetId="4">'[37]поощрение (ДВ)'!#REF!</definedName>
    <definedName name="T26?L3">'[20]26'!$F$14:$N$14,'[20]26'!$C$14:$D$14</definedName>
    <definedName name="T26?L4">'[20]26'!$F$15:$N$15,'[20]26'!$C$15:$D$15</definedName>
    <definedName name="T26?L5">'[20]26'!$F$16:$N$16,'[20]26'!$C$16:$D$16</definedName>
    <definedName name="T26?L5.1">'[20]26'!$F$18:$N$18,'[20]26'!$C$18:$D$18</definedName>
    <definedName name="T26?L5.2">'[20]26'!$F$19:$N$19,'[20]26'!$C$19:$D$19</definedName>
    <definedName name="T26?L5.3">'[20]26'!$F$20:$N$20,'[20]26'!$C$20:$D$20</definedName>
    <definedName name="T26?L5.3.x">'[20]26'!$F$22:$N$24,'[20]26'!$C$22:$D$24</definedName>
    <definedName name="T26?L6">'[20]26'!$F$26:$N$26,'[20]26'!$C$26:$D$26</definedName>
    <definedName name="T26?L7">'[20]26'!$F$27:$N$27,'[20]26'!$C$27:$D$27</definedName>
    <definedName name="T26?L7.1">'[20]26'!$F$29:$N$29,'[20]26'!$C$29:$D$29</definedName>
    <definedName name="T26?L7.2">'[20]26'!$F$30:$N$30,'[20]26'!$C$30:$D$30</definedName>
    <definedName name="T26?L7.3">'[20]26'!$F$31:$N$31,'[20]26'!$C$31:$D$31</definedName>
    <definedName name="T26?L7.4">'[20]26'!$F$32:$N$32,'[20]26'!$C$32:$D$32</definedName>
    <definedName name="T26?L7.4.x">'[20]26'!$F$34:$N$36,'[20]26'!$C$34:$D$36</definedName>
    <definedName name="T26?L8">'[20]26'!$F$38:$N$38,'[20]26'!$C$38:$D$38</definedName>
    <definedName name="T26?Name" localSheetId="9">'[37]поощрение (ДВ)'!#REF!</definedName>
    <definedName name="T26?Name" localSheetId="4">'[37]поощрение (ДВ)'!#REF!</definedName>
    <definedName name="T26?Name">'[37]поощрение (ДВ)'!#REF!</definedName>
    <definedName name="T26?unit?ПРЦ" localSheetId="9">'[37]поощрение (ДВ)'!#REF!</definedName>
    <definedName name="T26?unit?ПРЦ" localSheetId="4">'[37]поощрение (ДВ)'!#REF!</definedName>
    <definedName name="T26?unit?ПРЦ">'[37]поощрение (ДВ)'!#REF!</definedName>
    <definedName name="T26_Protection" localSheetId="9">'[20]26'!$K$34:$N$36,'[20]26'!$B$22:$B$24,[0]!P1_T26_Protection,[0]!P2_T26_Protection</definedName>
    <definedName name="T26_Protection" localSheetId="4">'[20]26'!$K$34:$N$36,'[20]26'!$B$22:$B$24,[0]!P1_T26_Protection,[0]!P2_T26_Protection</definedName>
    <definedName name="T26_Protection">'[20]26'!$K$34:$N$36,'[20]26'!$B$22:$B$24,P1_T26_Protection,P2_T26_Protection</definedName>
    <definedName name="T27?axis?R?ВРАС">'[20]27'!$C$34:$S$36,'[20]27'!$C$22:$S$24</definedName>
    <definedName name="T27?axis?R?ВРАС?">'[20]27'!$B$34:$B$36,'[20]27'!$B$22:$B$24</definedName>
    <definedName name="T27?axis?ПРД?БАЗ">'[26]27'!$I$6:$J$11,'[26]27'!$F$6:$G$11</definedName>
    <definedName name="T27?axis?ПРД?ПРЕД">'[26]27'!$K$6:$L$11,'[26]27'!$D$6:$E$11</definedName>
    <definedName name="T27?axis?ПРД?РЕГ" localSheetId="9">#REF!</definedName>
    <definedName name="T27?axis?ПРД?РЕГ" localSheetId="4">#REF!</definedName>
    <definedName name="T27?axis?ПРД?РЕГ">#REF!</definedName>
    <definedName name="T27?axis?ПФ?ПЛАН">'[26]27'!$I$6:$I$11,'[26]27'!$D$6:$D$11,'[26]27'!$K$6:$K$11,'[26]27'!$F$6:$F$11</definedName>
    <definedName name="T27?axis?ПФ?ФАКТ">'[26]27'!$J$6:$J$11,'[26]27'!$E$6:$E$11,'[26]27'!$L$6:$L$11,'[26]27'!$G$6:$G$11</definedName>
    <definedName name="T27?Data" localSheetId="9">#REF!</definedName>
    <definedName name="T27?Data" localSheetId="4">#REF!</definedName>
    <definedName name="T27?Data">#REF!</definedName>
    <definedName name="T27?item_ext?РОСТ" localSheetId="9">#REF!</definedName>
    <definedName name="T27?item_ext?РОСТ" localSheetId="4">#REF!</definedName>
    <definedName name="T27?item_ext?РОСТ">#REF!</definedName>
    <definedName name="T27?Items" localSheetId="9">#REF!</definedName>
    <definedName name="T27?Items" localSheetId="4">#REF!</definedName>
    <definedName name="T27?Items">#REF!</definedName>
    <definedName name="T27?L1" localSheetId="9">#REF!</definedName>
    <definedName name="T27?L1" localSheetId="4">#REF!</definedName>
    <definedName name="T27?L1">#REF!</definedName>
    <definedName name="T27?L1.1">'[20]27'!$F$10:$S$10,'[20]27'!$C$10:$D$10</definedName>
    <definedName name="T27?L2" localSheetId="9">#REF!</definedName>
    <definedName name="T27?L2" localSheetId="4">#REF!</definedName>
    <definedName name="T27?L2">#REF!</definedName>
    <definedName name="T27?L2.1">'[20]27'!$F$13:$S$13,'[20]27'!$C$13:$D$13</definedName>
    <definedName name="T27?L3" localSheetId="9">#REF!</definedName>
    <definedName name="T27?L3" localSheetId="4">#REF!</definedName>
    <definedName name="T27?L3">#REF!</definedName>
    <definedName name="T27?L4" localSheetId="9">#REF!</definedName>
    <definedName name="T27?L4" localSheetId="4">#REF!</definedName>
    <definedName name="T27?L4">#REF!</definedName>
    <definedName name="T27?L5" localSheetId="9">#REF!</definedName>
    <definedName name="T27?L5" localSheetId="4">#REF!</definedName>
    <definedName name="T27?L5">#REF!</definedName>
    <definedName name="T27?L5.3">'[20]27'!$F$20:$S$20,'[20]27'!$C$20:$D$20</definedName>
    <definedName name="T27?L5.3.x">'[20]27'!$F$22:$S$24,'[20]27'!$C$22:$D$24</definedName>
    <definedName name="T27?L6" localSheetId="9">#REF!</definedName>
    <definedName name="T27?L6" localSheetId="4">#REF!</definedName>
    <definedName name="T27?L6">#REF!</definedName>
    <definedName name="T27?L7">'[20]27'!$F$27:$S$27,'[20]27'!$C$27:$D$27</definedName>
    <definedName name="T27?L7.1">'[20]27'!$F$29:$S$29,'[20]27'!$C$29:$D$29</definedName>
    <definedName name="T27?L7.2">'[20]27'!$F$30:$S$30,'[20]27'!$C$30:$D$30</definedName>
    <definedName name="T27?L7.3">'[20]27'!$F$31:$S$31,'[20]27'!$C$31:$D$31</definedName>
    <definedName name="T27?L7.4">'[20]27'!$F$32:$S$32,'[20]27'!$C$32:$D$32</definedName>
    <definedName name="T27?L7.4.x">'[20]27'!$F$34:$S$36,'[20]27'!$C$34:$D$36</definedName>
    <definedName name="T27?L8">'[20]27'!$F$38:$S$38,'[20]27'!$C$38:$D$38</definedName>
    <definedName name="T27?Name" localSheetId="9">#REF!</definedName>
    <definedName name="T27?Name" localSheetId="4">#REF!</definedName>
    <definedName name="T27?Name">#REF!</definedName>
    <definedName name="T27?Scope" localSheetId="9">#REF!</definedName>
    <definedName name="T27?Scope" localSheetId="4">#REF!</definedName>
    <definedName name="T27?Scope">#REF!</definedName>
    <definedName name="T27?Table" localSheetId="9">#REF!</definedName>
    <definedName name="T27?Table" localSheetId="4">#REF!</definedName>
    <definedName name="T27?Table">#REF!</definedName>
    <definedName name="T27?Title" localSheetId="9">#REF!</definedName>
    <definedName name="T27?Title" localSheetId="4">#REF!</definedName>
    <definedName name="T27?Title">#REF!</definedName>
    <definedName name="T27?unit?ПРЦ">'[26]27'!$D$7:$H$7, '[26]27'!$I$6:$L$11</definedName>
    <definedName name="T27?unit?ТРУБ">'[26]27'!$D$6:$H$6, '[26]27'!$D$8:$H$11</definedName>
    <definedName name="T27?НАП" localSheetId="9">#REF!</definedName>
    <definedName name="T27?НАП" localSheetId="4">#REF!</definedName>
    <definedName name="T27?НАП">#REF!</definedName>
    <definedName name="T27?ПОТ" localSheetId="9">#REF!</definedName>
    <definedName name="T27?ПОТ" localSheetId="4">#REF!</definedName>
    <definedName name="T27?ПОТ">#REF!</definedName>
    <definedName name="T27_Protect" localSheetId="9">'[25]27'!$E$12:$E$13,'[25]27'!$K$4:$AH$4,'[25]27'!$AK$12:$AK$13</definedName>
    <definedName name="T27_Protect" localSheetId="4">'[25]27'!$E$12:$E$13,'[25]27'!$K$4:$AH$4,'[25]27'!$AK$12:$AK$13</definedName>
    <definedName name="T27_Protect">#REF!,#REF!,#REF!</definedName>
    <definedName name="T27_Protection" localSheetId="9">'[20]27'!$P$34:$S$36,'[20]27'!$B$22:$B$24,[0]!P1_T27_Protection,[0]!P2_T27_Protection,[0]!P3_T27_Protection</definedName>
    <definedName name="T27_Protection" localSheetId="4">'[20]27'!$P$34:$S$36,'[20]27'!$B$22:$B$24,[0]!P1_T27_Protection,[0]!P2_T27_Protection,[0]!P3_T27_Protection</definedName>
    <definedName name="T27_Protection">'[20]27'!$P$34:$S$36,'[20]27'!$B$22:$B$24,P1_T27_Protection,P2_T27_Protection,P3_T27_Protection</definedName>
    <definedName name="T28.3?unit?РУБ.ГКАЛ" localSheetId="9">P1_T28.3?unit?РУБ.ГКАЛ,P2_T28.3?unit?РУБ.ГКАЛ</definedName>
    <definedName name="T28.3?unit?РУБ.ГКАЛ" localSheetId="4">P1_T28.3?unit?РУБ.ГКАЛ,P2_T28.3?unit?РУБ.ГКАЛ</definedName>
    <definedName name="T28.3?unit?РУБ.ГКАЛ">P1_T28.3?unit?РУБ.ГКАЛ,P2_T28.3?unit?РУБ.ГКАЛ</definedName>
    <definedName name="T28?axis?R?ПЭ" localSheetId="9">[0]!P2_T28?axis?R?ПЭ,[0]!P3_T28?axis?R?ПЭ,[0]!P4_T28?axis?R?ПЭ,[0]!P5_T28?axis?R?ПЭ,'1. подк.неподк. факт'!P6_T28?axis?R?ПЭ</definedName>
    <definedName name="T28?axis?R?ПЭ" localSheetId="4">[0]!P2_T28?axis?R?ПЭ,[0]!P3_T28?axis?R?ПЭ,[0]!P4_T28?axis?R?ПЭ,[0]!P5_T28?axis?R?ПЭ,'5. подк.неподк.план'!P6_T28?axis?R?ПЭ</definedName>
    <definedName name="T28?axis?R?ПЭ">P2_T28?axis?R?ПЭ,P3_T28?axis?R?ПЭ,P4_T28?axis?R?ПЭ,P5_T28?axis?R?ПЭ,P6_T28?axis?R?ПЭ</definedName>
    <definedName name="T28?axis?R?ПЭ?" localSheetId="9">[0]!P2_T28?axis?R?ПЭ?,[0]!P3_T28?axis?R?ПЭ?,[0]!P4_T28?axis?R?ПЭ?,[0]!P5_T28?axis?R?ПЭ?,'1. подк.неподк. факт'!P6_T28?axis?R?ПЭ?</definedName>
    <definedName name="T28?axis?R?ПЭ?" localSheetId="4">[0]!P2_T28?axis?R?ПЭ?,[0]!P3_T28?axis?R?ПЭ?,[0]!P4_T28?axis?R?ПЭ?,[0]!P5_T28?axis?R?ПЭ?,'5. подк.неподк.план'!P6_T28?axis?R?ПЭ?</definedName>
    <definedName name="T28?axis?R?ПЭ?">P2_T28?axis?R?ПЭ?,P3_T28?axis?R?ПЭ?,P4_T28?axis?R?ПЭ?,P5_T28?axis?R?ПЭ?,P6_T28?axis?R?ПЭ?</definedName>
    <definedName name="T28?axis?ПРД?БАЗ">'[26]28'!$I$6:$J$17,'[26]28'!$F$6:$G$17</definedName>
    <definedName name="T28?axis?ПРД?ПРЕД">'[26]28'!$K$6:$L$17,'[26]28'!$D$6:$E$17</definedName>
    <definedName name="T28?axis?ПРД?РЕГ" localSheetId="9">'[37]другие из прибыли'!#REF!</definedName>
    <definedName name="T28?axis?ПРД?РЕГ" localSheetId="4">'[37]другие из прибыли'!#REF!</definedName>
    <definedName name="T28?axis?ПРД?РЕГ">'[37]другие из прибыли'!#REF!</definedName>
    <definedName name="T28?axis?ПФ?ПЛАН">'[26]28'!$I$6:$I$17,'[26]28'!$D$6:$D$17,'[26]28'!$K$6:$K$17,'[26]28'!$F$6:$F$17</definedName>
    <definedName name="T28?axis?ПФ?ФАКТ">'[26]28'!$J$6:$J$17,'[26]28'!$E$6:$E$17,'[26]28'!$L$6:$L$17,'[26]28'!$G$6:$G$17</definedName>
    <definedName name="T28?Data" localSheetId="9">'[26]28'!$D$7:$L$15, '[26]28'!$D$17:$L$17</definedName>
    <definedName name="T28?Data" localSheetId="4">'[26]28'!$D$7:$L$15, '[26]28'!$D$17:$L$17</definedName>
    <definedName name="T28?Data">'[20]28'!$D$190:$E$213,'[20]28'!$G$164:$H$187,'[20]28'!$D$164:$E$187,'[20]28'!$D$138:$I$161,'[20]28'!$D$8:$I$109,'[20]28'!$D$112:$I$135,P1_T28?Data</definedName>
    <definedName name="T28?item_ext?ВСЕГО">'[20]28'!$I$8:$I$292,'[20]28'!$F$8:$F$292</definedName>
    <definedName name="T28?item_ext?ТЭ">'[20]28'!$E$8:$E$292,'[20]28'!$H$8:$H$292</definedName>
    <definedName name="T28?item_ext?ЭЭ">'[20]28'!$D$8:$D$292,'[20]28'!$G$8:$G$292</definedName>
    <definedName name="T28?L1.1.x">'[20]28'!$D$16:$I$18,'[20]28'!$D$11:$I$13</definedName>
    <definedName name="T28?L10.1.x">'[20]28'!$D$250:$I$252,'[20]28'!$D$245:$I$247</definedName>
    <definedName name="T28?L11.1.x">'[20]28'!$D$276:$I$278,'[20]28'!$D$271:$I$273</definedName>
    <definedName name="T28?L2.1.x">'[20]28'!$D$42:$I$44,'[20]28'!$D$37:$I$39</definedName>
    <definedName name="T28?L3.1.x">'[20]28'!$D$68:$I$70,'[20]28'!$D$63:$I$65</definedName>
    <definedName name="T28?L4.1.x">'[20]28'!$D$94:$I$96,'[20]28'!$D$89:$I$91</definedName>
    <definedName name="T28?L5.1.x">'[20]28'!$D$120:$I$122,'[20]28'!$D$115:$I$117</definedName>
    <definedName name="T28?L6.1.x">'[20]28'!$D$146:$I$148,'[20]28'!$D$141:$I$143</definedName>
    <definedName name="T28?L7.1.x">'[20]28'!$D$172:$I$174,'[20]28'!$D$167:$I$169</definedName>
    <definedName name="T28?L8.1.x">'[20]28'!$D$198:$I$200,'[20]28'!$D$193:$I$195</definedName>
    <definedName name="T28?L9.1.x">'[20]28'!$D$224:$I$226,'[20]28'!$D$219:$I$221</definedName>
    <definedName name="T28?Name" localSheetId="9">'[37]другие из прибыли'!#REF!</definedName>
    <definedName name="T28?Name" localSheetId="4">'[37]другие из прибыли'!#REF!</definedName>
    <definedName name="T28?Name">'[37]другие из прибыли'!#REF!</definedName>
    <definedName name="T28?unit?ГКАЛЧ">'[20]28'!$H$164:$H$187,'[20]28'!$E$164:$E$187</definedName>
    <definedName name="T28?unit?МКВТЧ">'[20]28'!$G$190:$G$213,'[20]28'!$D$190:$D$213</definedName>
    <definedName name="T28?unit?РУБ.ГКАЛ">'[20]28'!$E$216:$E$239,'[20]28'!$E$268:$E$292,'[20]28'!$H$268:$H$292,'[20]28'!$H$216:$H$239</definedName>
    <definedName name="T28?unit?РУБ.ГКАЛЧ.МЕС">'[20]28'!$H$242:$H$265,'[20]28'!$E$242:$E$265</definedName>
    <definedName name="T28?unit?РУБ.ТКВТ.МЕС">'[20]28'!$G$242:$G$265,'[20]28'!$D$242:$D$265</definedName>
    <definedName name="T28?unit?РУБ.ТКВТЧ">'[20]28'!$G$216:$G$239,'[20]28'!$D$268:$D$292,'[20]28'!$G$268:$G$292,'[20]28'!$D$216:$D$239</definedName>
    <definedName name="T28?unit?ТГКАЛ">'[20]28'!$H$190:$H$213,'[20]28'!$E$190:$E$213</definedName>
    <definedName name="T28?unit?ТКВТ">'[20]28'!$G$164:$G$187,'[20]28'!$D$164:$D$187</definedName>
    <definedName name="T28?unit?ТРУБ">'[20]28'!$D$138:$I$161,'[20]28'!$D$8:$I$109</definedName>
    <definedName name="T28_Copy" localSheetId="9">'[37]другие из прибыли'!#REF!</definedName>
    <definedName name="T28_Copy" localSheetId="4">'[37]другие из прибыли'!#REF!</definedName>
    <definedName name="T28_Copy">'[37]другие из прибыли'!#REF!</definedName>
    <definedName name="T28_Protection" localSheetId="9">[0]!P9_T28_Protection,[0]!P10_T28_Protection,[0]!P11_T28_Protection,'1. подк.неподк. факт'!P12_T28_Protection</definedName>
    <definedName name="T28_Protection" localSheetId="4">[0]!P9_T28_Protection,[0]!P10_T28_Protection,[0]!P11_T28_Protection,'5. подк.неподк.план'!P12_T28_Protection</definedName>
    <definedName name="T28_Protection">P9_T28_Protection,P10_T28_Protection,P11_T28_Protection,P12_T28_Protection</definedName>
    <definedName name="T29?axis?ПФ?ПЛАН">'[26]29'!$F$5:$F$11,'[26]29'!$D$5:$D$11</definedName>
    <definedName name="T29?axis?ПФ?ФАКТ">'[26]29'!$G$5:$G$11,'[26]29'!$E$5:$E$11</definedName>
    <definedName name="T29?Data">'[26]29'!$D$6:$H$9, '[26]29'!$D$11:$H$11</definedName>
    <definedName name="T29?item_ext?1СТ" localSheetId="9">P1_T29?item_ext?1СТ</definedName>
    <definedName name="T29?item_ext?1СТ" localSheetId="4">P1_T29?item_ext?1СТ</definedName>
    <definedName name="T29?item_ext?1СТ">P1_T29?item_ext?1СТ</definedName>
    <definedName name="T29?item_ext?2СТ.М" localSheetId="9">P1_T29?item_ext?2СТ.М</definedName>
    <definedName name="T29?item_ext?2СТ.М" localSheetId="4">P1_T29?item_ext?2СТ.М</definedName>
    <definedName name="T29?item_ext?2СТ.М">P1_T29?item_ext?2СТ.М</definedName>
    <definedName name="T29?item_ext?2СТ.Э" localSheetId="9">P1_T29?item_ext?2СТ.Э</definedName>
    <definedName name="T29?item_ext?2СТ.Э" localSheetId="4">P1_T29?item_ext?2СТ.Э</definedName>
    <definedName name="T29?item_ext?2СТ.Э">P1_T29?item_ext?2СТ.Э</definedName>
    <definedName name="T29?L10" localSheetId="9">P1_T29?L10</definedName>
    <definedName name="T29?L10" localSheetId="4">P1_T29?L10</definedName>
    <definedName name="T29?L10">P1_T29?L10</definedName>
    <definedName name="T29_Copy" localSheetId="9">[37]выпадающие!#REF!</definedName>
    <definedName name="T29_Copy" localSheetId="4">[37]выпадающие!#REF!</definedName>
    <definedName name="T29_Copy">[37]выпадающие!#REF!</definedName>
    <definedName name="T3?axis?ПРД?БАЗ">'[26]3'!$I$6:$J$20,'[26]3'!$F$6:$G$20</definedName>
    <definedName name="T3?axis?ПРД?ПРЕД">'[26]3'!$K$6:$L$20,'[26]3'!$D$6:$E$20</definedName>
    <definedName name="T3?axis?ПРД?РЕГ" localSheetId="9">#REF!</definedName>
    <definedName name="T3?axis?ПРД?РЕГ" localSheetId="4">#REF!</definedName>
    <definedName name="T3?axis?ПРД?РЕГ">#REF!</definedName>
    <definedName name="T3?axis?ПФ?ПЛАН">'[26]3'!$I$6:$I$20,'[26]3'!$D$6:$D$20,'[26]3'!$K$6:$K$20,'[26]3'!$F$6:$F$20</definedName>
    <definedName name="T3?axis?ПФ?ФАКТ">'[26]3'!$J$6:$J$20,'[26]3'!$E$6:$E$20,'[26]3'!$L$6:$L$20,'[26]3'!$G$6:$G$20</definedName>
    <definedName name="T3?Data" localSheetId="9">#REF!</definedName>
    <definedName name="T3?Data" localSheetId="4">#REF!</definedName>
    <definedName name="T3?Data">#REF!</definedName>
    <definedName name="T3?item_ext?РОСТ" localSheetId="9">#REF!</definedName>
    <definedName name="T3?item_ext?РОСТ" localSheetId="4">#REF!</definedName>
    <definedName name="T3?item_ext?РОСТ">#REF!</definedName>
    <definedName name="T3?L1" localSheetId="9">#REF!</definedName>
    <definedName name="T3?L1" localSheetId="4">#REF!</definedName>
    <definedName name="T3?L1">#REF!</definedName>
    <definedName name="T3?L1.1" localSheetId="9">#REF!</definedName>
    <definedName name="T3?L1.1" localSheetId="4">#REF!</definedName>
    <definedName name="T3?L1.1">#REF!</definedName>
    <definedName name="T3?L10" localSheetId="9">#REF!</definedName>
    <definedName name="T3?L10" localSheetId="4">#REF!</definedName>
    <definedName name="T3?L10">#REF!</definedName>
    <definedName name="T3?L11" localSheetId="9">#REF!</definedName>
    <definedName name="T3?L11" localSheetId="4">#REF!</definedName>
    <definedName name="T3?L11">#REF!</definedName>
    <definedName name="T3?L12" localSheetId="9">#REF!</definedName>
    <definedName name="T3?L12" localSheetId="4">#REF!</definedName>
    <definedName name="T3?L12">#REF!</definedName>
    <definedName name="T3?L2" localSheetId="9">#REF!</definedName>
    <definedName name="T3?L2" localSheetId="4">#REF!</definedName>
    <definedName name="T3?L2">#REF!</definedName>
    <definedName name="T3?L2.1" localSheetId="9">#REF!</definedName>
    <definedName name="T3?L2.1" localSheetId="4">#REF!</definedName>
    <definedName name="T3?L2.1">#REF!</definedName>
    <definedName name="T3?L3" localSheetId="9">#REF!</definedName>
    <definedName name="T3?L3" localSheetId="4">#REF!</definedName>
    <definedName name="T3?L3">#REF!</definedName>
    <definedName name="T3?L3.1" localSheetId="9">#REF!</definedName>
    <definedName name="T3?L3.1" localSheetId="4">#REF!</definedName>
    <definedName name="T3?L3.1">#REF!</definedName>
    <definedName name="T3?L4" localSheetId="9">#REF!</definedName>
    <definedName name="T3?L4" localSheetId="4">#REF!</definedName>
    <definedName name="T3?L4">#REF!</definedName>
    <definedName name="T3?L5" localSheetId="9">#REF!</definedName>
    <definedName name="T3?L5" localSheetId="4">#REF!</definedName>
    <definedName name="T3?L5">#REF!</definedName>
    <definedName name="T3?L6" localSheetId="9">#REF!</definedName>
    <definedName name="T3?L6" localSheetId="4">#REF!</definedName>
    <definedName name="T3?L6">#REF!</definedName>
    <definedName name="T3?L7" localSheetId="9">#REF!</definedName>
    <definedName name="T3?L7" localSheetId="4">#REF!</definedName>
    <definedName name="T3?L7">#REF!</definedName>
    <definedName name="T3?L8" localSheetId="9">#REF!</definedName>
    <definedName name="T3?L8" localSheetId="4">#REF!</definedName>
    <definedName name="T3?L8">#REF!</definedName>
    <definedName name="T3?L9" localSheetId="9">#REF!</definedName>
    <definedName name="T3?L9" localSheetId="4">#REF!</definedName>
    <definedName name="T3?L9">#REF!</definedName>
    <definedName name="T3?Name" localSheetId="9">#REF!</definedName>
    <definedName name="T3?Name" localSheetId="4">#REF!</definedName>
    <definedName name="T3?Name">#REF!</definedName>
    <definedName name="T3?Table" localSheetId="9">#REF!</definedName>
    <definedName name="T3?Table" localSheetId="4">#REF!</definedName>
    <definedName name="T3?Table">#REF!</definedName>
    <definedName name="T3?Title" localSheetId="9">#REF!</definedName>
    <definedName name="T3?Title" localSheetId="4">#REF!</definedName>
    <definedName name="T3?Title">#REF!</definedName>
    <definedName name="T3?unit?Г.КВТЧ" localSheetId="9">#REF!</definedName>
    <definedName name="T3?unit?Г.КВТЧ" localSheetId="4">#REF!</definedName>
    <definedName name="T3?unit?Г.КВТЧ">#REF!</definedName>
    <definedName name="T3?unit?КГ.ГКАЛ">'[26]3'!$D$13:$H$13,   '[26]3'!$D$16:$H$16</definedName>
    <definedName name="T3?unit?МКВТЧ" localSheetId="9">#REF!</definedName>
    <definedName name="T3?unit?МКВТЧ" localSheetId="4">#REF!</definedName>
    <definedName name="T3?unit?МКВТЧ">#REF!</definedName>
    <definedName name="T3?unit?ПРЦ">'[26]3'!$D$20:$H$20,   '[26]3'!$I$6:$L$20</definedName>
    <definedName name="T3?unit?ТГКАЛ">'[26]3'!$D$12:$H$12,   '[26]3'!$D$15:$H$15</definedName>
    <definedName name="T3?unit?ТТУТ">'[26]3'!$D$10:$H$11,   '[26]3'!$D$14:$H$14,   '[26]3'!$D$17:$H$19</definedName>
    <definedName name="T4.1?axis?R?ВТОП">'[26]4.1'!$E$5:$I$8, '[26]4.1'!$E$12:$I$15, '[26]4.1'!$E$18:$I$21</definedName>
    <definedName name="T4.1?axis?R?ВТОП?">'[26]4.1'!$C$5:$C$8, '[26]4.1'!$C$12:$C$15, '[26]4.1'!$C$18:$C$21</definedName>
    <definedName name="T4.1?axis?ПРД?БАЗ" localSheetId="9">#REF!</definedName>
    <definedName name="T4.1?axis?ПРД?БАЗ" localSheetId="4">#REF!</definedName>
    <definedName name="T4.1?axis?ПРД?БАЗ">#REF!</definedName>
    <definedName name="T4.1?axis?ПРД?ПРЕД" localSheetId="9">#REF!</definedName>
    <definedName name="T4.1?axis?ПРД?ПРЕД" localSheetId="4">#REF!</definedName>
    <definedName name="T4.1?axis?ПРД?ПРЕД">#REF!</definedName>
    <definedName name="T4.1?axis?ПРД?ПРЕД2" localSheetId="9">#REF!</definedName>
    <definedName name="T4.1?axis?ПРД?ПРЕД2" localSheetId="4">#REF!</definedName>
    <definedName name="T4.1?axis?ПРД?ПРЕД2">#REF!</definedName>
    <definedName name="T4.1?axis?ПРД?РЕГ" localSheetId="9">#REF!</definedName>
    <definedName name="T4.1?axis?ПРД?РЕГ" localSheetId="4">#REF!</definedName>
    <definedName name="T4.1?axis?ПРД?РЕГ">#REF!</definedName>
    <definedName name="T4.1?Data">'[26]4.1'!$E$4:$I$9, '[26]4.1'!$E$11:$I$15, '[26]4.1'!$E$18:$I$21</definedName>
    <definedName name="T4.1?item_ext?СРПРЕД3" localSheetId="9">#REF!</definedName>
    <definedName name="T4.1?item_ext?СРПРЕД3" localSheetId="4">#REF!</definedName>
    <definedName name="T4.1?item_ext?СРПРЕД3">#REF!</definedName>
    <definedName name="T4.1?L1" localSheetId="9">#REF!</definedName>
    <definedName name="T4.1?L1" localSheetId="4">#REF!</definedName>
    <definedName name="T4.1?L1">#REF!</definedName>
    <definedName name="T4.1?L1.1" localSheetId="9">#REF!</definedName>
    <definedName name="T4.1?L1.1" localSheetId="4">#REF!</definedName>
    <definedName name="T4.1?L1.1">#REF!</definedName>
    <definedName name="T4.1?L1.2" localSheetId="9">#REF!</definedName>
    <definedName name="T4.1?L1.2" localSheetId="4">#REF!</definedName>
    <definedName name="T4.1?L1.2">#REF!</definedName>
    <definedName name="T4.1?L2" localSheetId="9">#REF!</definedName>
    <definedName name="T4.1?L2" localSheetId="4">#REF!</definedName>
    <definedName name="T4.1?L2">#REF!</definedName>
    <definedName name="T4.1?L3.1" localSheetId="9">#REF!</definedName>
    <definedName name="T4.1?L3.1" localSheetId="4">#REF!</definedName>
    <definedName name="T4.1?L3.1">#REF!</definedName>
    <definedName name="T4.1?Name" localSheetId="9">#REF!</definedName>
    <definedName name="T4.1?Name" localSheetId="4">#REF!</definedName>
    <definedName name="T4.1?Name">#REF!</definedName>
    <definedName name="T4.1?Table" localSheetId="9">#REF!</definedName>
    <definedName name="T4.1?Table" localSheetId="4">#REF!</definedName>
    <definedName name="T4.1?Table">#REF!</definedName>
    <definedName name="T4.1?Title" localSheetId="9">#REF!</definedName>
    <definedName name="T4.1?Title" localSheetId="4">#REF!</definedName>
    <definedName name="T4.1?Title">#REF!</definedName>
    <definedName name="T4.1?unit?ПРЦ" localSheetId="9">#REF!</definedName>
    <definedName name="T4.1?unit?ПРЦ" localSheetId="4">#REF!</definedName>
    <definedName name="T4.1?unit?ПРЦ">#REF!</definedName>
    <definedName name="T4.1?unit?ТТУТ" localSheetId="9">#REF!</definedName>
    <definedName name="T4.1?unit?ТТУТ" localSheetId="4">#REF!</definedName>
    <definedName name="T4.1?unit?ТТУТ">#REF!</definedName>
    <definedName name="T4?axis?R?ВТОП">'[26]4'!$E$7:$M$10,   '[26]4'!$E$14:$M$17,   '[26]4'!$E$20:$M$23,   '[26]4'!$E$26:$M$29,   '[26]4'!$E$32:$M$35,   '[26]4'!$E$38:$M$41,   '[26]4'!$E$45:$M$48,   '[26]4'!$E$51:$M$54,   '[26]4'!$E$58:$M$61,   '[26]4'!$E$65:$M$68,   '[26]4'!$E$72:$M$75</definedName>
    <definedName name="T4?axis?R?ВТОП?">'[26]4'!$C$7:$C$10,   '[26]4'!$C$14:$C$17,   '[26]4'!$C$20:$C$23,   '[26]4'!$C$26:$C$29,   '[26]4'!$C$32:$C$35,   '[26]4'!$C$38:$C$41,   '[26]4'!$C$45:$C$48,   '[26]4'!$C$51:$C$54,   '[26]4'!$C$58:$C$61,   '[26]4'!$C$65:$C$68,   '[26]4'!$C$72:$C$75</definedName>
    <definedName name="T4?axis?ПРД?БАЗ">'[26]4'!$J$6:$K$81,'[26]4'!$G$6:$H$81</definedName>
    <definedName name="T4?axis?ПРД?ПРЕД">'[26]4'!$L$6:$M$81,'[26]4'!$E$6:$F$81</definedName>
    <definedName name="T4?axis?ПРД?РЕГ" localSheetId="9">#REF!</definedName>
    <definedName name="T4?axis?ПРД?РЕГ" localSheetId="4">#REF!</definedName>
    <definedName name="T4?axis?ПРД?РЕГ">#REF!</definedName>
    <definedName name="T4?axis?ПФ?ПЛАН">'[26]4'!$J$6:$J$81,'[26]4'!$E$6:$E$81,'[26]4'!$L$6:$L$81,'[26]4'!$G$6:$G$81</definedName>
    <definedName name="T4?axis?ПФ?ФАКТ">'[26]4'!$K$6:$K$81,'[26]4'!$F$6:$F$81,'[26]4'!$M$6:$M$81,'[26]4'!$H$6:$H$81</definedName>
    <definedName name="T4?Data">'[26]4'!$E$6:$M$11, '[26]4'!$E$13:$M$17, '[26]4'!$E$20:$M$23, '[26]4'!$E$26:$M$29, '[26]4'!$E$32:$M$35, '[26]4'!$E$37:$M$42, '[26]4'!$E$45:$M$48, '[26]4'!$E$50:$M$55, '[26]4'!$E$57:$M$62, '[26]4'!$E$64:$M$69, '[26]4'!$E$72:$M$75, '[26]4'!$E$77:$M$78, '[26]4'!$E$80:$M$80</definedName>
    <definedName name="T4?item_ext?РОСТ" localSheetId="9">#REF!</definedName>
    <definedName name="T4?item_ext?РОСТ" localSheetId="4">#REF!</definedName>
    <definedName name="T4?item_ext?РОСТ">#REF!</definedName>
    <definedName name="T4?L1" localSheetId="9">#REF!</definedName>
    <definedName name="T4?L1" localSheetId="4">#REF!</definedName>
    <definedName name="T4?L1">#REF!</definedName>
    <definedName name="T4?L1.1" localSheetId="9">#REF!</definedName>
    <definedName name="T4?L1.1" localSheetId="4">#REF!</definedName>
    <definedName name="T4?L1.1">#REF!</definedName>
    <definedName name="T4?L1.2" localSheetId="9">#REF!</definedName>
    <definedName name="T4?L1.2" localSheetId="4">#REF!</definedName>
    <definedName name="T4?L1.2">#REF!</definedName>
    <definedName name="T4?L10" localSheetId="9">#REF!</definedName>
    <definedName name="T4?L10" localSheetId="4">#REF!</definedName>
    <definedName name="T4?L10">#REF!</definedName>
    <definedName name="T4?L10.1" localSheetId="9">#REF!</definedName>
    <definedName name="T4?L10.1" localSheetId="4">#REF!</definedName>
    <definedName name="T4?L10.1">#REF!</definedName>
    <definedName name="T4?L10.2" localSheetId="9">#REF!</definedName>
    <definedName name="T4?L10.2" localSheetId="4">#REF!</definedName>
    <definedName name="T4?L10.2">#REF!</definedName>
    <definedName name="T4?L11.1" localSheetId="9">#REF!</definedName>
    <definedName name="T4?L11.1" localSheetId="4">#REF!</definedName>
    <definedName name="T4?L11.1">#REF!</definedName>
    <definedName name="T4?L12" localSheetId="9">#REF!</definedName>
    <definedName name="T4?L12" localSheetId="4">#REF!</definedName>
    <definedName name="T4?L12">#REF!</definedName>
    <definedName name="T4?L13" localSheetId="9">#REF!</definedName>
    <definedName name="T4?L13" localSheetId="4">#REF!</definedName>
    <definedName name="T4?L13">#REF!</definedName>
    <definedName name="T4?L14" localSheetId="9">#REF!</definedName>
    <definedName name="T4?L14" localSheetId="4">#REF!</definedName>
    <definedName name="T4?L14">#REF!</definedName>
    <definedName name="T4?L2" localSheetId="9">#REF!</definedName>
    <definedName name="T4?L2" localSheetId="4">#REF!</definedName>
    <definedName name="T4?L2">#REF!</definedName>
    <definedName name="T4?L2.1" localSheetId="9">#REF!</definedName>
    <definedName name="T4?L2.1" localSheetId="4">#REF!</definedName>
    <definedName name="T4?L2.1">#REF!</definedName>
    <definedName name="T4?L3.1" localSheetId="9">#REF!</definedName>
    <definedName name="T4?L3.1" localSheetId="4">#REF!</definedName>
    <definedName name="T4?L3.1">#REF!</definedName>
    <definedName name="T4?L4.1" localSheetId="9">#REF!</definedName>
    <definedName name="T4?L4.1" localSheetId="4">#REF!</definedName>
    <definedName name="T4?L4.1">#REF!</definedName>
    <definedName name="T4?L5.1" localSheetId="9">#REF!</definedName>
    <definedName name="T4?L5.1" localSheetId="4">#REF!</definedName>
    <definedName name="T4?L5.1">#REF!</definedName>
    <definedName name="T4?L6" localSheetId="9">#REF!</definedName>
    <definedName name="T4?L6" localSheetId="4">#REF!</definedName>
    <definedName name="T4?L6">#REF!</definedName>
    <definedName name="T4?L6.1" localSheetId="9">#REF!</definedName>
    <definedName name="T4?L6.1" localSheetId="4">#REF!</definedName>
    <definedName name="T4?L6.1">#REF!</definedName>
    <definedName name="T4?L6.2" localSheetId="9">#REF!</definedName>
    <definedName name="T4?L6.2" localSheetId="4">#REF!</definedName>
    <definedName name="T4?L6.2">#REF!</definedName>
    <definedName name="T4?L7.1" localSheetId="9">#REF!</definedName>
    <definedName name="T4?L7.1" localSheetId="4">#REF!</definedName>
    <definedName name="T4?L7.1">#REF!</definedName>
    <definedName name="T4?L8" localSheetId="9">#REF!</definedName>
    <definedName name="T4?L8" localSheetId="4">#REF!</definedName>
    <definedName name="T4?L8">#REF!</definedName>
    <definedName name="T4?L8.1" localSheetId="9">#REF!</definedName>
    <definedName name="T4?L8.1" localSheetId="4">#REF!</definedName>
    <definedName name="T4?L8.1">#REF!</definedName>
    <definedName name="T4?L8.2" localSheetId="9">#REF!</definedName>
    <definedName name="T4?L8.2" localSheetId="4">#REF!</definedName>
    <definedName name="T4?L8.2">#REF!</definedName>
    <definedName name="T4?L9" localSheetId="9">#REF!</definedName>
    <definedName name="T4?L9" localSheetId="4">#REF!</definedName>
    <definedName name="T4?L9">#REF!</definedName>
    <definedName name="T4?L9.1" localSheetId="9">#REF!</definedName>
    <definedName name="T4?L9.1" localSheetId="4">#REF!</definedName>
    <definedName name="T4?L9.1">#REF!</definedName>
    <definedName name="T4?L9.2" localSheetId="9">#REF!</definedName>
    <definedName name="T4?L9.2" localSheetId="4">#REF!</definedName>
    <definedName name="T4?L9.2">#REF!</definedName>
    <definedName name="T4?Name" localSheetId="9">#REF!</definedName>
    <definedName name="T4?Name" localSheetId="4">#REF!</definedName>
    <definedName name="T4?Name">#REF!</definedName>
    <definedName name="T4?Table" localSheetId="9">#REF!</definedName>
    <definedName name="T4?Table" localSheetId="4">#REF!</definedName>
    <definedName name="T4?Table">#REF!</definedName>
    <definedName name="T4?Title" localSheetId="9">#REF!</definedName>
    <definedName name="T4?Title" localSheetId="4">#REF!</definedName>
    <definedName name="T4?Title">#REF!</definedName>
    <definedName name="T4?unit?МКВТЧ" localSheetId="9">#REF!</definedName>
    <definedName name="T4?unit?МКВТЧ" localSheetId="4">#REF!</definedName>
    <definedName name="T4?unit?МКВТЧ">#REF!</definedName>
    <definedName name="T4?unit?ММКБ" localSheetId="9">#REF!</definedName>
    <definedName name="T4?unit?ММКБ" localSheetId="4">#REF!</definedName>
    <definedName name="T4?unit?ММКБ">#REF!</definedName>
    <definedName name="T4?unit?ПРЦ">'[26]4'!$J$6:$M$81, '[26]4'!$E$13:$I$17, '[26]4'!$E$78:$I$78</definedName>
    <definedName name="T4?unit?РУБ.МКБ">'[26]4'!$E$34:$I$34, '[26]4'!$E$47:$I$47, '[26]4'!$E$74:$I$74</definedName>
    <definedName name="T4?unit?РУБ.ТКВТЧ" localSheetId="9">#REF!</definedName>
    <definedName name="T4?unit?РУБ.ТКВТЧ" localSheetId="4">#REF!</definedName>
    <definedName name="T4?unit?РУБ.ТКВТЧ">#REF!</definedName>
    <definedName name="T4?unit?РУБ.ТНТ">'[26]4'!$E$32:$I$33, '[26]4'!$E$35:$I$35, '[26]4'!$E$45:$I$46, '[26]4'!$E$48:$I$48, '[26]4'!$E$72:$I$73, '[26]4'!$E$75:$I$75</definedName>
    <definedName name="T4?unit?РУБ.ТУТ" localSheetId="9">#REF!</definedName>
    <definedName name="T4?unit?РУБ.ТУТ" localSheetId="4">#REF!</definedName>
    <definedName name="T4?unit?РУБ.ТУТ">#REF!</definedName>
    <definedName name="T4?unit?ТРУБ">'[26]4'!$E$37:$I$42, '[26]4'!$E$50:$I$55, '[26]4'!$E$57:$I$62</definedName>
    <definedName name="T4?unit?ТТНТ">'[26]4'!$E$26:$I$27, '[26]4'!$E$29:$I$29</definedName>
    <definedName name="T4?unit?ТТУТ" localSheetId="9">#REF!</definedName>
    <definedName name="T4?unit?ТТУТ" localSheetId="4">#REF!</definedName>
    <definedName name="T4?unit?ТТУТ">#REF!</definedName>
    <definedName name="T4_Protect" localSheetId="9">'[25]4'!$AA$24:$AD$28,'[25]4'!$G$11:$J$17,'1. подк.неподк. факт'!P1_T4_Protect,'1. подк.неподк. факт'!P2_T4_Protect</definedName>
    <definedName name="T4_Protect" localSheetId="4">'[25]4'!$AA$24:$AD$28,'[25]4'!$G$11:$J$17,'5. подк.неподк.план'!P1_T4_Protect,'5. подк.неподк.план'!P2_T4_Protect</definedName>
    <definedName name="T4_Protect">'[27]4'!$AA$24:$AD$28,'[27]4'!$G$11:$J$17,P1_T4_Protect,P2_T4_Protect</definedName>
    <definedName name="T5?axis?R?ОС">'[26]5'!$E$7:$Q$18, '[26]5'!$E$21:$Q$32, '[26]5'!$E$35:$Q$46, '[26]5'!$E$49:$Q$60, '[26]5'!$E$63:$Q$74, '[26]5'!$E$77:$Q$88</definedName>
    <definedName name="T5?axis?R?ОС?">'[26]5'!$C$77:$C$88, '[26]5'!$C$63:$C$74, '[26]5'!$C$49:$C$60, '[26]5'!$C$35:$C$46, '[26]5'!$C$21:$C$32, '[26]5'!$C$7:$C$18</definedName>
    <definedName name="T5?axis?ПРД?БАЗ">'[26]5'!$N$6:$O$89,'[26]5'!$G$6:$H$89</definedName>
    <definedName name="T5?axis?ПРД?ПРЕД">'[26]5'!$P$6:$Q$89,'[26]5'!$E$6:$F$89</definedName>
    <definedName name="T5?axis?ПРД?РЕГ" localSheetId="9">#REF!</definedName>
    <definedName name="T5?axis?ПРД?РЕГ" localSheetId="4">#REF!</definedName>
    <definedName name="T5?axis?ПРД?РЕГ">#REF!</definedName>
    <definedName name="T5?axis?ПРД?РЕГ.КВ1" localSheetId="9">#REF!</definedName>
    <definedName name="T5?axis?ПРД?РЕГ.КВ1" localSheetId="4">#REF!</definedName>
    <definedName name="T5?axis?ПРД?РЕГ.КВ1">#REF!</definedName>
    <definedName name="T5?axis?ПРД?РЕГ.КВ2" localSheetId="9">#REF!</definedName>
    <definedName name="T5?axis?ПРД?РЕГ.КВ2" localSheetId="4">#REF!</definedName>
    <definedName name="T5?axis?ПРД?РЕГ.КВ2">#REF!</definedName>
    <definedName name="T5?axis?ПРД?РЕГ.КВ3" localSheetId="9">#REF!</definedName>
    <definedName name="T5?axis?ПРД?РЕГ.КВ3" localSheetId="4">#REF!</definedName>
    <definedName name="T5?axis?ПРД?РЕГ.КВ3">#REF!</definedName>
    <definedName name="T5?axis?ПРД?РЕГ.КВ4" localSheetId="9">#REF!</definedName>
    <definedName name="T5?axis?ПРД?РЕГ.КВ4" localSheetId="4">#REF!</definedName>
    <definedName name="T5?axis?ПРД?РЕГ.КВ4">#REF!</definedName>
    <definedName name="T5?Data">'[26]5'!$E$6:$Q$18, '[26]5'!$E$20:$Q$32, '[26]5'!$E$34:$Q$46, '[26]5'!$E$48:$Q$60, '[26]5'!$E$63:$Q$74, '[26]5'!$E$76:$Q$88</definedName>
    <definedName name="T5?item_ext?РОСТ" localSheetId="9">#REF!</definedName>
    <definedName name="T5?item_ext?РОСТ" localSheetId="4">#REF!</definedName>
    <definedName name="T5?item_ext?РОСТ">#REF!</definedName>
    <definedName name="T5?L1" localSheetId="9">#REF!</definedName>
    <definedName name="T5?L1" localSheetId="4">#REF!</definedName>
    <definedName name="T5?L1">#REF!</definedName>
    <definedName name="T5?L1.1" localSheetId="9">#REF!</definedName>
    <definedName name="T5?L1.1" localSheetId="4">#REF!</definedName>
    <definedName name="T5?L1.1">#REF!</definedName>
    <definedName name="T5?L2" localSheetId="9">#REF!</definedName>
    <definedName name="T5?L2" localSheetId="4">#REF!</definedName>
    <definedName name="T5?L2">#REF!</definedName>
    <definedName name="T5?L2.1" localSheetId="9">#REF!</definedName>
    <definedName name="T5?L2.1" localSheetId="4">#REF!</definedName>
    <definedName name="T5?L2.1">#REF!</definedName>
    <definedName name="T5?L3" localSheetId="9">#REF!</definedName>
    <definedName name="T5?L3" localSheetId="4">#REF!</definedName>
    <definedName name="T5?L3">#REF!</definedName>
    <definedName name="T5?L3.1" localSheetId="9">#REF!</definedName>
    <definedName name="T5?L3.1" localSheetId="4">#REF!</definedName>
    <definedName name="T5?L3.1">#REF!</definedName>
    <definedName name="T5?L4" localSheetId="9">#REF!</definedName>
    <definedName name="T5?L4" localSheetId="4">#REF!</definedName>
    <definedName name="T5?L4">#REF!</definedName>
    <definedName name="T5?L4.1" localSheetId="9">#REF!</definedName>
    <definedName name="T5?L4.1" localSheetId="4">#REF!</definedName>
    <definedName name="T5?L4.1">#REF!</definedName>
    <definedName name="T5?L5.1" localSheetId="9">#REF!</definedName>
    <definedName name="T5?L5.1" localSheetId="4">#REF!</definedName>
    <definedName name="T5?L5.1">#REF!</definedName>
    <definedName name="T5?L6" localSheetId="9">#REF!</definedName>
    <definedName name="T5?L6" localSheetId="4">#REF!</definedName>
    <definedName name="T5?L6">#REF!</definedName>
    <definedName name="T5?L6.1" localSheetId="9">#REF!</definedName>
    <definedName name="T5?L6.1" localSheetId="4">#REF!</definedName>
    <definedName name="T5?L6.1">#REF!</definedName>
    <definedName name="T5?Name" localSheetId="9">#REF!</definedName>
    <definedName name="T5?Name" localSheetId="4">#REF!</definedName>
    <definedName name="T5?Name">#REF!</definedName>
    <definedName name="T5?Table" localSheetId="9">#REF!</definedName>
    <definedName name="T5?Table" localSheetId="4">#REF!</definedName>
    <definedName name="T5?Table">#REF!</definedName>
    <definedName name="T5?Title" localSheetId="9">#REF!</definedName>
    <definedName name="T5?Title" localSheetId="4">#REF!</definedName>
    <definedName name="T5?Title">#REF!</definedName>
    <definedName name="T5?unit?ПРЦ">'[26]5'!$N$6:$Q$18, '[26]5'!$N$20:$Q$32, '[26]5'!$N$34:$Q$46, '[26]5'!$N$48:$Q$60, '[26]5'!$E$63:$Q$74, '[26]5'!$N$76:$Q$88</definedName>
    <definedName name="T5?unit?ТРУБ">'[26]5'!$E$76:$M$88, '[26]5'!$E$48:$M$60, '[26]5'!$E$34:$M$46, '[26]5'!$E$20:$M$32, '[26]5'!$E$6:$M$18</definedName>
    <definedName name="T6.1?axis?ПРД?БАЗ.КВ1" localSheetId="9">#REF!</definedName>
    <definedName name="T6.1?axis?ПРД?БАЗ.КВ1" localSheetId="4">#REF!</definedName>
    <definedName name="T6.1?axis?ПРД?БАЗ.КВ1">#REF!</definedName>
    <definedName name="T6.1?axis?ПРД?БАЗ.КВ2" localSheetId="9">#REF!</definedName>
    <definedName name="T6.1?axis?ПРД?БАЗ.КВ2" localSheetId="4">#REF!</definedName>
    <definedName name="T6.1?axis?ПРД?БАЗ.КВ2">#REF!</definedName>
    <definedName name="T6.1?axis?ПРД?БАЗ.КВ3" localSheetId="9">#REF!</definedName>
    <definedName name="T6.1?axis?ПРД?БАЗ.КВ3" localSheetId="4">#REF!</definedName>
    <definedName name="T6.1?axis?ПРД?БАЗ.КВ3">#REF!</definedName>
    <definedName name="T6.1?axis?ПРД?БАЗ.КВ4" localSheetId="9">#REF!</definedName>
    <definedName name="T6.1?axis?ПРД?БАЗ.КВ4" localSheetId="4">#REF!</definedName>
    <definedName name="T6.1?axis?ПРД?БАЗ.КВ4">#REF!</definedName>
    <definedName name="T6.1?axis?ПРД?РЕГ" localSheetId="9">#REF!</definedName>
    <definedName name="T6.1?axis?ПРД?РЕГ" localSheetId="4">#REF!</definedName>
    <definedName name="T6.1?axis?ПРД?РЕГ">#REF!</definedName>
    <definedName name="T6.1?axis?ПРД?РЕГ.КВ1" localSheetId="9">#REF!</definedName>
    <definedName name="T6.1?axis?ПРД?РЕГ.КВ1" localSheetId="4">#REF!</definedName>
    <definedName name="T6.1?axis?ПРД?РЕГ.КВ1">#REF!</definedName>
    <definedName name="T6.1?axis?ПРД?РЕГ.КВ2" localSheetId="9">#REF!</definedName>
    <definedName name="T6.1?axis?ПРД?РЕГ.КВ2" localSheetId="4">#REF!</definedName>
    <definedName name="T6.1?axis?ПРД?РЕГ.КВ2">#REF!</definedName>
    <definedName name="T6.1?axis?ПРД?РЕГ.КВ3" localSheetId="9">#REF!</definedName>
    <definedName name="T6.1?axis?ПРД?РЕГ.КВ3" localSheetId="4">#REF!</definedName>
    <definedName name="T6.1?axis?ПРД?РЕГ.КВ3">#REF!</definedName>
    <definedName name="T6.1?axis?ПРД?РЕГ.КВ4" localSheetId="9">#REF!</definedName>
    <definedName name="T6.1?axis?ПРД?РЕГ.КВ4" localSheetId="4">#REF!</definedName>
    <definedName name="T6.1?axis?ПРД?РЕГ.КВ4">#REF!</definedName>
    <definedName name="T6.1?Data" localSheetId="9">#REF!</definedName>
    <definedName name="T6.1?Data" localSheetId="4">#REF!</definedName>
    <definedName name="T6.1?Data">#REF!</definedName>
    <definedName name="T6.1?L1" localSheetId="9">#REF!</definedName>
    <definedName name="T6.1?L1" localSheetId="4">#REF!</definedName>
    <definedName name="T6.1?L1">#REF!</definedName>
    <definedName name="T6.1?L2" localSheetId="9">#REF!</definedName>
    <definedName name="T6.1?L2" localSheetId="4">#REF!</definedName>
    <definedName name="T6.1?L2">#REF!</definedName>
    <definedName name="T6.1?Name" localSheetId="9">#REF!</definedName>
    <definedName name="T6.1?Name" localSheetId="4">#REF!</definedName>
    <definedName name="T6.1?Name">#REF!</definedName>
    <definedName name="T6.1?Table" localSheetId="9">#REF!</definedName>
    <definedName name="T6.1?Table" localSheetId="4">#REF!</definedName>
    <definedName name="T6.1?Table">#REF!</definedName>
    <definedName name="T6.1?Title" localSheetId="9">#REF!</definedName>
    <definedName name="T6.1?Title" localSheetId="4">#REF!</definedName>
    <definedName name="T6.1?Title">#REF!</definedName>
    <definedName name="T6.1?unit?ПРЦ" localSheetId="9">#REF!</definedName>
    <definedName name="T6.1?unit?ПРЦ" localSheetId="4">#REF!</definedName>
    <definedName name="T6.1?unit?ПРЦ">#REF!</definedName>
    <definedName name="T6.1?unit?РУБ" localSheetId="9">#REF!</definedName>
    <definedName name="T6.1?unit?РУБ" localSheetId="4">#REF!</definedName>
    <definedName name="T6.1?unit?РУБ">#REF!</definedName>
    <definedName name="T6?axis?ПРД?БАЗ">'[26]6'!$I$6:$J$47,'[26]6'!$F$6:$G$47</definedName>
    <definedName name="T6?axis?ПРД?ПРЕД">'[26]6'!$K$6:$L$47,'[26]6'!$D$6:$E$47</definedName>
    <definedName name="T6?axis?ПРД?РЕГ" localSheetId="9">#REF!</definedName>
    <definedName name="T6?axis?ПРД?РЕГ" localSheetId="4">#REF!</definedName>
    <definedName name="T6?axis?ПРД?РЕГ">#REF!</definedName>
    <definedName name="T6?axis?ПФ?ПЛАН">'[26]6'!$I$6:$I$47,'[26]6'!$D$6:$D$47,'[26]6'!$K$6:$K$47,'[26]6'!$F$6:$F$47</definedName>
    <definedName name="T6?axis?ПФ?ФАКТ">'[26]6'!$J$6:$J$47,'[26]6'!$L$6:$L$47,'[26]6'!$E$6:$E$47,'[26]6'!$G$6:$G$47</definedName>
    <definedName name="T6?Columns" localSheetId="9">#REF!</definedName>
    <definedName name="T6?Columns" localSheetId="4">#REF!</definedName>
    <definedName name="T6?Columns">#REF!</definedName>
    <definedName name="T6?Data">'[26]6'!$D$7:$L$14, '[26]6'!$D$16:$L$19, '[26]6'!$D$21:$L$22, '[26]6'!$D$24:$L$25, '[26]6'!$D$27:$L$28, '[26]6'!$D$30:$L$31, '[26]6'!$D$33:$L$35, '[26]6'!$D$37:$L$39, '[26]6'!$D$41:$L$47</definedName>
    <definedName name="T6?FirstYear" localSheetId="9">#REF!</definedName>
    <definedName name="T6?FirstYear" localSheetId="4">#REF!</definedName>
    <definedName name="T6?FirstYear">#REF!</definedName>
    <definedName name="T6?item_ext?РОСТ" localSheetId="9">#REF!</definedName>
    <definedName name="T6?item_ext?РОСТ" localSheetId="4">#REF!</definedName>
    <definedName name="T6?item_ext?РОСТ">#REF!</definedName>
    <definedName name="T6?L1.1" localSheetId="9">#REF!</definedName>
    <definedName name="T6?L1.1" localSheetId="4">#REF!</definedName>
    <definedName name="T6?L1.1">#REF!</definedName>
    <definedName name="T6?L1.1.1" localSheetId="9">#REF!</definedName>
    <definedName name="T6?L1.1.1" localSheetId="4">#REF!</definedName>
    <definedName name="T6?L1.1.1">#REF!</definedName>
    <definedName name="T6?L1.2" localSheetId="9">#REF!</definedName>
    <definedName name="T6?L1.2" localSheetId="4">#REF!</definedName>
    <definedName name="T6?L1.2">#REF!</definedName>
    <definedName name="T6?L1.2.1" localSheetId="9">#REF!</definedName>
    <definedName name="T6?L1.2.1" localSheetId="4">#REF!</definedName>
    <definedName name="T6?L1.2.1">#REF!</definedName>
    <definedName name="T6?L1.3" localSheetId="9">#REF!</definedName>
    <definedName name="T6?L1.3" localSheetId="4">#REF!</definedName>
    <definedName name="T6?L1.3">#REF!</definedName>
    <definedName name="T6?L1.3.1" localSheetId="9">#REF!</definedName>
    <definedName name="T6?L1.3.1" localSheetId="4">#REF!</definedName>
    <definedName name="T6?L1.3.1">#REF!</definedName>
    <definedName name="T6?L1.4" localSheetId="9">#REF!</definedName>
    <definedName name="T6?L1.4" localSheetId="4">#REF!</definedName>
    <definedName name="T6?L1.4">#REF!</definedName>
    <definedName name="T6?L1.5" localSheetId="9">#REF!</definedName>
    <definedName name="T6?L1.5" localSheetId="4">#REF!</definedName>
    <definedName name="T6?L1.5">#REF!</definedName>
    <definedName name="T6?L2.1" localSheetId="9">#REF!</definedName>
    <definedName name="T6?L2.1" localSheetId="4">#REF!</definedName>
    <definedName name="T6?L2.1">#REF!</definedName>
    <definedName name="T6?L2.10" localSheetId="9">#REF!</definedName>
    <definedName name="T6?L2.10" localSheetId="4">#REF!</definedName>
    <definedName name="T6?L2.10">#REF!</definedName>
    <definedName name="T6?L2.2" localSheetId="9">#REF!</definedName>
    <definedName name="T6?L2.2" localSheetId="4">#REF!</definedName>
    <definedName name="T6?L2.2">#REF!</definedName>
    <definedName name="T6?L2.3" localSheetId="9">#REF!</definedName>
    <definedName name="T6?L2.3" localSheetId="4">#REF!</definedName>
    <definedName name="T6?L2.3">#REF!</definedName>
    <definedName name="T6?L2.4" localSheetId="9">#REF!</definedName>
    <definedName name="T6?L2.4" localSheetId="4">#REF!</definedName>
    <definedName name="T6?L2.4">#REF!</definedName>
    <definedName name="T6?L2.5.1" localSheetId="9">#REF!</definedName>
    <definedName name="T6?L2.5.1" localSheetId="4">#REF!</definedName>
    <definedName name="T6?L2.5.1">#REF!</definedName>
    <definedName name="T6?L2.5.2" localSheetId="9">#REF!</definedName>
    <definedName name="T6?L2.5.2" localSheetId="4">#REF!</definedName>
    <definedName name="T6?L2.5.2">#REF!</definedName>
    <definedName name="T6?L2.6.1" localSheetId="9">#REF!</definedName>
    <definedName name="T6?L2.6.1" localSheetId="4">#REF!</definedName>
    <definedName name="T6?L2.6.1">#REF!</definedName>
    <definedName name="T6?L2.6.2" localSheetId="9">#REF!</definedName>
    <definedName name="T6?L2.6.2" localSheetId="4">#REF!</definedName>
    <definedName name="T6?L2.6.2">#REF!</definedName>
    <definedName name="T6?L2.7.1" localSheetId="9">#REF!</definedName>
    <definedName name="T6?L2.7.1" localSheetId="4">#REF!</definedName>
    <definedName name="T6?L2.7.1">#REF!</definedName>
    <definedName name="T6?L2.7.2" localSheetId="9">#REF!</definedName>
    <definedName name="T6?L2.7.2" localSheetId="4">#REF!</definedName>
    <definedName name="T6?L2.7.2">#REF!</definedName>
    <definedName name="T6?L2.8.1" localSheetId="9">#REF!</definedName>
    <definedName name="T6?L2.8.1" localSheetId="4">#REF!</definedName>
    <definedName name="T6?L2.8.1">#REF!</definedName>
    <definedName name="T6?L2.8.2" localSheetId="9">#REF!</definedName>
    <definedName name="T6?L2.8.2" localSheetId="4">#REF!</definedName>
    <definedName name="T6?L2.8.2">#REF!</definedName>
    <definedName name="T6?L2.9.1" localSheetId="9">#REF!</definedName>
    <definedName name="T6?L2.9.1" localSheetId="4">#REF!</definedName>
    <definedName name="T6?L2.9.1">#REF!</definedName>
    <definedName name="T6?L2.9.2" localSheetId="9">#REF!</definedName>
    <definedName name="T6?L2.9.2" localSheetId="4">#REF!</definedName>
    <definedName name="T6?L2.9.2">#REF!</definedName>
    <definedName name="T6?L3.1" localSheetId="9">#REF!</definedName>
    <definedName name="T6?L3.1" localSheetId="4">#REF!</definedName>
    <definedName name="T6?L3.1">#REF!</definedName>
    <definedName name="T6?L3.2" localSheetId="9">#REF!</definedName>
    <definedName name="T6?L3.2" localSheetId="4">#REF!</definedName>
    <definedName name="T6?L3.2">#REF!</definedName>
    <definedName name="T6?L3.3" localSheetId="9">#REF!</definedName>
    <definedName name="T6?L3.3" localSheetId="4">#REF!</definedName>
    <definedName name="T6?L3.3">#REF!</definedName>
    <definedName name="T6?L4.1" localSheetId="9">#REF!</definedName>
    <definedName name="T6?L4.1" localSheetId="4">#REF!</definedName>
    <definedName name="T6?L4.1">#REF!</definedName>
    <definedName name="T6?L4.2" localSheetId="9">#REF!</definedName>
    <definedName name="T6?L4.2" localSheetId="4">#REF!</definedName>
    <definedName name="T6?L4.2">#REF!</definedName>
    <definedName name="T6?L4.3" localSheetId="9">#REF!</definedName>
    <definedName name="T6?L4.3" localSheetId="4">#REF!</definedName>
    <definedName name="T6?L4.3">#REF!</definedName>
    <definedName name="T6?L4.4" localSheetId="9">#REF!</definedName>
    <definedName name="T6?L4.4" localSheetId="4">#REF!</definedName>
    <definedName name="T6?L4.4">#REF!</definedName>
    <definedName name="T6?L4.5" localSheetId="9">#REF!</definedName>
    <definedName name="T6?L4.5" localSheetId="4">#REF!</definedName>
    <definedName name="T6?L4.5">#REF!</definedName>
    <definedName name="T6?L4.6" localSheetId="9">#REF!</definedName>
    <definedName name="T6?L4.6" localSheetId="4">#REF!</definedName>
    <definedName name="T6?L4.6">#REF!</definedName>
    <definedName name="T6?L4.7" localSheetId="9">#REF!</definedName>
    <definedName name="T6?L4.7" localSheetId="4">#REF!</definedName>
    <definedName name="T6?L4.7">#REF!</definedName>
    <definedName name="T6?Name" localSheetId="9">#REF!</definedName>
    <definedName name="T6?Name" localSheetId="4">#REF!</definedName>
    <definedName name="T6?Name">#REF!</definedName>
    <definedName name="T6?Scope" localSheetId="9">#REF!</definedName>
    <definedName name="T6?Scope" localSheetId="4">#REF!</definedName>
    <definedName name="T6?Scope">#REF!</definedName>
    <definedName name="T6?Table" localSheetId="9">#REF!</definedName>
    <definedName name="T6?Table" localSheetId="4">#REF!</definedName>
    <definedName name="T6?Table">#REF!</definedName>
    <definedName name="T6?Title" localSheetId="9">#REF!</definedName>
    <definedName name="T6?Title" localSheetId="4">#REF!</definedName>
    <definedName name="T6?Title">#REF!</definedName>
    <definedName name="T6?unit?ПРЦ">'[26]6'!$D$12:$H$12, '[26]6'!$D$21:$H$21, '[26]6'!$D$24:$H$24, '[26]6'!$D$27:$H$27, '[26]6'!$D$30:$H$30, '[26]6'!$D$33:$H$33, '[26]6'!$D$47:$H$47, '[26]6'!$I$7:$L$47</definedName>
    <definedName name="T6?unit?РУБ">'[26]6'!$D$16:$H$16, '[26]6'!$D$19:$H$19, '[26]6'!$D$22:$H$22, '[26]6'!$D$25:$H$25, '[26]6'!$D$28:$H$28, '[26]6'!$D$31:$H$31, '[26]6'!$D$34:$H$35, '[26]6'!$D$43:$H$43</definedName>
    <definedName name="T6?unit?ТРУБ">'[26]6'!$D$37:$H$39, '[26]6'!$D$44:$H$46</definedName>
    <definedName name="T6?unit?ЧЕЛ">'[26]6'!$D$41:$H$42, '[26]6'!$D$13:$H$14, '[26]6'!$D$7:$H$11</definedName>
    <definedName name="T6?НАП" localSheetId="9">#REF!</definedName>
    <definedName name="T6?НАП" localSheetId="4">#REF!</definedName>
    <definedName name="T6?НАП">#REF!</definedName>
    <definedName name="T6?ПОТ" localSheetId="9">#REF!</definedName>
    <definedName name="T6?ПОТ" localSheetId="4">#REF!</definedName>
    <definedName name="T6?ПОТ">#REF!</definedName>
    <definedName name="T6_Protect" localSheetId="9">'[25]6'!$B$28:$B$37,'[25]6'!$D$28:$H$37,'[25]6'!$J$28:$N$37,'[25]6'!$D$39:$H$41,'[25]6'!$J$39:$N$41,'[25]6'!$B$46:$B$55,'1. подк.неподк. факт'!P1_T6_Protect</definedName>
    <definedName name="T6_Protect" localSheetId="4">'[25]6'!$B$28:$B$37,'[25]6'!$D$28:$H$37,'[25]6'!$J$28:$N$37,'[25]6'!$D$39:$H$41,'[25]6'!$J$39:$N$41,'[25]6'!$B$46:$B$55,'5. подк.неподк.план'!P1_T6_Protect</definedName>
    <definedName name="T6_Protect">#REF!,#REF!,#REF!,#REF!,#REF!,#REF!,P1_T6_Protect</definedName>
    <definedName name="T7?axis?ПРД?БАЗ">[37]материалы!$K$6:$L$10,[37]материалы!$H$6:$I$10</definedName>
    <definedName name="T7?axis?ПРД?ПРЕД">[37]материалы!$M$6:$N$10,[37]материалы!$F$6:$G$10</definedName>
    <definedName name="T7?axis?ПФ?ПЛАН">[37]материалы!$K$6:$K$10,[37]материалы!$F$6:$F$10,[37]материалы!$M$6:$M$10,[37]материалы!$H$6:$H$10</definedName>
    <definedName name="T7?axis?ПФ?ФАКТ">[37]материалы!$L$6:$L$10,[37]материалы!$G$6:$G$10,[37]материалы!$N$6:$N$10,[37]материалы!$I$6:$I$10</definedName>
    <definedName name="T7?Data">#N/A</definedName>
    <definedName name="T7?L3" localSheetId="9">[37]материалы!#REF!</definedName>
    <definedName name="T7?L3" localSheetId="4">[37]материалы!#REF!</definedName>
    <definedName name="T7?L3">[37]материалы!#REF!</definedName>
    <definedName name="T7?L4" localSheetId="9">[37]материалы!#REF!</definedName>
    <definedName name="T7?L4" localSheetId="4">[37]материалы!#REF!</definedName>
    <definedName name="T7?L4">[37]материалы!#REF!</definedName>
    <definedName name="T8?axis?ПРД?БАЗ">'[26]8'!$I$6:$J$42, '[26]8'!$F$6:$G$42</definedName>
    <definedName name="T8?axis?ПРД?ПРЕД">'[26]8'!$K$6:$L$42, '[26]8'!$D$6:$E$42</definedName>
    <definedName name="T8?axis?ПФ?ПЛАН">'[26]8'!$I$6:$I$42, '[26]8'!$D$6:$D$42, '[26]8'!$K$6:$K$42, '[26]8'!$F$6:$F$42</definedName>
    <definedName name="T8?axis?ПФ?ФАКТ">'[26]8'!$G$6:$G$42, '[26]8'!$J$6:$J$42, '[26]8'!$L$6:$L$42, '[26]8'!$E$6:$E$42</definedName>
    <definedName name="T8?Data">'[26]8'!$D$10:$L$12,'[26]8'!$D$14:$L$16,'[26]8'!$D$18:$L$20,'[26]8'!$D$22:$L$24,'[26]8'!$D$26:$L$28,'[26]8'!$D$30:$L$32,'[26]8'!$D$36:$L$38,'[26]8'!$D$40:$L$42,'[26]8'!$D$6:$L$8</definedName>
    <definedName name="T8?item_ext?РОСТ" localSheetId="9">[37]ремонты!#REF!</definedName>
    <definedName name="T8?item_ext?РОСТ" localSheetId="4">[37]ремонты!#REF!</definedName>
    <definedName name="T8?item_ext?РОСТ">[37]ремонты!#REF!</definedName>
    <definedName name="T8?Name" localSheetId="9">[37]ремонты!#REF!</definedName>
    <definedName name="T8?Name" localSheetId="4">[37]ремонты!#REF!</definedName>
    <definedName name="T8?Name">[37]ремонты!#REF!</definedName>
    <definedName name="T8?unit?ПРЦ" localSheetId="9">[37]ремонты!#REF!</definedName>
    <definedName name="T8?unit?ПРЦ" localSheetId="4">[37]ремонты!#REF!</definedName>
    <definedName name="T8?unit?ПРЦ">[37]ремонты!#REF!</definedName>
    <definedName name="T8?unit?ТРУБ">'[26]8'!$D$40:$H$42,'[26]8'!$D$6:$H$32</definedName>
    <definedName name="T9?axis?ПРД?БАЗ">'[26]9'!$I$6:$J$16,'[26]9'!$F$6:$G$16</definedName>
    <definedName name="T9?axis?ПРД?ПРЕД">'[26]9'!$K$6:$L$16,'[26]9'!$D$6:$E$16</definedName>
    <definedName name="T9?axis?ПРД?РЕГ" localSheetId="9">#REF!</definedName>
    <definedName name="T9?axis?ПРД?РЕГ" localSheetId="4">#REF!</definedName>
    <definedName name="T9?axis?ПРД?РЕГ">#REF!</definedName>
    <definedName name="T9?axis?ПФ?ПЛАН">'[26]9'!$I$6:$I$16,'[26]9'!$D$6:$D$16,'[26]9'!$K$6:$K$16,'[26]9'!$F$6:$F$16</definedName>
    <definedName name="T9?axis?ПФ?ФАКТ">'[26]9'!$J$6:$J$16,'[26]9'!$E$6:$E$16,'[26]9'!$L$6:$L$16,'[26]9'!$G$6:$G$16</definedName>
    <definedName name="T9?Data">'[26]9'!$D$6:$L$6, '[26]9'!$D$8:$L$9, '[26]9'!$D$11:$L$16</definedName>
    <definedName name="T9?item_ext?РОСТ" localSheetId="9">#REF!</definedName>
    <definedName name="T9?item_ext?РОСТ" localSheetId="4">#REF!</definedName>
    <definedName name="T9?item_ext?РОСТ">#REF!</definedName>
    <definedName name="T9?L1" localSheetId="9">#REF!</definedName>
    <definedName name="T9?L1" localSheetId="4">#REF!</definedName>
    <definedName name="T9?L1">#REF!</definedName>
    <definedName name="T9?L2.1" localSheetId="9">#REF!</definedName>
    <definedName name="T9?L2.1" localSheetId="4">#REF!</definedName>
    <definedName name="T9?L2.1">#REF!</definedName>
    <definedName name="T9?L2.2" localSheetId="9">#REF!</definedName>
    <definedName name="T9?L2.2" localSheetId="4">#REF!</definedName>
    <definedName name="T9?L2.2">#REF!</definedName>
    <definedName name="T9?L3.1" localSheetId="9">#REF!</definedName>
    <definedName name="T9?L3.1" localSheetId="4">#REF!</definedName>
    <definedName name="T9?L3.1">#REF!</definedName>
    <definedName name="T9?L3.2" localSheetId="9">#REF!</definedName>
    <definedName name="T9?L3.2" localSheetId="4">#REF!</definedName>
    <definedName name="T9?L3.2">#REF!</definedName>
    <definedName name="T9?L4.1" localSheetId="9">#REF!</definedName>
    <definedName name="T9?L4.1" localSheetId="4">#REF!</definedName>
    <definedName name="T9?L4.1">#REF!</definedName>
    <definedName name="T9?L4.2" localSheetId="9">#REF!</definedName>
    <definedName name="T9?L4.2" localSheetId="4">#REF!</definedName>
    <definedName name="T9?L4.2">#REF!</definedName>
    <definedName name="T9?L5" localSheetId="9">#REF!</definedName>
    <definedName name="T9?L5" localSheetId="4">#REF!</definedName>
    <definedName name="T9?L5">#REF!</definedName>
    <definedName name="T9?Name" localSheetId="9">#REF!</definedName>
    <definedName name="T9?Name" localSheetId="4">#REF!</definedName>
    <definedName name="T9?Name">#REF!</definedName>
    <definedName name="T9?Table" localSheetId="9">#REF!</definedName>
    <definedName name="T9?Table" localSheetId="4">#REF!</definedName>
    <definedName name="T9?Table">#REF!</definedName>
    <definedName name="T9?Title" localSheetId="9">#REF!</definedName>
    <definedName name="T9?Title" localSheetId="4">#REF!</definedName>
    <definedName name="T9?Title">#REF!</definedName>
    <definedName name="T9?unit?МВТЧ" localSheetId="9">#REF!</definedName>
    <definedName name="T9?unit?МВТЧ" localSheetId="4">#REF!</definedName>
    <definedName name="T9?unit?МВТЧ">#REF!</definedName>
    <definedName name="T9?unit?ПРЦ" localSheetId="9">#REF!</definedName>
    <definedName name="T9?unit?ПРЦ" localSheetId="4">#REF!</definedName>
    <definedName name="T9?unit?ПРЦ">#REF!</definedName>
    <definedName name="T9?unit?РУБ.МВТЧ">'[26]9'!$D$8:$H$8, '[26]9'!$D$11:$H$11</definedName>
    <definedName name="T9?unit?ТРУБ">'[26]9'!$D$9:$H$9, '[26]9'!$D$12:$H$16</definedName>
    <definedName name="Table" localSheetId="9">#REF!</definedName>
    <definedName name="Table" localSheetId="4">#REF!</definedName>
    <definedName name="Table">#REF!</definedName>
    <definedName name="TARGET">[38]TEHSHEET!$I$42:$I$45</definedName>
    <definedName name="TEMP" localSheetId="9">#REF!,#REF!</definedName>
    <definedName name="TEMP" localSheetId="4">#REF!,#REF!</definedName>
    <definedName name="TEMP">#REF!,#REF!</definedName>
    <definedName name="TES" localSheetId="9">#REF!</definedName>
    <definedName name="TES" localSheetId="4">#REF!</definedName>
    <definedName name="TES">#REF!</definedName>
    <definedName name="TES_DATA" localSheetId="9">#REF!</definedName>
    <definedName name="TES_DATA" localSheetId="4">#REF!</definedName>
    <definedName name="TES_DATA">#REF!</definedName>
    <definedName name="TES_LIST" localSheetId="9">#REF!</definedName>
    <definedName name="TES_LIST" localSheetId="4">#REF!</definedName>
    <definedName name="TES_LIST">#REF!</definedName>
    <definedName name="time">#REF!</definedName>
    <definedName name="title">'[39]Огл. Графиков'!$B$2:$B$31</definedName>
    <definedName name="TP2.1?Columns">[40]P2.1!$A$6:$H$6</definedName>
    <definedName name="TP2.1?Scope">[40]P2.1!$F$7:$H$44</definedName>
    <definedName name="TP2.1_Protect" localSheetId="9">[41]P2.1!$F$28:$G$37,[41]P2.1!$F$40:$G$43,[41]P2.1!$F$7:$G$26</definedName>
    <definedName name="TP2.1_Protect" localSheetId="4">[41]P2.1!$F$28:$G$37,[41]P2.1!$F$40:$G$43,[41]P2.1!$F$7:$G$26</definedName>
    <definedName name="TP2.1_Protect">[27]P2.1!$F$28:$G$37,[27]P2.1!$F$40:$G$43,[27]P2.1!$F$7:$G$26</definedName>
    <definedName name="TP2.2?Columns">[40]P2.2!$A$6:$H$6</definedName>
    <definedName name="TP2.2?Scope">[40]P2.2!$F$7:$H$51</definedName>
    <definedName name="tso_name">[18]REESTR_ORG!$A$156:$A$245</definedName>
    <definedName name="TTT" localSheetId="9">#REF!</definedName>
    <definedName name="TTT" localSheetId="4">#REF!</definedName>
    <definedName name="TTT">#REF!</definedName>
    <definedName name="uka">#N/A</definedName>
    <definedName name="upr">#N/A</definedName>
    <definedName name="ůůů">#N/A</definedName>
    <definedName name="VDOC" localSheetId="9">#REF!</definedName>
    <definedName name="VDOC" localSheetId="4">#REF!</definedName>
    <definedName name="VDOC">#REF!</definedName>
    <definedName name="version">[18]Инструкция!$N$2</definedName>
    <definedName name="VV">#N/A</definedName>
    <definedName name="we">#N/A</definedName>
    <definedName name="wrn.Сравнение._.с._.отраслями." localSheetId="9"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YEAR" localSheetId="9">#REF!</definedName>
    <definedName name="YEAR" localSheetId="4">#REF!</definedName>
    <definedName name="YEAR">#REF!</definedName>
    <definedName name="year_list">[42]TEHSHEET!$B$2:$B$8</definedName>
    <definedName name="ZERO" localSheetId="9">#REF!</definedName>
    <definedName name="ZERO" localSheetId="4">#REF!</definedName>
    <definedName name="ZERO">#REF!</definedName>
    <definedName name="а">#REF!</definedName>
    <definedName name="а1" localSheetId="9">#REF!</definedName>
    <definedName name="а1" localSheetId="4">#REF!</definedName>
    <definedName name="а1">#REF!</definedName>
    <definedName name="А77">[43]Рейтинг!$A$14</definedName>
    <definedName name="А8" localSheetId="9">#REF!</definedName>
    <definedName name="А8" localSheetId="4">#REF!</definedName>
    <definedName name="А8">#REF!</definedName>
    <definedName name="аа">#N/A</definedName>
    <definedName name="АААААААА">#N/A</definedName>
    <definedName name="ав">#N/A</definedName>
    <definedName name="авг" localSheetId="9">#REF!</definedName>
    <definedName name="авг" localSheetId="4">#REF!</definedName>
    <definedName name="авг">#REF!</definedName>
    <definedName name="авг2" localSheetId="9">#REF!</definedName>
    <definedName name="авг2" localSheetId="4">#REF!</definedName>
    <definedName name="авг2">#REF!</definedName>
    <definedName name="ап">#N/A</definedName>
    <definedName name="апр" localSheetId="9">#REF!</definedName>
    <definedName name="апр" localSheetId="4">#REF!</definedName>
    <definedName name="апр">#REF!</definedName>
    <definedName name="апр2" localSheetId="9">#REF!</definedName>
    <definedName name="апр2" localSheetId="4">#REF!</definedName>
    <definedName name="апр2">#REF!</definedName>
    <definedName name="АТП" localSheetId="9">#REF!</definedName>
    <definedName name="АТП" localSheetId="4">#REF!</definedName>
    <definedName name="АТП">#REF!</definedName>
    <definedName name="аяыпамыпмипи">#N/A</definedName>
    <definedName name="б">#N/A</definedName>
    <definedName name="база">[44]SHPZ!$A$1:$BC$4313</definedName>
    <definedName name="_xlnm.Database" localSheetId="9">#REF!</definedName>
    <definedName name="_xlnm.Database" localSheetId="4">#REF!</definedName>
    <definedName name="_xlnm.Database">#REF!</definedName>
    <definedName name="Базовые" localSheetId="9">'[45]Производство электроэнергии'!$A$95</definedName>
    <definedName name="Базовые" localSheetId="4">'[45]Производство электроэнергии'!$A$95</definedName>
    <definedName name="Базовые">'[46]Производство электроэнергии'!$A$95</definedName>
    <definedName name="БазовыйПериод">[15]Заголовок!$B$15</definedName>
    <definedName name="бб">#N/A</definedName>
    <definedName name="БС">[47]Справочники!$A$4:$A$6</definedName>
    <definedName name="Бюджетные_электроэнергии" localSheetId="9">'[45]Производство электроэнергии'!$A$111</definedName>
    <definedName name="Бюджетные_электроэнергии" localSheetId="4">'[45]Производство электроэнергии'!$A$111</definedName>
    <definedName name="Бюджетные_электроэнергии">'[46]Производство электроэнергии'!$A$111</definedName>
    <definedName name="в">#N/A</definedName>
    <definedName name="в23ё" localSheetId="9">#N/A</definedName>
    <definedName name="в23ё" localSheetId="4">#N/A</definedName>
    <definedName name="в23ё">#N/A</definedName>
    <definedName name="вап">#N/A</definedName>
    <definedName name="Вар.их">#N/A</definedName>
    <definedName name="Вар.КАЛМЭ">#N/A</definedName>
    <definedName name="вв" localSheetId="9">#N/A</definedName>
    <definedName name="вв" localSheetId="4">#N/A</definedName>
    <definedName name="вв">#N/A</definedName>
    <definedName name="витт" localSheetId="9" hidden="1">{#N/A,#N/A,TRUE,"Лист1";#N/A,#N/A,TRUE,"Лист2";#N/A,#N/A,TRUE,"Лист3"}</definedName>
    <definedName name="витт" localSheetId="4" hidden="1">{#N/A,#N/A,TRUE,"Лист1";#N/A,#N/A,TRUE,"Лист2";#N/A,#N/A,TRUE,"Лист3"}</definedName>
    <definedName name="витт" localSheetId="8" hidden="1">{#N/A,#N/A,TRUE,"Лист1";#N/A,#N/A,TRUE,"Лист2";#N/A,#N/A,TRUE,"Лист3"}</definedName>
    <definedName name="витт" hidden="1">{#N/A,#N/A,TRUE,"Лист1";#N/A,#N/A,TRUE,"Лист2";#N/A,#N/A,TRUE,"Лист3"}</definedName>
    <definedName name="вм">#N/A</definedName>
    <definedName name="вмивртвр">#N/A</definedName>
    <definedName name="восемь" localSheetId="9">#REF!</definedName>
    <definedName name="восемь" localSheetId="4">#REF!</definedName>
    <definedName name="восемь">#REF!</definedName>
    <definedName name="вртт">#N/A</definedName>
    <definedName name="вс" localSheetId="9">[48]расшифровка!#REF!</definedName>
    <definedName name="вс" localSheetId="4">[48]расшифровка!#REF!</definedName>
    <definedName name="вс">[48]расшифровка!#REF!</definedName>
    <definedName name="ВТОП" localSheetId="9">#REF!</definedName>
    <definedName name="ВТОП" localSheetId="4">#REF!</definedName>
    <definedName name="ВТОП">#REF!</definedName>
    <definedName name="второй" localSheetId="9">#REF!</definedName>
    <definedName name="второй" localSheetId="4">#REF!</definedName>
    <definedName name="второй">#REF!</definedName>
    <definedName name="вуув" localSheetId="9" hidden="1">{#N/A,#N/A,TRUE,"Лист1";#N/A,#N/A,TRUE,"Лист2";#N/A,#N/A,TRUE,"Лист3"}</definedName>
    <definedName name="вуув" localSheetId="4"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ып_н_2003">'[39]Текущие цены'!#REF!</definedName>
    <definedName name="вып_н_2004">'[39]Текущие цены'!#REF!</definedName>
    <definedName name="Вып_ОФ_с_пц">[39]рабочий!$Y$202:$AP$224</definedName>
    <definedName name="Вып_оф_с_цпг" localSheetId="9">'[39]Текущие цены'!#REF!</definedName>
    <definedName name="Вып_оф_с_цпг">'[39]Текущие цены'!#REF!</definedName>
    <definedName name="Вып_с_новых_ОФ">[39]рабочий!$Y$277:$AP$299</definedName>
    <definedName name="ггг" localSheetId="9">#N/A</definedName>
    <definedName name="ггг" localSheetId="4">#N/A</definedName>
    <definedName name="ггг">#N/A</definedName>
    <definedName name="гггр">#N/A</definedName>
    <definedName name="генерация" localSheetId="9">#N/A</definedName>
    <definedName name="генерация" localSheetId="4">#N/A</definedName>
    <definedName name="генерация">#N/A</definedName>
    <definedName name="гнлзщ">#N/A</definedName>
    <definedName name="График">"Диагр. 4"</definedName>
    <definedName name="грприрцфв00ав98" localSheetId="9" hidden="1">{#N/A,#N/A,TRUE,"Лист1";#N/A,#N/A,TRUE,"Лист2";#N/A,#N/A,TRUE,"Лист3"}</definedName>
    <definedName name="грприрцфв00ав98" localSheetId="4"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localSheetId="4"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гш" localSheetId="9" hidden="1">{#N/A,#N/A,TRUE,"Лист1";#N/A,#N/A,TRUE,"Лист2";#N/A,#N/A,TRUE,"Лист3"}</definedName>
    <definedName name="гшгш" localSheetId="4" hidden="1">{#N/A,#N/A,TRUE,"Лист1";#N/A,#N/A,TRUE,"Лист2";#N/A,#N/A,TRUE,"Лист3"}</definedName>
    <definedName name="гшгш" localSheetId="8" hidden="1">{#N/A,#N/A,TRUE,"Лист1";#N/A,#N/A,TRUE,"Лист2";#N/A,#N/A,TRUE,"Лист3"}</definedName>
    <definedName name="гшгш" hidden="1">{#N/A,#N/A,TRUE,"Лист1";#N/A,#N/A,TRUE,"Лист2";#N/A,#N/A,TRUE,"Лист3"}</definedName>
    <definedName name="гэс3">#N/A</definedName>
    <definedName name="ддд">#N/A</definedName>
    <definedName name="дек" localSheetId="9">#REF!</definedName>
    <definedName name="дек" localSheetId="4">#REF!</definedName>
    <definedName name="дек">#REF!</definedName>
    <definedName name="дек2" localSheetId="9">#REF!</definedName>
    <definedName name="дек2" localSheetId="4">#REF!</definedName>
    <definedName name="дек2">#REF!</definedName>
    <definedName name="Дефл_ц_пред_год">'[39]Текущие цены'!$AT$36:$BK$58</definedName>
    <definedName name="Дефлятор_годовой">'[39]Текущие цены'!$Y$4:$AP$27</definedName>
    <definedName name="Дефлятор_цепной">'[39]Текущие цены'!$Y$36:$AP$58</definedName>
    <definedName name="дж">#N/A</definedName>
    <definedName name="ДиапазонЗащиты" localSheetId="9">#REF!,#REF!,#REF!,#REF!,[0]!P1_ДиапазонЗащиты,[0]!P2_ДиапазонЗащиты,[0]!P3_ДиапазонЗащиты,[0]!P4_ДиапазонЗащиты</definedName>
    <definedName name="ДиапазонЗащиты" localSheetId="4">#REF!,#REF!,#REF!,#REF!,[0]!P1_ДиапазонЗащиты,[0]!P2_ДиапазонЗащиты,[0]!P3_ДиапазонЗащиты,[0]!P4_ДиапазонЗащиты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оли1">'[49]эл ст'!$A$368:$IV$368</definedName>
    <definedName name="доопатмо">#N/A</definedName>
    <definedName name="Дополнение">#N/A</definedName>
    <definedName name="ДРУГОЕ">[50]Справочники!$A$26:$A$28</definedName>
    <definedName name="ДС" localSheetId="9">#REF!</definedName>
    <definedName name="ДС">#REF!</definedName>
    <definedName name="еще">#N/A</definedName>
    <definedName name="ж">#N/A</definedName>
    <definedName name="жд">#N/A</definedName>
    <definedName name="жж">#N/A</definedName>
    <definedName name="жжж">#N/A</definedName>
    <definedName name="жжжжж">#N/A</definedName>
    <definedName name="жэ" localSheetId="9">#N/A</definedName>
    <definedName name="жэ" localSheetId="4">#N/A</definedName>
    <definedName name="жэ">#N/A</definedName>
    <definedName name="з">#N/A</definedName>
    <definedName name="з4" localSheetId="9">#REF!</definedName>
    <definedName name="з4" localSheetId="4">#REF!</definedName>
    <definedName name="з4">#REF!</definedName>
    <definedName name="_xlnm.Print_Titles" localSheetId="9">'1. подк.неподк. факт'!$25:$28</definedName>
    <definedName name="_xlnm.Print_Titles" localSheetId="6">'1.6'!$18:$20</definedName>
    <definedName name="_xlnm.Print_Titles" localSheetId="4">'5. подк.неподк.план'!$25:$28</definedName>
    <definedName name="_xlnm.Print_Titles" localSheetId="8">'8.Бюджет на 2015'!$1:$4</definedName>
    <definedName name="_xlnm.Print_Titles" localSheetId="1">'Приложение № 2'!$6:$7</definedName>
    <definedName name="_xlnm.Print_Titles" localSheetId="3">'Приложение № 8'!$15:$16</definedName>
    <definedName name="зз">#N/A</definedName>
    <definedName name="ззз">#N/A</definedName>
    <definedName name="зззз">#N/A</definedName>
    <definedName name="ЗП1" localSheetId="9">[51]Лист13!$A$2</definedName>
    <definedName name="ЗП1" localSheetId="4">[51]Лист13!$A$2</definedName>
    <definedName name="ЗП1">[52]Лист13!$A$2</definedName>
    <definedName name="ЗП2" localSheetId="9">[51]Лист13!$B$2</definedName>
    <definedName name="ЗП2" localSheetId="4">[51]Лист13!$B$2</definedName>
    <definedName name="ЗП2">[52]Лист13!$B$2</definedName>
    <definedName name="ЗП3" localSheetId="9">[51]Лист13!$C$2</definedName>
    <definedName name="ЗП3" localSheetId="4">[51]Лист13!$C$2</definedName>
    <definedName name="ЗП3">[52]Лист13!$C$2</definedName>
    <definedName name="ЗП4" localSheetId="9">[51]Лист13!$D$2</definedName>
    <definedName name="ЗП4" localSheetId="4">[51]Лист13!$D$2</definedName>
    <definedName name="ЗП4">[52]Лист13!$D$2</definedName>
    <definedName name="и">#N/A</definedName>
    <definedName name="й" localSheetId="9">#N/A</definedName>
    <definedName name="й" localSheetId="4">#N/A</definedName>
    <definedName name="й">#N/A</definedName>
    <definedName name="и_эсо_вн" localSheetId="9">#REF!</definedName>
    <definedName name="и_эсо_вн" localSheetId="4">#REF!</definedName>
    <definedName name="и_эсо_вн">#REF!</definedName>
    <definedName name="и_эсо_сн1" localSheetId="9">#REF!</definedName>
    <definedName name="и_эсо_сн1" localSheetId="4">#REF!</definedName>
    <definedName name="и_эсо_сн1">#REF!</definedName>
    <definedName name="Извлечение_ИМ" localSheetId="9">#REF!</definedName>
    <definedName name="Извлечение_ИМ" localSheetId="4">#REF!</definedName>
    <definedName name="Извлечение_ИМ">#REF!</definedName>
    <definedName name="_xlnm.Extract" localSheetId="9">#REF!</definedName>
    <definedName name="_xlnm.Extract" localSheetId="4">#REF!</definedName>
    <definedName name="_xlnm.Extract">#REF!</definedName>
    <definedName name="ии">#N/A</definedName>
    <definedName name="ий">#N/A</definedName>
    <definedName name="йй" localSheetId="9">#N/A</definedName>
    <definedName name="йй" localSheetId="4">#N/A</definedName>
    <definedName name="йй">#N/A</definedName>
    <definedName name="иии">#N/A</definedName>
    <definedName name="ййй">#N/A</definedName>
    <definedName name="ииии">#N/A</definedName>
    <definedName name="йййййййййййййййййййййййй">#N/A</definedName>
    <definedName name="Инвестиции">#N/A</definedName>
    <definedName name="инвестпрограмма">#N/A</definedName>
    <definedName name="индцкавг98" localSheetId="9" hidden="1">{#N/A,#N/A,TRUE,"Лист1";#N/A,#N/A,TRUE,"Лист2";#N/A,#N/A,TRUE,"Лист3"}</definedName>
    <definedName name="индцкавг98" localSheetId="4"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рина">#N/A</definedName>
    <definedName name="йфц">#N/A</definedName>
    <definedName name="йц">#N/A</definedName>
    <definedName name="йцу">#N/A</definedName>
    <definedName name="июл" localSheetId="9">#REF!</definedName>
    <definedName name="июл" localSheetId="4">#REF!</definedName>
    <definedName name="июл">#REF!</definedName>
    <definedName name="июл2" localSheetId="9">#REF!</definedName>
    <definedName name="июл2" localSheetId="4">#REF!</definedName>
    <definedName name="июл2">#REF!</definedName>
    <definedName name="июн" localSheetId="9">#REF!</definedName>
    <definedName name="июн" localSheetId="4">#REF!</definedName>
    <definedName name="июн">#REF!</definedName>
    <definedName name="июн2" localSheetId="9">#REF!</definedName>
    <definedName name="июн2" localSheetId="4">#REF!</definedName>
    <definedName name="июн2">#REF!</definedName>
    <definedName name="кв3">#N/A</definedName>
    <definedName name="квартал">#N/A</definedName>
    <definedName name="кг" localSheetId="9">#N/A</definedName>
    <definedName name="кг" localSheetId="4">#N/A</definedName>
    <definedName name="кг">#N/A</definedName>
    <definedName name="ке" localSheetId="9">#N/A</definedName>
    <definedName name="ке" localSheetId="4">#N/A</definedName>
    <definedName name="ке">#N/A</definedName>
    <definedName name="кеппппппппппп" localSheetId="9" hidden="1">{#N/A,#N/A,TRUE,"Лист1";#N/A,#N/A,TRUE,"Лист2";#N/A,#N/A,TRUE,"Лист3"}</definedName>
    <definedName name="кеппппппппппп" localSheetId="4"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кк" localSheetId="9">[53]тар!#REF!</definedName>
    <definedName name="ккк" localSheetId="4">[53]тар!#REF!</definedName>
    <definedName name="ккк">[53]тар!#REF!</definedName>
    <definedName name="компенсация">#N/A</definedName>
    <definedName name="коэф1" localSheetId="9">#REF!</definedName>
    <definedName name="коэф1" localSheetId="4">#REF!</definedName>
    <definedName name="коэф1">#REF!</definedName>
    <definedName name="коэф2" localSheetId="9">#REF!</definedName>
    <definedName name="коэф2" localSheetId="4">#REF!</definedName>
    <definedName name="коэф2">#REF!</definedName>
    <definedName name="коэф3" localSheetId="9">#REF!</definedName>
    <definedName name="коэф3" localSheetId="4">#REF!</definedName>
    <definedName name="коэф3">#REF!</definedName>
    <definedName name="коэф4" localSheetId="9">#REF!</definedName>
    <definedName name="коэф4" localSheetId="4">#REF!</definedName>
    <definedName name="коэф4">#REF!</definedName>
    <definedName name="кп">#N/A</definedName>
    <definedName name="кпгэс">#N/A</definedName>
    <definedName name="кпнрг">#N/A</definedName>
    <definedName name="_xlnm.Criteria" localSheetId="9">#REF!</definedName>
    <definedName name="_xlnm.Criteria" localSheetId="4">#REF!</definedName>
    <definedName name="_xlnm.Criteria">#REF!</definedName>
    <definedName name="критерий" localSheetId="9">#REF!</definedName>
    <definedName name="критерий" localSheetId="4">#REF!</definedName>
    <definedName name="критерий">#REF!</definedName>
    <definedName name="Критерии_ИМ" localSheetId="9">#REF!</definedName>
    <definedName name="Критерии_ИМ" localSheetId="4">#REF!</definedName>
    <definedName name="Критерии_ИМ">#REF!</definedName>
    <definedName name="ктджщз">#N/A</definedName>
    <definedName name="ку">#N/A</definedName>
    <definedName name="лара">#N/A</definedName>
    <definedName name="лена">#N/A</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лл" localSheetId="9">#REF!</definedName>
    <definedName name="ллл">#REF!</definedName>
    <definedName name="лллл" localSheetId="9">#N/A</definedName>
    <definedName name="лллл" localSheetId="4">#N/A</definedName>
    <definedName name="лллл">#N/A</definedName>
    <definedName name="ло">#N/A</definedName>
    <definedName name="лод">#N/A</definedName>
    <definedName name="лор">#N/A</definedName>
    <definedName name="лщжо" localSheetId="9" hidden="1">{#N/A,#N/A,TRUE,"Лист1";#N/A,#N/A,TRUE,"Лист2";#N/A,#N/A,TRUE,"Лист3"}</definedName>
    <definedName name="лщжо" localSheetId="4" hidden="1">{#N/A,#N/A,TRUE,"Лист1";#N/A,#N/A,TRUE,"Лист2";#N/A,#N/A,TRUE,"Лист3"}</definedName>
    <definedName name="лщжо" localSheetId="8" hidden="1">{#N/A,#N/A,TRUE,"Лист1";#N/A,#N/A,TRUE,"Лист2";#N/A,#N/A,TRUE,"Лист3"}</definedName>
    <definedName name="лщжо" hidden="1">{#N/A,#N/A,TRUE,"Лист1";#N/A,#N/A,TRUE,"Лист2";#N/A,#N/A,TRUE,"Лист3"}</definedName>
    <definedName name="май" localSheetId="9">#REF!</definedName>
    <definedName name="май" localSheetId="4">#REF!</definedName>
    <definedName name="май">#REF!</definedName>
    <definedName name="май2" localSheetId="9">#REF!</definedName>
    <definedName name="май2" localSheetId="4">#REF!</definedName>
    <definedName name="май2">#REF!</definedName>
    <definedName name="мам">#N/A</definedName>
    <definedName name="мар" localSheetId="9">#REF!</definedName>
    <definedName name="мар" localSheetId="4">#REF!</definedName>
    <definedName name="мар">#REF!</definedName>
    <definedName name="мар2" localSheetId="9">#REF!</definedName>
    <definedName name="мар2" localSheetId="4">#REF!</definedName>
    <definedName name="мар2">#REF!</definedName>
    <definedName name="ммм">#N/A</definedName>
    <definedName name="Модель2" localSheetId="9">#REF!</definedName>
    <definedName name="Модель2">#REF!</definedName>
    <definedName name="Мониторинг1">'[54]Гр5(о)'!#REF!</definedName>
    <definedName name="МР" localSheetId="9">#REF!</definedName>
    <definedName name="МР" localSheetId="4">#REF!</definedName>
    <definedName name="МР">#REF!</definedName>
    <definedName name="мым" localSheetId="9">#N/A</definedName>
    <definedName name="мым" localSheetId="4">#N/A</definedName>
    <definedName name="мым">#N/A</definedName>
    <definedName name="Н5">[55]Данные!$I$7</definedName>
    <definedName name="Население" localSheetId="9">'[45]Производство электроэнергии'!$A$124</definedName>
    <definedName name="Население" localSheetId="4">'[45]Производство электроэнергии'!$A$124</definedName>
    <definedName name="Население">'[46]Производство электроэнергии'!$A$124</definedName>
    <definedName name="нгг">#N/A</definedName>
    <definedName name="ннн">#N/A</definedName>
    <definedName name="НННН">#N/A</definedName>
    <definedName name="ннннннннннн" localSheetId="9">#N/A</definedName>
    <definedName name="ннннннннннн" localSheetId="4">#N/A</definedName>
    <definedName name="ннннннннннн">#N/A</definedName>
    <definedName name="новые_ОФ_2003">[39]рабочий!$F$305:$W$327</definedName>
    <definedName name="новые_ОФ_2004">[39]рабочий!$F$335:$W$357</definedName>
    <definedName name="новые_ОФ_а_всего">[39]рабочий!$F$767:$V$789</definedName>
    <definedName name="новые_ОФ_всего">[39]рабочий!$F$1331:$V$1353</definedName>
    <definedName name="новые_ОФ_п_всего">[39]рабочий!$F$1293:$V$1315</definedName>
    <definedName name="новый" localSheetId="9" hidden="1">#REF!,#REF!,#REF!,#REF!,#REF!,'1. подк.неподк. факт'!P1_SCOPE_NotInd2,'1. подк.неподк. факт'!P2_SCOPE_NotInd2,'1. подк.неподк. факт'!P3_SCOPE_NotInd2</definedName>
    <definedName name="новый" localSheetId="4" hidden="1">#REF!,#REF!,#REF!,#REF!,#REF!,'5. подк.неподк.план'!P1_SCOPE_NotInd2,'5. подк.неподк.план'!P2_SCOPE_NotInd2,'5. подк.неподк.план'!P3_SCOPE_NotInd2</definedName>
    <definedName name="новый" localSheetId="8" hidden="1">#REF!,#REF!,#REF!,#REF!,#REF!,'8.Бюджет на 2015'!P1_SCOPE_NotInd2,'8.Бюджет на 2015'!P2_SCOPE_NotInd2,P3_SCOPE_NotInd2</definedName>
    <definedName name="новый" hidden="1">#REF!,#REF!,#REF!,#REF!,#REF!,P1_SCOPE_NotInd2,P2_SCOPE_NotInd2,P3_SCOPE_NotInd2</definedName>
    <definedName name="ноя" localSheetId="9">#REF!</definedName>
    <definedName name="ноя" localSheetId="4">#REF!</definedName>
    <definedName name="ноя">#REF!</definedName>
    <definedName name="ноя2" localSheetId="9">#REF!</definedName>
    <definedName name="ноя2" localSheetId="4">#REF!</definedName>
    <definedName name="ноя2">#REF!</definedName>
    <definedName name="НП">[56]Исходные!$H$5</definedName>
    <definedName name="НСРФ" localSheetId="9">[52]Регионы!$A$2:$A$88</definedName>
    <definedName name="НСРФ" localSheetId="4">[52]Регионы!$A$2:$A$88</definedName>
    <definedName name="НСРФ">[57]Регионы!$A$2:$A$88</definedName>
    <definedName name="НСРФ2" localSheetId="9">#REF!</definedName>
    <definedName name="НСРФ2" localSheetId="4">#REF!</definedName>
    <definedName name="НСРФ2">#REF!</definedName>
    <definedName name="ншш" localSheetId="9" hidden="1">{#N/A,#N/A,TRUE,"Лист1";#N/A,#N/A,TRUE,"Лист2";#N/A,#N/A,TRUE,"Лист3"}</definedName>
    <definedName name="ншш" localSheetId="4" hidden="1">{#N/A,#N/A,TRUE,"Лист1";#N/A,#N/A,TRUE,"Лист2";#N/A,#N/A,TRUE,"Лист3"}</definedName>
    <definedName name="ншш" localSheetId="8" hidden="1">{#N/A,#N/A,TRUE,"Лист1";#N/A,#N/A,TRUE,"Лист2";#N/A,#N/A,TRUE,"Лист3"}</definedName>
    <definedName name="ншш" hidden="1">{#N/A,#N/A,TRUE,"Лист1";#N/A,#N/A,TRUE,"Лист2";#N/A,#N/A,TRUE,"Лист3"}</definedName>
    <definedName name="_xlnm.Print_Area" localSheetId="9">'1. подк.неподк. факт'!$B$6:$AL$353</definedName>
    <definedName name="_xlnm.Print_Area" localSheetId="7">'1.3'!$A$1:$HP$57</definedName>
    <definedName name="_xlnm.Print_Area" localSheetId="6">'1.6'!$A$1:$EY$94</definedName>
    <definedName name="_xlnm.Print_Area" localSheetId="5">'1.6.'!$A$1:$EY$94</definedName>
    <definedName name="_xlnm.Print_Area" localSheetId="4">'5. подк.неподк.план'!$B$1:$AI$350</definedName>
    <definedName name="_xlnm.Print_Area" localSheetId="8">'8.Бюджет на 2015'!$A$1:$DI$325</definedName>
    <definedName name="_xlnm.Print_Area" localSheetId="0">'Приложение № 1'!$A$1:$B$28</definedName>
    <definedName name="_xlnm.Print_Area" localSheetId="1">'Приложение № 2'!$A$1:$F$48</definedName>
    <definedName name="_xlnm.Print_Area" localSheetId="3">'Приложение № 8'!$A$1:$DH$122</definedName>
    <definedName name="_xlnm.Print_Area">#REF!</definedName>
    <definedName name="окраска_05">[39]окраска!$C$7:$Z$30</definedName>
    <definedName name="окраска_06">[39]окраска!$C$35:$Z$58</definedName>
    <definedName name="окраска_07">[39]окраска!$C$63:$Z$86</definedName>
    <definedName name="окраска_08">[39]окраска!$C$91:$Z$114</definedName>
    <definedName name="окраска_09">[39]окраска!$C$119:$Z$142</definedName>
    <definedName name="окраска_10">[39]окраска!$C$147:$Z$170</definedName>
    <definedName name="окраска_11">[39]окраска!$C$175:$Z$198</definedName>
    <definedName name="окраска_12">[39]окраска!$C$203:$Z$226</definedName>
    <definedName name="окраска_13">[39]окраска!$C$231:$Z$254</definedName>
    <definedName name="окраска_14">[39]окраска!$C$259:$Z$282</definedName>
    <definedName name="окраска_15">[39]окраска!$C$287:$Z$310</definedName>
    <definedName name="окт" localSheetId="9">#REF!</definedName>
    <definedName name="окт" localSheetId="4">#REF!</definedName>
    <definedName name="окт">#REF!</definedName>
    <definedName name="окт2" localSheetId="9">#REF!</definedName>
    <definedName name="окт2" localSheetId="4">#REF!</definedName>
    <definedName name="окт2">#REF!</definedName>
    <definedName name="олло">#N/A</definedName>
    <definedName name="олс">#N/A</definedName>
    <definedName name="ооо">#N/A</definedName>
    <definedName name="Операция" localSheetId="9">#REF!</definedName>
    <definedName name="Операция" localSheetId="4">#REF!</definedName>
    <definedName name="Операция">#REF!</definedName>
    <definedName name="ОРГ" localSheetId="9">#REF!</definedName>
    <definedName name="ОРГ" localSheetId="4">#REF!</definedName>
    <definedName name="ОРГ">#REF!</definedName>
    <definedName name="ОРГАНИЗАЦИЯ" localSheetId="9">#REF!</definedName>
    <definedName name="ОРГАНИЗАЦИЯ" localSheetId="4">#REF!</definedName>
    <definedName name="ОРГАНИЗАЦИЯ">#REF!</definedName>
    <definedName name="оро">#N/A</definedName>
    <definedName name="отпуск">#N/A</definedName>
    <definedName name="ОФ_а_с_пц">[39]рабочий!$CI$121:$CY$143</definedName>
    <definedName name="оф_н_а_2003_пц" localSheetId="9">'[39]Текущие цены'!#REF!</definedName>
    <definedName name="оф_н_а_2003_пц">'[39]Текущие цены'!#REF!</definedName>
    <definedName name="оф_н_а_2004" localSheetId="9">'[39]Текущие цены'!#REF!</definedName>
    <definedName name="оф_н_а_2004">'[39]Текущие цены'!#REF!</definedName>
    <definedName name="п_авг" localSheetId="9">#REF!</definedName>
    <definedName name="п_авг" localSheetId="4">#REF!</definedName>
    <definedName name="п_авг">#REF!</definedName>
    <definedName name="п_апр" localSheetId="9">#REF!</definedName>
    <definedName name="п_апр" localSheetId="4">#REF!</definedName>
    <definedName name="п_апр">#REF!</definedName>
    <definedName name="п_дек" localSheetId="9">#REF!</definedName>
    <definedName name="п_дек" localSheetId="4">#REF!</definedName>
    <definedName name="п_дек">#REF!</definedName>
    <definedName name="п_июл" localSheetId="9">#REF!</definedName>
    <definedName name="п_июл" localSheetId="4">#REF!</definedName>
    <definedName name="п_июл">#REF!</definedName>
    <definedName name="п_июн" localSheetId="9">#REF!</definedName>
    <definedName name="п_июн" localSheetId="4">#REF!</definedName>
    <definedName name="п_июн">#REF!</definedName>
    <definedName name="п_май" localSheetId="9">#REF!</definedName>
    <definedName name="п_май" localSheetId="4">#REF!</definedName>
    <definedName name="п_май">#REF!</definedName>
    <definedName name="п_мар" localSheetId="9">#REF!</definedName>
    <definedName name="п_мар" localSheetId="4">#REF!</definedName>
    <definedName name="п_мар">#REF!</definedName>
    <definedName name="п_ноя" localSheetId="9">#REF!</definedName>
    <definedName name="п_ноя" localSheetId="4">#REF!</definedName>
    <definedName name="п_ноя">#REF!</definedName>
    <definedName name="п_окт" localSheetId="9">#REF!</definedName>
    <definedName name="п_окт" localSheetId="4">#REF!</definedName>
    <definedName name="п_окт">#REF!</definedName>
    <definedName name="п_сен" localSheetId="9">#REF!</definedName>
    <definedName name="п_сен" localSheetId="4">#REF!</definedName>
    <definedName name="п_сен">#REF!</definedName>
    <definedName name="п_фев" localSheetId="9">#REF!</definedName>
    <definedName name="п_фев" localSheetId="4">#REF!</definedName>
    <definedName name="п_фев">#REF!</definedName>
    <definedName name="п_янв" localSheetId="9">#REF!</definedName>
    <definedName name="п_янв" localSheetId="4">#REF!</definedName>
    <definedName name="п_янв">#REF!</definedName>
    <definedName name="первый" localSheetId="9">#REF!</definedName>
    <definedName name="первый" localSheetId="4">#REF!</definedName>
    <definedName name="первый">#REF!</definedName>
    <definedName name="Периоды_18_2" localSheetId="9">'[25]18.2'!#REF!</definedName>
    <definedName name="Периоды_18_2" localSheetId="4">'[25]18.2'!#REF!</definedName>
    <definedName name="Периоды_18_2">#REF!</definedName>
    <definedName name="план56">#N/A</definedName>
    <definedName name="ПМС">#N/A</definedName>
    <definedName name="ПМС1">#N/A</definedName>
    <definedName name="ПН">[56]Исходные!$H$5</definedName>
    <definedName name="по_б_вн" localSheetId="9">#REF!</definedName>
    <definedName name="по_б_вн" localSheetId="4">#REF!</definedName>
    <definedName name="по_б_вн">#REF!</definedName>
    <definedName name="по_б_всего" localSheetId="9">#REF!</definedName>
    <definedName name="по_б_всего" localSheetId="4">#REF!</definedName>
    <definedName name="по_б_всего">#REF!</definedName>
    <definedName name="по_б_нн" localSheetId="9">#REF!</definedName>
    <definedName name="по_б_нн" localSheetId="4">#REF!</definedName>
    <definedName name="по_б_нн">#REF!</definedName>
    <definedName name="по_б_сн1" localSheetId="9">#REF!</definedName>
    <definedName name="по_б_сн1" localSheetId="4">#REF!</definedName>
    <definedName name="по_б_сн1">#REF!</definedName>
    <definedName name="по_б_сн2" localSheetId="9">#REF!</definedName>
    <definedName name="по_б_сн2" localSheetId="4">#REF!</definedName>
    <definedName name="по_б_сн2">#REF!</definedName>
    <definedName name="по_нас_всего" localSheetId="9">#REF!</definedName>
    <definedName name="по_нас_всего" localSheetId="4">#REF!</definedName>
    <definedName name="по_нас_всего">#REF!</definedName>
    <definedName name="по_насел_сн2" localSheetId="9">#REF!</definedName>
    <definedName name="по_насел_сн2" localSheetId="4">#REF!</definedName>
    <definedName name="по_насел_сн2">#REF!</definedName>
    <definedName name="Подоперация" localSheetId="9">#REF!</definedName>
    <definedName name="Подоперация" localSheetId="4">#REF!</definedName>
    <definedName name="Подоперация">#REF!</definedName>
    <definedName name="пол_нас_нн" localSheetId="9">#REF!</definedName>
    <definedName name="пол_нас_нн" localSheetId="4">#REF!</definedName>
    <definedName name="пол_нас_нн">#REF!</definedName>
    <definedName name="полбезпот" localSheetId="9">'[53]т1.15(смета8а)'!#REF!</definedName>
    <definedName name="полбезпот" localSheetId="4">'[53]т1.15(смета8а)'!#REF!</definedName>
    <definedName name="полбезпот">'[53]т1.15(смета8а)'!#REF!</definedName>
    <definedName name="полпот" localSheetId="9">'[53]т1.15(смета8а)'!#REF!</definedName>
    <definedName name="полпот" localSheetId="4">'[53]т1.15(смета8а)'!#REF!</definedName>
    <definedName name="полпот">'[53]т1.15(смета8а)'!#REF!</definedName>
    <definedName name="ПостНасел">#N/A</definedName>
    <definedName name="Потреб_вып_всего">'[39]Текущие цены'!#REF!</definedName>
    <definedName name="Потреб_вып_оф_н_цпг">'[39]Текущие цены'!#REF!</definedName>
    <definedName name="пп">#N/A</definedName>
    <definedName name="ппп" localSheetId="9">#REF!</definedName>
    <definedName name="ппп">#REF!</definedName>
    <definedName name="пппп">#N/A</definedName>
    <definedName name="ппппп" localSheetId="9">#N/A</definedName>
    <definedName name="ппппп" localSheetId="4">#N/A</definedName>
    <definedName name="ппппп">#N/A</definedName>
    <definedName name="ппппппппппп" localSheetId="9">#N/A</definedName>
    <definedName name="ппппппппппп" localSheetId="4">#N/A</definedName>
    <definedName name="ппппппппппп">#N/A</definedName>
    <definedName name="пр">#N/A</definedName>
    <definedName name="прибыль3" localSheetId="9" hidden="1">{#N/A,#N/A,TRUE,"Лист1";#N/A,#N/A,TRUE,"Лист2";#N/A,#N/A,TRUE,"Лист3"}</definedName>
    <definedName name="прибыль3" localSheetId="4" hidden="1">{#N/A,#N/A,TRUE,"Лист1";#N/A,#N/A,TRUE,"Лист2";#N/A,#N/A,TRUE,"Лист3"}</definedName>
    <definedName name="прибыль3" localSheetId="8" hidden="1">{#N/A,#N/A,TRUE,"Лист1";#N/A,#N/A,TRUE,"Лист2";#N/A,#N/A,TRUE,"Лист3"}</definedName>
    <definedName name="прибыль3" hidden="1">{#N/A,#N/A,TRUE,"Лист1";#N/A,#N/A,TRUE,"Лист2";#N/A,#N/A,TRUE,"Лист3"}</definedName>
    <definedName name="прил1.2" localSheetId="9">#N/A</definedName>
    <definedName name="прил1.2" localSheetId="4">#N/A</definedName>
    <definedName name="прил1.2">#N/A</definedName>
    <definedName name="Прилож3" localSheetId="9">#N/A</definedName>
    <definedName name="Прилож3" localSheetId="4">#N/A</definedName>
    <definedName name="Прилож3">#N/A</definedName>
    <definedName name="Приложение8" localSheetId="9">#N/A</definedName>
    <definedName name="Приложение8" localSheetId="4">#N/A</definedName>
    <definedName name="Приложение8">#N/A</definedName>
    <definedName name="Приход_расход" localSheetId="9">#REF!</definedName>
    <definedName name="Приход_расход" localSheetId="4">#REF!</definedName>
    <definedName name="Приход_расход">#REF!</definedName>
    <definedName name="Прогноз_Вып_пц">[39]рабочий!$Y$240:$AP$262</definedName>
    <definedName name="Прогноз_вып_цпг" localSheetId="9">'[39]Текущие цены'!#REF!</definedName>
    <definedName name="Прогноз_вып_цпг">'[39]Текущие цены'!#REF!</definedName>
    <definedName name="Прогноз97" localSheetId="9">[58]ПРОГНОЗ_1!#REF!</definedName>
    <definedName name="Прогноз97">[58]ПРОГНОЗ_1!#REF!</definedName>
    <definedName name="Проект" localSheetId="9">#REF!</definedName>
    <definedName name="Проект" localSheetId="4">#REF!</definedName>
    <definedName name="Проект">#REF!</definedName>
    <definedName name="Прочие_электроэнергии" localSheetId="9">'[45]Производство электроэнергии'!$A$132</definedName>
    <definedName name="Прочие_электроэнергии" localSheetId="4">'[45]Производство электроэнергии'!$A$132</definedName>
    <definedName name="Прочие_электроэнергии">'[46]Производство электроэнергии'!$A$132</definedName>
    <definedName name="прош_год" localSheetId="9">#REF!</definedName>
    <definedName name="прош_год" localSheetId="4">#REF!</definedName>
    <definedName name="прош_год">#REF!</definedName>
    <definedName name="прпророл">#N/A</definedName>
    <definedName name="ПЭ">[50]Справочники!$A$10:$A$12</definedName>
    <definedName name="р" localSheetId="9">#N/A</definedName>
    <definedName name="р" localSheetId="4">#N/A</definedName>
    <definedName name="р">#N/A</definedName>
    <definedName name="РГК">[50]Справочники!$A$4:$A$4</definedName>
    <definedName name="рис1" localSheetId="9" hidden="1">{#N/A,#N/A,TRUE,"Лист1";#N/A,#N/A,TRUE,"Лист2";#N/A,#N/A,TRUE,"Лист3"}</definedName>
    <definedName name="рис1" localSheetId="4"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 localSheetId="9">#N/A</definedName>
    <definedName name="ро" localSheetId="4">#N/A</definedName>
    <definedName name="ро">#N/A</definedName>
    <definedName name="ропор">#N/A</definedName>
    <definedName name="рр">#N/A</definedName>
    <definedName name="рсср">#N/A</definedName>
    <definedName name="с" localSheetId="9">#N/A</definedName>
    <definedName name="с" localSheetId="4">#N/A</definedName>
    <definedName name="с">#N/A</definedName>
    <definedName name="с1">#N/A</definedName>
    <definedName name="сваеррта">#N/A</definedName>
    <definedName name="свмпвппв">#N/A</definedName>
    <definedName name="себестоимость2">#N/A</definedName>
    <definedName name="семь" localSheetId="9">#REF!</definedName>
    <definedName name="семь" localSheetId="4">#REF!</definedName>
    <definedName name="семь">#REF!</definedName>
    <definedName name="сен" localSheetId="9">#REF!</definedName>
    <definedName name="сен" localSheetId="4">#REF!</definedName>
    <definedName name="сен">#REF!</definedName>
    <definedName name="сен2" localSheetId="9">#REF!</definedName>
    <definedName name="сен2" localSheetId="4">#REF!</definedName>
    <definedName name="сен2">#REF!</definedName>
    <definedName name="ск">#N/A</definedName>
    <definedName name="Собст">'[49]эл ст'!$A$360:$IV$360</definedName>
    <definedName name="Собств">'[49]эл ст'!$A$369:$IV$369</definedName>
    <definedName name="сокращение">#N/A</definedName>
    <definedName name="сомп">#N/A</definedName>
    <definedName name="сомпас">#N/A</definedName>
    <definedName name="сс" localSheetId="9">#N/A</definedName>
    <definedName name="сс" localSheetId="4">#N/A</definedName>
    <definedName name="сс">#N/A</definedName>
    <definedName name="ссс">#N/A</definedName>
    <definedName name="сссс" localSheetId="9">#N/A</definedName>
    <definedName name="сссс" localSheetId="4">#N/A</definedName>
    <definedName name="сссс">#N/A</definedName>
    <definedName name="ссы" localSheetId="9">#N/A</definedName>
    <definedName name="ссы" localSheetId="4">#N/A</definedName>
    <definedName name="ссы">#N/A</definedName>
    <definedName name="ссы2" localSheetId="9">#N/A</definedName>
    <definedName name="ссы2" localSheetId="4">#N/A</definedName>
    <definedName name="ссы2">#N/A</definedName>
    <definedName name="Статья" localSheetId="9">#REF!</definedName>
    <definedName name="Статья" localSheetId="4">#REF!</definedName>
    <definedName name="Статья">#REF!</definedName>
    <definedName name="т">#N/A</definedName>
    <definedName name="т_аб_пл_1" localSheetId="9">'[53]т1.15(смета8а)'!#REF!</definedName>
    <definedName name="т_аб_пл_1" localSheetId="4">'[53]т1.15(смета8а)'!#REF!</definedName>
    <definedName name="т_аб_пл_1">'[53]т1.15(смета8а)'!#REF!</definedName>
    <definedName name="т_сбыт_1" localSheetId="9">'[53]т1.15(смета8а)'!#REF!</definedName>
    <definedName name="т_сбыт_1" localSheetId="4">'[53]т1.15(смета8а)'!#REF!</definedName>
    <definedName name="т_сбыт_1">'[53]т1.15(смета8а)'!#REF!</definedName>
    <definedName name="таня">#N/A</definedName>
    <definedName name="тар" localSheetId="9">#N/A</definedName>
    <definedName name="тар" localSheetId="4">#N/A</definedName>
    <definedName name="тар">#N/A</definedName>
    <definedName name="ТАР2" localSheetId="9">#N/A</definedName>
    <definedName name="ТАР2" localSheetId="4">#N/A</definedName>
    <definedName name="ТАР2">#N/A</definedName>
    <definedName name="тариф" localSheetId="9">#N/A</definedName>
    <definedName name="тариф" localSheetId="4">#N/A</definedName>
    <definedName name="тариф">#N/A</definedName>
    <definedName name="Тариф3" localSheetId="9">#N/A</definedName>
    <definedName name="Тариф3" localSheetId="4">#N/A</definedName>
    <definedName name="Тариф3">#N/A</definedName>
    <definedName name="текмес" localSheetId="9">#REF!</definedName>
    <definedName name="текмес" localSheetId="4">#REF!</definedName>
    <definedName name="текмес">#REF!</definedName>
    <definedName name="текмес2" localSheetId="9">#REF!</definedName>
    <definedName name="текмес2" localSheetId="4">#REF!</definedName>
    <definedName name="текмес2">#REF!</definedName>
    <definedName name="тепло">#N/A</definedName>
    <definedName name="тп" localSheetId="9" hidden="1">{#N/A,#N/A,TRUE,"Лист1";#N/A,#N/A,TRUE,"Лист2";#N/A,#N/A,TRUE,"Лист3"}</definedName>
    <definedName name="тп" localSheetId="4"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ретий" localSheetId="9">#REF!</definedName>
    <definedName name="третий" localSheetId="4">#REF!</definedName>
    <definedName name="третий">#REF!</definedName>
    <definedName name="ттт" localSheetId="9">#REF!</definedName>
    <definedName name="ттт">#REF!</definedName>
    <definedName name="ть">#N/A</definedName>
    <definedName name="ТЭП2" localSheetId="9" hidden="1">{#N/A,#N/A,TRUE,"Лист1";#N/A,#N/A,TRUE,"Лист2";#N/A,#N/A,TRUE,"Лист3"}</definedName>
    <definedName name="ТЭП2" localSheetId="4" hidden="1">{#N/A,#N/A,TRUE,"Лист1";#N/A,#N/A,TRUE,"Лист2";#N/A,#N/A,TRUE,"Лист3"}</definedName>
    <definedName name="ТЭП2" localSheetId="8" hidden="1">{#N/A,#N/A,TRUE,"Лист1";#N/A,#N/A,TRUE,"Лист2";#N/A,#N/A,TRUE,"Лист3"}</definedName>
    <definedName name="ТЭП2" hidden="1">{#N/A,#N/A,TRUE,"Лист1";#N/A,#N/A,TRUE,"Лист2";#N/A,#N/A,TRUE,"Лист3"}</definedName>
    <definedName name="Тэс" localSheetId="9">'[59]расчет тарифов'!#REF!</definedName>
    <definedName name="Тэс" localSheetId="4">'[59]расчет тарифов'!#REF!</definedName>
    <definedName name="Тэс">'[59]расчет тарифов'!#REF!</definedName>
    <definedName name="ТЭЦ">#N/A</definedName>
    <definedName name="у" localSheetId="9">#N/A</definedName>
    <definedName name="у" localSheetId="4">#N/A</definedName>
    <definedName name="у">#N/A</definedName>
    <definedName name="у1">#N/A</definedName>
    <definedName name="УГОЛЬ">[50]Справочники!$A$19:$A$21</definedName>
    <definedName name="ук">#N/A</definedName>
    <definedName name="укеееукеееееееееееееее" localSheetId="9"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localSheetId="4"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у">#N/A</definedName>
    <definedName name="уууу">#N/A</definedName>
    <definedName name="УФ" localSheetId="9">#N/A</definedName>
    <definedName name="УФ" localSheetId="4">#N/A</definedName>
    <definedName name="УФ">#N/A</definedName>
    <definedName name="уыукпе">#N/A</definedName>
    <definedName name="ф2">'[60]план 2000'!$G$643</definedName>
    <definedName name="фам">#N/A</definedName>
    <definedName name="фев" localSheetId="9">#REF!</definedName>
    <definedName name="фев" localSheetId="4">#REF!</definedName>
    <definedName name="фев">#REF!</definedName>
    <definedName name="фев2" localSheetId="9">#REF!</definedName>
    <definedName name="фев2" localSheetId="4">#REF!</definedName>
    <definedName name="фев2">#REF!</definedName>
    <definedName name="Филиал">'[61]Титульный лист'!$D$3:$G$3</definedName>
    <definedName name="фо" localSheetId="9">[62]Лист1!#REF!</definedName>
    <definedName name="фо" localSheetId="4">[62]Лист1!#REF!</definedName>
    <definedName name="фо">[62]Лист1!#REF!</definedName>
    <definedName name="фо_а_н_пц">[39]рабочий!$AR$240:$BI$263</definedName>
    <definedName name="фо_а_с_пц">[39]рабочий!$AS$202:$BI$224</definedName>
    <definedName name="фо_н_03">[39]рабочий!$X$305:$X$327</definedName>
    <definedName name="фо_н_04">[39]рабочий!$X$335:$X$357</definedName>
    <definedName name="форма">#N/A</definedName>
    <definedName name="фыаспит">#N/A</definedName>
    <definedName name="х">#N/A</definedName>
    <definedName name="хх">#N/A</definedName>
    <definedName name="ц" localSheetId="9">#N/A</definedName>
    <definedName name="ц" localSheetId="4">#N/A</definedName>
    <definedName name="ц">#N/A</definedName>
    <definedName name="ц." localSheetId="9">#N/A</definedName>
    <definedName name="ц." localSheetId="4">#N/A</definedName>
    <definedName name="ц.">#N/A</definedName>
    <definedName name="ц1">#N/A</definedName>
    <definedName name="цу" localSheetId="9">#N/A</definedName>
    <definedName name="цу" localSheetId="4">#N/A</definedName>
    <definedName name="цу">#N/A</definedName>
    <definedName name="цуа" localSheetId="9">#N/A</definedName>
    <definedName name="цуа" localSheetId="4">#N/A</definedName>
    <definedName name="цуа">#N/A</definedName>
    <definedName name="черновик">#N/A</definedName>
    <definedName name="четвертый" localSheetId="9">#REF!</definedName>
    <definedName name="четвертый" localSheetId="4">#REF!</definedName>
    <definedName name="четвертый">#REF!</definedName>
    <definedName name="шир_дан" localSheetId="9">#REF!</definedName>
    <definedName name="шир_дан" localSheetId="4">#REF!</definedName>
    <definedName name="шир_дан">#REF!</definedName>
    <definedName name="шир_отч" localSheetId="9">#REF!</definedName>
    <definedName name="шир_отч" localSheetId="4">#REF!</definedName>
    <definedName name="шир_отч">#REF!</definedName>
    <definedName name="шир_прош" localSheetId="9">#REF!</definedName>
    <definedName name="шир_прош" localSheetId="4">#REF!</definedName>
    <definedName name="шир_прош">#REF!</definedName>
    <definedName name="шир_тек" localSheetId="9">#REF!</definedName>
    <definedName name="шир_тек" localSheetId="4">#REF!</definedName>
    <definedName name="шир_тек">#REF!</definedName>
    <definedName name="шш">#N/A</definedName>
    <definedName name="шшшшшо">#N/A</definedName>
    <definedName name="щ">#N/A</definedName>
    <definedName name="ъ" localSheetId="9">#N/A</definedName>
    <definedName name="ъ" localSheetId="4">#N/A</definedName>
    <definedName name="ъ">#N/A</definedName>
    <definedName name="ыаппр">#N/A</definedName>
    <definedName name="ыапр" localSheetId="9" hidden="1">{#N/A,#N/A,TRUE,"Лист1";#N/A,#N/A,TRUE,"Лист2";#N/A,#N/A,TRUE,"Лист3"}</definedName>
    <definedName name="ыапр" localSheetId="4" hidden="1">{#N/A,#N/A,TRUE,"Лист1";#N/A,#N/A,TRUE,"Лист2";#N/A,#N/A,TRUE,"Лист3"}</definedName>
    <definedName name="ыапр" localSheetId="8" hidden="1">{#N/A,#N/A,TRUE,"Лист1";#N/A,#N/A,TRUE,"Лист2";#N/A,#N/A,TRUE,"Лист3"}</definedName>
    <definedName name="ыапр" hidden="1">{#N/A,#N/A,TRUE,"Лист1";#N/A,#N/A,TRUE,"Лист2";#N/A,#N/A,TRUE,"Лист3"}</definedName>
    <definedName name="ыаупп">#N/A</definedName>
    <definedName name="ыаыыа">#N/A</definedName>
    <definedName name="ыв" localSheetId="9">#N/A</definedName>
    <definedName name="ыв" localSheetId="4">#N/A</definedName>
    <definedName name="ыв">#N/A</definedName>
    <definedName name="ывпкывк">#N/A</definedName>
    <definedName name="ывпмьпь">#N/A</definedName>
    <definedName name="ымпы">#N/A</definedName>
    <definedName name="ыпр">#N/A</definedName>
    <definedName name="ыпыим" localSheetId="9" hidden="1">{#N/A,#N/A,TRUE,"Лист1";#N/A,#N/A,TRUE,"Лист2";#N/A,#N/A,TRUE,"Лист3"}</definedName>
    <definedName name="ыпыим" localSheetId="4" hidden="1">{#N/A,#N/A,TRUE,"Лист1";#N/A,#N/A,TRUE,"Лист2";#N/A,#N/A,TRUE,"Лист3"}</definedName>
    <definedName name="ыпыим" localSheetId="8"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localSheetId="4" hidden="1">{#N/A,#N/A,TRUE,"Лист1";#N/A,#N/A,TRUE,"Лист2";#N/A,#N/A,TRUE,"Лист3"}</definedName>
    <definedName name="ыпыпми" localSheetId="8"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localSheetId="4" hidden="1">{#N/A,#N/A,TRUE,"Лист1";#N/A,#N/A,TRUE,"Лист2";#N/A,#N/A,TRUE,"Лист3"}</definedName>
    <definedName name="ысчпи" localSheetId="8"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localSheetId="4"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фса">#N/A</definedName>
    <definedName name="ыыыы" localSheetId="9">#N/A</definedName>
    <definedName name="ыыыы" localSheetId="4">#N/A</definedName>
    <definedName name="ыыыы">#N/A</definedName>
    <definedName name="ььь" localSheetId="9">#REF!</definedName>
    <definedName name="ььь">#REF!</definedName>
    <definedName name="э" localSheetId="9">#N/A</definedName>
    <definedName name="э" localSheetId="4">#N/A</definedName>
    <definedName name="э">#N/A</definedName>
    <definedName name="ээ">#N/A</definedName>
    <definedName name="эээ">#N/A</definedName>
    <definedName name="ю">#N/A</definedName>
    <definedName name="юююю" localSheetId="9">#REF!</definedName>
    <definedName name="юююю">#REF!</definedName>
    <definedName name="ююююююю">#N/A</definedName>
    <definedName name="я">#N/A</definedName>
    <definedName name="янв" localSheetId="9">#REF!</definedName>
    <definedName name="янв" localSheetId="4">#REF!</definedName>
    <definedName name="янв">#REF!</definedName>
    <definedName name="янв2" localSheetId="9">#REF!</definedName>
    <definedName name="янв2" localSheetId="4">#REF!</definedName>
    <definedName name="янв2">#REF!</definedName>
    <definedName name="яя">#N/A</definedName>
    <definedName name="яяя">#N/A</definedName>
  </definedNames>
  <calcPr calcId="145621"/>
</workbook>
</file>

<file path=xl/calcChain.xml><?xml version="1.0" encoding="utf-8"?>
<calcChain xmlns="http://schemas.openxmlformats.org/spreadsheetml/2006/main">
  <c r="D10" i="1" l="1"/>
  <c r="DF326" i="9" l="1"/>
  <c r="D30" i="1"/>
  <c r="D29" i="1" l="1"/>
  <c r="D28" i="1"/>
  <c r="D27" i="1"/>
  <c r="D39" i="1" s="1"/>
  <c r="D12" i="1" l="1"/>
  <c r="CG18" i="5" l="1"/>
  <c r="DJ5" i="5" l="1"/>
  <c r="DJ8" i="5"/>
  <c r="DJ7" i="5"/>
  <c r="DJ86" i="5" l="1"/>
  <c r="DJ60" i="5"/>
  <c r="DJ58" i="5"/>
  <c r="DJ56" i="5"/>
  <c r="DJ55" i="5"/>
  <c r="DJ50" i="5"/>
  <c r="DJ49" i="5"/>
  <c r="DJ44" i="5"/>
  <c r="DJ28" i="5"/>
  <c r="DJ25" i="5" l="1"/>
  <c r="DJ281" i="9"/>
  <c r="DJ23" i="5"/>
  <c r="DJ22" i="5"/>
  <c r="CG23" i="5"/>
  <c r="CG22" i="5"/>
  <c r="CG20" i="5"/>
  <c r="DE84" i="11"/>
  <c r="CV84" i="11" s="1"/>
  <c r="BB84" i="11"/>
  <c r="BK84" i="11" s="1"/>
  <c r="DE83" i="11"/>
  <c r="CV83" i="11"/>
  <c r="BB83" i="11"/>
  <c r="BK83" i="11" s="1"/>
  <c r="DE82" i="11"/>
  <c r="CV82" i="11"/>
  <c r="BB82" i="11"/>
  <c r="BK82" i="11" s="1"/>
  <c r="CH67" i="11"/>
  <c r="BB67" i="11"/>
  <c r="BK67" i="11" s="1"/>
  <c r="CH66" i="11"/>
  <c r="BK66" i="11"/>
  <c r="BB66" i="11"/>
  <c r="CH64" i="11"/>
  <c r="BB64" i="11"/>
  <c r="CO63" i="11"/>
  <c r="CA63" i="11"/>
  <c r="BT63" i="11"/>
  <c r="CH63" i="11" s="1"/>
  <c r="BB63" i="11"/>
  <c r="BK63" i="11" s="1"/>
  <c r="CH61" i="11"/>
  <c r="BB61" i="11"/>
  <c r="BK61" i="11" s="1"/>
  <c r="CH60" i="11"/>
  <c r="BB60" i="11"/>
  <c r="BK60" i="11" s="1"/>
  <c r="CO59" i="11"/>
  <c r="CA59" i="11"/>
  <c r="BT59" i="11"/>
  <c r="CH59" i="11" s="1"/>
  <c r="BB59" i="11"/>
  <c r="BK59" i="11" s="1"/>
  <c r="CH57" i="11"/>
  <c r="BB57" i="11"/>
  <c r="BK57" i="11" s="1"/>
  <c r="CO56" i="11"/>
  <c r="CA56" i="11"/>
  <c r="BT56" i="11"/>
  <c r="CH56" i="11" s="1"/>
  <c r="BB56" i="11" s="1"/>
  <c r="BK56" i="11" s="1"/>
  <c r="CH55" i="11"/>
  <c r="BB55" i="11"/>
  <c r="BK55" i="11" s="1"/>
  <c r="CH54" i="11"/>
  <c r="BB54" i="11"/>
  <c r="BK54" i="11" s="1"/>
  <c r="CH53" i="11"/>
  <c r="BB53" i="11"/>
  <c r="BK53" i="11" s="1"/>
  <c r="CH52" i="11"/>
  <c r="BB52" i="11"/>
  <c r="BK52" i="11" s="1"/>
  <c r="CO51" i="11"/>
  <c r="CA51" i="11"/>
  <c r="BT51" i="11"/>
  <c r="CH51" i="11" s="1"/>
  <c r="BB51" i="11" s="1"/>
  <c r="BK51" i="11" s="1"/>
  <c r="CH49" i="11"/>
  <c r="BB49" i="11"/>
  <c r="BK49" i="11" s="1"/>
  <c r="CO48" i="11"/>
  <c r="CA48" i="11"/>
  <c r="BT48" i="11"/>
  <c r="CH48" i="11" s="1"/>
  <c r="BB48" i="11" s="1"/>
  <c r="BK48" i="11" s="1"/>
  <c r="CO47" i="11"/>
  <c r="CH47" i="11"/>
  <c r="BB47" i="11" s="1"/>
  <c r="BK47" i="11" s="1"/>
  <c r="BT47" i="11"/>
  <c r="CO46" i="11"/>
  <c r="CA46" i="11"/>
  <c r="BT46" i="11"/>
  <c r="CH46" i="11" s="1"/>
  <c r="BB46" i="11" s="1"/>
  <c r="BK46" i="11" s="1"/>
  <c r="CO45" i="11"/>
  <c r="CA45" i="11"/>
  <c r="BT45" i="11"/>
  <c r="CH45" i="11" s="1"/>
  <c r="BB45" i="11" s="1"/>
  <c r="BK45" i="11" s="1"/>
  <c r="CO44" i="11"/>
  <c r="CA44" i="11"/>
  <c r="BT44" i="11"/>
  <c r="CH44" i="11" s="1"/>
  <c r="BB44" i="11" s="1"/>
  <c r="BK44" i="11" s="1"/>
  <c r="CO43" i="11"/>
  <c r="CA43" i="11"/>
  <c r="BT43" i="11"/>
  <c r="CH43" i="11" s="1"/>
  <c r="BB43" i="11" s="1"/>
  <c r="BK43" i="11" s="1"/>
  <c r="EB42" i="11"/>
  <c r="CH42" i="11"/>
  <c r="EB41" i="11"/>
  <c r="CH41" i="11"/>
  <c r="EB40" i="11"/>
  <c r="CH40" i="11"/>
  <c r="EB39" i="11"/>
  <c r="CH39" i="11"/>
  <c r="EB38" i="11"/>
  <c r="CV38" i="11"/>
  <c r="DE38" i="11" s="1"/>
  <c r="EB37" i="11"/>
  <c r="DE37" i="11"/>
  <c r="CV37" i="11"/>
  <c r="CH37" i="11"/>
  <c r="BB37" i="11"/>
  <c r="BK37" i="11" s="1"/>
  <c r="EB36" i="11"/>
  <c r="DE36" i="11"/>
  <c r="CV36" i="11"/>
  <c r="CH36" i="11"/>
  <c r="BB36" i="11"/>
  <c r="BK36" i="11" s="1"/>
  <c r="CO35" i="11"/>
  <c r="CO38" i="11" s="1"/>
  <c r="CA35" i="11"/>
  <c r="CA38" i="11" s="1"/>
  <c r="BT35" i="11"/>
  <c r="BT38" i="11" s="1"/>
  <c r="CH38" i="11" s="1"/>
  <c r="BB38" i="11" s="1"/>
  <c r="BK38" i="11" s="1"/>
  <c r="CO34" i="11"/>
  <c r="CO65" i="11" s="1"/>
  <c r="CO62" i="11" s="1"/>
  <c r="CA34" i="11"/>
  <c r="CA65" i="11" s="1"/>
  <c r="CA62" i="11" s="1"/>
  <c r="BT34" i="11"/>
  <c r="BT65" i="11" s="1"/>
  <c r="CH33" i="11"/>
  <c r="BK33" i="11"/>
  <c r="CH32" i="11"/>
  <c r="BK32" i="11"/>
  <c r="CO31" i="11"/>
  <c r="CA31" i="11"/>
  <c r="BT31" i="11"/>
  <c r="CH31" i="11" s="1"/>
  <c r="BB31" i="11" s="1"/>
  <c r="BK31" i="11" s="1"/>
  <c r="CO30" i="11"/>
  <c r="CA30" i="11"/>
  <c r="BT30" i="11"/>
  <c r="CH30" i="11" s="1"/>
  <c r="BB30" i="11" s="1"/>
  <c r="BK30" i="11" s="1"/>
  <c r="CO29" i="11"/>
  <c r="CA29" i="11"/>
  <c r="BT29" i="11"/>
  <c r="CH29" i="11" s="1"/>
  <c r="BB29" i="11" s="1"/>
  <c r="BK29" i="11" s="1"/>
  <c r="CH28" i="11"/>
  <c r="BK28" i="11"/>
  <c r="CH27" i="11"/>
  <c r="BK27" i="11"/>
  <c r="CH26" i="11"/>
  <c r="BK26" i="11"/>
  <c r="CH25" i="11"/>
  <c r="BK25" i="11"/>
  <c r="CH24" i="11"/>
  <c r="BK24" i="11"/>
  <c r="BB24" i="11"/>
  <c r="CO23" i="11"/>
  <c r="CA23" i="11"/>
  <c r="BT23" i="11"/>
  <c r="CH23" i="11" s="1"/>
  <c r="BB23" i="11" s="1"/>
  <c r="BK23" i="11" s="1"/>
  <c r="CO22" i="11"/>
  <c r="CO50" i="11" s="1"/>
  <c r="CA22" i="11"/>
  <c r="CA50" i="11" s="1"/>
  <c r="BT22" i="11"/>
  <c r="BT50" i="11" s="1"/>
  <c r="CH21" i="11"/>
  <c r="BB21" i="11"/>
  <c r="BK21" i="11" s="1"/>
  <c r="CH50" i="11" l="1"/>
  <c r="BB50" i="11" s="1"/>
  <c r="BK50" i="11" s="1"/>
  <c r="CH65" i="11"/>
  <c r="BB65" i="11"/>
  <c r="BK65" i="11" s="1"/>
  <c r="BT62" i="11"/>
  <c r="CH34" i="11"/>
  <c r="BB34" i="11" s="1"/>
  <c r="BK34" i="11" s="1"/>
  <c r="CH35" i="11"/>
  <c r="BB35" i="11" s="1"/>
  <c r="BK35" i="11" s="1"/>
  <c r="CH22" i="11"/>
  <c r="BB22" i="11" s="1"/>
  <c r="BK22" i="11" s="1"/>
  <c r="DT28" i="5"/>
  <c r="CH62" i="11" l="1"/>
  <c r="BB62" i="11"/>
  <c r="BK62" i="11" s="1"/>
  <c r="CG28" i="5" l="1"/>
  <c r="BW104" i="5" l="1"/>
  <c r="BW103" i="5"/>
  <c r="CG99" i="5"/>
  <c r="CG98" i="5"/>
  <c r="BW98" i="5"/>
  <c r="BW99" i="5"/>
  <c r="BW100" i="5"/>
  <c r="BW97" i="5"/>
  <c r="DU28" i="5"/>
  <c r="DU20" i="5"/>
  <c r="DT20" i="5"/>
  <c r="HW40" i="8" l="1"/>
  <c r="HW25" i="8"/>
  <c r="HU40" i="8"/>
  <c r="HU38" i="8"/>
  <c r="HU37" i="8"/>
  <c r="HU35" i="8"/>
  <c r="HU33" i="8"/>
  <c r="HU25" i="8"/>
  <c r="CG21" i="5"/>
  <c r="CG72" i="5"/>
  <c r="CG65" i="5"/>
  <c r="CG52" i="5" s="1"/>
  <c r="CG83" i="5"/>
  <c r="CG68" i="5"/>
  <c r="CG66" i="5"/>
  <c r="BW84" i="5"/>
  <c r="DJ59" i="5" l="1"/>
  <c r="CG88" i="5"/>
  <c r="CG86" i="5"/>
  <c r="CG80" i="5"/>
  <c r="CG81" i="5"/>
  <c r="CG79" i="5"/>
  <c r="CG78" i="5"/>
  <c r="CG77" i="5"/>
  <c r="CG76" i="5"/>
  <c r="CG75" i="5"/>
  <c r="CG74" i="5"/>
  <c r="CG73" i="5"/>
  <c r="CG61" i="5"/>
  <c r="CG58" i="5"/>
  <c r="CG56" i="5"/>
  <c r="CG55" i="5"/>
  <c r="CG50" i="5"/>
  <c r="CG49" i="5"/>
  <c r="CG44" i="5"/>
  <c r="CG25" i="5"/>
  <c r="CG24" i="5"/>
  <c r="CG85" i="5" s="1"/>
  <c r="DI26" i="5"/>
  <c r="DI51" i="5"/>
  <c r="DI53" i="5"/>
  <c r="DI54" i="5"/>
  <c r="DI57" i="5"/>
  <c r="DI62" i="5"/>
  <c r="DI63" i="5"/>
  <c r="DI64" i="5"/>
  <c r="DI87" i="5"/>
  <c r="DI88" i="5"/>
  <c r="DI89" i="5"/>
  <c r="DI90" i="5"/>
  <c r="DI91" i="5"/>
  <c r="DI93" i="5"/>
  <c r="DI94" i="5"/>
  <c r="DI96" i="5"/>
  <c r="DI97" i="5"/>
  <c r="DI98" i="5"/>
  <c r="DI99" i="5"/>
  <c r="DI100" i="5"/>
  <c r="DI101" i="5"/>
  <c r="DI103" i="5"/>
  <c r="DI104" i="5"/>
  <c r="DI106" i="5"/>
  <c r="DI111" i="5"/>
  <c r="DI112" i="5"/>
  <c r="DI113" i="5"/>
  <c r="BW108" i="5"/>
  <c r="DI108" i="5" s="1"/>
  <c r="BW109" i="5"/>
  <c r="DI109" i="5" s="1"/>
  <c r="BW110" i="5"/>
  <c r="DI110" i="5" s="1"/>
  <c r="BW107" i="5"/>
  <c r="DI107" i="5" s="1"/>
  <c r="BV40" i="5"/>
  <c r="BV39" i="5"/>
  <c r="BU39" i="5"/>
  <c r="BV38" i="5"/>
  <c r="BU38" i="5"/>
  <c r="BV37" i="5"/>
  <c r="BU37" i="5"/>
  <c r="BV36" i="5"/>
  <c r="BU36" i="5"/>
  <c r="HV40" i="8" l="1"/>
  <c r="DL18" i="5"/>
  <c r="HV25" i="8"/>
  <c r="DJ19" i="5"/>
  <c r="HW26" i="8"/>
  <c r="HW27" i="8"/>
  <c r="HW28" i="8"/>
  <c r="HW29" i="8"/>
  <c r="HW30" i="8"/>
  <c r="HW31" i="8"/>
  <c r="HW32" i="8"/>
  <c r="HW33" i="8"/>
  <c r="HW34" i="8"/>
  <c r="HW35" i="8"/>
  <c r="HW36" i="8"/>
  <c r="HW37" i="8"/>
  <c r="HW38" i="8"/>
  <c r="HU32" i="8"/>
  <c r="CG59" i="5"/>
  <c r="CG60" i="5" l="1"/>
  <c r="CG48" i="5"/>
  <c r="DI48" i="5" s="1"/>
  <c r="CG34" i="5"/>
  <c r="CG67" i="5"/>
  <c r="CG71" i="5"/>
  <c r="CG70" i="5"/>
  <c r="DI70" i="5" s="1"/>
  <c r="CG69" i="5"/>
  <c r="K70" i="5"/>
  <c r="CG41" i="5"/>
  <c r="CG47" i="5" l="1"/>
  <c r="CG46" i="5"/>
  <c r="CG45" i="5"/>
  <c r="CG43" i="5"/>
  <c r="CG42" i="5"/>
  <c r="CG39" i="5"/>
  <c r="CG38" i="5"/>
  <c r="CG37" i="5"/>
  <c r="CG36" i="5"/>
  <c r="CG35" i="5"/>
  <c r="CG33" i="5"/>
  <c r="CG32" i="5"/>
  <c r="CG31" i="5"/>
  <c r="CG29" i="5"/>
  <c r="AH381" i="10"/>
  <c r="AB381" i="10"/>
  <c r="AA381" i="10"/>
  <c r="Z381" i="10"/>
  <c r="Y381" i="10"/>
  <c r="X381" i="10"/>
  <c r="W381" i="10"/>
  <c r="S381" i="10"/>
  <c r="R381" i="10"/>
  <c r="Q381" i="10"/>
  <c r="P381" i="10"/>
  <c r="O381" i="10"/>
  <c r="AK380" i="10"/>
  <c r="AH380" i="10"/>
  <c r="AF380" i="10"/>
  <c r="AE380" i="10"/>
  <c r="AB380" i="10"/>
  <c r="AA380" i="10"/>
  <c r="Z380" i="10"/>
  <c r="Y380" i="10"/>
  <c r="X380" i="10"/>
  <c r="W380" i="10"/>
  <c r="S380" i="10"/>
  <c r="R380" i="10"/>
  <c r="Q380" i="10"/>
  <c r="P380" i="10"/>
  <c r="O380" i="10"/>
  <c r="AH379" i="10"/>
  <c r="AD379" i="10"/>
  <c r="AC379" i="10"/>
  <c r="AB379" i="10"/>
  <c r="AA379" i="10"/>
  <c r="Z379" i="10"/>
  <c r="Y379" i="10"/>
  <c r="X379" i="10"/>
  <c r="W379" i="10"/>
  <c r="V379" i="10"/>
  <c r="S379" i="10"/>
  <c r="R379" i="10"/>
  <c r="Q379" i="10"/>
  <c r="P379" i="10"/>
  <c r="O379" i="10"/>
  <c r="AH378" i="10"/>
  <c r="AE378" i="10"/>
  <c r="AC378" i="10"/>
  <c r="AB378" i="10"/>
  <c r="AA378" i="10"/>
  <c r="Z378" i="10"/>
  <c r="Y378" i="10"/>
  <c r="X378" i="10"/>
  <c r="W378" i="10"/>
  <c r="V378" i="10"/>
  <c r="S378" i="10"/>
  <c r="R378" i="10"/>
  <c r="Q378" i="10"/>
  <c r="P378" i="10"/>
  <c r="O378" i="10"/>
  <c r="Q370" i="10"/>
  <c r="AE364" i="10"/>
  <c r="AC364" i="10"/>
  <c r="V364" i="10"/>
  <c r="U364" i="10"/>
  <c r="T364" i="10"/>
  <c r="S364" i="10"/>
  <c r="R364" i="10"/>
  <c r="Q364" i="10"/>
  <c r="P364" i="10"/>
  <c r="O364" i="10"/>
  <c r="N364" i="10"/>
  <c r="M364" i="10"/>
  <c r="L364" i="10"/>
  <c r="K364" i="10"/>
  <c r="K360" i="10"/>
  <c r="AH352" i="10"/>
  <c r="AJ352" i="10" s="1"/>
  <c r="AG352" i="10"/>
  <c r="AE352" i="10"/>
  <c r="AE365" i="10" s="1"/>
  <c r="AC352" i="10"/>
  <c r="AC365" i="10" s="1"/>
  <c r="Z352" i="10"/>
  <c r="Y352" i="10"/>
  <c r="X352" i="10"/>
  <c r="W352" i="10"/>
  <c r="V352" i="10"/>
  <c r="V365" i="10" s="1"/>
  <c r="S352" i="10"/>
  <c r="S365" i="10" s="1"/>
  <c r="R352" i="10"/>
  <c r="R365" i="10" s="1"/>
  <c r="Q352" i="10"/>
  <c r="Q365" i="10" s="1"/>
  <c r="P352" i="10"/>
  <c r="P365" i="10" s="1"/>
  <c r="O352" i="10"/>
  <c r="O365" i="10" s="1"/>
  <c r="N352" i="10"/>
  <c r="N365" i="10" s="1"/>
  <c r="AK350" i="10"/>
  <c r="AH350" i="10"/>
  <c r="AJ350" i="10" s="1"/>
  <c r="AG350" i="10"/>
  <c r="AF350" i="10"/>
  <c r="AE350" i="10"/>
  <c r="Z350" i="10"/>
  <c r="Y350" i="10"/>
  <c r="X350" i="10"/>
  <c r="W350" i="10"/>
  <c r="S350" i="10"/>
  <c r="R350" i="10"/>
  <c r="Q350" i="10"/>
  <c r="P350" i="10"/>
  <c r="O350" i="10"/>
  <c r="N350" i="10"/>
  <c r="M350" i="10"/>
  <c r="L350" i="10"/>
  <c r="K350" i="10"/>
  <c r="AH349" i="10"/>
  <c r="AJ349" i="10" s="1"/>
  <c r="AG349" i="10"/>
  <c r="AG351" i="10" s="1"/>
  <c r="AG353" i="10" s="1"/>
  <c r="AE349" i="10"/>
  <c r="AE351" i="10" s="1"/>
  <c r="AE353" i="10" s="1"/>
  <c r="AC349" i="10"/>
  <c r="Z349" i="10"/>
  <c r="Z351" i="10" s="1"/>
  <c r="Z353" i="10" s="1"/>
  <c r="Y349" i="10"/>
  <c r="Y351" i="10" s="1"/>
  <c r="Y353" i="10" s="1"/>
  <c r="X349" i="10"/>
  <c r="X351" i="10" s="1"/>
  <c r="X353" i="10" s="1"/>
  <c r="W349" i="10"/>
  <c r="W351" i="10" s="1"/>
  <c r="W353" i="10" s="1"/>
  <c r="V349" i="10"/>
  <c r="S349" i="10"/>
  <c r="S351" i="10" s="1"/>
  <c r="R349" i="10"/>
  <c r="R351" i="10" s="1"/>
  <c r="R353" i="10" s="1"/>
  <c r="Q349" i="10"/>
  <c r="Q351" i="10" s="1"/>
  <c r="Q353" i="10" s="1"/>
  <c r="P349" i="10"/>
  <c r="P351" i="10" s="1"/>
  <c r="P353" i="10" s="1"/>
  <c r="O349" i="10"/>
  <c r="O351" i="10" s="1"/>
  <c r="O353" i="10" s="1"/>
  <c r="N349" i="10"/>
  <c r="N351" i="10" s="1"/>
  <c r="N353" i="10" s="1"/>
  <c r="M349" i="10"/>
  <c r="M351" i="10" s="1"/>
  <c r="L349" i="10"/>
  <c r="L351" i="10" s="1"/>
  <c r="K349" i="10"/>
  <c r="K351" i="10" s="1"/>
  <c r="AJ347" i="10"/>
  <c r="S347" i="10"/>
  <c r="R347" i="10"/>
  <c r="Q347" i="10"/>
  <c r="P347" i="10"/>
  <c r="O347" i="10"/>
  <c r="N347" i="10"/>
  <c r="AJ339" i="10"/>
  <c r="AJ338" i="10"/>
  <c r="AJ337" i="10"/>
  <c r="AJ335" i="10"/>
  <c r="AJ334" i="10"/>
  <c r="AF334" i="10"/>
  <c r="AJ333" i="10"/>
  <c r="AF333" i="10"/>
  <c r="AJ332" i="10"/>
  <c r="AF332" i="10"/>
  <c r="AJ331" i="10"/>
  <c r="AK323" i="10"/>
  <c r="AJ323" i="10"/>
  <c r="AI323" i="10"/>
  <c r="AD323" i="10"/>
  <c r="U323" i="10"/>
  <c r="T323" i="10"/>
  <c r="AK322" i="10"/>
  <c r="AJ322" i="10"/>
  <c r="AI322" i="10"/>
  <c r="AK321" i="10"/>
  <c r="AJ321" i="10"/>
  <c r="AI321" i="10"/>
  <c r="AD321" i="10"/>
  <c r="U321" i="10"/>
  <c r="T321" i="10"/>
  <c r="AK320" i="10"/>
  <c r="AJ320" i="10"/>
  <c r="AI320" i="10"/>
  <c r="AD320" i="10"/>
  <c r="U320" i="10"/>
  <c r="T320" i="10"/>
  <c r="AK319" i="10"/>
  <c r="AJ319" i="10"/>
  <c r="AI319" i="10"/>
  <c r="AD319" i="10"/>
  <c r="U319" i="10"/>
  <c r="T319" i="10"/>
  <c r="AK318" i="10"/>
  <c r="AJ318" i="10"/>
  <c r="AI318" i="10"/>
  <c r="AD318" i="10"/>
  <c r="U318" i="10"/>
  <c r="T318" i="10"/>
  <c r="AK317" i="10"/>
  <c r="AJ317" i="10"/>
  <c r="AI317" i="10"/>
  <c r="U317" i="10"/>
  <c r="T317" i="10"/>
  <c r="AK316" i="10"/>
  <c r="AJ316" i="10"/>
  <c r="AI316" i="10"/>
  <c r="AD316" i="10"/>
  <c r="U316" i="10"/>
  <c r="T316" i="10"/>
  <c r="AK315" i="10"/>
  <c r="AJ315" i="10"/>
  <c r="AI315" i="10"/>
  <c r="AD315" i="10"/>
  <c r="U315" i="10"/>
  <c r="T315" i="10"/>
  <c r="AK314" i="10"/>
  <c r="AJ314" i="10"/>
  <c r="AI314" i="10"/>
  <c r="AD314" i="10"/>
  <c r="U314" i="10"/>
  <c r="T314" i="10"/>
  <c r="AK313" i="10"/>
  <c r="AJ313" i="10"/>
  <c r="AI313" i="10"/>
  <c r="AD313" i="10"/>
  <c r="U313" i="10"/>
  <c r="T313" i="10"/>
  <c r="AK312" i="10"/>
  <c r="AJ312" i="10"/>
  <c r="AI312" i="10"/>
  <c r="AD312" i="10"/>
  <c r="U312" i="10"/>
  <c r="T312" i="10"/>
  <c r="AK311" i="10"/>
  <c r="AJ311" i="10"/>
  <c r="AI311" i="10"/>
  <c r="U311" i="10"/>
  <c r="T311" i="10"/>
  <c r="AK310" i="10"/>
  <c r="AJ310" i="10"/>
  <c r="AI310" i="10"/>
  <c r="U310" i="10"/>
  <c r="T310" i="10"/>
  <c r="AK309" i="10"/>
  <c r="AJ309" i="10"/>
  <c r="AI309" i="10"/>
  <c r="U309" i="10"/>
  <c r="T309" i="10"/>
  <c r="AK308" i="10"/>
  <c r="AJ308" i="10"/>
  <c r="AI308" i="10"/>
  <c r="U308" i="10"/>
  <c r="T308" i="10"/>
  <c r="AJ307" i="10"/>
  <c r="AI307" i="10"/>
  <c r="AD307" i="10"/>
  <c r="U307" i="10"/>
  <c r="T307" i="10"/>
  <c r="AK306" i="10"/>
  <c r="AJ306" i="10"/>
  <c r="AI306" i="10"/>
  <c r="AD306" i="10"/>
  <c r="U306" i="10"/>
  <c r="T306" i="10"/>
  <c r="AK305" i="10"/>
  <c r="AJ305" i="10"/>
  <c r="AI305" i="10"/>
  <c r="AD305" i="10"/>
  <c r="U305" i="10"/>
  <c r="T305" i="10"/>
  <c r="AK304" i="10"/>
  <c r="AJ304" i="10"/>
  <c r="AI304" i="10"/>
  <c r="AD304" i="10"/>
  <c r="U304" i="10"/>
  <c r="T304" i="10"/>
  <c r="AK303" i="10"/>
  <c r="AJ303" i="10"/>
  <c r="AI303" i="10"/>
  <c r="AD303" i="10"/>
  <c r="U303" i="10"/>
  <c r="T303" i="10"/>
  <c r="AK302" i="10"/>
  <c r="AJ302" i="10"/>
  <c r="AI302" i="10"/>
  <c r="AD302" i="10"/>
  <c r="U302" i="10"/>
  <c r="T302" i="10"/>
  <c r="AK301" i="10"/>
  <c r="AJ301" i="10"/>
  <c r="AI301" i="10"/>
  <c r="AD301" i="10"/>
  <c r="U301" i="10"/>
  <c r="T301" i="10"/>
  <c r="AK300" i="10"/>
  <c r="AJ300" i="10"/>
  <c r="AI300" i="10"/>
  <c r="AD300" i="10"/>
  <c r="U300" i="10"/>
  <c r="T300" i="10"/>
  <c r="AK299" i="10"/>
  <c r="AJ299" i="10"/>
  <c r="AI299" i="10"/>
  <c r="AD299" i="10"/>
  <c r="U299" i="10"/>
  <c r="T299" i="10"/>
  <c r="AK298" i="10"/>
  <c r="AJ298" i="10"/>
  <c r="AI298" i="10"/>
  <c r="AD298" i="10"/>
  <c r="U298" i="10"/>
  <c r="T298" i="10"/>
  <c r="AK297" i="10"/>
  <c r="AJ297" i="10"/>
  <c r="AI297" i="10"/>
  <c r="AD297" i="10"/>
  <c r="U297" i="10"/>
  <c r="T297" i="10"/>
  <c r="AJ296" i="10"/>
  <c r="AI296" i="10"/>
  <c r="AD296" i="10"/>
  <c r="U296" i="10"/>
  <c r="T296" i="10"/>
  <c r="AK295" i="10"/>
  <c r="AJ295" i="10"/>
  <c r="AI295" i="10"/>
  <c r="AK294" i="10"/>
  <c r="AJ294" i="10"/>
  <c r="AI294" i="10"/>
  <c r="AD294" i="10"/>
  <c r="U294" i="10"/>
  <c r="T294" i="10"/>
  <c r="AJ293" i="10"/>
  <c r="AI293" i="10"/>
  <c r="AD293" i="10"/>
  <c r="U293" i="10"/>
  <c r="T293" i="10"/>
  <c r="AK292" i="10"/>
  <c r="AJ292" i="10"/>
  <c r="AI292" i="10"/>
  <c r="U292" i="10"/>
  <c r="T292" i="10"/>
  <c r="AK291" i="10"/>
  <c r="AJ291" i="10"/>
  <c r="AI291" i="10"/>
  <c r="U291" i="10"/>
  <c r="T291" i="10"/>
  <c r="AJ290" i="10"/>
  <c r="AI290" i="10"/>
  <c r="U290" i="10"/>
  <c r="T290" i="10"/>
  <c r="AJ289" i="10"/>
  <c r="AI289" i="10"/>
  <c r="U289" i="10"/>
  <c r="T289" i="10"/>
  <c r="AJ288" i="10"/>
  <c r="AI288" i="10"/>
  <c r="U288" i="10"/>
  <c r="T288" i="10"/>
  <c r="AK287" i="10"/>
  <c r="AJ287" i="10"/>
  <c r="AI287" i="10"/>
  <c r="U287" i="10"/>
  <c r="T287" i="10"/>
  <c r="AK286" i="10"/>
  <c r="AJ286" i="10"/>
  <c r="AH286" i="10"/>
  <c r="AI286" i="10" s="1"/>
  <c r="AG286" i="10"/>
  <c r="AC286" i="10"/>
  <c r="AB286" i="10"/>
  <c r="AA286" i="10"/>
  <c r="Z286" i="10"/>
  <c r="Y286" i="10"/>
  <c r="X286" i="10"/>
  <c r="W286" i="10"/>
  <c r="V286" i="10"/>
  <c r="S286" i="10"/>
  <c r="U286" i="10" s="1"/>
  <c r="R286" i="10"/>
  <c r="Q286" i="10"/>
  <c r="P286" i="10"/>
  <c r="O286" i="10"/>
  <c r="N286" i="10"/>
  <c r="M286" i="10"/>
  <c r="L286" i="10"/>
  <c r="K286" i="10"/>
  <c r="J286" i="10"/>
  <c r="I286" i="10"/>
  <c r="H286" i="10"/>
  <c r="AJ285" i="10"/>
  <c r="AI285" i="10"/>
  <c r="AD285" i="10"/>
  <c r="U285" i="10"/>
  <c r="T285" i="10"/>
  <c r="AK284" i="10"/>
  <c r="AJ284" i="10"/>
  <c r="AI284" i="10"/>
  <c r="AD284" i="10"/>
  <c r="U284" i="10"/>
  <c r="T284" i="10"/>
  <c r="AK283" i="10"/>
  <c r="AJ283" i="10"/>
  <c r="AI283" i="10"/>
  <c r="AD283" i="10"/>
  <c r="U283" i="10"/>
  <c r="T283" i="10"/>
  <c r="AK282" i="10"/>
  <c r="AJ282" i="10"/>
  <c r="AI282" i="10"/>
  <c r="AD282" i="10"/>
  <c r="AD281" i="10" s="1"/>
  <c r="U282" i="10"/>
  <c r="T282" i="10"/>
  <c r="AK281" i="10"/>
  <c r="AJ281" i="10"/>
  <c r="AH281" i="10"/>
  <c r="AI281" i="10" s="1"/>
  <c r="AG281" i="10"/>
  <c r="AC281" i="10"/>
  <c r="AB281" i="10"/>
  <c r="AA281" i="10"/>
  <c r="Z281" i="10"/>
  <c r="Y281" i="10"/>
  <c r="X281" i="10"/>
  <c r="W281" i="10"/>
  <c r="V281" i="10"/>
  <c r="S281" i="10"/>
  <c r="T281" i="10" s="1"/>
  <c r="R281" i="10"/>
  <c r="Q281" i="10"/>
  <c r="P281" i="10"/>
  <c r="O281" i="10"/>
  <c r="N281" i="10"/>
  <c r="M281" i="10"/>
  <c r="L281" i="10"/>
  <c r="K281" i="10"/>
  <c r="J281" i="10"/>
  <c r="I281" i="10"/>
  <c r="H281" i="10"/>
  <c r="AK280" i="10"/>
  <c r="AJ280" i="10"/>
  <c r="AI280" i="10"/>
  <c r="AD280" i="10"/>
  <c r="AC280" i="10"/>
  <c r="V280" i="10"/>
  <c r="AE280" i="10" s="1"/>
  <c r="AF280" i="10" s="1"/>
  <c r="U280" i="10"/>
  <c r="T280" i="10"/>
  <c r="AK279" i="10"/>
  <c r="AJ279" i="10"/>
  <c r="AI279" i="10"/>
  <c r="AD279" i="10"/>
  <c r="U279" i="10"/>
  <c r="T279" i="10"/>
  <c r="AK278" i="10"/>
  <c r="AH278" i="10"/>
  <c r="AJ278" i="10" s="1"/>
  <c r="AG278" i="10"/>
  <c r="AD278" i="10"/>
  <c r="AC278" i="10"/>
  <c r="AB278" i="10"/>
  <c r="AA278" i="10"/>
  <c r="Z278" i="10"/>
  <c r="Y278" i="10"/>
  <c r="X278" i="10"/>
  <c r="W278" i="10"/>
  <c r="V278" i="10"/>
  <c r="S278" i="10"/>
  <c r="U278" i="10" s="1"/>
  <c r="R278" i="10"/>
  <c r="Q278" i="10"/>
  <c r="P278" i="10"/>
  <c r="O278" i="10"/>
  <c r="N278" i="10"/>
  <c r="T278" i="10" s="1"/>
  <c r="M278" i="10"/>
  <c r="L278" i="10"/>
  <c r="K278" i="10"/>
  <c r="J278" i="10"/>
  <c r="I278" i="10"/>
  <c r="H278" i="10"/>
  <c r="AJ277" i="10"/>
  <c r="AI277" i="10"/>
  <c r="AD277" i="10"/>
  <c r="AC277" i="10"/>
  <c r="V277" i="10"/>
  <c r="U277" i="10"/>
  <c r="U350" i="10" s="1"/>
  <c r="T277" i="10"/>
  <c r="T350" i="10" s="1"/>
  <c r="AK276" i="10"/>
  <c r="AK381" i="10" s="1"/>
  <c r="AJ276" i="10"/>
  <c r="AI276" i="10"/>
  <c r="AE276" i="10"/>
  <c r="AE381" i="10" s="1"/>
  <c r="AD276" i="10"/>
  <c r="AD381" i="10" s="1"/>
  <c r="AC276" i="10"/>
  <c r="AC381" i="10" s="1"/>
  <c r="V276" i="10"/>
  <c r="V381" i="10" s="1"/>
  <c r="U276" i="10"/>
  <c r="T276" i="10"/>
  <c r="AK275" i="10"/>
  <c r="AJ275" i="10"/>
  <c r="AI275" i="10"/>
  <c r="AD275" i="10"/>
  <c r="U275" i="10"/>
  <c r="T275" i="10"/>
  <c r="AK274" i="10"/>
  <c r="AJ274" i="10"/>
  <c r="AI274" i="10"/>
  <c r="AD274" i="10"/>
  <c r="U274" i="10"/>
  <c r="T274" i="10"/>
  <c r="AK273" i="10"/>
  <c r="AJ273" i="10"/>
  <c r="AI273" i="10"/>
  <c r="AD273" i="10"/>
  <c r="U273" i="10"/>
  <c r="T273" i="10"/>
  <c r="AK272" i="10"/>
  <c r="AJ272" i="10"/>
  <c r="AI272" i="10"/>
  <c r="AD272" i="10"/>
  <c r="T272" i="10"/>
  <c r="AK271" i="10"/>
  <c r="AJ271" i="10"/>
  <c r="AI271" i="10"/>
  <c r="AD271" i="10"/>
  <c r="U271" i="10"/>
  <c r="T271" i="10"/>
  <c r="AK270" i="10"/>
  <c r="AJ270" i="10"/>
  <c r="AI270" i="10"/>
  <c r="AD270" i="10"/>
  <c r="U270" i="10"/>
  <c r="T270" i="10"/>
  <c r="AJ269" i="10"/>
  <c r="AI269" i="10"/>
  <c r="AD269" i="10"/>
  <c r="T269" i="10"/>
  <c r="AK268" i="10"/>
  <c r="AK382" i="10" s="1"/>
  <c r="AJ268" i="10"/>
  <c r="AH268" i="10"/>
  <c r="AH382" i="10" s="1"/>
  <c r="AG268" i="10"/>
  <c r="AC268" i="10"/>
  <c r="AC382" i="10" s="1"/>
  <c r="AB268" i="10"/>
  <c r="AB382" i="10" s="1"/>
  <c r="AA268" i="10"/>
  <c r="AA382" i="10" s="1"/>
  <c r="Z268" i="10"/>
  <c r="Z382" i="10" s="1"/>
  <c r="Y268" i="10"/>
  <c r="Y382" i="10" s="1"/>
  <c r="X268" i="10"/>
  <c r="X382" i="10" s="1"/>
  <c r="W268" i="10"/>
  <c r="W382" i="10" s="1"/>
  <c r="V268" i="10"/>
  <c r="V382" i="10" s="1"/>
  <c r="U268" i="10"/>
  <c r="S268" i="10"/>
  <c r="S382" i="10" s="1"/>
  <c r="R268" i="10"/>
  <c r="R382" i="10" s="1"/>
  <c r="Q268" i="10"/>
  <c r="Q382" i="10" s="1"/>
  <c r="P268" i="10"/>
  <c r="P382" i="10" s="1"/>
  <c r="O268" i="10"/>
  <c r="O382" i="10" s="1"/>
  <c r="N268" i="10"/>
  <c r="M268" i="10"/>
  <c r="L268" i="10"/>
  <c r="K268" i="10"/>
  <c r="J268" i="10"/>
  <c r="I268" i="10"/>
  <c r="H268" i="10"/>
  <c r="AJ267" i="10"/>
  <c r="AI267" i="10"/>
  <c r="AF267" i="10"/>
  <c r="AD267" i="10"/>
  <c r="U267" i="10"/>
  <c r="T267" i="10"/>
  <c r="AJ266" i="10"/>
  <c r="AI266" i="10"/>
  <c r="AD266" i="10"/>
  <c r="U266" i="10"/>
  <c r="T266" i="10"/>
  <c r="AJ265" i="10"/>
  <c r="AI265" i="10"/>
  <c r="AF265" i="10"/>
  <c r="AD265" i="10"/>
  <c r="U265" i="10"/>
  <c r="T265" i="10"/>
  <c r="AJ264" i="10"/>
  <c r="AI264" i="10"/>
  <c r="AF264" i="10"/>
  <c r="AD264" i="10"/>
  <c r="U264" i="10"/>
  <c r="T264" i="10"/>
  <c r="AK263" i="10"/>
  <c r="AJ263" i="10"/>
  <c r="AH263" i="10"/>
  <c r="AI263" i="10" s="1"/>
  <c r="AG263" i="10"/>
  <c r="AF263" i="10"/>
  <c r="AE263" i="10"/>
  <c r="AC263" i="10"/>
  <c r="AB263" i="10"/>
  <c r="AA263" i="10"/>
  <c r="Z263" i="10"/>
  <c r="Y263" i="10"/>
  <c r="X263" i="10"/>
  <c r="W263" i="10"/>
  <c r="V263" i="10"/>
  <c r="P263" i="10"/>
  <c r="Q263" i="10" s="1"/>
  <c r="R263" i="10" s="1"/>
  <c r="S263" i="10" s="1"/>
  <c r="O263" i="10"/>
  <c r="N263" i="10"/>
  <c r="M263" i="10"/>
  <c r="L263" i="10"/>
  <c r="K263" i="10"/>
  <c r="J263" i="10"/>
  <c r="I263" i="10"/>
  <c r="H263" i="10"/>
  <c r="AK262" i="10"/>
  <c r="AJ262" i="10"/>
  <c r="AI262" i="10"/>
  <c r="U262" i="10"/>
  <c r="T262" i="10"/>
  <c r="AK261" i="10"/>
  <c r="AJ261" i="10"/>
  <c r="AI261" i="10"/>
  <c r="U261" i="10"/>
  <c r="T261" i="10"/>
  <c r="AK260" i="10"/>
  <c r="AJ260" i="10"/>
  <c r="AI260" i="10"/>
  <c r="U260" i="10"/>
  <c r="T260" i="10"/>
  <c r="AK259" i="10"/>
  <c r="AJ259" i="10"/>
  <c r="AI259" i="10"/>
  <c r="U259" i="10"/>
  <c r="T259" i="10"/>
  <c r="AK258" i="10"/>
  <c r="AJ258" i="10"/>
  <c r="AI258" i="10"/>
  <c r="U258" i="10"/>
  <c r="T258" i="10"/>
  <c r="AK257" i="10"/>
  <c r="AJ257" i="10"/>
  <c r="AI257" i="10"/>
  <c r="U257" i="10"/>
  <c r="T257" i="10"/>
  <c r="AK256" i="10"/>
  <c r="AJ256" i="10"/>
  <c r="AI256" i="10"/>
  <c r="U256" i="10"/>
  <c r="T256" i="10"/>
  <c r="AK255" i="10"/>
  <c r="AK379" i="10" s="1"/>
  <c r="AJ255" i="10"/>
  <c r="AI255" i="10"/>
  <c r="U255" i="10"/>
  <c r="T255" i="10"/>
  <c r="AK254" i="10"/>
  <c r="AJ254" i="10"/>
  <c r="AI254" i="10"/>
  <c r="AF254" i="10"/>
  <c r="U254" i="10"/>
  <c r="T254" i="10"/>
  <c r="AK253" i="10"/>
  <c r="AJ253" i="10"/>
  <c r="AI253" i="10"/>
  <c r="AF253" i="10"/>
  <c r="AD253" i="10"/>
  <c r="U253" i="10"/>
  <c r="T253" i="10"/>
  <c r="AK252" i="10"/>
  <c r="AJ252" i="10"/>
  <c r="AI252" i="10"/>
  <c r="AF252" i="10"/>
  <c r="AD252" i="10"/>
  <c r="U252" i="10"/>
  <c r="T252" i="10"/>
  <c r="AK251" i="10"/>
  <c r="AJ251" i="10"/>
  <c r="AI251" i="10"/>
  <c r="AF251" i="10"/>
  <c r="U251" i="10"/>
  <c r="U352" i="10" s="1"/>
  <c r="T251" i="10"/>
  <c r="T352" i="10" s="1"/>
  <c r="AK250" i="10"/>
  <c r="AJ250" i="10"/>
  <c r="AH250" i="10"/>
  <c r="AI250" i="10" s="1"/>
  <c r="AG250" i="10"/>
  <c r="AG324" i="10" s="1"/>
  <c r="AC250" i="10"/>
  <c r="AB250" i="10"/>
  <c r="AB324" i="10" s="1"/>
  <c r="AA250" i="10"/>
  <c r="AA324" i="10" s="1"/>
  <c r="Z250" i="10"/>
  <c r="Z324" i="10" s="1"/>
  <c r="Y250" i="10"/>
  <c r="Y324" i="10" s="1"/>
  <c r="X250" i="10"/>
  <c r="X324" i="10" s="1"/>
  <c r="W250" i="10"/>
  <c r="W324" i="10" s="1"/>
  <c r="V250" i="10"/>
  <c r="V324" i="10" s="1"/>
  <c r="S250" i="10"/>
  <c r="U250" i="10" s="1"/>
  <c r="R250" i="10"/>
  <c r="R324" i="10" s="1"/>
  <c r="Q250" i="10"/>
  <c r="Q324" i="10" s="1"/>
  <c r="P250" i="10"/>
  <c r="P324" i="10" s="1"/>
  <c r="O250" i="10"/>
  <c r="O324" i="10" s="1"/>
  <c r="N250" i="10"/>
  <c r="N324" i="10" s="1"/>
  <c r="M250" i="10"/>
  <c r="M324" i="10" s="1"/>
  <c r="L250" i="10"/>
  <c r="L324" i="10" s="1"/>
  <c r="K250" i="10"/>
  <c r="K324" i="10" s="1"/>
  <c r="J250" i="10"/>
  <c r="J324" i="10" s="1"/>
  <c r="I250" i="10"/>
  <c r="I324" i="10" s="1"/>
  <c r="H250" i="10"/>
  <c r="H324" i="10" s="1"/>
  <c r="AK249" i="10"/>
  <c r="AK349" i="10" s="1"/>
  <c r="AK351" i="10" s="1"/>
  <c r="AJ249" i="10"/>
  <c r="AI249" i="10"/>
  <c r="AF249" i="10"/>
  <c r="AF349" i="10" s="1"/>
  <c r="AF351" i="10" s="1"/>
  <c r="AD249" i="10"/>
  <c r="AD349" i="10" s="1"/>
  <c r="U249" i="10"/>
  <c r="U349" i="10" s="1"/>
  <c r="T249" i="10"/>
  <c r="T349" i="10" s="1"/>
  <c r="AH248" i="10"/>
  <c r="AH324" i="10" s="1"/>
  <c r="AD248" i="10"/>
  <c r="U248" i="10"/>
  <c r="T248" i="10"/>
  <c r="AM246" i="10"/>
  <c r="AK246" i="10"/>
  <c r="AJ246" i="10"/>
  <c r="AI246" i="10"/>
  <c r="AD246" i="10"/>
  <c r="U246" i="10"/>
  <c r="T246" i="10"/>
  <c r="AM245" i="10"/>
  <c r="AK245" i="10"/>
  <c r="AJ245" i="10"/>
  <c r="AI245" i="10"/>
  <c r="AF245" i="10"/>
  <c r="AD245" i="10"/>
  <c r="U245" i="10"/>
  <c r="T245" i="10"/>
  <c r="AM244" i="10"/>
  <c r="AK244" i="10"/>
  <c r="AJ244" i="10"/>
  <c r="AI244" i="10"/>
  <c r="AD244" i="10"/>
  <c r="U244" i="10"/>
  <c r="T244" i="10"/>
  <c r="AK243" i="10"/>
  <c r="AH243" i="10"/>
  <c r="AJ243" i="10" s="1"/>
  <c r="AG243" i="10"/>
  <c r="AD243" i="10"/>
  <c r="AC243" i="10"/>
  <c r="AB243" i="10"/>
  <c r="AA243" i="10"/>
  <c r="Z243" i="10"/>
  <c r="Y243" i="10"/>
  <c r="X243" i="10"/>
  <c r="AI243" i="10" s="1"/>
  <c r="W243" i="10"/>
  <c r="V243" i="10"/>
  <c r="S243" i="10"/>
  <c r="T243" i="10" s="1"/>
  <c r="R243" i="10"/>
  <c r="Q243" i="10"/>
  <c r="P243" i="10"/>
  <c r="O243" i="10"/>
  <c r="N243" i="10"/>
  <c r="M243" i="10"/>
  <c r="L243" i="10"/>
  <c r="K243" i="10"/>
  <c r="J243" i="10"/>
  <c r="I243" i="10"/>
  <c r="H243" i="10"/>
  <c r="AM242" i="10"/>
  <c r="AJ242" i="10"/>
  <c r="AI242" i="10"/>
  <c r="AD242" i="10"/>
  <c r="AD241" i="10" s="1"/>
  <c r="U242" i="10"/>
  <c r="T242" i="10"/>
  <c r="AK241" i="10"/>
  <c r="AJ241" i="10"/>
  <c r="AH241" i="10"/>
  <c r="AI241" i="10" s="1"/>
  <c r="AG241" i="10"/>
  <c r="AC241" i="10"/>
  <c r="AB241" i="10"/>
  <c r="AA241" i="10"/>
  <c r="Z241" i="10"/>
  <c r="Y241" i="10"/>
  <c r="X241" i="10"/>
  <c r="W241" i="10"/>
  <c r="V241" i="10"/>
  <c r="U241" i="10"/>
  <c r="T241" i="10"/>
  <c r="M241" i="10"/>
  <c r="L241" i="10"/>
  <c r="K241" i="10"/>
  <c r="J241" i="10"/>
  <c r="I241" i="10"/>
  <c r="H241" i="10"/>
  <c r="AM240" i="10"/>
  <c r="AK240" i="10"/>
  <c r="AJ240" i="10"/>
  <c r="AI240" i="10"/>
  <c r="AD240" i="10"/>
  <c r="U240" i="10"/>
  <c r="T240" i="10"/>
  <c r="AM239" i="10"/>
  <c r="AK239" i="10"/>
  <c r="AJ239" i="10"/>
  <c r="AI239" i="10"/>
  <c r="AD239" i="10"/>
  <c r="U239" i="10"/>
  <c r="T239" i="10"/>
  <c r="AM238" i="10"/>
  <c r="AJ238" i="10"/>
  <c r="AI238" i="10"/>
  <c r="AD238" i="10"/>
  <c r="U238" i="10"/>
  <c r="T238" i="10"/>
  <c r="AM237" i="10"/>
  <c r="AK237" i="10"/>
  <c r="AJ237" i="10"/>
  <c r="AI237" i="10"/>
  <c r="AD237" i="10"/>
  <c r="U237" i="10"/>
  <c r="T237" i="10"/>
  <c r="AM236" i="10"/>
  <c r="AK236" i="10"/>
  <c r="AJ236" i="10"/>
  <c r="AI236" i="10"/>
  <c r="AD236" i="10"/>
  <c r="U236" i="10"/>
  <c r="T236" i="10"/>
  <c r="AK235" i="10"/>
  <c r="AJ235" i="10"/>
  <c r="AH235" i="10"/>
  <c r="AI235" i="10" s="1"/>
  <c r="AG235" i="10"/>
  <c r="AC235" i="10"/>
  <c r="AB235" i="10"/>
  <c r="AA235" i="10"/>
  <c r="Z235" i="10"/>
  <c r="Y235" i="10"/>
  <c r="X235" i="10"/>
  <c r="W235" i="10"/>
  <c r="V235" i="10"/>
  <c r="S235" i="10"/>
  <c r="U235" i="10" s="1"/>
  <c r="R235" i="10"/>
  <c r="Q235" i="10"/>
  <c r="P235" i="10"/>
  <c r="O235" i="10"/>
  <c r="N235" i="10"/>
  <c r="M235" i="10"/>
  <c r="L235" i="10"/>
  <c r="K235" i="10"/>
  <c r="J235" i="10"/>
  <c r="I235" i="10"/>
  <c r="H235" i="10"/>
  <c r="AM234" i="10"/>
  <c r="AK234" i="10"/>
  <c r="AJ234" i="10"/>
  <c r="AI234" i="10"/>
  <c r="U234" i="10"/>
  <c r="T234" i="10"/>
  <c r="AM233" i="10"/>
  <c r="AK233" i="10"/>
  <c r="AJ233" i="10"/>
  <c r="AI233" i="10"/>
  <c r="AD233" i="10"/>
  <c r="U233" i="10"/>
  <c r="T233" i="10"/>
  <c r="AM232" i="10"/>
  <c r="AK232" i="10"/>
  <c r="AJ232" i="10"/>
  <c r="AI232" i="10"/>
  <c r="AD232" i="10"/>
  <c r="U232" i="10"/>
  <c r="T232" i="10"/>
  <c r="AM231" i="10"/>
  <c r="AK231" i="10"/>
  <c r="AK229" i="10" s="1"/>
  <c r="AJ231" i="10"/>
  <c r="AI231" i="10"/>
  <c r="AD231" i="10"/>
  <c r="U231" i="10"/>
  <c r="T231" i="10"/>
  <c r="AM230" i="10"/>
  <c r="AK230" i="10"/>
  <c r="AJ230" i="10"/>
  <c r="AI230" i="10"/>
  <c r="AD230" i="10"/>
  <c r="U230" i="10"/>
  <c r="T230" i="10"/>
  <c r="AJ229" i="10"/>
  <c r="AH229" i="10"/>
  <c r="AI229" i="10" s="1"/>
  <c r="AG229" i="10"/>
  <c r="AC229" i="10"/>
  <c r="AB229" i="10"/>
  <c r="AA229" i="10"/>
  <c r="Z229" i="10"/>
  <c r="Y229" i="10"/>
  <c r="X229" i="10"/>
  <c r="W229" i="10"/>
  <c r="V229" i="10"/>
  <c r="S229" i="10"/>
  <c r="U229" i="10" s="1"/>
  <c r="R229" i="10"/>
  <c r="Q229" i="10"/>
  <c r="P229" i="10"/>
  <c r="O229" i="10"/>
  <c r="N229" i="10"/>
  <c r="T229" i="10" s="1"/>
  <c r="M229" i="10"/>
  <c r="L229" i="10"/>
  <c r="K229" i="10"/>
  <c r="J229" i="10"/>
  <c r="I229" i="10"/>
  <c r="H229" i="10"/>
  <c r="AM228" i="10"/>
  <c r="AK228" i="10"/>
  <c r="AJ228" i="10"/>
  <c r="AI228" i="10"/>
  <c r="AD228" i="10"/>
  <c r="U228" i="10"/>
  <c r="T228" i="10"/>
  <c r="AM227" i="10"/>
  <c r="AK227" i="10"/>
  <c r="AJ227" i="10"/>
  <c r="AI227" i="10"/>
  <c r="AD227" i="10"/>
  <c r="U227" i="10"/>
  <c r="T227" i="10"/>
  <c r="AM226" i="10"/>
  <c r="AJ226" i="10"/>
  <c r="AI226" i="10"/>
  <c r="AD226" i="10"/>
  <c r="U226" i="10"/>
  <c r="T226" i="10"/>
  <c r="AM225" i="10"/>
  <c r="AK225" i="10"/>
  <c r="AJ225" i="10"/>
  <c r="AI225" i="10"/>
  <c r="AD225" i="10"/>
  <c r="U225" i="10"/>
  <c r="T225" i="10"/>
  <c r="AM224" i="10"/>
  <c r="AK224" i="10"/>
  <c r="AJ224" i="10"/>
  <c r="AI224" i="10"/>
  <c r="AD224" i="10"/>
  <c r="U224" i="10"/>
  <c r="T224" i="10"/>
  <c r="AM223" i="10"/>
  <c r="AK223" i="10"/>
  <c r="AK221" i="10" s="1"/>
  <c r="AJ223" i="10"/>
  <c r="AI223" i="10"/>
  <c r="AD223" i="10"/>
  <c r="U223" i="10"/>
  <c r="T223" i="10"/>
  <c r="AM222" i="10"/>
  <c r="AK222" i="10"/>
  <c r="AJ222" i="10"/>
  <c r="AI222" i="10"/>
  <c r="AD222" i="10"/>
  <c r="U222" i="10"/>
  <c r="T222" i="10"/>
  <c r="AJ221" i="10"/>
  <c r="AH221" i="10"/>
  <c r="AI221" i="10" s="1"/>
  <c r="AG221" i="10"/>
  <c r="AC221" i="10"/>
  <c r="AB221" i="10"/>
  <c r="AA221" i="10"/>
  <c r="Z221" i="10"/>
  <c r="Y221" i="10"/>
  <c r="X221" i="10"/>
  <c r="W221" i="10"/>
  <c r="V221" i="10"/>
  <c r="S221" i="10"/>
  <c r="U221" i="10" s="1"/>
  <c r="R221" i="10"/>
  <c r="Q221" i="10"/>
  <c r="P221" i="10"/>
  <c r="O221" i="10"/>
  <c r="N221" i="10"/>
  <c r="T221" i="10" s="1"/>
  <c r="M221" i="10"/>
  <c r="L221" i="10"/>
  <c r="K221" i="10"/>
  <c r="J221" i="10"/>
  <c r="I221" i="10"/>
  <c r="H221" i="10"/>
  <c r="AM220" i="10"/>
  <c r="AK220" i="10"/>
  <c r="AJ220" i="10"/>
  <c r="AI220" i="10"/>
  <c r="AD220" i="10"/>
  <c r="U220" i="10"/>
  <c r="T220" i="10"/>
  <c r="AM219" i="10"/>
  <c r="AK219" i="10"/>
  <c r="AJ219" i="10"/>
  <c r="AI219" i="10"/>
  <c r="AD219" i="10"/>
  <c r="U219" i="10"/>
  <c r="T219" i="10"/>
  <c r="AM218" i="10"/>
  <c r="AK218" i="10"/>
  <c r="AJ218" i="10"/>
  <c r="AI218" i="10"/>
  <c r="AD218" i="10"/>
  <c r="U218" i="10"/>
  <c r="T218" i="10"/>
  <c r="AM217" i="10"/>
  <c r="AK217" i="10"/>
  <c r="AJ217" i="10"/>
  <c r="AJ215" i="10" s="1"/>
  <c r="AI217" i="10"/>
  <c r="AD217" i="10"/>
  <c r="U217" i="10"/>
  <c r="T217" i="10"/>
  <c r="AM216" i="10"/>
  <c r="AK216" i="10"/>
  <c r="AJ216" i="10"/>
  <c r="AI216" i="10"/>
  <c r="AD216" i="10"/>
  <c r="U216" i="10"/>
  <c r="T216" i="10"/>
  <c r="AK215" i="10"/>
  <c r="AI215" i="10"/>
  <c r="AH215" i="10"/>
  <c r="AG215" i="10"/>
  <c r="AC215" i="10"/>
  <c r="AB215" i="10"/>
  <c r="AA215" i="10"/>
  <c r="Z215" i="10"/>
  <c r="Y215" i="10"/>
  <c r="X215" i="10"/>
  <c r="W215" i="10"/>
  <c r="V215" i="10"/>
  <c r="S215" i="10"/>
  <c r="T215" i="10" s="1"/>
  <c r="R215" i="10"/>
  <c r="Q215" i="10"/>
  <c r="P215" i="10"/>
  <c r="O215" i="10"/>
  <c r="N215" i="10"/>
  <c r="M215" i="10"/>
  <c r="L215" i="10"/>
  <c r="K215" i="10"/>
  <c r="J215" i="10"/>
  <c r="I215" i="10"/>
  <c r="H215" i="10"/>
  <c r="AM214" i="10"/>
  <c r="AJ214" i="10"/>
  <c r="AI214" i="10"/>
  <c r="AD214" i="10"/>
  <c r="U214" i="10"/>
  <c r="T214" i="10"/>
  <c r="AM213" i="10"/>
  <c r="AJ213" i="10"/>
  <c r="AI213" i="10"/>
  <c r="AD213" i="10"/>
  <c r="U213" i="10"/>
  <c r="T213" i="10"/>
  <c r="AK212" i="10"/>
  <c r="AJ212" i="10"/>
  <c r="AI212" i="10"/>
  <c r="AH212" i="10"/>
  <c r="AG212" i="10"/>
  <c r="AC212" i="10"/>
  <c r="AB212" i="10"/>
  <c r="AA212" i="10"/>
  <c r="Z212" i="10"/>
  <c r="Y212" i="10"/>
  <c r="X212" i="10"/>
  <c r="W212" i="10"/>
  <c r="V212" i="10"/>
  <c r="U212" i="10"/>
  <c r="S212" i="10"/>
  <c r="T212" i="10" s="1"/>
  <c r="R212" i="10"/>
  <c r="Q212" i="10"/>
  <c r="P212" i="10"/>
  <c r="O212" i="10"/>
  <c r="N212" i="10"/>
  <c r="M212" i="10"/>
  <c r="L212" i="10"/>
  <c r="K212" i="10"/>
  <c r="J212" i="10"/>
  <c r="I212" i="10"/>
  <c r="H212" i="10"/>
  <c r="AM211" i="10"/>
  <c r="AK211" i="10"/>
  <c r="AJ211" i="10"/>
  <c r="AI211" i="10"/>
  <c r="AD211" i="10"/>
  <c r="U211" i="10"/>
  <c r="T211" i="10"/>
  <c r="AM210" i="10"/>
  <c r="AJ210" i="10"/>
  <c r="AI210" i="10"/>
  <c r="AD210" i="10"/>
  <c r="U210" i="10"/>
  <c r="T210" i="10"/>
  <c r="AM209" i="10"/>
  <c r="AJ209" i="10"/>
  <c r="AI209" i="10"/>
  <c r="AD209" i="10"/>
  <c r="U209" i="10"/>
  <c r="T209" i="10"/>
  <c r="AM208" i="10"/>
  <c r="AJ208" i="10"/>
  <c r="AI208" i="10"/>
  <c r="AD208" i="10"/>
  <c r="U208" i="10"/>
  <c r="T208" i="10"/>
  <c r="D208" i="10"/>
  <c r="AK207" i="10"/>
  <c r="AJ207" i="10"/>
  <c r="AH207" i="10"/>
  <c r="AI207" i="10" s="1"/>
  <c r="AG207" i="10"/>
  <c r="AC207" i="10"/>
  <c r="AB207" i="10"/>
  <c r="AA207" i="10"/>
  <c r="Z207" i="10"/>
  <c r="Y207" i="10"/>
  <c r="X207" i="10"/>
  <c r="W207" i="10"/>
  <c r="V207" i="10"/>
  <c r="S207" i="10"/>
  <c r="U207" i="10" s="1"/>
  <c r="R207" i="10"/>
  <c r="Q207" i="10"/>
  <c r="P207" i="10"/>
  <c r="O207" i="10"/>
  <c r="N207" i="10"/>
  <c r="T207" i="10" s="1"/>
  <c r="M207" i="10"/>
  <c r="L207" i="10"/>
  <c r="K207" i="10"/>
  <c r="J207" i="10"/>
  <c r="I207" i="10"/>
  <c r="H207" i="10"/>
  <c r="AH206" i="10"/>
  <c r="AI206" i="10" s="1"/>
  <c r="AG206" i="10"/>
  <c r="AC206" i="10"/>
  <c r="AB206" i="10"/>
  <c r="AA206" i="10"/>
  <c r="Z206" i="10"/>
  <c r="CG40" i="5" s="1"/>
  <c r="Y206" i="10"/>
  <c r="X206" i="10"/>
  <c r="W206" i="10"/>
  <c r="V206" i="10"/>
  <c r="S206" i="10"/>
  <c r="U206" i="10" s="1"/>
  <c r="R206" i="10"/>
  <c r="Q206" i="10"/>
  <c r="P206" i="10"/>
  <c r="O206" i="10"/>
  <c r="N206" i="10"/>
  <c r="M206" i="10"/>
  <c r="L206" i="10"/>
  <c r="K206" i="10"/>
  <c r="J206" i="10"/>
  <c r="I206" i="10"/>
  <c r="H206" i="10"/>
  <c r="AM205" i="10"/>
  <c r="AJ205" i="10"/>
  <c r="AI205" i="10"/>
  <c r="U205" i="10"/>
  <c r="T205" i="10"/>
  <c r="AM204" i="10"/>
  <c r="AJ204" i="10"/>
  <c r="AI204" i="10"/>
  <c r="U204" i="10"/>
  <c r="T204" i="10"/>
  <c r="AM203" i="10"/>
  <c r="AJ203" i="10"/>
  <c r="AI203" i="10"/>
  <c r="U203" i="10"/>
  <c r="T203" i="10"/>
  <c r="AM202" i="10"/>
  <c r="AK202" i="10"/>
  <c r="AJ202" i="10"/>
  <c r="AI202" i="10"/>
  <c r="U202" i="10"/>
  <c r="T202" i="10"/>
  <c r="AM201" i="10"/>
  <c r="AK201" i="10"/>
  <c r="AJ201" i="10"/>
  <c r="AI201" i="10"/>
  <c r="AM200" i="10"/>
  <c r="AK200" i="10"/>
  <c r="AJ200" i="10"/>
  <c r="AI200" i="10"/>
  <c r="AD200" i="10"/>
  <c r="U200" i="10"/>
  <c r="T200" i="10"/>
  <c r="AM199" i="10"/>
  <c r="AK199" i="10"/>
  <c r="AJ199" i="10"/>
  <c r="AI199" i="10"/>
  <c r="AD199" i="10"/>
  <c r="U199" i="10"/>
  <c r="T199" i="10"/>
  <c r="AM198" i="10"/>
  <c r="AK198" i="10"/>
  <c r="AJ198" i="10"/>
  <c r="AI198" i="10"/>
  <c r="AD198" i="10"/>
  <c r="U198" i="10"/>
  <c r="T198" i="10"/>
  <c r="AM197" i="10"/>
  <c r="AK197" i="10"/>
  <c r="AJ197" i="10"/>
  <c r="AI197" i="10"/>
  <c r="AD197" i="10"/>
  <c r="U197" i="10"/>
  <c r="T197" i="10"/>
  <c r="AM196" i="10"/>
  <c r="AJ196" i="10"/>
  <c r="AI196" i="10"/>
  <c r="AD196" i="10"/>
  <c r="U196" i="10"/>
  <c r="T196" i="10"/>
  <c r="AM195" i="10"/>
  <c r="AK195" i="10"/>
  <c r="AJ195" i="10"/>
  <c r="AI195" i="10"/>
  <c r="AD195" i="10"/>
  <c r="U195" i="10"/>
  <c r="T195" i="10"/>
  <c r="AM194" i="10"/>
  <c r="AK194" i="10"/>
  <c r="AJ194" i="10"/>
  <c r="AI194" i="10"/>
  <c r="AD194" i="10"/>
  <c r="U194" i="10"/>
  <c r="T194" i="10"/>
  <c r="AM193" i="10"/>
  <c r="AK193" i="10"/>
  <c r="AJ193" i="10"/>
  <c r="AI193" i="10"/>
  <c r="AD193" i="10"/>
  <c r="U193" i="10"/>
  <c r="T193" i="10"/>
  <c r="AM192" i="10"/>
  <c r="AJ192" i="10"/>
  <c r="AI192" i="10"/>
  <c r="U192" i="10"/>
  <c r="T192" i="10"/>
  <c r="AM191" i="10"/>
  <c r="AK191" i="10"/>
  <c r="AJ191" i="10"/>
  <c r="AI191" i="10"/>
  <c r="AD191" i="10"/>
  <c r="U191" i="10"/>
  <c r="T191" i="10"/>
  <c r="AM190" i="10"/>
  <c r="AK190" i="10"/>
  <c r="AJ190" i="10"/>
  <c r="AI190" i="10"/>
  <c r="AD190" i="10"/>
  <c r="U190" i="10"/>
  <c r="T190" i="10"/>
  <c r="AM189" i="10"/>
  <c r="AK189" i="10"/>
  <c r="AJ189" i="10"/>
  <c r="AI189" i="10"/>
  <c r="AD189" i="10"/>
  <c r="U189" i="10"/>
  <c r="T189" i="10"/>
  <c r="AM188" i="10"/>
  <c r="AK188" i="10"/>
  <c r="AJ188" i="10"/>
  <c r="AI188" i="10"/>
  <c r="AD188" i="10"/>
  <c r="U188" i="10"/>
  <c r="T188" i="10"/>
  <c r="AM187" i="10"/>
  <c r="AK187" i="10"/>
  <c r="AJ187" i="10"/>
  <c r="AI187" i="10"/>
  <c r="AD187" i="10"/>
  <c r="U187" i="10"/>
  <c r="T187" i="10"/>
  <c r="AM186" i="10"/>
  <c r="AK186" i="10"/>
  <c r="AJ186" i="10"/>
  <c r="AI186" i="10"/>
  <c r="AD186" i="10"/>
  <c r="U186" i="10"/>
  <c r="T186" i="10"/>
  <c r="AM185" i="10"/>
  <c r="AK185" i="10"/>
  <c r="AJ185" i="10"/>
  <c r="AI185" i="10"/>
  <c r="AD185" i="10"/>
  <c r="U185" i="10"/>
  <c r="T185" i="10"/>
  <c r="AM184" i="10"/>
  <c r="AK184" i="10"/>
  <c r="AJ184" i="10"/>
  <c r="AI184" i="10"/>
  <c r="AD184" i="10"/>
  <c r="U184" i="10"/>
  <c r="T184" i="10"/>
  <c r="AM183" i="10"/>
  <c r="AK183" i="10"/>
  <c r="AJ183" i="10"/>
  <c r="AI183" i="10"/>
  <c r="AD183" i="10"/>
  <c r="U183" i="10"/>
  <c r="T183" i="10"/>
  <c r="AM182" i="10"/>
  <c r="AK182" i="10"/>
  <c r="AJ182" i="10"/>
  <c r="AI182" i="10"/>
  <c r="AD182" i="10"/>
  <c r="U182" i="10"/>
  <c r="T182" i="10"/>
  <c r="AM181" i="10"/>
  <c r="AK181" i="10"/>
  <c r="AK206" i="10" s="1"/>
  <c r="AJ181" i="10"/>
  <c r="AI181" i="10"/>
  <c r="AD181" i="10"/>
  <c r="U181" i="10"/>
  <c r="T181" i="10"/>
  <c r="AH180" i="10"/>
  <c r="AI180" i="10" s="1"/>
  <c r="AG180" i="10"/>
  <c r="AC180" i="10"/>
  <c r="AB180" i="10"/>
  <c r="AA180" i="10"/>
  <c r="Z180" i="10"/>
  <c r="Y180" i="10"/>
  <c r="X180" i="10"/>
  <c r="W180" i="10"/>
  <c r="V180" i="10"/>
  <c r="S180" i="10"/>
  <c r="U180" i="10" s="1"/>
  <c r="R180" i="10"/>
  <c r="Q180" i="10"/>
  <c r="P180" i="10"/>
  <c r="O180" i="10"/>
  <c r="N180" i="10"/>
  <c r="T180" i="10" s="1"/>
  <c r="M180" i="10"/>
  <c r="L180" i="10"/>
  <c r="K180" i="10"/>
  <c r="J180" i="10"/>
  <c r="I180" i="10"/>
  <c r="H180" i="10"/>
  <c r="AM179" i="10"/>
  <c r="AK179" i="10"/>
  <c r="AJ179" i="10"/>
  <c r="AI179" i="10"/>
  <c r="AD179" i="10"/>
  <c r="U179" i="10"/>
  <c r="T179" i="10"/>
  <c r="AM178" i="10"/>
  <c r="AK178" i="10"/>
  <c r="AJ178" i="10"/>
  <c r="AI178" i="10"/>
  <c r="AD178" i="10"/>
  <c r="U178" i="10"/>
  <c r="T178" i="10"/>
  <c r="AM177" i="10"/>
  <c r="AK177" i="10"/>
  <c r="AJ177" i="10"/>
  <c r="AI177" i="10"/>
  <c r="AD177" i="10"/>
  <c r="U177" i="10"/>
  <c r="T177" i="10"/>
  <c r="AM176" i="10"/>
  <c r="AK176" i="10"/>
  <c r="AK180" i="10" s="1"/>
  <c r="AJ176" i="10"/>
  <c r="AJ180" i="10" s="1"/>
  <c r="AI176" i="10"/>
  <c r="AD176" i="10"/>
  <c r="U176" i="10"/>
  <c r="T176" i="10"/>
  <c r="AH175" i="10"/>
  <c r="AI175" i="10" s="1"/>
  <c r="AG175" i="10"/>
  <c r="AC175" i="10"/>
  <c r="AB175" i="10"/>
  <c r="AA175" i="10"/>
  <c r="Z175" i="10"/>
  <c r="Y175" i="10"/>
  <c r="X175" i="10"/>
  <c r="W175" i="10"/>
  <c r="V175" i="10"/>
  <c r="S175" i="10"/>
  <c r="U175" i="10" s="1"/>
  <c r="R175" i="10"/>
  <c r="Q175" i="10"/>
  <c r="P175" i="10"/>
  <c r="O175" i="10"/>
  <c r="N175" i="10"/>
  <c r="T175" i="10" s="1"/>
  <c r="M175" i="10"/>
  <c r="L175" i="10"/>
  <c r="K175" i="10"/>
  <c r="J175" i="10"/>
  <c r="I175" i="10"/>
  <c r="H175" i="10"/>
  <c r="AM174" i="10"/>
  <c r="AK174" i="10"/>
  <c r="AJ174" i="10"/>
  <c r="AI174" i="10"/>
  <c r="AD174" i="10"/>
  <c r="U174" i="10"/>
  <c r="T174" i="10"/>
  <c r="AM173" i="10"/>
  <c r="AK173" i="10"/>
  <c r="AK175" i="10" s="1"/>
  <c r="AJ173" i="10"/>
  <c r="AJ175" i="10" s="1"/>
  <c r="AI173" i="10"/>
  <c r="AD173" i="10"/>
  <c r="U173" i="10"/>
  <c r="T173" i="10"/>
  <c r="AH172" i="10"/>
  <c r="AI172" i="10" s="1"/>
  <c r="AG172" i="10"/>
  <c r="AC172" i="10"/>
  <c r="AB172" i="10"/>
  <c r="AA172" i="10"/>
  <c r="Z172" i="10"/>
  <c r="Y172" i="10"/>
  <c r="X172" i="10"/>
  <c r="W172" i="10"/>
  <c r="V172" i="10"/>
  <c r="S172" i="10"/>
  <c r="U172" i="10" s="1"/>
  <c r="R172" i="10"/>
  <c r="Q172" i="10"/>
  <c r="P172" i="10"/>
  <c r="O172" i="10"/>
  <c r="N172" i="10"/>
  <c r="T172" i="10" s="1"/>
  <c r="M172" i="10"/>
  <c r="L172" i="10"/>
  <c r="K172" i="10"/>
  <c r="J172" i="10"/>
  <c r="I172" i="10"/>
  <c r="H172" i="10"/>
  <c r="AM171" i="10"/>
  <c r="AK171" i="10"/>
  <c r="AJ171" i="10"/>
  <c r="AI171" i="10"/>
  <c r="AD171" i="10"/>
  <c r="U171" i="10"/>
  <c r="T171" i="10"/>
  <c r="AM170" i="10"/>
  <c r="AK170" i="10"/>
  <c r="AJ170" i="10"/>
  <c r="AI170" i="10"/>
  <c r="AD170" i="10"/>
  <c r="U170" i="10"/>
  <c r="T170" i="10"/>
  <c r="AM169" i="10"/>
  <c r="AK169" i="10"/>
  <c r="AK172" i="10" s="1"/>
  <c r="AJ169" i="10"/>
  <c r="AJ172" i="10" s="1"/>
  <c r="AI169" i="10"/>
  <c r="AD169" i="10"/>
  <c r="U169" i="10"/>
  <c r="T169" i="10"/>
  <c r="AH168" i="10"/>
  <c r="AG168" i="10"/>
  <c r="AC168" i="10"/>
  <c r="AB168" i="10"/>
  <c r="AA168" i="10"/>
  <c r="Z168" i="10"/>
  <c r="Y168" i="10"/>
  <c r="X168" i="10"/>
  <c r="AI168" i="10" s="1"/>
  <c r="W168" i="10"/>
  <c r="V168" i="10"/>
  <c r="S168" i="10"/>
  <c r="T168" i="10" s="1"/>
  <c r="R168" i="10"/>
  <c r="Q168" i="10"/>
  <c r="P168" i="10"/>
  <c r="O168" i="10"/>
  <c r="N168" i="10"/>
  <c r="M168" i="10"/>
  <c r="L168" i="10"/>
  <c r="K168" i="10"/>
  <c r="J168" i="10"/>
  <c r="I168" i="10"/>
  <c r="H168" i="10"/>
  <c r="AM167" i="10"/>
  <c r="AJ167" i="10"/>
  <c r="AI167" i="10"/>
  <c r="AD167" i="10"/>
  <c r="U167" i="10"/>
  <c r="T167" i="10"/>
  <c r="AM166" i="10"/>
  <c r="AK166" i="10"/>
  <c r="AJ166" i="10"/>
  <c r="AI166" i="10"/>
  <c r="AD166" i="10"/>
  <c r="U166" i="10"/>
  <c r="T166" i="10"/>
  <c r="AM165" i="10"/>
  <c r="AK165" i="10"/>
  <c r="AJ165" i="10"/>
  <c r="AI165" i="10"/>
  <c r="AD165" i="10"/>
  <c r="U165" i="10"/>
  <c r="T165" i="10"/>
  <c r="AM164" i="10"/>
  <c r="AK164" i="10"/>
  <c r="AJ164" i="10"/>
  <c r="AI164" i="10"/>
  <c r="AD164" i="10"/>
  <c r="U164" i="10"/>
  <c r="T164" i="10"/>
  <c r="AM163" i="10"/>
  <c r="AK163" i="10"/>
  <c r="AJ163" i="10"/>
  <c r="AI163" i="10"/>
  <c r="AD163" i="10"/>
  <c r="U163" i="10"/>
  <c r="T163" i="10"/>
  <c r="AM162" i="10"/>
  <c r="AK162" i="10"/>
  <c r="AK168" i="10" s="1"/>
  <c r="AJ162" i="10"/>
  <c r="AI162" i="10"/>
  <c r="AD162" i="10"/>
  <c r="U162" i="10"/>
  <c r="T162" i="10"/>
  <c r="AM161" i="10"/>
  <c r="AJ161" i="10"/>
  <c r="AJ168" i="10" s="1"/>
  <c r="AI161" i="10"/>
  <c r="AD161" i="10"/>
  <c r="U161" i="10"/>
  <c r="T161" i="10"/>
  <c r="AG160" i="10"/>
  <c r="AC160" i="10"/>
  <c r="AB160" i="10"/>
  <c r="AA160" i="10"/>
  <c r="Z160" i="10"/>
  <c r="Y160" i="10"/>
  <c r="X160" i="10"/>
  <c r="W160" i="10"/>
  <c r="V160" i="10"/>
  <c r="S160" i="10"/>
  <c r="U160" i="10" s="1"/>
  <c r="R160" i="10"/>
  <c r="Q160" i="10"/>
  <c r="P160" i="10"/>
  <c r="O160" i="10"/>
  <c r="N160" i="10"/>
  <c r="M160" i="10"/>
  <c r="L160" i="10"/>
  <c r="K160" i="10"/>
  <c r="J160" i="10"/>
  <c r="I160" i="10"/>
  <c r="H160" i="10"/>
  <c r="AM159" i="10"/>
  <c r="AK159" i="10"/>
  <c r="AJ159" i="10"/>
  <c r="AI159" i="10"/>
  <c r="AD159" i="10"/>
  <c r="U159" i="10"/>
  <c r="T159" i="10"/>
  <c r="AM158" i="10"/>
  <c r="AK158" i="10"/>
  <c r="AJ158" i="10"/>
  <c r="AI158" i="10"/>
  <c r="AD158" i="10"/>
  <c r="U158" i="10"/>
  <c r="T158" i="10"/>
  <c r="AM157" i="10"/>
  <c r="AK157" i="10"/>
  <c r="AJ157" i="10"/>
  <c r="AI157" i="10"/>
  <c r="AD157" i="10"/>
  <c r="U157" i="10"/>
  <c r="T157" i="10"/>
  <c r="AM156" i="10"/>
  <c r="AK156" i="10"/>
  <c r="AK160" i="10" s="1"/>
  <c r="AJ156" i="10"/>
  <c r="AI156" i="10"/>
  <c r="AD156" i="10"/>
  <c r="U156" i="10"/>
  <c r="T156" i="10"/>
  <c r="AM155" i="10"/>
  <c r="AJ155" i="10"/>
  <c r="AI155" i="10"/>
  <c r="AD155" i="10"/>
  <c r="U155" i="10"/>
  <c r="T155" i="10"/>
  <c r="AH154" i="10"/>
  <c r="AM154" i="10" s="1"/>
  <c r="U154" i="10"/>
  <c r="T154" i="10"/>
  <c r="AH153" i="10"/>
  <c r="AI153" i="10" s="1"/>
  <c r="AG153" i="10"/>
  <c r="AC153" i="10"/>
  <c r="AB153" i="10"/>
  <c r="AA153" i="10"/>
  <c r="Z153" i="10"/>
  <c r="Y153" i="10"/>
  <c r="X153" i="10"/>
  <c r="W153" i="10"/>
  <c r="V153" i="10"/>
  <c r="S153" i="10"/>
  <c r="U153" i="10" s="1"/>
  <c r="R153" i="10"/>
  <c r="Q153" i="10"/>
  <c r="P153" i="10"/>
  <c r="O153" i="10"/>
  <c r="N153" i="10"/>
  <c r="T153" i="10" s="1"/>
  <c r="M153" i="10"/>
  <c r="L153" i="10"/>
  <c r="K153" i="10"/>
  <c r="J153" i="10"/>
  <c r="I153" i="10"/>
  <c r="H153" i="10"/>
  <c r="AM152" i="10"/>
  <c r="AK152" i="10"/>
  <c r="AK153" i="10" s="1"/>
  <c r="AK151" i="10" s="1"/>
  <c r="AK130" i="10" s="1"/>
  <c r="AK129" i="10" s="1"/>
  <c r="AJ152" i="10"/>
  <c r="AJ153" i="10" s="1"/>
  <c r="AI152" i="10"/>
  <c r="AD152" i="10"/>
  <c r="AD153" i="10" s="1"/>
  <c r="U152" i="10"/>
  <c r="T152" i="10"/>
  <c r="AG151" i="10"/>
  <c r="AC151" i="10"/>
  <c r="AB151" i="10"/>
  <c r="AA151" i="10"/>
  <c r="Z151" i="10"/>
  <c r="Y151" i="10"/>
  <c r="X151" i="10"/>
  <c r="W151" i="10"/>
  <c r="V151" i="10"/>
  <c r="S151" i="10"/>
  <c r="R151" i="10"/>
  <c r="Q151" i="10"/>
  <c r="P151" i="10"/>
  <c r="O151" i="10"/>
  <c r="N151" i="10"/>
  <c r="M151" i="10"/>
  <c r="L151" i="10"/>
  <c r="K151" i="10"/>
  <c r="J151" i="10"/>
  <c r="I151" i="10"/>
  <c r="H151" i="10"/>
  <c r="AM150" i="10"/>
  <c r="AJ150" i="10"/>
  <c r="AI150" i="10"/>
  <c r="AD150" i="10"/>
  <c r="U150" i="10"/>
  <c r="T150" i="10"/>
  <c r="AM149" i="10"/>
  <c r="AJ149" i="10"/>
  <c r="AI149" i="10"/>
  <c r="AD149" i="10"/>
  <c r="U149" i="10"/>
  <c r="T149" i="10"/>
  <c r="AK148" i="10"/>
  <c r="AJ148" i="10"/>
  <c r="AH148" i="10"/>
  <c r="AG148" i="10"/>
  <c r="AC148" i="10"/>
  <c r="AB148" i="10"/>
  <c r="AA148" i="10"/>
  <c r="Z148" i="10"/>
  <c r="Y148" i="10"/>
  <c r="X148" i="10"/>
  <c r="AI148" i="10" s="1"/>
  <c r="W148" i="10"/>
  <c r="V148" i="10"/>
  <c r="S148" i="10"/>
  <c r="T148" i="10" s="1"/>
  <c r="R148" i="10"/>
  <c r="Q148" i="10"/>
  <c r="P148" i="10"/>
  <c r="O148" i="10"/>
  <c r="N148" i="10"/>
  <c r="M148" i="10"/>
  <c r="L148" i="10"/>
  <c r="K148" i="10"/>
  <c r="J148" i="10"/>
  <c r="I148" i="10"/>
  <c r="H148" i="10"/>
  <c r="AM147" i="10"/>
  <c r="AK147" i="10"/>
  <c r="AJ147" i="10"/>
  <c r="AI147" i="10"/>
  <c r="AD147" i="10"/>
  <c r="U147" i="10"/>
  <c r="T147" i="10"/>
  <c r="AM146" i="10"/>
  <c r="AK146" i="10"/>
  <c r="AJ146" i="10"/>
  <c r="AI146" i="10"/>
  <c r="AD146" i="10"/>
  <c r="U146" i="10"/>
  <c r="T146" i="10"/>
  <c r="AM145" i="10"/>
  <c r="AK145" i="10"/>
  <c r="AJ145" i="10"/>
  <c r="AI145" i="10"/>
  <c r="AD145" i="10"/>
  <c r="U145" i="10"/>
  <c r="T145" i="10"/>
  <c r="AM144" i="10"/>
  <c r="AK144" i="10"/>
  <c r="AJ144" i="10"/>
  <c r="AI144" i="10"/>
  <c r="AD144" i="10"/>
  <c r="U144" i="10"/>
  <c r="T144" i="10"/>
  <c r="AK143" i="10"/>
  <c r="AJ143" i="10"/>
  <c r="AH143" i="10"/>
  <c r="AG143" i="10"/>
  <c r="AC143" i="10"/>
  <c r="AB143" i="10"/>
  <c r="AA143" i="10"/>
  <c r="Z143" i="10"/>
  <c r="Y143" i="10"/>
  <c r="X143" i="10"/>
  <c r="AI143" i="10" s="1"/>
  <c r="W143" i="10"/>
  <c r="V143" i="10"/>
  <c r="S143" i="10"/>
  <c r="T143" i="10" s="1"/>
  <c r="R143" i="10"/>
  <c r="Q143" i="10"/>
  <c r="P143" i="10"/>
  <c r="O143" i="10"/>
  <c r="N143" i="10"/>
  <c r="M143" i="10"/>
  <c r="L143" i="10"/>
  <c r="K143" i="10"/>
  <c r="J143" i="10"/>
  <c r="I143" i="10"/>
  <c r="H143" i="10"/>
  <c r="AM142" i="10"/>
  <c r="AJ142" i="10"/>
  <c r="AI142" i="10"/>
  <c r="AD142" i="10"/>
  <c r="AD141" i="10" s="1"/>
  <c r="U142" i="10"/>
  <c r="T142" i="10"/>
  <c r="AK141" i="10"/>
  <c r="AJ141" i="10"/>
  <c r="AH141" i="10"/>
  <c r="AG141" i="10"/>
  <c r="AC141" i="10"/>
  <c r="AB141" i="10"/>
  <c r="AA141" i="10"/>
  <c r="Z141" i="10"/>
  <c r="Y141" i="10"/>
  <c r="X141" i="10"/>
  <c r="AI141" i="10" s="1"/>
  <c r="W141" i="10"/>
  <c r="V141" i="10"/>
  <c r="S141" i="10"/>
  <c r="T141" i="10" s="1"/>
  <c r="R141" i="10"/>
  <c r="Q141" i="10"/>
  <c r="P141" i="10"/>
  <c r="O141" i="10"/>
  <c r="N141" i="10"/>
  <c r="M141" i="10"/>
  <c r="L141" i="10"/>
  <c r="K141" i="10"/>
  <c r="J141" i="10"/>
  <c r="I141" i="10"/>
  <c r="H141" i="10"/>
  <c r="AM140" i="10"/>
  <c r="AK140" i="10"/>
  <c r="AJ140" i="10"/>
  <c r="AI140" i="10"/>
  <c r="AD140" i="10"/>
  <c r="U140" i="10"/>
  <c r="T140" i="10"/>
  <c r="AM139" i="10"/>
  <c r="AJ139" i="10"/>
  <c r="AI139" i="10"/>
  <c r="AD139" i="10"/>
  <c r="U139" i="10"/>
  <c r="T139" i="10"/>
  <c r="AM138" i="10"/>
  <c r="AJ138" i="10"/>
  <c r="AI138" i="10"/>
  <c r="AD138" i="10"/>
  <c r="U138" i="10"/>
  <c r="T138" i="10"/>
  <c r="AM137" i="10"/>
  <c r="AJ137" i="10"/>
  <c r="AI137" i="10"/>
  <c r="AD137" i="10"/>
  <c r="U137" i="10"/>
  <c r="T137" i="10"/>
  <c r="AM136" i="10"/>
  <c r="AK136" i="10"/>
  <c r="AJ136" i="10"/>
  <c r="AI136" i="10"/>
  <c r="AD136" i="10"/>
  <c r="U136" i="10"/>
  <c r="T136" i="10"/>
  <c r="AM135" i="10"/>
  <c r="AK135" i="10"/>
  <c r="AJ135" i="10"/>
  <c r="AI135" i="10"/>
  <c r="AD135" i="10"/>
  <c r="U135" i="10"/>
  <c r="T135" i="10"/>
  <c r="AM134" i="10"/>
  <c r="AJ134" i="10"/>
  <c r="AI134" i="10"/>
  <c r="AD134" i="10"/>
  <c r="U134" i="10"/>
  <c r="T134" i="10"/>
  <c r="AM133" i="10"/>
  <c r="AK133" i="10"/>
  <c r="AJ133" i="10"/>
  <c r="AI133" i="10"/>
  <c r="AD133" i="10"/>
  <c r="U133" i="10"/>
  <c r="T133" i="10"/>
  <c r="AM132" i="10"/>
  <c r="AK132" i="10"/>
  <c r="AJ132" i="10"/>
  <c r="AI132" i="10"/>
  <c r="AD132" i="10"/>
  <c r="U132" i="10"/>
  <c r="T132" i="10"/>
  <c r="AK131" i="10"/>
  <c r="AJ131" i="10"/>
  <c r="AH131" i="10"/>
  <c r="AI131" i="10" s="1"/>
  <c r="AG131" i="10"/>
  <c r="AC131" i="10"/>
  <c r="AB131" i="10"/>
  <c r="AA131" i="10"/>
  <c r="Z131" i="10"/>
  <c r="Y131" i="10"/>
  <c r="X131" i="10"/>
  <c r="W131" i="10"/>
  <c r="V131" i="10"/>
  <c r="S131" i="10"/>
  <c r="U131" i="10" s="1"/>
  <c r="R131" i="10"/>
  <c r="Q131" i="10"/>
  <c r="P131" i="10"/>
  <c r="O131" i="10"/>
  <c r="N131" i="10"/>
  <c r="T131" i="10" s="1"/>
  <c r="M131" i="10"/>
  <c r="L131" i="10"/>
  <c r="K131" i="10"/>
  <c r="J131" i="10"/>
  <c r="I131" i="10"/>
  <c r="H131" i="10"/>
  <c r="AG130" i="10"/>
  <c r="AC130" i="10"/>
  <c r="AB130" i="10"/>
  <c r="AA130" i="10"/>
  <c r="Z130" i="10"/>
  <c r="Z129" i="10" s="1"/>
  <c r="Y130" i="10"/>
  <c r="X130" i="10"/>
  <c r="W130" i="10"/>
  <c r="V130" i="10"/>
  <c r="S130" i="10"/>
  <c r="R130" i="10"/>
  <c r="Q130" i="10"/>
  <c r="P130" i="10"/>
  <c r="O130" i="10"/>
  <c r="N130" i="10"/>
  <c r="M130" i="10"/>
  <c r="L130" i="10"/>
  <c r="K130" i="10"/>
  <c r="J130" i="10"/>
  <c r="I130" i="10"/>
  <c r="H130" i="10"/>
  <c r="AG129" i="10"/>
  <c r="AC129" i="10"/>
  <c r="AB129" i="10"/>
  <c r="AA129" i="10"/>
  <c r="Y129" i="10"/>
  <c r="X129" i="10"/>
  <c r="W129" i="10"/>
  <c r="V129" i="10"/>
  <c r="S129" i="10"/>
  <c r="T129" i="10" s="1"/>
  <c r="R129" i="10"/>
  <c r="Q129" i="10"/>
  <c r="P129" i="10"/>
  <c r="O129" i="10"/>
  <c r="N129" i="10"/>
  <c r="M129" i="10"/>
  <c r="L129" i="10"/>
  <c r="K129" i="10"/>
  <c r="J129" i="10"/>
  <c r="I129" i="10"/>
  <c r="H129" i="10"/>
  <c r="AM128" i="10"/>
  <c r="AK128" i="10"/>
  <c r="AJ128" i="10"/>
  <c r="AI128" i="10"/>
  <c r="AD128" i="10"/>
  <c r="U128" i="10"/>
  <c r="T128" i="10"/>
  <c r="AM127" i="10"/>
  <c r="AJ127" i="10"/>
  <c r="AI127" i="10"/>
  <c r="AD127" i="10"/>
  <c r="U127" i="10"/>
  <c r="T127" i="10"/>
  <c r="AM126" i="10"/>
  <c r="AK126" i="10"/>
  <c r="AJ126" i="10"/>
  <c r="AI126" i="10"/>
  <c r="AD126" i="10"/>
  <c r="U126" i="10"/>
  <c r="T126" i="10"/>
  <c r="AM125" i="10"/>
  <c r="AK125" i="10"/>
  <c r="AJ125" i="10"/>
  <c r="AI125" i="10"/>
  <c r="AD125" i="10"/>
  <c r="U125" i="10"/>
  <c r="T125" i="10"/>
  <c r="AM124" i="10"/>
  <c r="AK124" i="10"/>
  <c r="AJ124" i="10"/>
  <c r="AI124" i="10"/>
  <c r="AD124" i="10"/>
  <c r="U124" i="10"/>
  <c r="T124" i="10"/>
  <c r="AM123" i="10"/>
  <c r="AK123" i="10"/>
  <c r="AJ123" i="10"/>
  <c r="AI123" i="10"/>
  <c r="AD123" i="10"/>
  <c r="U123" i="10"/>
  <c r="T123" i="10"/>
  <c r="AM122" i="10"/>
  <c r="AK122" i="10"/>
  <c r="AJ122" i="10"/>
  <c r="AI122" i="10"/>
  <c r="AD122" i="10"/>
  <c r="U122" i="10"/>
  <c r="T122" i="10"/>
  <c r="AM121" i="10"/>
  <c r="AK121" i="10"/>
  <c r="AJ121" i="10"/>
  <c r="AI121" i="10"/>
  <c r="AD121" i="10"/>
  <c r="U121" i="10"/>
  <c r="T121" i="10"/>
  <c r="AK120" i="10"/>
  <c r="AJ120" i="10"/>
  <c r="AH120" i="10"/>
  <c r="AI120" i="10" s="1"/>
  <c r="AG120" i="10"/>
  <c r="AC120" i="10"/>
  <c r="AB120" i="10"/>
  <c r="AA120" i="10"/>
  <c r="Z120" i="10"/>
  <c r="Y120" i="10"/>
  <c r="X120" i="10"/>
  <c r="W120" i="10"/>
  <c r="V120" i="10"/>
  <c r="S120" i="10"/>
  <c r="U120" i="10" s="1"/>
  <c r="R120" i="10"/>
  <c r="Q120" i="10"/>
  <c r="P120" i="10"/>
  <c r="O120" i="10"/>
  <c r="N120" i="10"/>
  <c r="T120" i="10" s="1"/>
  <c r="M120" i="10"/>
  <c r="L120" i="10"/>
  <c r="K120" i="10"/>
  <c r="J120" i="10"/>
  <c r="I120" i="10"/>
  <c r="H120" i="10"/>
  <c r="AM119" i="10"/>
  <c r="AK119" i="10"/>
  <c r="AJ119" i="10"/>
  <c r="AI119" i="10"/>
  <c r="AD119" i="10"/>
  <c r="U119" i="10"/>
  <c r="T119" i="10"/>
  <c r="AM118" i="10"/>
  <c r="AK118" i="10"/>
  <c r="AJ118" i="10"/>
  <c r="AI118" i="10"/>
  <c r="AD118" i="10"/>
  <c r="U118" i="10"/>
  <c r="T118" i="10"/>
  <c r="AM117" i="10"/>
  <c r="AJ117" i="10"/>
  <c r="AI117" i="10"/>
  <c r="AD117" i="10"/>
  <c r="U117" i="10"/>
  <c r="T117" i="10"/>
  <c r="AM116" i="10"/>
  <c r="AK116" i="10"/>
  <c r="AJ116" i="10"/>
  <c r="AI116" i="10"/>
  <c r="AD116" i="10"/>
  <c r="U116" i="10"/>
  <c r="T116" i="10"/>
  <c r="AM115" i="10"/>
  <c r="AK115" i="10"/>
  <c r="AJ115" i="10"/>
  <c r="AI115" i="10"/>
  <c r="AD115" i="10"/>
  <c r="U115" i="10"/>
  <c r="T115" i="10"/>
  <c r="AK114" i="10"/>
  <c r="AJ114" i="10"/>
  <c r="AH114" i="10"/>
  <c r="AI114" i="10" s="1"/>
  <c r="AG114" i="10"/>
  <c r="AC114" i="10"/>
  <c r="AB114" i="10"/>
  <c r="AA114" i="10"/>
  <c r="Z114" i="10"/>
  <c r="Y114" i="10"/>
  <c r="X114" i="10"/>
  <c r="W114" i="10"/>
  <c r="V114" i="10"/>
  <c r="S114" i="10"/>
  <c r="U114" i="10" s="1"/>
  <c r="R114" i="10"/>
  <c r="Q114" i="10"/>
  <c r="P114" i="10"/>
  <c r="O114" i="10"/>
  <c r="N114" i="10"/>
  <c r="T114" i="10" s="1"/>
  <c r="M114" i="10"/>
  <c r="L114" i="10"/>
  <c r="K114" i="10"/>
  <c r="J114" i="10"/>
  <c r="I114" i="10"/>
  <c r="H114" i="10"/>
  <c r="AN113" i="10"/>
  <c r="AK113" i="10"/>
  <c r="AJ113" i="10"/>
  <c r="AH113" i="10"/>
  <c r="AI113" i="10" s="1"/>
  <c r="AG113" i="10"/>
  <c r="AC113" i="10"/>
  <c r="AB113" i="10"/>
  <c r="AA113" i="10"/>
  <c r="Z113" i="10"/>
  <c r="Y113" i="10"/>
  <c r="X113" i="10"/>
  <c r="W113" i="10"/>
  <c r="V113" i="10"/>
  <c r="S113" i="10"/>
  <c r="T113" i="10" s="1"/>
  <c r="R113" i="10"/>
  <c r="Q113" i="10"/>
  <c r="P113" i="10"/>
  <c r="O113" i="10"/>
  <c r="N113" i="10"/>
  <c r="M113" i="10"/>
  <c r="L113" i="10"/>
  <c r="K113" i="10"/>
  <c r="J113" i="10"/>
  <c r="I113" i="10"/>
  <c r="H113" i="10"/>
  <c r="AM112" i="10"/>
  <c r="AK112" i="10"/>
  <c r="AJ112" i="10"/>
  <c r="AI112" i="10"/>
  <c r="AD112" i="10"/>
  <c r="U112" i="10"/>
  <c r="T112" i="10"/>
  <c r="AM111" i="10"/>
  <c r="AK111" i="10"/>
  <c r="AJ111" i="10"/>
  <c r="AI111" i="10"/>
  <c r="AD111" i="10"/>
  <c r="U111" i="10"/>
  <c r="T111" i="10"/>
  <c r="AM110" i="10"/>
  <c r="AK110" i="10"/>
  <c r="AJ110" i="10"/>
  <c r="AI110" i="10"/>
  <c r="AD110" i="10"/>
  <c r="U110" i="10"/>
  <c r="T110" i="10"/>
  <c r="AM109" i="10"/>
  <c r="AJ109" i="10"/>
  <c r="AI109" i="10"/>
  <c r="AD109" i="10"/>
  <c r="U109" i="10"/>
  <c r="T109" i="10"/>
  <c r="AM108" i="10"/>
  <c r="AK108" i="10"/>
  <c r="AJ108" i="10"/>
  <c r="AI108" i="10"/>
  <c r="AD108" i="10"/>
  <c r="U108" i="10"/>
  <c r="T108" i="10"/>
  <c r="AM107" i="10"/>
  <c r="AK107" i="10"/>
  <c r="AJ107" i="10"/>
  <c r="AI107" i="10"/>
  <c r="AD107" i="10"/>
  <c r="U107" i="10"/>
  <c r="T107" i="10"/>
  <c r="AM106" i="10"/>
  <c r="AK106" i="10"/>
  <c r="AJ106" i="10"/>
  <c r="AI106" i="10"/>
  <c r="AD106" i="10"/>
  <c r="U106" i="10"/>
  <c r="T106" i="10"/>
  <c r="AM105" i="10"/>
  <c r="AK105" i="10"/>
  <c r="AJ105" i="10"/>
  <c r="AI105" i="10"/>
  <c r="AD105" i="10"/>
  <c r="U105" i="10"/>
  <c r="T105" i="10"/>
  <c r="AM104" i="10"/>
  <c r="AK104" i="10"/>
  <c r="AJ104" i="10"/>
  <c r="AI104" i="10"/>
  <c r="AD104" i="10"/>
  <c r="U104" i="10"/>
  <c r="T104" i="10"/>
  <c r="AM103" i="10"/>
  <c r="AK103" i="10"/>
  <c r="AJ103" i="10"/>
  <c r="AI103" i="10"/>
  <c r="AD103" i="10"/>
  <c r="U103" i="10"/>
  <c r="T103" i="10"/>
  <c r="AM102" i="10"/>
  <c r="AK102" i="10"/>
  <c r="AJ102" i="10"/>
  <c r="AI102" i="10"/>
  <c r="AD102" i="10"/>
  <c r="U102" i="10"/>
  <c r="T102" i="10"/>
  <c r="AM101" i="10"/>
  <c r="AK101" i="10"/>
  <c r="AJ101" i="10"/>
  <c r="AI101" i="10"/>
  <c r="AD101" i="10"/>
  <c r="U101" i="10"/>
  <c r="T101" i="10"/>
  <c r="AM100" i="10"/>
  <c r="AK100" i="10"/>
  <c r="AJ100" i="10"/>
  <c r="AI100" i="10"/>
  <c r="AD100" i="10"/>
  <c r="U100" i="10"/>
  <c r="T100" i="10"/>
  <c r="AM99" i="10"/>
  <c r="AK99" i="10"/>
  <c r="AJ99" i="10"/>
  <c r="AI99" i="10"/>
  <c r="AD99" i="10"/>
  <c r="U99" i="10"/>
  <c r="T99" i="10"/>
  <c r="AM98" i="10"/>
  <c r="AK98" i="10"/>
  <c r="AJ98" i="10"/>
  <c r="AI98" i="10"/>
  <c r="AD98" i="10"/>
  <c r="U98" i="10"/>
  <c r="T98" i="10"/>
  <c r="AM97" i="10"/>
  <c r="AK97" i="10"/>
  <c r="AJ97" i="10"/>
  <c r="AI97" i="10"/>
  <c r="AD97" i="10"/>
  <c r="U97" i="10"/>
  <c r="T97" i="10"/>
  <c r="AN96" i="10"/>
  <c r="AK96" i="10"/>
  <c r="AK384" i="10" s="1"/>
  <c r="AK385" i="10" s="1"/>
  <c r="AJ96" i="10"/>
  <c r="AH96" i="10"/>
  <c r="AH384" i="10" s="1"/>
  <c r="AH385" i="10" s="1"/>
  <c r="AG96" i="10"/>
  <c r="AC96" i="10"/>
  <c r="AB96" i="10"/>
  <c r="AB384" i="10" s="1"/>
  <c r="AB385" i="10" s="1"/>
  <c r="AA96" i="10"/>
  <c r="AA384" i="10" s="1"/>
  <c r="AA385" i="10" s="1"/>
  <c r="Z96" i="10"/>
  <c r="Z384" i="10" s="1"/>
  <c r="Z385" i="10" s="1"/>
  <c r="Y96" i="10"/>
  <c r="Y384" i="10" s="1"/>
  <c r="Y385" i="10" s="1"/>
  <c r="X96" i="10"/>
  <c r="X384" i="10" s="1"/>
  <c r="X385" i="10" s="1"/>
  <c r="W96" i="10"/>
  <c r="W384" i="10" s="1"/>
  <c r="W385" i="10" s="1"/>
  <c r="V96" i="10"/>
  <c r="V384" i="10" s="1"/>
  <c r="V385" i="10" s="1"/>
  <c r="S96" i="10"/>
  <c r="S384" i="10" s="1"/>
  <c r="S385" i="10" s="1"/>
  <c r="R96" i="10"/>
  <c r="R384" i="10" s="1"/>
  <c r="R385" i="10" s="1"/>
  <c r="Q96" i="10"/>
  <c r="Q384" i="10" s="1"/>
  <c r="Q385" i="10" s="1"/>
  <c r="P96" i="10"/>
  <c r="P384" i="10" s="1"/>
  <c r="P385" i="10" s="1"/>
  <c r="O96" i="10"/>
  <c r="O384" i="10" s="1"/>
  <c r="O385" i="10" s="1"/>
  <c r="N96" i="10"/>
  <c r="T96" i="10" s="1"/>
  <c r="M96" i="10"/>
  <c r="L96" i="10"/>
  <c r="K96" i="10"/>
  <c r="AM95" i="10"/>
  <c r="AN95" i="10" s="1"/>
  <c r="AK95" i="10"/>
  <c r="AJ95" i="10"/>
  <c r="AI95" i="10"/>
  <c r="AD95" i="10"/>
  <c r="AC95" i="10"/>
  <c r="U95" i="10"/>
  <c r="T95" i="10"/>
  <c r="AM94" i="10"/>
  <c r="AK94" i="10"/>
  <c r="AJ94" i="10"/>
  <c r="AI94" i="10"/>
  <c r="AD94" i="10"/>
  <c r="U94" i="10"/>
  <c r="T94" i="10"/>
  <c r="AM93" i="10"/>
  <c r="AK93" i="10"/>
  <c r="AJ93" i="10"/>
  <c r="AI93" i="10"/>
  <c r="AD93" i="10"/>
  <c r="U93" i="10"/>
  <c r="T93" i="10"/>
  <c r="AM92" i="10"/>
  <c r="AK92" i="10"/>
  <c r="AJ92" i="10"/>
  <c r="AI92" i="10"/>
  <c r="AD92" i="10"/>
  <c r="U92" i="10"/>
  <c r="T92" i="10"/>
  <c r="AK91" i="10"/>
  <c r="AJ91" i="10"/>
  <c r="AH91" i="10"/>
  <c r="AI91" i="10" s="1"/>
  <c r="AG91" i="10"/>
  <c r="AC91" i="10"/>
  <c r="AB91" i="10"/>
  <c r="AA91" i="10"/>
  <c r="Z91" i="10"/>
  <c r="Y91" i="10"/>
  <c r="X91" i="10"/>
  <c r="W91" i="10"/>
  <c r="V91" i="10"/>
  <c r="S91" i="10"/>
  <c r="U91" i="10" s="1"/>
  <c r="R91" i="10"/>
  <c r="Q91" i="10"/>
  <c r="P91" i="10"/>
  <c r="O91" i="10"/>
  <c r="N91" i="10"/>
  <c r="T91" i="10" s="1"/>
  <c r="M91" i="10"/>
  <c r="L91" i="10"/>
  <c r="K91" i="10"/>
  <c r="J91" i="10"/>
  <c r="I91" i="10"/>
  <c r="H91" i="10"/>
  <c r="AH90" i="10"/>
  <c r="AI90" i="10" s="1"/>
  <c r="AG90" i="10"/>
  <c r="AC90" i="10"/>
  <c r="AB90" i="10"/>
  <c r="AA90" i="10"/>
  <c r="Z90" i="10"/>
  <c r="Y90" i="10"/>
  <c r="X90" i="10"/>
  <c r="W90" i="10"/>
  <c r="V90" i="10"/>
  <c r="S90" i="10"/>
  <c r="U90" i="10" s="1"/>
  <c r="R90" i="10"/>
  <c r="Q90" i="10"/>
  <c r="P90" i="10"/>
  <c r="O90" i="10"/>
  <c r="N90" i="10"/>
  <c r="T90" i="10" s="1"/>
  <c r="M90" i="10"/>
  <c r="L90" i="10"/>
  <c r="K90" i="10"/>
  <c r="J90" i="10"/>
  <c r="I90" i="10"/>
  <c r="H90" i="10"/>
  <c r="AM89" i="10"/>
  <c r="AK89" i="10"/>
  <c r="AJ89" i="10"/>
  <c r="AI89" i="10"/>
  <c r="AD89" i="10"/>
  <c r="U89" i="10"/>
  <c r="T89" i="10"/>
  <c r="AM88" i="10"/>
  <c r="AK88" i="10"/>
  <c r="AK90" i="10" s="1"/>
  <c r="AJ88" i="10"/>
  <c r="AJ90" i="10" s="1"/>
  <c r="AI88" i="10"/>
  <c r="AD88" i="10"/>
  <c r="U88" i="10"/>
  <c r="T88" i="10"/>
  <c r="AH87" i="10"/>
  <c r="AI87" i="10" s="1"/>
  <c r="AG87" i="10"/>
  <c r="AC87" i="10"/>
  <c r="AB87" i="10"/>
  <c r="AA87" i="10"/>
  <c r="Z87" i="10"/>
  <c r="Y87" i="10"/>
  <c r="X87" i="10"/>
  <c r="W87" i="10"/>
  <c r="V87" i="10"/>
  <c r="S87" i="10"/>
  <c r="U87" i="10" s="1"/>
  <c r="R87" i="10"/>
  <c r="Q87" i="10"/>
  <c r="P87" i="10"/>
  <c r="O87" i="10"/>
  <c r="N87" i="10"/>
  <c r="M87" i="10"/>
  <c r="L87" i="10"/>
  <c r="K87" i="10"/>
  <c r="J87" i="10"/>
  <c r="I87" i="10"/>
  <c r="H87" i="10"/>
  <c r="AM86" i="10"/>
  <c r="AK86" i="10"/>
  <c r="AJ86" i="10"/>
  <c r="AI86" i="10"/>
  <c r="U86" i="10"/>
  <c r="T86" i="10"/>
  <c r="AM85" i="10"/>
  <c r="AK85" i="10"/>
  <c r="AJ85" i="10"/>
  <c r="AI85" i="10"/>
  <c r="U85" i="10"/>
  <c r="T85" i="10"/>
  <c r="AM84" i="10"/>
  <c r="AK84" i="10"/>
  <c r="AJ84" i="10"/>
  <c r="AI84" i="10"/>
  <c r="U84" i="10"/>
  <c r="T84" i="10"/>
  <c r="AM83" i="10"/>
  <c r="AK83" i="10"/>
  <c r="AJ83" i="10"/>
  <c r="AI83" i="10"/>
  <c r="AD83" i="10"/>
  <c r="U83" i="10"/>
  <c r="T83" i="10"/>
  <c r="AM82" i="10"/>
  <c r="AJ82" i="10"/>
  <c r="AI82" i="10"/>
  <c r="AD82" i="10"/>
  <c r="U82" i="10"/>
  <c r="T82" i="10"/>
  <c r="AM81" i="10"/>
  <c r="AK81" i="10"/>
  <c r="AJ81" i="10"/>
  <c r="AI81" i="10"/>
  <c r="AD81" i="10"/>
  <c r="U81" i="10"/>
  <c r="T81" i="10"/>
  <c r="AM80" i="10"/>
  <c r="AK80" i="10"/>
  <c r="AK87" i="10" s="1"/>
  <c r="AJ80" i="10"/>
  <c r="AJ87" i="10" s="1"/>
  <c r="AI80" i="10"/>
  <c r="AD80" i="10"/>
  <c r="U80" i="10"/>
  <c r="T80" i="10"/>
  <c r="AG79" i="10"/>
  <c r="AC79" i="10"/>
  <c r="AB79" i="10"/>
  <c r="AA79" i="10"/>
  <c r="Z79" i="10"/>
  <c r="Y79" i="10"/>
  <c r="X79" i="10"/>
  <c r="W79" i="10"/>
  <c r="V79" i="10"/>
  <c r="S79" i="10"/>
  <c r="T79" i="10" s="1"/>
  <c r="R79" i="10"/>
  <c r="Q79" i="10"/>
  <c r="P79" i="10"/>
  <c r="O79" i="10"/>
  <c r="N79" i="10"/>
  <c r="M79" i="10"/>
  <c r="L79" i="10"/>
  <c r="K79" i="10"/>
  <c r="J79" i="10"/>
  <c r="I79" i="10"/>
  <c r="H79" i="10"/>
  <c r="AH78" i="10"/>
  <c r="AH79" i="10" s="1"/>
  <c r="AD78" i="10"/>
  <c r="U78" i="10"/>
  <c r="T78" i="10"/>
  <c r="AM77" i="10"/>
  <c r="AK77" i="10"/>
  <c r="AJ77" i="10"/>
  <c r="AI77" i="10"/>
  <c r="AD77" i="10"/>
  <c r="U77" i="10"/>
  <c r="T77" i="10"/>
  <c r="AM76" i="10"/>
  <c r="AK76" i="10"/>
  <c r="AJ76" i="10"/>
  <c r="AI76" i="10"/>
  <c r="AD76" i="10"/>
  <c r="U76" i="10"/>
  <c r="T76" i="10"/>
  <c r="AM75" i="10"/>
  <c r="AK75" i="10"/>
  <c r="AJ75" i="10"/>
  <c r="AI75" i="10"/>
  <c r="AD75" i="10"/>
  <c r="U75" i="10"/>
  <c r="T75" i="10"/>
  <c r="AM74" i="10"/>
  <c r="AK74" i="10"/>
  <c r="AJ74" i="10"/>
  <c r="AI74" i="10"/>
  <c r="AD74" i="10"/>
  <c r="U74" i="10"/>
  <c r="T74" i="10"/>
  <c r="AM73" i="10"/>
  <c r="AK73" i="10"/>
  <c r="AJ73" i="10"/>
  <c r="AI73" i="10"/>
  <c r="AD73" i="10"/>
  <c r="U73" i="10"/>
  <c r="T73" i="10"/>
  <c r="AM72" i="10"/>
  <c r="AK72" i="10"/>
  <c r="AJ72" i="10"/>
  <c r="AI72" i="10"/>
  <c r="AD72" i="10"/>
  <c r="U72" i="10"/>
  <c r="T72" i="10"/>
  <c r="AM71" i="10"/>
  <c r="AK71" i="10"/>
  <c r="AJ71" i="10"/>
  <c r="AI71" i="10"/>
  <c r="AD71" i="10"/>
  <c r="U71" i="10"/>
  <c r="T71" i="10"/>
  <c r="AH70" i="10"/>
  <c r="AI70" i="10" s="1"/>
  <c r="AG70" i="10"/>
  <c r="AC70" i="10"/>
  <c r="AB70" i="10"/>
  <c r="AA70" i="10"/>
  <c r="Z70" i="10"/>
  <c r="Y70" i="10"/>
  <c r="X70" i="10"/>
  <c r="W70" i="10"/>
  <c r="V70" i="10"/>
  <c r="S70" i="10"/>
  <c r="U70" i="10" s="1"/>
  <c r="R70" i="10"/>
  <c r="Q70" i="10"/>
  <c r="P70" i="10"/>
  <c r="O70" i="10"/>
  <c r="N70" i="10"/>
  <c r="M70" i="10"/>
  <c r="L70" i="10"/>
  <c r="K70" i="10"/>
  <c r="J70" i="10"/>
  <c r="I70" i="10"/>
  <c r="H70" i="10"/>
  <c r="AM69" i="10"/>
  <c r="AK69" i="10"/>
  <c r="AJ69" i="10"/>
  <c r="AI69" i="10"/>
  <c r="AD69" i="10"/>
  <c r="U69" i="10"/>
  <c r="T69" i="10"/>
  <c r="AM68" i="10"/>
  <c r="AK68" i="10"/>
  <c r="AJ68" i="10"/>
  <c r="AI68" i="10"/>
  <c r="AD68" i="10"/>
  <c r="U68" i="10"/>
  <c r="T68" i="10"/>
  <c r="AM67" i="10"/>
  <c r="AK67" i="10"/>
  <c r="AJ67" i="10"/>
  <c r="AI67" i="10"/>
  <c r="AD67" i="10"/>
  <c r="U67" i="10"/>
  <c r="T67" i="10"/>
  <c r="AM66" i="10"/>
  <c r="AK66" i="10"/>
  <c r="AK70" i="10" s="1"/>
  <c r="AJ66" i="10"/>
  <c r="AJ70" i="10" s="1"/>
  <c r="AI66" i="10"/>
  <c r="AD66" i="10"/>
  <c r="U66" i="10"/>
  <c r="T66" i="10"/>
  <c r="AH65" i="10"/>
  <c r="AI65" i="10" s="1"/>
  <c r="AG65" i="10"/>
  <c r="AC65" i="10"/>
  <c r="AB65" i="10"/>
  <c r="AA65" i="10"/>
  <c r="Z65" i="10"/>
  <c r="Y65" i="10"/>
  <c r="X65" i="10"/>
  <c r="W65" i="10"/>
  <c r="V65" i="10"/>
  <c r="S65" i="10"/>
  <c r="U65" i="10" s="1"/>
  <c r="R65" i="10"/>
  <c r="Q65" i="10"/>
  <c r="P65" i="10"/>
  <c r="O65" i="10"/>
  <c r="N65" i="10"/>
  <c r="T65" i="10" s="1"/>
  <c r="M65" i="10"/>
  <c r="L65" i="10"/>
  <c r="K65" i="10"/>
  <c r="J65" i="10"/>
  <c r="I65" i="10"/>
  <c r="H65" i="10"/>
  <c r="AM64" i="10"/>
  <c r="AK64" i="10"/>
  <c r="AJ64" i="10"/>
  <c r="AI64" i="10"/>
  <c r="AD64" i="10"/>
  <c r="U64" i="10"/>
  <c r="T64" i="10"/>
  <c r="AM63" i="10"/>
  <c r="AJ63" i="10"/>
  <c r="AI63" i="10"/>
  <c r="AD63" i="10"/>
  <c r="U63" i="10"/>
  <c r="T63" i="10"/>
  <c r="AM62" i="10"/>
  <c r="AK62" i="10"/>
  <c r="AK65" i="10" s="1"/>
  <c r="AJ62" i="10"/>
  <c r="AJ65" i="10" s="1"/>
  <c r="AI62" i="10"/>
  <c r="AD62" i="10"/>
  <c r="U62" i="10"/>
  <c r="T62" i="10"/>
  <c r="AH61" i="10"/>
  <c r="AI61" i="10" s="1"/>
  <c r="AG61" i="10"/>
  <c r="AC61" i="10"/>
  <c r="AB61" i="10"/>
  <c r="AA61" i="10"/>
  <c r="Z61" i="10"/>
  <c r="Y61" i="10"/>
  <c r="X61" i="10"/>
  <c r="W61" i="10"/>
  <c r="V61" i="10"/>
  <c r="S61" i="10"/>
  <c r="U61" i="10" s="1"/>
  <c r="R61" i="10"/>
  <c r="Q61" i="10"/>
  <c r="P61" i="10"/>
  <c r="O61" i="10"/>
  <c r="N61" i="10"/>
  <c r="T61" i="10" s="1"/>
  <c r="M61" i="10"/>
  <c r="L61" i="10"/>
  <c r="K61" i="10"/>
  <c r="J61" i="10"/>
  <c r="I61" i="10"/>
  <c r="H61" i="10"/>
  <c r="AM60" i="10"/>
  <c r="AK60" i="10"/>
  <c r="AJ60" i="10"/>
  <c r="AI60" i="10"/>
  <c r="AD60" i="10"/>
  <c r="U60" i="10"/>
  <c r="T60" i="10"/>
  <c r="AM59" i="10"/>
  <c r="AK59" i="10"/>
  <c r="AJ59" i="10"/>
  <c r="AI59" i="10"/>
  <c r="AD59" i="10"/>
  <c r="U59" i="10"/>
  <c r="T59" i="10"/>
  <c r="AM58" i="10"/>
  <c r="AJ58" i="10"/>
  <c r="AI58" i="10"/>
  <c r="AD58" i="10"/>
  <c r="U58" i="10"/>
  <c r="T58" i="10"/>
  <c r="AM57" i="10"/>
  <c r="AK57" i="10"/>
  <c r="AK61" i="10" s="1"/>
  <c r="AJ57" i="10"/>
  <c r="AJ61" i="10" s="1"/>
  <c r="AI57" i="10"/>
  <c r="AD57" i="10"/>
  <c r="U57" i="10"/>
  <c r="T57" i="10"/>
  <c r="AH56" i="10"/>
  <c r="AI56" i="10" s="1"/>
  <c r="AG56" i="10"/>
  <c r="AC56" i="10"/>
  <c r="AB56" i="10"/>
  <c r="AA56" i="10"/>
  <c r="Z56" i="10"/>
  <c r="Y56" i="10"/>
  <c r="X56" i="10"/>
  <c r="W56" i="10"/>
  <c r="V56" i="10"/>
  <c r="S56" i="10"/>
  <c r="T56" i="10" s="1"/>
  <c r="R56" i="10"/>
  <c r="Q56" i="10"/>
  <c r="P56" i="10"/>
  <c r="O56" i="10"/>
  <c r="N56" i="10"/>
  <c r="M56" i="10"/>
  <c r="L56" i="10"/>
  <c r="K56" i="10"/>
  <c r="J56" i="10"/>
  <c r="I56" i="10"/>
  <c r="H56" i="10"/>
  <c r="AM55" i="10"/>
  <c r="AK55" i="10"/>
  <c r="AJ55" i="10"/>
  <c r="AI55" i="10"/>
  <c r="AD55" i="10"/>
  <c r="U55" i="10"/>
  <c r="T55" i="10"/>
  <c r="AM54" i="10"/>
  <c r="AK54" i="10"/>
  <c r="AJ54" i="10"/>
  <c r="AI54" i="10"/>
  <c r="AD54" i="10"/>
  <c r="U54" i="10"/>
  <c r="T54" i="10"/>
  <c r="AM53" i="10"/>
  <c r="AK53" i="10"/>
  <c r="AK56" i="10" s="1"/>
  <c r="AJ53" i="10"/>
  <c r="AJ56" i="10" s="1"/>
  <c r="AI53" i="10"/>
  <c r="AD53" i="10"/>
  <c r="U53" i="10"/>
  <c r="T53" i="10"/>
  <c r="AH52" i="10"/>
  <c r="AI52" i="10" s="1"/>
  <c r="AG52" i="10"/>
  <c r="AC52" i="10"/>
  <c r="AB52" i="10"/>
  <c r="AA52" i="10"/>
  <c r="Z52" i="10"/>
  <c r="Y52" i="10"/>
  <c r="X52" i="10"/>
  <c r="W52" i="10"/>
  <c r="V52" i="10"/>
  <c r="S52" i="10"/>
  <c r="U52" i="10" s="1"/>
  <c r="R52" i="10"/>
  <c r="Q52" i="10"/>
  <c r="P52" i="10"/>
  <c r="O52" i="10"/>
  <c r="N52" i="10"/>
  <c r="M52" i="10"/>
  <c r="L52" i="10"/>
  <c r="K52" i="10"/>
  <c r="J52" i="10"/>
  <c r="I52" i="10"/>
  <c r="H52" i="10"/>
  <c r="AM51" i="10"/>
  <c r="AK51" i="10"/>
  <c r="AJ51" i="10"/>
  <c r="AI51" i="10"/>
  <c r="AD51" i="10"/>
  <c r="U51" i="10"/>
  <c r="T51" i="10"/>
  <c r="AM50" i="10"/>
  <c r="AK50" i="10"/>
  <c r="AJ50" i="10"/>
  <c r="AI50" i="10"/>
  <c r="AD50" i="10"/>
  <c r="U50" i="10"/>
  <c r="T50" i="10"/>
  <c r="AM49" i="10"/>
  <c r="AK49" i="10"/>
  <c r="AJ49" i="10"/>
  <c r="AI49" i="10"/>
  <c r="AD49" i="10"/>
  <c r="U49" i="10"/>
  <c r="T49" i="10"/>
  <c r="AM48" i="10"/>
  <c r="AK48" i="10"/>
  <c r="AJ48" i="10"/>
  <c r="AI48" i="10"/>
  <c r="AD48" i="10"/>
  <c r="U48" i="10"/>
  <c r="T48" i="10"/>
  <c r="AM47" i="10"/>
  <c r="AK47" i="10"/>
  <c r="AK52" i="10" s="1"/>
  <c r="AJ47" i="10"/>
  <c r="AJ52" i="10" s="1"/>
  <c r="AI47" i="10"/>
  <c r="AD47" i="10"/>
  <c r="U47" i="10"/>
  <c r="T47" i="10"/>
  <c r="AH46" i="10"/>
  <c r="AI46" i="10" s="1"/>
  <c r="AG46" i="10"/>
  <c r="AC46" i="10"/>
  <c r="AB46" i="10"/>
  <c r="AA46" i="10"/>
  <c r="Z46" i="10"/>
  <c r="Y46" i="10"/>
  <c r="X46" i="10"/>
  <c r="W46" i="10"/>
  <c r="V46" i="10"/>
  <c r="S46" i="10"/>
  <c r="T46" i="10" s="1"/>
  <c r="R46" i="10"/>
  <c r="Q46" i="10"/>
  <c r="P46" i="10"/>
  <c r="O46" i="10"/>
  <c r="N46" i="10"/>
  <c r="M46" i="10"/>
  <c r="L46" i="10"/>
  <c r="K46" i="10"/>
  <c r="J46" i="10"/>
  <c r="I46" i="10"/>
  <c r="H46" i="10"/>
  <c r="AM45" i="10"/>
  <c r="AK45" i="10"/>
  <c r="AJ45" i="10"/>
  <c r="AI45" i="10"/>
  <c r="AD45" i="10"/>
  <c r="U45" i="10"/>
  <c r="T45" i="10"/>
  <c r="AM44" i="10"/>
  <c r="AK44" i="10"/>
  <c r="AJ44" i="10"/>
  <c r="AI44" i="10"/>
  <c r="AD44" i="10"/>
  <c r="U44" i="10"/>
  <c r="T44" i="10"/>
  <c r="AM43" i="10"/>
  <c r="AK43" i="10"/>
  <c r="AK46" i="10" s="1"/>
  <c r="AJ43" i="10"/>
  <c r="AJ46" i="10" s="1"/>
  <c r="AI43" i="10"/>
  <c r="AD43" i="10"/>
  <c r="U43" i="10"/>
  <c r="T43" i="10"/>
  <c r="AH42" i="10"/>
  <c r="AI42" i="10" s="1"/>
  <c r="AG42" i="10"/>
  <c r="AD42" i="10"/>
  <c r="AC42" i="10"/>
  <c r="AB42" i="10"/>
  <c r="AA42" i="10"/>
  <c r="Z42" i="10"/>
  <c r="Y42" i="10"/>
  <c r="X42" i="10"/>
  <c r="W42" i="10"/>
  <c r="V42" i="10"/>
  <c r="S42" i="10"/>
  <c r="U42" i="10" s="1"/>
  <c r="R42" i="10"/>
  <c r="Q42" i="10"/>
  <c r="P42" i="10"/>
  <c r="O42" i="10"/>
  <c r="N42" i="10"/>
  <c r="T42" i="10" s="1"/>
  <c r="M42" i="10"/>
  <c r="L42" i="10"/>
  <c r="K42" i="10"/>
  <c r="J42" i="10"/>
  <c r="I42" i="10"/>
  <c r="H42" i="10"/>
  <c r="AM41" i="10"/>
  <c r="AK41" i="10"/>
  <c r="AJ41" i="10"/>
  <c r="AI41" i="10"/>
  <c r="U41" i="10"/>
  <c r="T41" i="10"/>
  <c r="AM40" i="10"/>
  <c r="AJ40" i="10"/>
  <c r="AI40" i="10"/>
  <c r="U40" i="10"/>
  <c r="T40" i="10"/>
  <c r="AM39" i="10"/>
  <c r="AK39" i="10"/>
  <c r="AJ39" i="10"/>
  <c r="AI39" i="10"/>
  <c r="U39" i="10"/>
  <c r="T39" i="10"/>
  <c r="AM38" i="10"/>
  <c r="AK38" i="10"/>
  <c r="AJ38" i="10"/>
  <c r="AI38" i="10"/>
  <c r="U38" i="10"/>
  <c r="T38" i="10"/>
  <c r="AM37" i="10"/>
  <c r="AK37" i="10"/>
  <c r="AJ37" i="10"/>
  <c r="AI37" i="10"/>
  <c r="U37" i="10"/>
  <c r="T37" i="10"/>
  <c r="AM36" i="10"/>
  <c r="AK36" i="10"/>
  <c r="AJ36" i="10"/>
  <c r="AI36" i="10"/>
  <c r="U36" i="10"/>
  <c r="T36" i="10"/>
  <c r="AM35" i="10"/>
  <c r="AK35" i="10"/>
  <c r="AK42" i="10" s="1"/>
  <c r="AJ35" i="10"/>
  <c r="AJ42" i="10" s="1"/>
  <c r="AI35" i="10"/>
  <c r="U35" i="10"/>
  <c r="T35" i="10"/>
  <c r="AI34" i="10"/>
  <c r="AH34" i="10"/>
  <c r="AG34" i="10"/>
  <c r="AD34" i="10"/>
  <c r="AC34" i="10"/>
  <c r="AB34" i="10"/>
  <c r="AA34" i="10"/>
  <c r="Z34" i="10"/>
  <c r="Y34" i="10"/>
  <c r="X34" i="10"/>
  <c r="W34" i="10"/>
  <c r="V34" i="10"/>
  <c r="S34" i="10"/>
  <c r="T34" i="10" s="1"/>
  <c r="R34" i="10"/>
  <c r="Q34" i="10"/>
  <c r="P34" i="10"/>
  <c r="O34" i="10"/>
  <c r="N34" i="10"/>
  <c r="M34" i="10"/>
  <c r="L34" i="10"/>
  <c r="K34" i="10"/>
  <c r="J34" i="10"/>
  <c r="I34" i="10"/>
  <c r="H34" i="10"/>
  <c r="AM33" i="10"/>
  <c r="AK33" i="10"/>
  <c r="AJ33" i="10"/>
  <c r="AI33" i="10"/>
  <c r="U33" i="10"/>
  <c r="T33" i="10"/>
  <c r="AM32" i="10"/>
  <c r="AK32" i="10"/>
  <c r="AJ32" i="10"/>
  <c r="AI32" i="10"/>
  <c r="U32" i="10"/>
  <c r="T32" i="10"/>
  <c r="AM31" i="10"/>
  <c r="AK31" i="10"/>
  <c r="AK34" i="10" s="1"/>
  <c r="AJ31" i="10"/>
  <c r="AJ34" i="10" s="1"/>
  <c r="AI31" i="10"/>
  <c r="U31" i="10"/>
  <c r="T31" i="10"/>
  <c r="AG30" i="10"/>
  <c r="AC30" i="10"/>
  <c r="AB30" i="10"/>
  <c r="AA30" i="10"/>
  <c r="Z30" i="10"/>
  <c r="Y30" i="10"/>
  <c r="X30" i="10"/>
  <c r="W30" i="10"/>
  <c r="V30" i="10"/>
  <c r="S30" i="10"/>
  <c r="U30" i="10" s="1"/>
  <c r="R30" i="10"/>
  <c r="Q30" i="10"/>
  <c r="P30" i="10"/>
  <c r="O30" i="10"/>
  <c r="N30" i="10"/>
  <c r="T30" i="10" s="1"/>
  <c r="M30" i="10"/>
  <c r="L30" i="10"/>
  <c r="K30" i="10"/>
  <c r="J30" i="10"/>
  <c r="I30" i="10"/>
  <c r="H30" i="10"/>
  <c r="AG29" i="10"/>
  <c r="AC29" i="10"/>
  <c r="AB29" i="10"/>
  <c r="AB247" i="10" s="1"/>
  <c r="AA29" i="10"/>
  <c r="AA247" i="10" s="1"/>
  <c r="Z29" i="10"/>
  <c r="Y29" i="10"/>
  <c r="X29" i="10"/>
  <c r="W29" i="10"/>
  <c r="V29" i="10"/>
  <c r="S29" i="10"/>
  <c r="R29" i="10"/>
  <c r="Q29" i="10"/>
  <c r="P29" i="10"/>
  <c r="O29" i="10"/>
  <c r="N29" i="10"/>
  <c r="M29" i="10"/>
  <c r="L29" i="10"/>
  <c r="K29" i="10"/>
  <c r="J29" i="10"/>
  <c r="I29" i="10"/>
  <c r="H29" i="10"/>
  <c r="S11" i="10"/>
  <c r="K11" i="10"/>
  <c r="AD9" i="10"/>
  <c r="AD11" i="10" s="1"/>
  <c r="AC9" i="10"/>
  <c r="AC11" i="10" s="1"/>
  <c r="V9" i="10"/>
  <c r="V11" i="10" s="1"/>
  <c r="U9" i="10"/>
  <c r="U11" i="10" s="1"/>
  <c r="N9" i="10"/>
  <c r="AC8" i="10"/>
  <c r="AD8" i="10" s="1"/>
  <c r="AD206" i="10" l="1"/>
  <c r="AD120" i="10"/>
  <c r="AD212" i="10"/>
  <c r="AD70" i="10"/>
  <c r="AD87" i="10"/>
  <c r="AD207" i="10"/>
  <c r="AD46" i="10"/>
  <c r="AD56" i="10"/>
  <c r="AD65" i="10"/>
  <c r="AD79" i="10"/>
  <c r="AC384" i="10"/>
  <c r="AC385" i="10" s="1"/>
  <c r="AD114" i="10"/>
  <c r="AD143" i="10"/>
  <c r="AD148" i="10"/>
  <c r="AD168" i="10"/>
  <c r="AD175" i="10"/>
  <c r="AD180" i="10"/>
  <c r="AD235" i="10"/>
  <c r="AD221" i="10"/>
  <c r="AC324" i="10"/>
  <c r="AD263" i="10"/>
  <c r="AD268" i="10"/>
  <c r="AD382" i="10" s="1"/>
  <c r="AD286" i="10"/>
  <c r="AD91" i="10"/>
  <c r="AD215" i="10"/>
  <c r="AD131" i="10"/>
  <c r="AD229" i="10"/>
  <c r="U130" i="10"/>
  <c r="T151" i="10"/>
  <c r="CG30" i="5"/>
  <c r="CG27" i="5" s="1"/>
  <c r="CG19" i="5" s="1"/>
  <c r="AJ206" i="10"/>
  <c r="T206" i="10"/>
  <c r="AD96" i="10"/>
  <c r="AD384" i="10" s="1"/>
  <c r="AD385" i="10" s="1"/>
  <c r="AD52" i="10"/>
  <c r="AD90" i="10"/>
  <c r="AD250" i="10"/>
  <c r="AD61" i="10"/>
  <c r="AD160" i="10"/>
  <c r="AD172" i="10"/>
  <c r="AI79" i="10"/>
  <c r="AH30" i="10"/>
  <c r="AE321" i="10"/>
  <c r="AF321" i="10" s="1"/>
  <c r="AE320" i="10"/>
  <c r="AF320" i="10" s="1"/>
  <c r="AE319" i="10"/>
  <c r="AF319" i="10" s="1"/>
  <c r="AE318" i="10"/>
  <c r="AF318" i="10" s="1"/>
  <c r="AE317" i="10"/>
  <c r="AF317" i="10" s="1"/>
  <c r="AE310" i="10"/>
  <c r="AF310" i="10" s="1"/>
  <c r="AE308" i="10"/>
  <c r="AF308" i="10" s="1"/>
  <c r="AE307" i="10"/>
  <c r="AF307" i="10" s="1"/>
  <c r="AE306" i="10"/>
  <c r="AF306" i="10" s="1"/>
  <c r="AE305" i="10"/>
  <c r="AF305" i="10" s="1"/>
  <c r="AE304" i="10"/>
  <c r="AF304" i="10" s="1"/>
  <c r="AE303" i="10"/>
  <c r="AF303" i="10" s="1"/>
  <c r="AE302" i="10"/>
  <c r="AF302" i="10" s="1"/>
  <c r="AE301" i="10"/>
  <c r="AF301" i="10" s="1"/>
  <c r="AE300" i="10"/>
  <c r="AF300" i="10" s="1"/>
  <c r="AE299" i="10"/>
  <c r="AF299" i="10" s="1"/>
  <c r="AE298" i="10"/>
  <c r="AF298" i="10" s="1"/>
  <c r="AE297" i="10"/>
  <c r="AF297" i="10" s="1"/>
  <c r="AE294" i="10"/>
  <c r="AF294" i="10" s="1"/>
  <c r="AE291" i="10"/>
  <c r="AF291" i="10" s="1"/>
  <c r="AE290" i="10"/>
  <c r="AF290" i="10" s="1"/>
  <c r="AE289" i="10"/>
  <c r="AF289" i="10" s="1"/>
  <c r="AE288" i="10"/>
  <c r="AF288" i="10" s="1"/>
  <c r="AE275" i="10"/>
  <c r="AF275" i="10" s="1"/>
  <c r="AE274" i="10"/>
  <c r="AF274" i="10" s="1"/>
  <c r="AE273" i="10"/>
  <c r="AF273" i="10" s="1"/>
  <c r="AE272" i="10"/>
  <c r="AF272" i="10" s="1"/>
  <c r="AE261" i="10"/>
  <c r="AF261" i="10" s="1"/>
  <c r="AE259" i="10"/>
  <c r="AF259" i="10" s="1"/>
  <c r="AE258" i="10"/>
  <c r="AE256" i="10"/>
  <c r="AF256" i="10" s="1"/>
  <c r="AE239" i="10"/>
  <c r="AF239" i="10" s="1"/>
  <c r="AE238" i="10"/>
  <c r="AF238" i="10" s="1"/>
  <c r="AE236" i="10"/>
  <c r="AE232" i="10"/>
  <c r="AF232" i="10" s="1"/>
  <c r="AE230" i="10"/>
  <c r="AE227" i="10"/>
  <c r="AF227" i="10" s="1"/>
  <c r="AE226" i="10"/>
  <c r="AF226" i="10" s="1"/>
  <c r="AE224" i="10"/>
  <c r="AF224" i="10" s="1"/>
  <c r="AE222" i="10"/>
  <c r="AE219" i="10"/>
  <c r="AF219" i="10" s="1"/>
  <c r="AE217" i="10"/>
  <c r="AF217" i="10" s="1"/>
  <c r="AE211" i="10"/>
  <c r="AF211" i="10" s="1"/>
  <c r="AE210" i="10"/>
  <c r="AF210" i="10" s="1"/>
  <c r="AE209" i="10"/>
  <c r="AF209" i="10" s="1"/>
  <c r="AE208" i="10"/>
  <c r="AE323" i="10"/>
  <c r="AF323" i="10" s="1"/>
  <c r="AE322" i="10"/>
  <c r="AF322" i="10" s="1"/>
  <c r="AE316" i="10"/>
  <c r="AF316" i="10" s="1"/>
  <c r="AE315" i="10"/>
  <c r="AF315" i="10" s="1"/>
  <c r="AE314" i="10"/>
  <c r="AF314" i="10" s="1"/>
  <c r="AE313" i="10"/>
  <c r="AF313" i="10" s="1"/>
  <c r="AE312" i="10"/>
  <c r="AF312" i="10" s="1"/>
  <c r="AE311" i="10"/>
  <c r="AF311" i="10" s="1"/>
  <c r="AE309" i="10"/>
  <c r="AF309" i="10" s="1"/>
  <c r="AE296" i="10"/>
  <c r="AF296" i="10" s="1"/>
  <c r="AE293" i="10"/>
  <c r="AF293" i="10" s="1"/>
  <c r="AE292" i="10"/>
  <c r="AF292" i="10" s="1"/>
  <c r="AE287" i="10"/>
  <c r="AE285" i="10"/>
  <c r="AF285" i="10" s="1"/>
  <c r="AE284" i="10"/>
  <c r="AF284" i="10" s="1"/>
  <c r="AE283" i="10"/>
  <c r="AF283" i="10" s="1"/>
  <c r="AE282" i="10"/>
  <c r="AE279" i="10"/>
  <c r="AE271" i="10"/>
  <c r="AF271" i="10" s="1"/>
  <c r="AE270" i="10"/>
  <c r="AF270" i="10" s="1"/>
  <c r="AE262" i="10"/>
  <c r="AF262" i="10" s="1"/>
  <c r="AE260" i="10"/>
  <c r="AF260" i="10" s="1"/>
  <c r="AE257" i="10"/>
  <c r="AF257" i="10" s="1"/>
  <c r="AE255" i="10"/>
  <c r="AE246" i="10"/>
  <c r="AF246" i="10" s="1"/>
  <c r="AE244" i="10"/>
  <c r="AE242" i="10"/>
  <c r="AE240" i="10"/>
  <c r="AF240" i="10" s="1"/>
  <c r="AE237" i="10"/>
  <c r="AF237" i="10" s="1"/>
  <c r="AE234" i="10"/>
  <c r="AF234" i="10" s="1"/>
  <c r="AE233" i="10"/>
  <c r="AF233" i="10" s="1"/>
  <c r="AE231" i="10"/>
  <c r="AF231" i="10" s="1"/>
  <c r="AE228" i="10"/>
  <c r="AF228" i="10" s="1"/>
  <c r="AE225" i="10"/>
  <c r="AF225" i="10" s="1"/>
  <c r="AE223" i="10"/>
  <c r="AF223" i="10" s="1"/>
  <c r="AE220" i="10"/>
  <c r="AF220" i="10" s="1"/>
  <c r="AE218" i="10"/>
  <c r="AF218" i="10" s="1"/>
  <c r="AE216" i="10"/>
  <c r="AE214" i="10"/>
  <c r="AF214" i="10" s="1"/>
  <c r="AE213" i="10"/>
  <c r="AE205" i="10"/>
  <c r="AF205" i="10" s="1"/>
  <c r="AE203" i="10"/>
  <c r="AF203" i="10" s="1"/>
  <c r="AE200" i="10"/>
  <c r="AF200" i="10" s="1"/>
  <c r="AE198" i="10"/>
  <c r="AF198" i="10" s="1"/>
  <c r="AE195" i="10"/>
  <c r="AF195" i="10" s="1"/>
  <c r="AE193" i="10"/>
  <c r="AF193" i="10" s="1"/>
  <c r="AE192" i="10"/>
  <c r="AF192" i="10" s="1"/>
  <c r="AE191" i="10"/>
  <c r="AF191" i="10" s="1"/>
  <c r="AE189" i="10"/>
  <c r="AF189" i="10" s="1"/>
  <c r="AE187" i="10"/>
  <c r="AF187" i="10" s="1"/>
  <c r="AE185" i="10"/>
  <c r="AF185" i="10" s="1"/>
  <c r="AE183" i="10"/>
  <c r="AF183" i="10" s="1"/>
  <c r="AE181" i="10"/>
  <c r="AE178" i="10"/>
  <c r="AF178" i="10" s="1"/>
  <c r="AE176" i="10"/>
  <c r="AE173" i="10"/>
  <c r="AE170" i="10"/>
  <c r="AF170" i="10" s="1"/>
  <c r="AE166" i="10"/>
  <c r="AF166" i="10" s="1"/>
  <c r="AE164" i="10"/>
  <c r="AF164" i="10" s="1"/>
  <c r="AE162" i="10"/>
  <c r="AF162" i="10" s="1"/>
  <c r="AE161" i="10"/>
  <c r="AE158" i="10"/>
  <c r="AF158" i="10" s="1"/>
  <c r="AE156" i="10"/>
  <c r="AF156" i="10" s="1"/>
  <c r="AE155" i="10"/>
  <c r="AF155" i="10" s="1"/>
  <c r="AE147" i="10"/>
  <c r="AF147" i="10" s="1"/>
  <c r="AE145" i="10"/>
  <c r="AF145" i="10" s="1"/>
  <c r="AE140" i="10"/>
  <c r="AF140" i="10" s="1"/>
  <c r="AE139" i="10"/>
  <c r="AF139" i="10" s="1"/>
  <c r="AE138" i="10"/>
  <c r="AF138" i="10" s="1"/>
  <c r="AE137" i="10"/>
  <c r="AF137" i="10" s="1"/>
  <c r="AE135" i="10"/>
  <c r="AF135" i="10" s="1"/>
  <c r="AE134" i="10"/>
  <c r="AF134" i="10" s="1"/>
  <c r="AE132" i="10"/>
  <c r="AE128" i="10"/>
  <c r="AF128" i="10" s="1"/>
  <c r="AE127" i="10"/>
  <c r="AF127" i="10" s="1"/>
  <c r="AE125" i="10"/>
  <c r="AF125" i="10" s="1"/>
  <c r="AE123" i="10"/>
  <c r="AF123" i="10" s="1"/>
  <c r="AE121" i="10"/>
  <c r="AE118" i="10"/>
  <c r="AF118" i="10" s="1"/>
  <c r="AE117" i="10"/>
  <c r="AF117" i="10" s="1"/>
  <c r="AE115" i="10"/>
  <c r="AE112" i="10"/>
  <c r="AF112" i="10" s="1"/>
  <c r="AE110" i="10"/>
  <c r="AF110" i="10" s="1"/>
  <c r="AE109" i="10"/>
  <c r="AF109" i="10" s="1"/>
  <c r="AE107" i="10"/>
  <c r="AF107" i="10" s="1"/>
  <c r="AE105" i="10"/>
  <c r="AF105" i="10" s="1"/>
  <c r="AE103" i="10"/>
  <c r="AF103" i="10" s="1"/>
  <c r="AE101" i="10"/>
  <c r="AF101" i="10" s="1"/>
  <c r="AE99" i="10"/>
  <c r="AF99" i="10" s="1"/>
  <c r="AE97" i="10"/>
  <c r="AE95" i="10"/>
  <c r="AE94" i="10"/>
  <c r="AF94" i="10" s="1"/>
  <c r="AE92" i="10"/>
  <c r="AE88" i="10"/>
  <c r="AE81" i="10"/>
  <c r="AF81" i="10" s="1"/>
  <c r="AE77" i="10"/>
  <c r="AF77" i="10" s="1"/>
  <c r="AE75" i="10"/>
  <c r="AF75" i="10" s="1"/>
  <c r="AE73" i="10"/>
  <c r="AF73" i="10" s="1"/>
  <c r="AE71" i="10"/>
  <c r="AE68" i="10"/>
  <c r="AF68" i="10" s="1"/>
  <c r="AE66" i="10"/>
  <c r="AE62" i="10"/>
  <c r="AE59" i="10"/>
  <c r="AF59" i="10" s="1"/>
  <c r="AE58" i="10"/>
  <c r="AF58" i="10" s="1"/>
  <c r="AE55" i="10"/>
  <c r="AF55" i="10" s="1"/>
  <c r="AE53" i="10"/>
  <c r="AE50" i="10"/>
  <c r="AF50" i="10" s="1"/>
  <c r="AE48" i="10"/>
  <c r="AF48" i="10" s="1"/>
  <c r="AE45" i="10"/>
  <c r="AF45" i="10" s="1"/>
  <c r="AE43" i="10"/>
  <c r="AE40" i="10"/>
  <c r="AF40" i="10" s="1"/>
  <c r="AE39" i="10"/>
  <c r="AF39" i="10" s="1"/>
  <c r="AE38" i="10"/>
  <c r="AF38" i="10" s="1"/>
  <c r="AE37" i="10"/>
  <c r="AF37" i="10" s="1"/>
  <c r="AE36" i="10"/>
  <c r="AF36" i="10" s="1"/>
  <c r="AE35" i="10"/>
  <c r="AE33" i="10"/>
  <c r="AF33" i="10" s="1"/>
  <c r="AE32" i="10"/>
  <c r="AF32" i="10" s="1"/>
  <c r="AE204" i="10"/>
  <c r="AF204" i="10" s="1"/>
  <c r="AE199" i="10"/>
  <c r="AF199" i="10" s="1"/>
  <c r="AE197" i="10"/>
  <c r="AF197" i="10" s="1"/>
  <c r="AE196" i="10"/>
  <c r="AF196" i="10" s="1"/>
  <c r="AE194" i="10"/>
  <c r="AF194" i="10" s="1"/>
  <c r="AE190" i="10"/>
  <c r="AF190" i="10" s="1"/>
  <c r="AE188" i="10"/>
  <c r="AF188" i="10" s="1"/>
  <c r="AE186" i="10"/>
  <c r="AF186" i="10" s="1"/>
  <c r="AE184" i="10"/>
  <c r="AF184" i="10" s="1"/>
  <c r="AE182" i="10"/>
  <c r="AF182" i="10" s="1"/>
  <c r="AE179" i="10"/>
  <c r="AF179" i="10" s="1"/>
  <c r="AE177" i="10"/>
  <c r="AF177" i="10" s="1"/>
  <c r="AE174" i="10"/>
  <c r="AF174" i="10" s="1"/>
  <c r="AE171" i="10"/>
  <c r="AF171" i="10" s="1"/>
  <c r="AE169" i="10"/>
  <c r="AE167" i="10"/>
  <c r="AF167" i="10" s="1"/>
  <c r="AE165" i="10"/>
  <c r="AF165" i="10" s="1"/>
  <c r="AE163" i="10"/>
  <c r="AF163" i="10" s="1"/>
  <c r="AE159" i="10"/>
  <c r="AF159" i="10" s="1"/>
  <c r="AE157" i="10"/>
  <c r="AF157" i="10" s="1"/>
  <c r="AE154" i="10"/>
  <c r="AE152" i="10"/>
  <c r="AE150" i="10"/>
  <c r="AF150" i="10" s="1"/>
  <c r="AE149" i="10"/>
  <c r="AE146" i="10"/>
  <c r="AF146" i="10" s="1"/>
  <c r="AE144" i="10"/>
  <c r="AE142" i="10"/>
  <c r="AE136" i="10"/>
  <c r="AF136" i="10" s="1"/>
  <c r="AE133" i="10"/>
  <c r="AF133" i="10" s="1"/>
  <c r="AE126" i="10"/>
  <c r="AF126" i="10" s="1"/>
  <c r="AE124" i="10"/>
  <c r="AF124" i="10" s="1"/>
  <c r="AE122" i="10"/>
  <c r="AF122" i="10" s="1"/>
  <c r="AE119" i="10"/>
  <c r="AF119" i="10" s="1"/>
  <c r="AE116" i="10"/>
  <c r="AF116" i="10" s="1"/>
  <c r="AE111" i="10"/>
  <c r="AF111" i="10" s="1"/>
  <c r="AE108" i="10"/>
  <c r="AF108" i="10" s="1"/>
  <c r="AE106" i="10"/>
  <c r="AF106" i="10" s="1"/>
  <c r="AE104" i="10"/>
  <c r="AF104" i="10" s="1"/>
  <c r="AE102" i="10"/>
  <c r="AF102" i="10" s="1"/>
  <c r="AE100" i="10"/>
  <c r="AF100" i="10" s="1"/>
  <c r="AE98" i="10"/>
  <c r="AF98" i="10" s="1"/>
  <c r="AE93" i="10"/>
  <c r="AF93" i="10" s="1"/>
  <c r="AE89" i="10"/>
  <c r="AF89" i="10" s="1"/>
  <c r="AE86" i="10"/>
  <c r="AF86" i="10" s="1"/>
  <c r="AE85" i="10"/>
  <c r="AF85" i="10" s="1"/>
  <c r="AE84" i="10"/>
  <c r="AF84" i="10" s="1"/>
  <c r="AE83" i="10"/>
  <c r="AF83" i="10" s="1"/>
  <c r="AE82" i="10"/>
  <c r="AF82" i="10" s="1"/>
  <c r="AE80" i="10"/>
  <c r="AE78" i="10"/>
  <c r="AF78" i="10" s="1"/>
  <c r="AE76" i="10"/>
  <c r="AF76" i="10" s="1"/>
  <c r="AE74" i="10"/>
  <c r="AF74" i="10" s="1"/>
  <c r="AE72" i="10"/>
  <c r="AF72" i="10" s="1"/>
  <c r="AE69" i="10"/>
  <c r="AF69" i="10" s="1"/>
  <c r="AE67" i="10"/>
  <c r="AF67" i="10" s="1"/>
  <c r="AE64" i="10"/>
  <c r="AF64" i="10" s="1"/>
  <c r="AE63" i="10"/>
  <c r="AF63" i="10" s="1"/>
  <c r="AE60" i="10"/>
  <c r="AF60" i="10" s="1"/>
  <c r="AE57" i="10"/>
  <c r="AE54" i="10"/>
  <c r="AF54" i="10" s="1"/>
  <c r="AE51" i="10"/>
  <c r="AF51" i="10" s="1"/>
  <c r="AE49" i="10"/>
  <c r="AF49" i="10" s="1"/>
  <c r="AE47" i="10"/>
  <c r="AE44" i="10"/>
  <c r="AF44" i="10" s="1"/>
  <c r="AE41" i="10"/>
  <c r="AF41" i="10" s="1"/>
  <c r="AE31" i="10"/>
  <c r="H346" i="10"/>
  <c r="H247" i="10"/>
  <c r="J346" i="10"/>
  <c r="J247" i="10"/>
  <c r="L346" i="10"/>
  <c r="L247" i="10"/>
  <c r="N346" i="10"/>
  <c r="N247" i="10"/>
  <c r="P346" i="10"/>
  <c r="P247" i="10"/>
  <c r="R346" i="10"/>
  <c r="R247" i="10"/>
  <c r="T29" i="10"/>
  <c r="V346" i="10"/>
  <c r="V247" i="10"/>
  <c r="X346" i="10"/>
  <c r="X247" i="10"/>
  <c r="Z346" i="10"/>
  <c r="Z247" i="10"/>
  <c r="AB344" i="10"/>
  <c r="AB329" i="10"/>
  <c r="AB341" i="10"/>
  <c r="U34" i="10"/>
  <c r="U46" i="10"/>
  <c r="T52" i="10"/>
  <c r="U56" i="10"/>
  <c r="T70" i="10"/>
  <c r="AJ78" i="10"/>
  <c r="AJ79" i="10" s="1"/>
  <c r="AJ30" i="10" s="1"/>
  <c r="AJ29" i="10" s="1"/>
  <c r="AM78" i="10"/>
  <c r="AN31" i="10" s="1"/>
  <c r="U79" i="10"/>
  <c r="T87" i="10"/>
  <c r="U96" i="10"/>
  <c r="AI96" i="10"/>
  <c r="U113" i="10"/>
  <c r="U129" i="10"/>
  <c r="T130" i="10"/>
  <c r="U141" i="10"/>
  <c r="U143" i="10"/>
  <c r="U148" i="10"/>
  <c r="U151" i="10"/>
  <c r="AJ154" i="10"/>
  <c r="AJ160" i="10" s="1"/>
  <c r="AJ151" i="10" s="1"/>
  <c r="AJ130" i="10" s="1"/>
  <c r="AJ129" i="10" s="1"/>
  <c r="T160" i="10"/>
  <c r="AH160" i="10"/>
  <c r="U168" i="10"/>
  <c r="I345" i="10"/>
  <c r="I330" i="10"/>
  <c r="I327" i="10"/>
  <c r="I342" i="10" s="1"/>
  <c r="K345" i="10"/>
  <c r="K330" i="10"/>
  <c r="K327" i="10"/>
  <c r="K342" i="10" s="1"/>
  <c r="M345" i="10"/>
  <c r="M330" i="10"/>
  <c r="M327" i="10"/>
  <c r="M342" i="10" s="1"/>
  <c r="O345" i="10"/>
  <c r="O330" i="10"/>
  <c r="O327" i="10"/>
  <c r="O342" i="10" s="1"/>
  <c r="Q345" i="10"/>
  <c r="Q330" i="10"/>
  <c r="Q327" i="10"/>
  <c r="Q342" i="10" s="1"/>
  <c r="W345" i="10"/>
  <c r="W330" i="10"/>
  <c r="W327" i="10"/>
  <c r="W342" i="10" s="1"/>
  <c r="Y345" i="10"/>
  <c r="Y330" i="10"/>
  <c r="Y327" i="10"/>
  <c r="Y342" i="10" s="1"/>
  <c r="AA345" i="10"/>
  <c r="AA330" i="10"/>
  <c r="AA327" i="10"/>
  <c r="AA342" i="10" s="1"/>
  <c r="AC345" i="10"/>
  <c r="AC330" i="10"/>
  <c r="AC327" i="10"/>
  <c r="AC342" i="10" s="1"/>
  <c r="AG345" i="10"/>
  <c r="AG330" i="10"/>
  <c r="AG327" i="10"/>
  <c r="AG342" i="10" s="1"/>
  <c r="T263" i="10"/>
  <c r="U263" i="10"/>
  <c r="I346" i="10"/>
  <c r="I247" i="10"/>
  <c r="K346" i="10"/>
  <c r="K247" i="10"/>
  <c r="M346" i="10"/>
  <c r="M247" i="10"/>
  <c r="O346" i="10"/>
  <c r="O247" i="10"/>
  <c r="Q346" i="10"/>
  <c r="Q247" i="10"/>
  <c r="S346" i="10"/>
  <c r="S247" i="10"/>
  <c r="U29" i="10"/>
  <c r="W346" i="10"/>
  <c r="W247" i="10"/>
  <c r="Y346" i="10"/>
  <c r="Y247" i="10"/>
  <c r="AA341" i="10"/>
  <c r="AA340" i="10" s="1"/>
  <c r="AA344" i="10"/>
  <c r="AA343" i="10" s="1"/>
  <c r="AA329" i="10"/>
  <c r="AA328" i="10" s="1"/>
  <c r="AC346" i="10"/>
  <c r="AC247" i="10"/>
  <c r="AG346" i="10"/>
  <c r="AJ346" i="10" s="1"/>
  <c r="AG247" i="10"/>
  <c r="AI78" i="10"/>
  <c r="AK78" i="10"/>
  <c r="AK79" i="10" s="1"/>
  <c r="AK30" i="10" s="1"/>
  <c r="AK29" i="10" s="1"/>
  <c r="AK247" i="10" s="1"/>
  <c r="AI154" i="10"/>
  <c r="AH345" i="10"/>
  <c r="AJ345" i="10" s="1"/>
  <c r="AH330" i="10"/>
  <c r="AJ330" i="10" s="1"/>
  <c r="AH327" i="10"/>
  <c r="AH342" i="10" s="1"/>
  <c r="AJ342" i="10" s="1"/>
  <c r="H345" i="10"/>
  <c r="H330" i="10"/>
  <c r="H327" i="10"/>
  <c r="H342" i="10" s="1"/>
  <c r="J345" i="10"/>
  <c r="J330" i="10"/>
  <c r="J327" i="10"/>
  <c r="J342" i="10" s="1"/>
  <c r="L345" i="10"/>
  <c r="L330" i="10"/>
  <c r="L327" i="10"/>
  <c r="L342" i="10" s="1"/>
  <c r="N345" i="10"/>
  <c r="N330" i="10"/>
  <c r="N327" i="10"/>
  <c r="N342" i="10" s="1"/>
  <c r="P345" i="10"/>
  <c r="P330" i="10"/>
  <c r="P327" i="10"/>
  <c r="P342" i="10" s="1"/>
  <c r="R345" i="10"/>
  <c r="R330" i="10"/>
  <c r="R327" i="10"/>
  <c r="R342" i="10" s="1"/>
  <c r="V345" i="10"/>
  <c r="V330" i="10"/>
  <c r="V327" i="10"/>
  <c r="V342" i="10" s="1"/>
  <c r="X345" i="10"/>
  <c r="X330" i="10"/>
  <c r="X327" i="10"/>
  <c r="X342" i="10" s="1"/>
  <c r="Z345" i="10"/>
  <c r="Z330" i="10"/>
  <c r="Z327" i="10"/>
  <c r="Z342" i="10" s="1"/>
  <c r="AB345" i="10"/>
  <c r="AB330" i="10"/>
  <c r="AB327" i="10"/>
  <c r="AB342" i="10" s="1"/>
  <c r="U215" i="10"/>
  <c r="T235" i="10"/>
  <c r="AM241" i="10"/>
  <c r="AM247" i="10" s="1"/>
  <c r="U243" i="10"/>
  <c r="AN244" i="10"/>
  <c r="AJ248" i="10"/>
  <c r="AJ324" i="10" s="1"/>
  <c r="AJ327" i="10" s="1"/>
  <c r="AF353" i="10"/>
  <c r="T250" i="10"/>
  <c r="AF378" i="10"/>
  <c r="AF352" i="10"/>
  <c r="AD378" i="10"/>
  <c r="AD364" i="10"/>
  <c r="AD352" i="10"/>
  <c r="T268" i="10"/>
  <c r="AF276" i="10"/>
  <c r="AF381" i="10" s="1"/>
  <c r="V380" i="10"/>
  <c r="V350" i="10"/>
  <c r="AD380" i="10"/>
  <c r="AD350" i="10"/>
  <c r="AD351" i="10" s="1"/>
  <c r="AD353" i="10" s="1"/>
  <c r="AI278" i="10"/>
  <c r="U281" i="10"/>
  <c r="T286" i="10"/>
  <c r="S324" i="10"/>
  <c r="S353" i="10"/>
  <c r="U351" i="10"/>
  <c r="U353" i="10" s="1"/>
  <c r="T351" i="10"/>
  <c r="T353" i="10" s="1"/>
  <c r="K352" i="10"/>
  <c r="K365" i="10" s="1"/>
  <c r="M352" i="10"/>
  <c r="M365" i="10" s="1"/>
  <c r="AI248" i="10"/>
  <c r="AK248" i="10"/>
  <c r="AK324" i="10" s="1"/>
  <c r="AK378" i="10"/>
  <c r="AK352" i="10"/>
  <c r="AK353" i="10" s="1"/>
  <c r="AI268" i="10"/>
  <c r="AC380" i="10"/>
  <c r="AC350" i="10"/>
  <c r="AC351" i="10" s="1"/>
  <c r="AC353" i="10" s="1"/>
  <c r="V351" i="10"/>
  <c r="V353" i="10" s="1"/>
  <c r="L352" i="10"/>
  <c r="L365" i="10" s="1"/>
  <c r="AH351" i="10"/>
  <c r="T365" i="10"/>
  <c r="U365" i="10"/>
  <c r="AD365" i="10" l="1"/>
  <c r="AD113" i="10"/>
  <c r="AD324" i="10"/>
  <c r="AD327" i="10" s="1"/>
  <c r="AD342" i="10" s="1"/>
  <c r="AD30" i="10"/>
  <c r="AD29" i="10" s="1"/>
  <c r="AJ247" i="10"/>
  <c r="AD151" i="10"/>
  <c r="AD130" i="10" s="1"/>
  <c r="AD129" i="10" s="1"/>
  <c r="AK344" i="10"/>
  <c r="AK329" i="10"/>
  <c r="AK341" i="10"/>
  <c r="S345" i="10"/>
  <c r="S330" i="10"/>
  <c r="S327" i="10"/>
  <c r="T324" i="10"/>
  <c r="U324" i="10"/>
  <c r="AG341" i="10"/>
  <c r="AG340" i="10" s="1"/>
  <c r="AG344" i="10"/>
  <c r="AG343" i="10" s="1"/>
  <c r="AG329" i="10"/>
  <c r="AG328" i="10" s="1"/>
  <c r="AG336" i="10" s="1"/>
  <c r="AC341" i="10"/>
  <c r="AC340" i="10" s="1"/>
  <c r="AC344" i="10"/>
  <c r="AC343" i="10" s="1"/>
  <c r="AC329" i="10"/>
  <c r="AC328" i="10" s="1"/>
  <c r="AA376" i="10"/>
  <c r="AA377" i="10" s="1"/>
  <c r="AA387" i="10" s="1"/>
  <c r="AA336" i="10"/>
  <c r="S341" i="10"/>
  <c r="S344" i="10"/>
  <c r="S329" i="10"/>
  <c r="U247" i="10"/>
  <c r="T247" i="10"/>
  <c r="Q341" i="10"/>
  <c r="Q340" i="10" s="1"/>
  <c r="Q344" i="10"/>
  <c r="Q343" i="10" s="1"/>
  <c r="Q329" i="10"/>
  <c r="Q328" i="10" s="1"/>
  <c r="O341" i="10"/>
  <c r="O340" i="10" s="1"/>
  <c r="O344" i="10"/>
  <c r="O343" i="10" s="1"/>
  <c r="O329" i="10"/>
  <c r="O328" i="10" s="1"/>
  <c r="M341" i="10"/>
  <c r="M340" i="10" s="1"/>
  <c r="M344" i="10"/>
  <c r="M343" i="10" s="1"/>
  <c r="M329" i="10"/>
  <c r="M328" i="10" s="1"/>
  <c r="K341" i="10"/>
  <c r="K340" i="10" s="1"/>
  <c r="K344" i="10"/>
  <c r="K343" i="10" s="1"/>
  <c r="K329" i="10"/>
  <c r="K328" i="10" s="1"/>
  <c r="I341" i="10"/>
  <c r="I340" i="10" s="1"/>
  <c r="I344" i="10"/>
  <c r="I343" i="10" s="1"/>
  <c r="I329" i="10"/>
  <c r="I328" i="10" s="1"/>
  <c r="AI160" i="10"/>
  <c r="AH151" i="10"/>
  <c r="AB328" i="10"/>
  <c r="Z344" i="10"/>
  <c r="Z343" i="10" s="1"/>
  <c r="Z329" i="10"/>
  <c r="Z328" i="10" s="1"/>
  <c r="Z341" i="10"/>
  <c r="Z340" i="10" s="1"/>
  <c r="X344" i="10"/>
  <c r="X343" i="10" s="1"/>
  <c r="X329" i="10"/>
  <c r="X328" i="10" s="1"/>
  <c r="X341" i="10"/>
  <c r="X340" i="10" s="1"/>
  <c r="V344" i="10"/>
  <c r="V343" i="10" s="1"/>
  <c r="V329" i="10"/>
  <c r="V328" i="10" s="1"/>
  <c r="V341" i="10"/>
  <c r="V340" i="10" s="1"/>
  <c r="AE52" i="10"/>
  <c r="AF47" i="10"/>
  <c r="AF52" i="10" s="1"/>
  <c r="AE61" i="10"/>
  <c r="AF57" i="10"/>
  <c r="AF61" i="10" s="1"/>
  <c r="AE87" i="10"/>
  <c r="AF80" i="10"/>
  <c r="AF87" i="10" s="1"/>
  <c r="AF142" i="10"/>
  <c r="AF141" i="10" s="1"/>
  <c r="AE141" i="10"/>
  <c r="AE160" i="10"/>
  <c r="AF154" i="10"/>
  <c r="AF160" i="10" s="1"/>
  <c r="AE172" i="10"/>
  <c r="AF169" i="10"/>
  <c r="AF172" i="10" s="1"/>
  <c r="AE70" i="10"/>
  <c r="AF66" i="10"/>
  <c r="AF70" i="10" s="1"/>
  <c r="AE79" i="10"/>
  <c r="AF71" i="10"/>
  <c r="AF79" i="10" s="1"/>
  <c r="AE91" i="10"/>
  <c r="AF92" i="10"/>
  <c r="AF91" i="10" s="1"/>
  <c r="AF95" i="10"/>
  <c r="AE114" i="10"/>
  <c r="AF115" i="10"/>
  <c r="AF114" i="10" s="1"/>
  <c r="AE131" i="10"/>
  <c r="AF132" i="10"/>
  <c r="AF131" i="10" s="1"/>
  <c r="AE168" i="10"/>
  <c r="AF161" i="10"/>
  <c r="AF168" i="10" s="1"/>
  <c r="AE180" i="10"/>
  <c r="AF176" i="10"/>
  <c r="AF180" i="10" s="1"/>
  <c r="AE206" i="10"/>
  <c r="AF181" i="10"/>
  <c r="AF206" i="10" s="1"/>
  <c r="AF242" i="10"/>
  <c r="AF241" i="10" s="1"/>
  <c r="AE241" i="10"/>
  <c r="AF282" i="10"/>
  <c r="AF281" i="10" s="1"/>
  <c r="AE281" i="10"/>
  <c r="AF287" i="10"/>
  <c r="AF286" i="10" s="1"/>
  <c r="AE286" i="10"/>
  <c r="AI30" i="10"/>
  <c r="AH29" i="10"/>
  <c r="AH353" i="10"/>
  <c r="AJ353" i="10" s="1"/>
  <c r="AJ351" i="10"/>
  <c r="AK327" i="10"/>
  <c r="AK342" i="10" s="1"/>
  <c r="AK345" i="10"/>
  <c r="AK330" i="10"/>
  <c r="Y341" i="10"/>
  <c r="Y340" i="10" s="1"/>
  <c r="Y344" i="10"/>
  <c r="Y343" i="10" s="1"/>
  <c r="Y329" i="10"/>
  <c r="Y328" i="10" s="1"/>
  <c r="W341" i="10"/>
  <c r="W340" i="10" s="1"/>
  <c r="W344" i="10"/>
  <c r="W343" i="10" s="1"/>
  <c r="W329" i="10"/>
  <c r="W328" i="10" s="1"/>
  <c r="AB340" i="10"/>
  <c r="AB343" i="10"/>
  <c r="R344" i="10"/>
  <c r="R343" i="10" s="1"/>
  <c r="R329" i="10"/>
  <c r="R328" i="10" s="1"/>
  <c r="R341" i="10"/>
  <c r="R340" i="10" s="1"/>
  <c r="P344" i="10"/>
  <c r="P343" i="10" s="1"/>
  <c r="P329" i="10"/>
  <c r="P328" i="10" s="1"/>
  <c r="P341" i="10"/>
  <c r="P340" i="10" s="1"/>
  <c r="N344" i="10"/>
  <c r="N343" i="10" s="1"/>
  <c r="N329" i="10"/>
  <c r="N328" i="10" s="1"/>
  <c r="N341" i="10"/>
  <c r="N340" i="10" s="1"/>
  <c r="L344" i="10"/>
  <c r="L343" i="10" s="1"/>
  <c r="L329" i="10"/>
  <c r="L328" i="10" s="1"/>
  <c r="L341" i="10"/>
  <c r="L340" i="10" s="1"/>
  <c r="J344" i="10"/>
  <c r="J343" i="10" s="1"/>
  <c r="J329" i="10"/>
  <c r="J328" i="10" s="1"/>
  <c r="J341" i="10"/>
  <c r="J340" i="10" s="1"/>
  <c r="H344" i="10"/>
  <c r="H343" i="10" s="1"/>
  <c r="H329" i="10"/>
  <c r="H328" i="10" s="1"/>
  <c r="H341" i="10"/>
  <c r="H340" i="10" s="1"/>
  <c r="AF31" i="10"/>
  <c r="AF34" i="10" s="1"/>
  <c r="AE34" i="10"/>
  <c r="AF144" i="10"/>
  <c r="AF143" i="10" s="1"/>
  <c r="AE143" i="10"/>
  <c r="AF149" i="10"/>
  <c r="AF148" i="10" s="1"/>
  <c r="AE148" i="10"/>
  <c r="AE153" i="10"/>
  <c r="AF152" i="10"/>
  <c r="AF153" i="10" s="1"/>
  <c r="AE42" i="10"/>
  <c r="AF35" i="10"/>
  <c r="AF42" i="10" s="1"/>
  <c r="AE46" i="10"/>
  <c r="AF43" i="10"/>
  <c r="AF46" i="10" s="1"/>
  <c r="AE56" i="10"/>
  <c r="AF53" i="10"/>
  <c r="AF56" i="10" s="1"/>
  <c r="AE65" i="10"/>
  <c r="AF62" i="10"/>
  <c r="AF65" i="10" s="1"/>
  <c r="AE90" i="10"/>
  <c r="AF88" i="10"/>
  <c r="AF90" i="10" s="1"/>
  <c r="AF97" i="10"/>
  <c r="AF96" i="10" s="1"/>
  <c r="AF384" i="10" s="1"/>
  <c r="AF385" i="10" s="1"/>
  <c r="AE96" i="10"/>
  <c r="AE384" i="10" s="1"/>
  <c r="AE385" i="10" s="1"/>
  <c r="AE269" i="10" s="1"/>
  <c r="AE268" i="10" s="1"/>
  <c r="AE382" i="10" s="1"/>
  <c r="AE120" i="10"/>
  <c r="AF121" i="10"/>
  <c r="AF120" i="10" s="1"/>
  <c r="AE175" i="10"/>
  <c r="AF173" i="10"/>
  <c r="AF175" i="10" s="1"/>
  <c r="AF213" i="10"/>
  <c r="AF212" i="10" s="1"/>
  <c r="AE212" i="10"/>
  <c r="AF216" i="10"/>
  <c r="AF215" i="10" s="1"/>
  <c r="AE215" i="10"/>
  <c r="AF244" i="10"/>
  <c r="AE243" i="10"/>
  <c r="AF243" i="10" s="1"/>
  <c r="AE379" i="10"/>
  <c r="AF255" i="10"/>
  <c r="AE250" i="10"/>
  <c r="AF268" i="10"/>
  <c r="AF382" i="10" s="1"/>
  <c r="AF279" i="10"/>
  <c r="AF278" i="10" s="1"/>
  <c r="AE278" i="10"/>
  <c r="AE207" i="10"/>
  <c r="AF208" i="10"/>
  <c r="AF207" i="10" s="1"/>
  <c r="AE221" i="10"/>
  <c r="AF222" i="10"/>
  <c r="AF221" i="10" s="1"/>
  <c r="AE229" i="10"/>
  <c r="AF230" i="10"/>
  <c r="AF229" i="10" s="1"/>
  <c r="AE235" i="10"/>
  <c r="AF236" i="10"/>
  <c r="AF235" i="10" s="1"/>
  <c r="AD345" i="10" l="1"/>
  <c r="AD330" i="10"/>
  <c r="AD346" i="10"/>
  <c r="AD247" i="10"/>
  <c r="AE151" i="10"/>
  <c r="AF30" i="10"/>
  <c r="AF29" i="10" s="1"/>
  <c r="P376" i="10"/>
  <c r="P377" i="10" s="1"/>
  <c r="P387" i="10" s="1"/>
  <c r="P366" i="10"/>
  <c r="Y376" i="10"/>
  <c r="Y377" i="10" s="1"/>
  <c r="Y387" i="10" s="1"/>
  <c r="Y336" i="10"/>
  <c r="AI29" i="10"/>
  <c r="AF113" i="10"/>
  <c r="X376" i="10"/>
  <c r="X377" i="10" s="1"/>
  <c r="X387" i="10" s="1"/>
  <c r="X336" i="10"/>
  <c r="AI151" i="10"/>
  <c r="AH130" i="10"/>
  <c r="Q376" i="10"/>
  <c r="Q377" i="10" s="1"/>
  <c r="Q387" i="10" s="1"/>
  <c r="Q368" i="10"/>
  <c r="Q366" i="10"/>
  <c r="T344" i="10"/>
  <c r="S343" i="10"/>
  <c r="U344" i="10"/>
  <c r="AC376" i="10"/>
  <c r="AC377" i="10" s="1"/>
  <c r="AC387" i="10" s="1"/>
  <c r="AC336" i="10"/>
  <c r="S342" i="10"/>
  <c r="U327" i="10"/>
  <c r="T327" i="10"/>
  <c r="U345" i="10"/>
  <c r="T345" i="10"/>
  <c r="AK328" i="10"/>
  <c r="AF379" i="10"/>
  <c r="AF250" i="10"/>
  <c r="AF151" i="10"/>
  <c r="AF130" i="10" s="1"/>
  <c r="AF129" i="10" s="1"/>
  <c r="AE30" i="10"/>
  <c r="AE29" i="10" s="1"/>
  <c r="N366" i="10"/>
  <c r="R376" i="10"/>
  <c r="R377" i="10" s="1"/>
  <c r="R387" i="10" s="1"/>
  <c r="R366" i="10"/>
  <c r="W376" i="10"/>
  <c r="W377" i="10" s="1"/>
  <c r="W387" i="10" s="1"/>
  <c r="W336" i="10"/>
  <c r="AE130" i="10"/>
  <c r="AE129" i="10" s="1"/>
  <c r="AE113" i="10"/>
  <c r="AE248" i="10"/>
  <c r="V376" i="10"/>
  <c r="V377" i="10" s="1"/>
  <c r="V387" i="10" s="1"/>
  <c r="V336" i="10"/>
  <c r="Z376" i="10"/>
  <c r="Z377" i="10" s="1"/>
  <c r="Z387" i="10" s="1"/>
  <c r="Z336" i="10"/>
  <c r="AB376" i="10"/>
  <c r="AB377" i="10" s="1"/>
  <c r="AB387" i="10" s="1"/>
  <c r="AB336" i="10"/>
  <c r="O376" i="10"/>
  <c r="O377" i="10" s="1"/>
  <c r="O387" i="10" s="1"/>
  <c r="O366" i="10"/>
  <c r="T329" i="10"/>
  <c r="S328" i="10"/>
  <c r="U329" i="10"/>
  <c r="U341" i="10"/>
  <c r="T341" i="10"/>
  <c r="S340" i="10"/>
  <c r="U330" i="10"/>
  <c r="T330" i="10"/>
  <c r="AK340" i="10"/>
  <c r="AK343" i="10"/>
  <c r="AD344" i="10" l="1"/>
  <c r="AD343" i="10" s="1"/>
  <c r="AD341" i="10"/>
  <c r="AD340" i="10" s="1"/>
  <c r="AD329" i="10"/>
  <c r="AD328" i="10" s="1"/>
  <c r="T340" i="10"/>
  <c r="U340" i="10"/>
  <c r="S376" i="10"/>
  <c r="S377" i="10" s="1"/>
  <c r="S387" i="10" s="1"/>
  <c r="S366" i="10"/>
  <c r="U328" i="10"/>
  <c r="T328" i="10"/>
  <c r="T366" i="10" s="1"/>
  <c r="AF248" i="10"/>
  <c r="AF324" i="10" s="1"/>
  <c r="AE324" i="10"/>
  <c r="AE346" i="10"/>
  <c r="AE247" i="10"/>
  <c r="AK376" i="10"/>
  <c r="AK377" i="10" s="1"/>
  <c r="AK387" i="10" s="1"/>
  <c r="AK336" i="10"/>
  <c r="AI130" i="10"/>
  <c r="AH129" i="10"/>
  <c r="AF346" i="10"/>
  <c r="AF247" i="10"/>
  <c r="T342" i="10"/>
  <c r="U342" i="10"/>
  <c r="U343" i="10"/>
  <c r="T343" i="10"/>
  <c r="AD336" i="10" l="1"/>
  <c r="AD376" i="10"/>
  <c r="AD377" i="10" s="1"/>
  <c r="AD387" i="10" s="1"/>
  <c r="AF344" i="10"/>
  <c r="AF329" i="10"/>
  <c r="AF341" i="10"/>
  <c r="AN129" i="10"/>
  <c r="AI129" i="10"/>
  <c r="AH247" i="10"/>
  <c r="AE341" i="10"/>
  <c r="AE344" i="10"/>
  <c r="AE329" i="10"/>
  <c r="AE345" i="10"/>
  <c r="AE330" i="10"/>
  <c r="AE327" i="10"/>
  <c r="AE342" i="10" s="1"/>
  <c r="AF345" i="10"/>
  <c r="AF330" i="10"/>
  <c r="AF327" i="10"/>
  <c r="AF342" i="10" s="1"/>
  <c r="AE343" i="10" l="1"/>
  <c r="AH344" i="10"/>
  <c r="AH329" i="10"/>
  <c r="AH341" i="10"/>
  <c r="AI247" i="10"/>
  <c r="AM248" i="10"/>
  <c r="AF328" i="10"/>
  <c r="AE328" i="10"/>
  <c r="AE340" i="10"/>
  <c r="AF340" i="10"/>
  <c r="AF343" i="10"/>
  <c r="AE376" i="10" l="1"/>
  <c r="AE377" i="10" s="1"/>
  <c r="AE387" i="10" s="1"/>
  <c r="AE336" i="10"/>
  <c r="AJ341" i="10"/>
  <c r="AJ340" i="10" s="1"/>
  <c r="AH340" i="10"/>
  <c r="AJ344" i="10"/>
  <c r="AJ343" i="10" s="1"/>
  <c r="AH343" i="10"/>
  <c r="AF376" i="10"/>
  <c r="AF377" i="10" s="1"/>
  <c r="AF387" i="10" s="1"/>
  <c r="AF336" i="10"/>
  <c r="AJ329" i="10"/>
  <c r="AJ328" i="10" s="1"/>
  <c r="AJ336" i="10" s="1"/>
  <c r="AH328" i="10"/>
  <c r="AH376" i="10" l="1"/>
  <c r="AH377" i="10" s="1"/>
  <c r="AH387" i="10" s="1"/>
  <c r="AH336" i="10"/>
  <c r="S518" i="9" l="1"/>
  <c r="T517" i="9"/>
  <c r="V516" i="9"/>
  <c r="S516" i="9"/>
  <c r="V515" i="9"/>
  <c r="S515" i="9"/>
  <c r="V514" i="9"/>
  <c r="S514" i="9"/>
  <c r="V513" i="9"/>
  <c r="S513" i="9"/>
  <c r="V511" i="9"/>
  <c r="S511" i="9"/>
  <c r="V510" i="9"/>
  <c r="S510" i="9"/>
  <c r="V509" i="9"/>
  <c r="S509" i="9"/>
  <c r="V508" i="9"/>
  <c r="S508" i="9"/>
  <c r="V503" i="9"/>
  <c r="S503" i="9"/>
  <c r="V502" i="9"/>
  <c r="V501" i="9"/>
  <c r="S501" i="9"/>
  <c r="V500" i="9"/>
  <c r="S500" i="9"/>
  <c r="V499" i="9"/>
  <c r="S499" i="9"/>
  <c r="V498" i="9"/>
  <c r="S498" i="9"/>
  <c r="V497" i="9"/>
  <c r="S497" i="9"/>
  <c r="V496" i="9"/>
  <c r="S496" i="9"/>
  <c r="V495" i="9"/>
  <c r="S495" i="9"/>
  <c r="S502" i="9" s="1"/>
  <c r="V494" i="9"/>
  <c r="S494" i="9"/>
  <c r="S492" i="9"/>
  <c r="S491" i="9"/>
  <c r="S490" i="9"/>
  <c r="S489" i="9"/>
  <c r="S488" i="9"/>
  <c r="DB482" i="9"/>
  <c r="CW482" i="9"/>
  <c r="DB479" i="9"/>
  <c r="DB487" i="9" s="1"/>
  <c r="CW479" i="9"/>
  <c r="CW487" i="9" s="1"/>
  <c r="S477" i="9"/>
  <c r="T476" i="9"/>
  <c r="CO475" i="9"/>
  <c r="CO516" i="9" s="1"/>
  <c r="CN475" i="9"/>
  <c r="CN516" i="9" s="1"/>
  <c r="CM475" i="9"/>
  <c r="CM516" i="9" s="1"/>
  <c r="CL475" i="9"/>
  <c r="CL516" i="9" s="1"/>
  <c r="CK475" i="9"/>
  <c r="CK516" i="9" s="1"/>
  <c r="T475" i="9"/>
  <c r="T516" i="9" s="1"/>
  <c r="S475" i="9"/>
  <c r="CO474" i="9"/>
  <c r="CO515" i="9" s="1"/>
  <c r="CN474" i="9"/>
  <c r="CN515" i="9" s="1"/>
  <c r="CM474" i="9"/>
  <c r="CM515" i="9" s="1"/>
  <c r="CL474" i="9"/>
  <c r="CL515" i="9" s="1"/>
  <c r="CK474" i="9"/>
  <c r="CK515" i="9" s="1"/>
  <c r="T474" i="9"/>
  <c r="T515" i="9" s="1"/>
  <c r="S474" i="9"/>
  <c r="CO473" i="9"/>
  <c r="CO514" i="9" s="1"/>
  <c r="CN473" i="9"/>
  <c r="CN514" i="9" s="1"/>
  <c r="CM473" i="9"/>
  <c r="CM514" i="9" s="1"/>
  <c r="CL473" i="9"/>
  <c r="CL514" i="9" s="1"/>
  <c r="CK473" i="9"/>
  <c r="CK514" i="9" s="1"/>
  <c r="BQ473" i="9"/>
  <c r="BQ514" i="9" s="1"/>
  <c r="BL473" i="9"/>
  <c r="BL514" i="9" s="1"/>
  <c r="BB473" i="9"/>
  <c r="BB514" i="9" s="1"/>
  <c r="AS473" i="9"/>
  <c r="AS514" i="9" s="1"/>
  <c r="AQ473" i="9"/>
  <c r="AQ514" i="9" s="1"/>
  <c r="U473" i="9"/>
  <c r="U514" i="9" s="1"/>
  <c r="T473" i="9"/>
  <c r="T514" i="9" s="1"/>
  <c r="S473" i="9"/>
  <c r="CO472" i="9"/>
  <c r="CO513" i="9" s="1"/>
  <c r="CN472" i="9"/>
  <c r="CN513" i="9" s="1"/>
  <c r="CM472" i="9"/>
  <c r="CM513" i="9" s="1"/>
  <c r="CL472" i="9"/>
  <c r="CL513" i="9" s="1"/>
  <c r="CK472" i="9"/>
  <c r="CK513" i="9" s="1"/>
  <c r="BQ472" i="9"/>
  <c r="BQ513" i="9" s="1"/>
  <c r="BL472" i="9"/>
  <c r="BL513" i="9" s="1"/>
  <c r="BB472" i="9"/>
  <c r="BB513" i="9" s="1"/>
  <c r="AS472" i="9"/>
  <c r="AS513" i="9" s="1"/>
  <c r="AQ472" i="9"/>
  <c r="AQ513" i="9" s="1"/>
  <c r="U472" i="9"/>
  <c r="U513" i="9" s="1"/>
  <c r="T472" i="9"/>
  <c r="T513" i="9" s="1"/>
  <c r="S472" i="9"/>
  <c r="CO470" i="9"/>
  <c r="CO511" i="9" s="1"/>
  <c r="CN470" i="9"/>
  <c r="CN511" i="9" s="1"/>
  <c r="CM470" i="9"/>
  <c r="CM511" i="9" s="1"/>
  <c r="CL470" i="9"/>
  <c r="CL511" i="9" s="1"/>
  <c r="CK470" i="9"/>
  <c r="CK511" i="9" s="1"/>
  <c r="S470" i="9"/>
  <c r="CO469" i="9"/>
  <c r="CO510" i="9" s="1"/>
  <c r="CN469" i="9"/>
  <c r="CN510" i="9" s="1"/>
  <c r="CM469" i="9"/>
  <c r="CM510" i="9" s="1"/>
  <c r="CL469" i="9"/>
  <c r="CL510" i="9" s="1"/>
  <c r="CK469" i="9"/>
  <c r="CK510" i="9" s="1"/>
  <c r="S469" i="9"/>
  <c r="CR468" i="9"/>
  <c r="CR509" i="9" s="1"/>
  <c r="CO468" i="9"/>
  <c r="CO509" i="9" s="1"/>
  <c r="CN468" i="9"/>
  <c r="CN509" i="9" s="1"/>
  <c r="CM468" i="9"/>
  <c r="CM509" i="9" s="1"/>
  <c r="CL468" i="9"/>
  <c r="CL509" i="9" s="1"/>
  <c r="CK468" i="9"/>
  <c r="CK509" i="9" s="1"/>
  <c r="T468" i="9"/>
  <c r="T509" i="9" s="1"/>
  <c r="S468" i="9"/>
  <c r="CQ467" i="9"/>
  <c r="CQ508" i="9" s="1"/>
  <c r="CP467" i="9"/>
  <c r="CP508" i="9" s="1"/>
  <c r="CO467" i="9"/>
  <c r="CO508" i="9" s="1"/>
  <c r="CN467" i="9"/>
  <c r="CN508" i="9" s="1"/>
  <c r="CM467" i="9"/>
  <c r="CM508" i="9" s="1"/>
  <c r="CL467" i="9"/>
  <c r="CL508" i="9" s="1"/>
  <c r="CK467" i="9"/>
  <c r="CK508" i="9" s="1"/>
  <c r="BQ467" i="9"/>
  <c r="BQ508" i="9" s="1"/>
  <c r="BL467" i="9"/>
  <c r="BL508" i="9" s="1"/>
  <c r="BB467" i="9"/>
  <c r="BB508" i="9" s="1"/>
  <c r="AS467" i="9"/>
  <c r="AS508" i="9" s="1"/>
  <c r="AQ467" i="9"/>
  <c r="AQ508" i="9" s="1"/>
  <c r="T467" i="9"/>
  <c r="T508" i="9" s="1"/>
  <c r="S467" i="9"/>
  <c r="CO462" i="9"/>
  <c r="CO503" i="9" s="1"/>
  <c r="CN462" i="9"/>
  <c r="CN503" i="9" s="1"/>
  <c r="CM462" i="9"/>
  <c r="CM503" i="9" s="1"/>
  <c r="CL462" i="9"/>
  <c r="CL503" i="9" s="1"/>
  <c r="CK462" i="9"/>
  <c r="CK503" i="9" s="1"/>
  <c r="S462" i="9"/>
  <c r="CO461" i="9"/>
  <c r="CO502" i="9" s="1"/>
  <c r="CN461" i="9"/>
  <c r="CN502" i="9" s="1"/>
  <c r="CM461" i="9"/>
  <c r="CM502" i="9" s="1"/>
  <c r="CL461" i="9"/>
  <c r="CL502" i="9" s="1"/>
  <c r="CK461" i="9"/>
  <c r="CK502" i="9" s="1"/>
  <c r="CO460" i="9"/>
  <c r="CO501" i="9" s="1"/>
  <c r="CN460" i="9"/>
  <c r="CN501" i="9" s="1"/>
  <c r="CM460" i="9"/>
  <c r="CM501" i="9" s="1"/>
  <c r="CL460" i="9"/>
  <c r="CL501" i="9" s="1"/>
  <c r="CK460" i="9"/>
  <c r="CK501" i="9" s="1"/>
  <c r="S460" i="9"/>
  <c r="CO459" i="9"/>
  <c r="CO500" i="9" s="1"/>
  <c r="CN459" i="9"/>
  <c r="CN500" i="9" s="1"/>
  <c r="CM459" i="9"/>
  <c r="CM500" i="9" s="1"/>
  <c r="CL459" i="9"/>
  <c r="CL500" i="9" s="1"/>
  <c r="CK459" i="9"/>
  <c r="CK500" i="9" s="1"/>
  <c r="S459" i="9"/>
  <c r="CO458" i="9"/>
  <c r="CO499" i="9" s="1"/>
  <c r="CN458" i="9"/>
  <c r="CN499" i="9" s="1"/>
  <c r="CM458" i="9"/>
  <c r="CM499" i="9" s="1"/>
  <c r="CL458" i="9"/>
  <c r="CL499" i="9" s="1"/>
  <c r="CK458" i="9"/>
  <c r="CK499" i="9" s="1"/>
  <c r="S458" i="9"/>
  <c r="CO457" i="9"/>
  <c r="CO498" i="9" s="1"/>
  <c r="CN457" i="9"/>
  <c r="CN498" i="9" s="1"/>
  <c r="CM457" i="9"/>
  <c r="CM498" i="9" s="1"/>
  <c r="CL457" i="9"/>
  <c r="CL498" i="9" s="1"/>
  <c r="CK457" i="9"/>
  <c r="CK498" i="9" s="1"/>
  <c r="T457" i="9"/>
  <c r="T498" i="9" s="1"/>
  <c r="S457" i="9"/>
  <c r="CO456" i="9"/>
  <c r="CO497" i="9" s="1"/>
  <c r="CN456" i="9"/>
  <c r="CN497" i="9" s="1"/>
  <c r="CM456" i="9"/>
  <c r="CM497" i="9" s="1"/>
  <c r="CL456" i="9"/>
  <c r="CL497" i="9" s="1"/>
  <c r="CK456" i="9"/>
  <c r="CK497" i="9" s="1"/>
  <c r="S456" i="9"/>
  <c r="CO455" i="9"/>
  <c r="CO496" i="9" s="1"/>
  <c r="CN455" i="9"/>
  <c r="CN496" i="9" s="1"/>
  <c r="CM455" i="9"/>
  <c r="CM496" i="9" s="1"/>
  <c r="CL455" i="9"/>
  <c r="CL496" i="9" s="1"/>
  <c r="CK455" i="9"/>
  <c r="CK496" i="9" s="1"/>
  <c r="S455" i="9"/>
  <c r="CO454" i="9"/>
  <c r="CO495" i="9" s="1"/>
  <c r="CO494" i="9" s="1"/>
  <c r="CO518" i="9" s="1"/>
  <c r="CN454" i="9"/>
  <c r="CN495" i="9" s="1"/>
  <c r="CN494" i="9" s="1"/>
  <c r="CN518" i="9" s="1"/>
  <c r="CM454" i="9"/>
  <c r="CM495" i="9" s="1"/>
  <c r="CM494" i="9" s="1"/>
  <c r="CM518" i="9" s="1"/>
  <c r="CL454" i="9"/>
  <c r="CL495" i="9" s="1"/>
  <c r="CL494" i="9" s="1"/>
  <c r="CL518" i="9" s="1"/>
  <c r="CK454" i="9"/>
  <c r="CK495" i="9" s="1"/>
  <c r="CK494" i="9" s="1"/>
  <c r="CK518" i="9" s="1"/>
  <c r="CO453" i="9"/>
  <c r="CO477" i="9" s="1"/>
  <c r="CN453" i="9"/>
  <c r="CN477" i="9" s="1"/>
  <c r="CM453" i="9"/>
  <c r="CM477" i="9" s="1"/>
  <c r="CL453" i="9"/>
  <c r="CL477" i="9" s="1"/>
  <c r="CK453" i="9"/>
  <c r="CK477" i="9" s="1"/>
  <c r="S453" i="9"/>
  <c r="S463" i="9" s="1"/>
  <c r="S466" i="9" s="1"/>
  <c r="CO451" i="9"/>
  <c r="CO492" i="9" s="1"/>
  <c r="CN451" i="9"/>
  <c r="CN492" i="9" s="1"/>
  <c r="CM451" i="9"/>
  <c r="CM492" i="9" s="1"/>
  <c r="CL451" i="9"/>
  <c r="CL492" i="9" s="1"/>
  <c r="CK451" i="9"/>
  <c r="CK492" i="9" s="1"/>
  <c r="S451" i="9"/>
  <c r="CR450" i="9"/>
  <c r="CR491" i="9" s="1"/>
  <c r="CP450" i="9"/>
  <c r="CP491" i="9" s="1"/>
  <c r="CO450" i="9"/>
  <c r="CO491" i="9" s="1"/>
  <c r="CN450" i="9"/>
  <c r="CN491" i="9" s="1"/>
  <c r="CM450" i="9"/>
  <c r="CM491" i="9" s="1"/>
  <c r="CL450" i="9"/>
  <c r="CL491" i="9" s="1"/>
  <c r="CK450" i="9"/>
  <c r="CK491" i="9" s="1"/>
  <c r="BQ450" i="9"/>
  <c r="BQ491" i="9" s="1"/>
  <c r="BL450" i="9"/>
  <c r="BL491" i="9" s="1"/>
  <c r="BB450" i="9"/>
  <c r="BB491" i="9" s="1"/>
  <c r="AS450" i="9"/>
  <c r="AS491" i="9" s="1"/>
  <c r="AQ450" i="9"/>
  <c r="AQ491" i="9" s="1"/>
  <c r="T450" i="9"/>
  <c r="T491" i="9" s="1"/>
  <c r="S450" i="9"/>
  <c r="CR449" i="9"/>
  <c r="CR490" i="9" s="1"/>
  <c r="CQ449" i="9"/>
  <c r="CQ490" i="9" s="1"/>
  <c r="CO449" i="9"/>
  <c r="CO490" i="9" s="1"/>
  <c r="CN449" i="9"/>
  <c r="CN490" i="9" s="1"/>
  <c r="CM449" i="9"/>
  <c r="CM490" i="9" s="1"/>
  <c r="CL449" i="9"/>
  <c r="CL490" i="9" s="1"/>
  <c r="CK449" i="9"/>
  <c r="CK490" i="9" s="1"/>
  <c r="S449" i="9"/>
  <c r="S448" i="9"/>
  <c r="S447" i="9"/>
  <c r="CO436" i="9"/>
  <c r="CN436" i="9"/>
  <c r="CM436" i="9"/>
  <c r="CL436" i="9"/>
  <c r="CK436" i="9"/>
  <c r="BQ436" i="9"/>
  <c r="BL436" i="9"/>
  <c r="AS436" i="9"/>
  <c r="AQ436" i="9"/>
  <c r="T436" i="9"/>
  <c r="CO435" i="9"/>
  <c r="CO437" i="9" s="1"/>
  <c r="CN435" i="9"/>
  <c r="CN437" i="9" s="1"/>
  <c r="CM435" i="9"/>
  <c r="CM437" i="9" s="1"/>
  <c r="CL435" i="9"/>
  <c r="CL437" i="9" s="1"/>
  <c r="CK435" i="9"/>
  <c r="CK437" i="9" s="1"/>
  <c r="BQ435" i="9"/>
  <c r="BQ437" i="9" s="1"/>
  <c r="BL435" i="9"/>
  <c r="BL437" i="9" s="1"/>
  <c r="BB435" i="9"/>
  <c r="AS435" i="9"/>
  <c r="AS437" i="9" s="1"/>
  <c r="T435" i="9"/>
  <c r="T437" i="9" s="1"/>
  <c r="BQ433" i="9"/>
  <c r="BL433" i="9"/>
  <c r="BB433" i="9"/>
  <c r="AS433" i="9"/>
  <c r="AQ433" i="9"/>
  <c r="CL427" i="9"/>
  <c r="CK427" i="9"/>
  <c r="T427" i="9"/>
  <c r="S427" i="9"/>
  <c r="P427" i="9"/>
  <c r="N427" i="9"/>
  <c r="L427" i="9"/>
  <c r="K427" i="9"/>
  <c r="J427" i="9"/>
  <c r="H427" i="9"/>
  <c r="G427" i="9"/>
  <c r="CL426" i="9"/>
  <c r="CK426" i="9"/>
  <c r="T426" i="9"/>
  <c r="S426" i="9"/>
  <c r="N426" i="9"/>
  <c r="L426" i="9"/>
  <c r="K426" i="9"/>
  <c r="J426" i="9"/>
  <c r="G426" i="9"/>
  <c r="CL425" i="9"/>
  <c r="CK425" i="9"/>
  <c r="T425" i="9"/>
  <c r="N425" i="9"/>
  <c r="L425" i="9"/>
  <c r="K425" i="9"/>
  <c r="J425" i="9"/>
  <c r="G425" i="9"/>
  <c r="CL421" i="9"/>
  <c r="AT421" i="9"/>
  <c r="AR421" i="9"/>
  <c r="S421" i="9"/>
  <c r="N421" i="9"/>
  <c r="L421" i="9"/>
  <c r="H421" i="9"/>
  <c r="CL417" i="9"/>
  <c r="CK417" i="9"/>
  <c r="BQ417" i="9"/>
  <c r="BL417" i="9"/>
  <c r="BB417" i="9"/>
  <c r="AT417" i="9"/>
  <c r="AS417" i="9"/>
  <c r="AR417" i="9"/>
  <c r="AQ417" i="9"/>
  <c r="T417" i="9"/>
  <c r="S417" i="9"/>
  <c r="N417" i="9"/>
  <c r="L417" i="9"/>
  <c r="K417" i="9"/>
  <c r="J417" i="9"/>
  <c r="G417" i="9"/>
  <c r="CL414" i="9"/>
  <c r="CK414" i="9"/>
  <c r="CK421" i="9" s="1"/>
  <c r="BQ414" i="9"/>
  <c r="BQ421" i="9" s="1"/>
  <c r="BL414" i="9"/>
  <c r="BL421" i="9" s="1"/>
  <c r="BB414" i="9"/>
  <c r="BB421" i="9" s="1"/>
  <c r="AT414" i="9"/>
  <c r="AS414" i="9"/>
  <c r="AS421" i="9" s="1"/>
  <c r="AR414" i="9"/>
  <c r="AQ414" i="9"/>
  <c r="AQ421" i="9" s="1"/>
  <c r="T414" i="9"/>
  <c r="T421" i="9" s="1"/>
  <c r="S414" i="9"/>
  <c r="N414" i="9"/>
  <c r="L414" i="9"/>
  <c r="K414" i="9"/>
  <c r="K421" i="9" s="1"/>
  <c r="J414" i="9"/>
  <c r="J421" i="9" s="1"/>
  <c r="G414" i="9"/>
  <c r="G421" i="9" s="1"/>
  <c r="CL407" i="9"/>
  <c r="CK407" i="9"/>
  <c r="AT407" i="9"/>
  <c r="AR407" i="9"/>
  <c r="T407" i="9"/>
  <c r="N407" i="9"/>
  <c r="L407" i="9"/>
  <c r="K407" i="9"/>
  <c r="J407" i="9"/>
  <c r="H406" i="9"/>
  <c r="G406" i="9"/>
  <c r="CL405" i="9"/>
  <c r="CK405" i="9"/>
  <c r="BQ405" i="9"/>
  <c r="BL405" i="9"/>
  <c r="BB405" i="9"/>
  <c r="AT405" i="9"/>
  <c r="AS405" i="9"/>
  <c r="AR405" i="9"/>
  <c r="AQ405" i="9"/>
  <c r="T405" i="9"/>
  <c r="S405" i="9"/>
  <c r="N405" i="9"/>
  <c r="L405" i="9"/>
  <c r="K405" i="9"/>
  <c r="J405" i="9"/>
  <c r="G405" i="9"/>
  <c r="CL404" i="9"/>
  <c r="CK404" i="9"/>
  <c r="AT404" i="9"/>
  <c r="AR404" i="9"/>
  <c r="T404" i="9"/>
  <c r="S404" i="9"/>
  <c r="N404" i="9"/>
  <c r="L404" i="9"/>
  <c r="K404" i="9"/>
  <c r="J404" i="9"/>
  <c r="H404" i="9"/>
  <c r="G404" i="9"/>
  <c r="CL403" i="9"/>
  <c r="CK403" i="9"/>
  <c r="BQ403" i="9"/>
  <c r="BL403" i="9"/>
  <c r="BB403" i="9"/>
  <c r="AT403" i="9"/>
  <c r="AS403" i="9"/>
  <c r="AR403" i="9"/>
  <c r="AQ403" i="9"/>
  <c r="T403" i="9"/>
  <c r="S403" i="9"/>
  <c r="P403" i="9"/>
  <c r="N403" i="9"/>
  <c r="L403" i="9"/>
  <c r="K403" i="9"/>
  <c r="J403" i="9"/>
  <c r="H403" i="9"/>
  <c r="G403" i="9"/>
  <c r="CL402" i="9"/>
  <c r="CK402" i="9"/>
  <c r="AT402" i="9"/>
  <c r="AR402" i="9"/>
  <c r="T402" i="9"/>
  <c r="S402" i="9"/>
  <c r="N402" i="9"/>
  <c r="L402" i="9"/>
  <c r="K402" i="9"/>
  <c r="J402" i="9"/>
  <c r="G402" i="9"/>
  <c r="CL401" i="9"/>
  <c r="CK401" i="9"/>
  <c r="AT401" i="9"/>
  <c r="AR401" i="9"/>
  <c r="T401" i="9"/>
  <c r="N401" i="9"/>
  <c r="L401" i="9"/>
  <c r="K401" i="9"/>
  <c r="J401" i="9"/>
  <c r="H401" i="9"/>
  <c r="G401" i="9"/>
  <c r="CL400" i="9"/>
  <c r="CK400" i="9"/>
  <c r="AT400" i="9"/>
  <c r="AR400" i="9"/>
  <c r="T400" i="9"/>
  <c r="N400" i="9"/>
  <c r="L400" i="9"/>
  <c r="K400" i="9"/>
  <c r="J400" i="9"/>
  <c r="H400" i="9"/>
  <c r="H407" i="9" s="1"/>
  <c r="G400" i="9"/>
  <c r="CL399" i="9"/>
  <c r="CL413" i="9" s="1"/>
  <c r="CK399" i="9"/>
  <c r="CK413" i="9" s="1"/>
  <c r="BB399" i="9"/>
  <c r="AT399" i="9"/>
  <c r="AT413" i="9" s="1"/>
  <c r="AS399" i="9"/>
  <c r="AR399" i="9"/>
  <c r="AR413" i="9" s="1"/>
  <c r="AQ399" i="9"/>
  <c r="T399" i="9"/>
  <c r="T413" i="9" s="1"/>
  <c r="S399" i="9"/>
  <c r="N399" i="9"/>
  <c r="N413" i="9" s="1"/>
  <c r="L399" i="9"/>
  <c r="L413" i="9" s="1"/>
  <c r="K399" i="9"/>
  <c r="K413" i="9" s="1"/>
  <c r="J399" i="9"/>
  <c r="J413" i="9" s="1"/>
  <c r="G399" i="9"/>
  <c r="G407" i="9" s="1"/>
  <c r="K392" i="9"/>
  <c r="J392" i="9"/>
  <c r="L391" i="9"/>
  <c r="K391" i="9"/>
  <c r="J391" i="9"/>
  <c r="L390" i="9"/>
  <c r="K390" i="9"/>
  <c r="J390" i="9"/>
  <c r="L389" i="9"/>
  <c r="K389" i="9"/>
  <c r="J389" i="9"/>
  <c r="L388" i="9"/>
  <c r="K388" i="9"/>
  <c r="J388" i="9"/>
  <c r="L387" i="9"/>
  <c r="K387" i="9"/>
  <c r="J387" i="9"/>
  <c r="L386" i="9"/>
  <c r="K386" i="9"/>
  <c r="J386" i="9"/>
  <c r="L385" i="9"/>
  <c r="K385" i="9"/>
  <c r="J385" i="9"/>
  <c r="L384" i="9"/>
  <c r="K384" i="9"/>
  <c r="J384" i="9"/>
  <c r="L383" i="9"/>
  <c r="K383" i="9"/>
  <c r="J383" i="9"/>
  <c r="L382" i="9"/>
  <c r="L392" i="9" s="1"/>
  <c r="K382" i="9"/>
  <c r="J382" i="9"/>
  <c r="S379" i="9"/>
  <c r="Q379" i="9"/>
  <c r="P379" i="9"/>
  <c r="N379" i="9"/>
  <c r="M379" i="9"/>
  <c r="L379" i="9"/>
  <c r="K379" i="9"/>
  <c r="J379" i="9"/>
  <c r="I379" i="9"/>
  <c r="H379" i="9"/>
  <c r="G379" i="9"/>
  <c r="F379" i="9"/>
  <c r="E379" i="9"/>
  <c r="D379" i="9"/>
  <c r="C379" i="9"/>
  <c r="S377" i="9"/>
  <c r="P377" i="9"/>
  <c r="N377" i="9"/>
  <c r="L377" i="9"/>
  <c r="K377" i="9"/>
  <c r="J377" i="9"/>
  <c r="H377" i="9"/>
  <c r="G377" i="9"/>
  <c r="F377" i="9"/>
  <c r="E377" i="9"/>
  <c r="D377" i="9"/>
  <c r="C377" i="9"/>
  <c r="N376" i="9"/>
  <c r="L376" i="9"/>
  <c r="K376" i="9"/>
  <c r="J376" i="9"/>
  <c r="H376" i="9"/>
  <c r="G376" i="9"/>
  <c r="S375" i="9"/>
  <c r="N375" i="9"/>
  <c r="L375" i="9"/>
  <c r="K375" i="9"/>
  <c r="J375" i="9"/>
  <c r="H375" i="9"/>
  <c r="G375" i="9"/>
  <c r="F375" i="9"/>
  <c r="E375" i="9"/>
  <c r="D375" i="9"/>
  <c r="C375" i="9"/>
  <c r="S374" i="9"/>
  <c r="P374" i="9"/>
  <c r="N374" i="9"/>
  <c r="L374" i="9"/>
  <c r="K374" i="9"/>
  <c r="J374" i="9"/>
  <c r="H374" i="9"/>
  <c r="G374" i="9"/>
  <c r="F374" i="9"/>
  <c r="S373" i="9"/>
  <c r="N373" i="9"/>
  <c r="L373" i="9"/>
  <c r="K373" i="9"/>
  <c r="J373" i="9"/>
  <c r="H373" i="9"/>
  <c r="G373" i="9"/>
  <c r="S372" i="9"/>
  <c r="P372" i="9"/>
  <c r="N372" i="9"/>
  <c r="L372" i="9"/>
  <c r="K372" i="9"/>
  <c r="J372" i="9"/>
  <c r="H372" i="9"/>
  <c r="G372" i="9"/>
  <c r="F372" i="9"/>
  <c r="E372" i="9"/>
  <c r="D372" i="9"/>
  <c r="C372" i="9"/>
  <c r="S371" i="9"/>
  <c r="P371" i="9"/>
  <c r="N371" i="9"/>
  <c r="L371" i="9"/>
  <c r="K371" i="9"/>
  <c r="J371" i="9"/>
  <c r="H371" i="9"/>
  <c r="G371" i="9"/>
  <c r="F371" i="9"/>
  <c r="E371" i="9"/>
  <c r="D371" i="9"/>
  <c r="C371" i="9"/>
  <c r="S370" i="9"/>
  <c r="P370" i="9"/>
  <c r="N370" i="9"/>
  <c r="L370" i="9"/>
  <c r="K370" i="9"/>
  <c r="J370" i="9"/>
  <c r="H370" i="9"/>
  <c r="G370" i="9"/>
  <c r="F370" i="9"/>
  <c r="S369" i="9"/>
  <c r="P369" i="9"/>
  <c r="N369" i="9"/>
  <c r="L369" i="9"/>
  <c r="K369" i="9"/>
  <c r="J369" i="9"/>
  <c r="H369" i="9"/>
  <c r="G369" i="9"/>
  <c r="F369" i="9"/>
  <c r="E369" i="9"/>
  <c r="D369" i="9"/>
  <c r="C369" i="9"/>
  <c r="P368" i="9"/>
  <c r="N368" i="9"/>
  <c r="L368" i="9"/>
  <c r="K368" i="9"/>
  <c r="J368" i="9"/>
  <c r="H368" i="9"/>
  <c r="G368" i="9"/>
  <c r="F368" i="9"/>
  <c r="E368" i="9"/>
  <c r="D368" i="9"/>
  <c r="C368" i="9"/>
  <c r="C353" i="9"/>
  <c r="G352" i="9"/>
  <c r="CL329" i="9"/>
  <c r="CK329" i="9"/>
  <c r="CL328" i="9"/>
  <c r="CK328" i="9"/>
  <c r="CL327" i="9"/>
  <c r="CK327" i="9"/>
  <c r="Z327" i="9"/>
  <c r="Z326" i="9"/>
  <c r="DI324" i="9"/>
  <c r="DH324" i="9"/>
  <c r="DG324" i="9"/>
  <c r="DF324" i="9"/>
  <c r="BP324" i="9"/>
  <c r="BO324" i="9"/>
  <c r="BK324" i="9"/>
  <c r="BG324" i="9"/>
  <c r="BJ324" i="9" s="1"/>
  <c r="BF324" i="9"/>
  <c r="BE324" i="9"/>
  <c r="AZ324" i="9"/>
  <c r="AU324" i="9"/>
  <c r="AE324" i="9"/>
  <c r="AB324" i="9"/>
  <c r="AA324" i="9"/>
  <c r="X324" i="9"/>
  <c r="V324" i="9"/>
  <c r="Q324" i="9"/>
  <c r="BW323" i="9"/>
  <c r="BV323" i="9"/>
  <c r="DI322" i="9"/>
  <c r="DH322" i="9"/>
  <c r="DG322" i="9"/>
  <c r="DF322" i="9"/>
  <c r="CC322" i="9"/>
  <c r="BP322" i="9"/>
  <c r="BO322" i="9"/>
  <c r="BK322" i="9"/>
  <c r="BJ322" i="9"/>
  <c r="BG322" i="9"/>
  <c r="BF322" i="9"/>
  <c r="BE322" i="9"/>
  <c r="AZ322" i="9"/>
  <c r="AU322" i="9"/>
  <c r="AW322" i="9" s="1"/>
  <c r="AE322" i="9"/>
  <c r="AB322" i="9"/>
  <c r="AA322" i="9"/>
  <c r="X322" i="9"/>
  <c r="V322" i="9"/>
  <c r="Q322" i="9"/>
  <c r="DI320" i="9"/>
  <c r="DH320" i="9"/>
  <c r="DG320" i="9"/>
  <c r="DF320" i="9"/>
  <c r="CC320" i="9"/>
  <c r="BP320" i="9"/>
  <c r="BO320" i="9"/>
  <c r="BK320" i="9"/>
  <c r="BJ320" i="9"/>
  <c r="BG320" i="9"/>
  <c r="BF320" i="9"/>
  <c r="BE320" i="9"/>
  <c r="AZ320" i="9"/>
  <c r="AU320" i="9"/>
  <c r="AE320" i="9"/>
  <c r="AB320" i="9"/>
  <c r="AA320" i="9"/>
  <c r="X320" i="9"/>
  <c r="W320" i="9"/>
  <c r="V320" i="9"/>
  <c r="Q320" i="9"/>
  <c r="DI318" i="9"/>
  <c r="DH318" i="9"/>
  <c r="DG318" i="9"/>
  <c r="DF318" i="9"/>
  <c r="CC318" i="9"/>
  <c r="BN318" i="9"/>
  <c r="BO318" i="9" s="1"/>
  <c r="BG318" i="9"/>
  <c r="BJ318" i="9" s="1"/>
  <c r="AV318" i="9"/>
  <c r="AU318" i="9"/>
  <c r="AW318" i="9" s="1"/>
  <c r="AN318" i="9"/>
  <c r="BH318" i="9" s="1"/>
  <c r="BK318" i="9" s="1"/>
  <c r="AM318" i="9"/>
  <c r="Z318" i="9"/>
  <c r="AE318" i="9" s="1"/>
  <c r="X318" i="9"/>
  <c r="V318" i="9"/>
  <c r="O318" i="9"/>
  <c r="I318" i="9"/>
  <c r="Q318" i="9" s="1"/>
  <c r="DI317" i="9"/>
  <c r="DH317" i="9"/>
  <c r="DG317" i="9"/>
  <c r="DF317" i="9"/>
  <c r="DB317" i="9"/>
  <c r="CC317" i="9"/>
  <c r="BN317" i="9"/>
  <c r="AN317" i="9"/>
  <c r="O317" i="9"/>
  <c r="M317" i="9"/>
  <c r="I317" i="9"/>
  <c r="Q317" i="9" s="1"/>
  <c r="DI316" i="9"/>
  <c r="DH316" i="9"/>
  <c r="DG316" i="9"/>
  <c r="DF316" i="9"/>
  <c r="CC316" i="9"/>
  <c r="BS316" i="9"/>
  <c r="BR316" i="9"/>
  <c r="BO316" i="9"/>
  <c r="BN316" i="9"/>
  <c r="BP316" i="9" s="1"/>
  <c r="BM316" i="9"/>
  <c r="BC316" i="9"/>
  <c r="AV316" i="9" s="1"/>
  <c r="AU316" i="9"/>
  <c r="AN316" i="9"/>
  <c r="BH316" i="9" s="1"/>
  <c r="BK316" i="9" s="1"/>
  <c r="AM316" i="9"/>
  <c r="BG316" i="9" s="1"/>
  <c r="BJ316" i="9" s="1"/>
  <c r="X316" i="9"/>
  <c r="V316" i="9"/>
  <c r="Q316" i="9"/>
  <c r="O316" i="9"/>
  <c r="M316" i="9"/>
  <c r="I316" i="9"/>
  <c r="DI315" i="9"/>
  <c r="DH315" i="9"/>
  <c r="DG315" i="9"/>
  <c r="DF315" i="9"/>
  <c r="CC315" i="9"/>
  <c r="BS315" i="9"/>
  <c r="BR315" i="9"/>
  <c r="BM315" i="9"/>
  <c r="BI315" i="9"/>
  <c r="BJ315" i="9" s="1"/>
  <c r="BG315" i="9"/>
  <c r="BC315" i="9"/>
  <c r="AV315" i="9" s="1"/>
  <c r="AU315" i="9"/>
  <c r="AN315" i="9"/>
  <c r="BH315" i="9" s="1"/>
  <c r="AM315" i="9"/>
  <c r="U315" i="9"/>
  <c r="O315" i="9"/>
  <c r="M315" i="9"/>
  <c r="I315" i="9"/>
  <c r="Q315" i="9" s="1"/>
  <c r="DI314" i="9"/>
  <c r="DH314" i="9"/>
  <c r="DG314" i="9"/>
  <c r="DF314" i="9"/>
  <c r="DB314" i="9"/>
  <c r="CC314" i="9"/>
  <c r="BS314" i="9"/>
  <c r="BR314" i="9"/>
  <c r="BN314" i="9"/>
  <c r="BO314" i="9" s="1"/>
  <c r="BM314" i="9"/>
  <c r="BD314" i="9"/>
  <c r="BE314" i="9" s="1"/>
  <c r="BC314" i="9"/>
  <c r="AV314" i="9" s="1"/>
  <c r="Z314" i="9" s="1"/>
  <c r="AU314" i="9"/>
  <c r="AN314" i="9"/>
  <c r="AM314" i="9"/>
  <c r="Y314" i="9"/>
  <c r="V314" i="9"/>
  <c r="U314" i="9"/>
  <c r="R314" i="9"/>
  <c r="O314" i="9"/>
  <c r="M314" i="9"/>
  <c r="I314" i="9"/>
  <c r="Q314" i="9" s="1"/>
  <c r="DI313" i="9"/>
  <c r="DH313" i="9"/>
  <c r="DG313" i="9"/>
  <c r="DF313" i="9"/>
  <c r="CC313" i="9"/>
  <c r="BS313" i="9"/>
  <c r="BR313" i="9"/>
  <c r="BO313" i="9"/>
  <c r="BN313" i="9"/>
  <c r="BM313" i="9"/>
  <c r="BC313" i="9"/>
  <c r="AU313" i="9"/>
  <c r="AN313" i="9"/>
  <c r="AM313" i="9"/>
  <c r="BG313" i="9" s="1"/>
  <c r="BJ313" i="9" s="1"/>
  <c r="Y313" i="9"/>
  <c r="X313" i="9"/>
  <c r="V313" i="9"/>
  <c r="Q313" i="9"/>
  <c r="O313" i="9"/>
  <c r="M313" i="9"/>
  <c r="I313" i="9"/>
  <c r="R313" i="9" s="1"/>
  <c r="DI312" i="9"/>
  <c r="DH312" i="9"/>
  <c r="DG312" i="9"/>
  <c r="DF312" i="9"/>
  <c r="CC312" i="9"/>
  <c r="BS312" i="9"/>
  <c r="BR312" i="9"/>
  <c r="BN312" i="9"/>
  <c r="BO312" i="9" s="1"/>
  <c r="BM312" i="9"/>
  <c r="BC312" i="9"/>
  <c r="AV312" i="9"/>
  <c r="AU312" i="9"/>
  <c r="AN312" i="9"/>
  <c r="AM312" i="9"/>
  <c r="BG312" i="9" s="1"/>
  <c r="BJ312" i="9" s="1"/>
  <c r="Z312" i="9"/>
  <c r="AC312" i="9" s="1"/>
  <c r="Y312" i="9"/>
  <c r="X312" i="9"/>
  <c r="V312" i="9"/>
  <c r="O312" i="9"/>
  <c r="M312" i="9"/>
  <c r="I312" i="9"/>
  <c r="Q312" i="9" s="1"/>
  <c r="DI311" i="9"/>
  <c r="DH311" i="9"/>
  <c r="DG311" i="9"/>
  <c r="DF311" i="9"/>
  <c r="DB311" i="9"/>
  <c r="CC311" i="9"/>
  <c r="BI311" i="9"/>
  <c r="AN311" i="9"/>
  <c r="S311" i="9"/>
  <c r="S368" i="9" s="1"/>
  <c r="Q311" i="9"/>
  <c r="O311" i="9"/>
  <c r="M311" i="9"/>
  <c r="I311" i="9"/>
  <c r="R311" i="9" s="1"/>
  <c r="DG310" i="9"/>
  <c r="DB310" i="9"/>
  <c r="CB310" i="9"/>
  <c r="DI310" i="9" s="1"/>
  <c r="CA310" i="9"/>
  <c r="DH310" i="9" s="1"/>
  <c r="BZ310" i="9"/>
  <c r="BY310" i="9"/>
  <c r="DF310" i="9" s="1"/>
  <c r="BW310" i="9"/>
  <c r="BV310" i="9"/>
  <c r="BU310" i="9"/>
  <c r="BI310" i="9"/>
  <c r="AT310" i="9"/>
  <c r="AR310" i="9"/>
  <c r="AN310" i="9"/>
  <c r="AL310" i="9"/>
  <c r="CC310" i="9" s="1"/>
  <c r="T310" i="9"/>
  <c r="S310" i="9"/>
  <c r="P310" i="9"/>
  <c r="R310" i="9" s="1"/>
  <c r="O310" i="9"/>
  <c r="N310" i="9"/>
  <c r="M310" i="9"/>
  <c r="L310" i="9"/>
  <c r="K310" i="9"/>
  <c r="J310" i="9"/>
  <c r="I310" i="9"/>
  <c r="Q310" i="9" s="1"/>
  <c r="H310" i="9"/>
  <c r="G310" i="9"/>
  <c r="F310" i="9"/>
  <c r="E310" i="9"/>
  <c r="D310" i="9"/>
  <c r="C310" i="9"/>
  <c r="DH309" i="9"/>
  <c r="DF309" i="9"/>
  <c r="DB309" i="9"/>
  <c r="DB319" i="9" s="1"/>
  <c r="CB309" i="9"/>
  <c r="CB319" i="9" s="1"/>
  <c r="CA309" i="9"/>
  <c r="CA319" i="9" s="1"/>
  <c r="BZ309" i="9"/>
  <c r="BZ319" i="9" s="1"/>
  <c r="BY309" i="9"/>
  <c r="BY319" i="9" s="1"/>
  <c r="BW309" i="9"/>
  <c r="BW319" i="9" s="1"/>
  <c r="BV309" i="9"/>
  <c r="BV319" i="9" s="1"/>
  <c r="BU309" i="9"/>
  <c r="BU319" i="9" s="1"/>
  <c r="BI309" i="9"/>
  <c r="BI319" i="9" s="1"/>
  <c r="AT309" i="9"/>
  <c r="AT319" i="9" s="1"/>
  <c r="AR309" i="9"/>
  <c r="AR319" i="9" s="1"/>
  <c r="AN309" i="9"/>
  <c r="AL309" i="9"/>
  <c r="AL319" i="9" s="1"/>
  <c r="T309" i="9"/>
  <c r="T319" i="9" s="1"/>
  <c r="S309" i="9"/>
  <c r="S319" i="9" s="1"/>
  <c r="P309" i="9"/>
  <c r="P319" i="9" s="1"/>
  <c r="O309" i="9"/>
  <c r="O319" i="9" s="1"/>
  <c r="N309" i="9"/>
  <c r="N319" i="9" s="1"/>
  <c r="M309" i="9"/>
  <c r="M319" i="9" s="1"/>
  <c r="L309" i="9"/>
  <c r="L319" i="9" s="1"/>
  <c r="K309" i="9"/>
  <c r="K319" i="9" s="1"/>
  <c r="J309" i="9"/>
  <c r="J319" i="9" s="1"/>
  <c r="I309" i="9"/>
  <c r="I319" i="9" s="1"/>
  <c r="H309" i="9"/>
  <c r="H319" i="9" s="1"/>
  <c r="G309" i="9"/>
  <c r="G319" i="9" s="1"/>
  <c r="F309" i="9"/>
  <c r="F319" i="9" s="1"/>
  <c r="E309" i="9"/>
  <c r="E319" i="9" s="1"/>
  <c r="D309" i="9"/>
  <c r="D319" i="9" s="1"/>
  <c r="C309" i="9"/>
  <c r="C319" i="9" s="1"/>
  <c r="DI308" i="9"/>
  <c r="DH308" i="9"/>
  <c r="DG308" i="9"/>
  <c r="DF308" i="9"/>
  <c r="CC308" i="9"/>
  <c r="BP308" i="9"/>
  <c r="BO308" i="9"/>
  <c r="BK308" i="9"/>
  <c r="BG308" i="9"/>
  <c r="BJ308" i="9" s="1"/>
  <c r="BF308" i="9"/>
  <c r="BE308" i="9"/>
  <c r="V308" i="9"/>
  <c r="DB307" i="9"/>
  <c r="DI306" i="9"/>
  <c r="BY306" i="9"/>
  <c r="DF306" i="9" s="1"/>
  <c r="BS306" i="9"/>
  <c r="BR306" i="9"/>
  <c r="BM306" i="9"/>
  <c r="BC306" i="9"/>
  <c r="AV306" i="9"/>
  <c r="Z306" i="9" s="1"/>
  <c r="AE306" i="9" s="1"/>
  <c r="AU306" i="9"/>
  <c r="AN306" i="9"/>
  <c r="BH306" i="9" s="1"/>
  <c r="BK306" i="9" s="1"/>
  <c r="AM306" i="9"/>
  <c r="BG306" i="9" s="1"/>
  <c r="BJ306" i="9" s="1"/>
  <c r="AL306" i="9"/>
  <c r="CC306" i="9" s="1"/>
  <c r="V306" i="9"/>
  <c r="U306" i="9"/>
  <c r="Q306" i="9"/>
  <c r="O306" i="9"/>
  <c r="M306" i="9"/>
  <c r="I306" i="9"/>
  <c r="DI305" i="9"/>
  <c r="DH305" i="9"/>
  <c r="DG305" i="9"/>
  <c r="CP305" i="9"/>
  <c r="BY305" i="9"/>
  <c r="DF305" i="9" s="1"/>
  <c r="BS305" i="9"/>
  <c r="BR305" i="9"/>
  <c r="BM305" i="9"/>
  <c r="BC305" i="9"/>
  <c r="AU305" i="9"/>
  <c r="AN305" i="9"/>
  <c r="AM305" i="9"/>
  <c r="BG305" i="9" s="1"/>
  <c r="BJ305" i="9" s="1"/>
  <c r="AL305" i="9"/>
  <c r="CC305" i="9" s="1"/>
  <c r="Y305" i="9"/>
  <c r="V305" i="9"/>
  <c r="U305" i="9"/>
  <c r="X305" i="9" s="1"/>
  <c r="O305" i="9"/>
  <c r="M305" i="9"/>
  <c r="I305" i="9"/>
  <c r="Q305" i="9" s="1"/>
  <c r="DB304" i="9"/>
  <c r="CB304" i="9"/>
  <c r="DI304" i="9" s="1"/>
  <c r="BW304" i="9"/>
  <c r="BV304" i="9"/>
  <c r="BU304" i="9"/>
  <c r="BS304" i="9"/>
  <c r="BR304" i="9"/>
  <c r="BQ304" i="9"/>
  <c r="BM304" i="9"/>
  <c r="BL304" i="9"/>
  <c r="CP304" i="9" s="1"/>
  <c r="CQ304" i="9" s="1"/>
  <c r="CR304" i="9" s="1"/>
  <c r="BI304" i="9"/>
  <c r="BC304" i="9"/>
  <c r="BB304" i="9"/>
  <c r="AU304" i="9" s="1"/>
  <c r="AV304" i="9"/>
  <c r="AT304" i="9"/>
  <c r="AS304" i="9"/>
  <c r="AR304" i="9"/>
  <c r="AN304" i="9" s="1"/>
  <c r="AQ304" i="9"/>
  <c r="AM304" i="9"/>
  <c r="BG304" i="9" s="1"/>
  <c r="BJ304" i="9" s="1"/>
  <c r="AL304" i="9"/>
  <c r="CC304" i="9" s="1"/>
  <c r="U304" i="9"/>
  <c r="X304" i="9" s="1"/>
  <c r="T304" i="9"/>
  <c r="V304" i="9" s="1"/>
  <c r="S304" i="9"/>
  <c r="P304" i="9"/>
  <c r="Q304" i="9" s="1"/>
  <c r="O304" i="9"/>
  <c r="N304" i="9"/>
  <c r="M304" i="9"/>
  <c r="L304" i="9"/>
  <c r="K304" i="9"/>
  <c r="J304" i="9"/>
  <c r="I304" i="9"/>
  <c r="H304" i="9"/>
  <c r="G304" i="9"/>
  <c r="F304" i="9"/>
  <c r="E304" i="9"/>
  <c r="D304" i="9"/>
  <c r="C304" i="9"/>
  <c r="DI303" i="9"/>
  <c r="DB303" i="9"/>
  <c r="CB303" i="9"/>
  <c r="CB307" i="9" s="1"/>
  <c r="DI307" i="9" s="1"/>
  <c r="BW303" i="9"/>
  <c r="BW307" i="9" s="1"/>
  <c r="BV303" i="9"/>
  <c r="BV307" i="9" s="1"/>
  <c r="BU303" i="9"/>
  <c r="BU307" i="9" s="1"/>
  <c r="BS303" i="9"/>
  <c r="BS307" i="9" s="1"/>
  <c r="BR303" i="9"/>
  <c r="BR307" i="9" s="1"/>
  <c r="BQ303" i="9"/>
  <c r="BQ307" i="9" s="1"/>
  <c r="BM303" i="9"/>
  <c r="BM307" i="9" s="1"/>
  <c r="BL303" i="9"/>
  <c r="CP303" i="9" s="1"/>
  <c r="CQ303" i="9" s="1"/>
  <c r="CR303" i="9" s="1"/>
  <c r="BI303" i="9"/>
  <c r="BI307" i="9" s="1"/>
  <c r="BC303" i="9"/>
  <c r="BC307" i="9" s="1"/>
  <c r="AV307" i="9" s="1"/>
  <c r="BB303" i="9"/>
  <c r="BB307" i="9" s="1"/>
  <c r="AU303" i="9"/>
  <c r="AT303" i="9"/>
  <c r="AT307" i="9" s="1"/>
  <c r="AS303" i="9"/>
  <c r="AS307" i="9" s="1"/>
  <c r="AR303" i="9"/>
  <c r="AR307" i="9" s="1"/>
  <c r="AN307" i="9" s="1"/>
  <c r="AQ303" i="9"/>
  <c r="AQ307" i="9" s="1"/>
  <c r="AM307" i="9" s="1"/>
  <c r="BG307" i="9" s="1"/>
  <c r="AN303" i="9"/>
  <c r="AL303" i="9"/>
  <c r="AL307" i="9" s="1"/>
  <c r="CC307" i="9" s="1"/>
  <c r="U303" i="9"/>
  <c r="U307" i="9" s="1"/>
  <c r="T303" i="9"/>
  <c r="T307" i="9" s="1"/>
  <c r="S303" i="9"/>
  <c r="S307" i="9" s="1"/>
  <c r="P303" i="9"/>
  <c r="R303" i="9" s="1"/>
  <c r="O303" i="9"/>
  <c r="O307" i="9" s="1"/>
  <c r="N303" i="9"/>
  <c r="N307" i="9" s="1"/>
  <c r="M303" i="9"/>
  <c r="M307" i="9" s="1"/>
  <c r="L303" i="9"/>
  <c r="L307" i="9" s="1"/>
  <c r="K303" i="9"/>
  <c r="K307" i="9" s="1"/>
  <c r="J303" i="9"/>
  <c r="J307" i="9" s="1"/>
  <c r="I303" i="9"/>
  <c r="I307" i="9" s="1"/>
  <c r="H303" i="9"/>
  <c r="H307" i="9" s="1"/>
  <c r="G303" i="9"/>
  <c r="G307" i="9" s="1"/>
  <c r="F303" i="9"/>
  <c r="F307" i="9" s="1"/>
  <c r="E303" i="9"/>
  <c r="E307" i="9" s="1"/>
  <c r="D303" i="9"/>
  <c r="D307" i="9" s="1"/>
  <c r="C303" i="9"/>
  <c r="C307" i="9" s="1"/>
  <c r="DI302" i="9"/>
  <c r="DH302" i="9"/>
  <c r="DG302" i="9"/>
  <c r="DF302" i="9"/>
  <c r="CC302" i="9"/>
  <c r="BP302" i="9"/>
  <c r="BO302" i="9"/>
  <c r="BK302" i="9"/>
  <c r="BG302" i="9"/>
  <c r="BJ302" i="9" s="1"/>
  <c r="BF302" i="9"/>
  <c r="BE302" i="9"/>
  <c r="DH300" i="9"/>
  <c r="DF300" i="9"/>
  <c r="BZ300" i="9"/>
  <c r="CB300" i="9" s="1"/>
  <c r="DI300" i="9" s="1"/>
  <c r="BW300" i="9"/>
  <c r="BS300" i="9"/>
  <c r="BR300" i="9"/>
  <c r="BN300" i="9"/>
  <c r="BO300" i="9" s="1"/>
  <c r="BM300" i="9"/>
  <c r="BD300" i="9"/>
  <c r="BE300" i="9" s="1"/>
  <c r="BC300" i="9"/>
  <c r="BH300" i="9" s="1"/>
  <c r="BK300" i="9" s="1"/>
  <c r="AY300" i="9"/>
  <c r="AG300" i="9" s="1"/>
  <c r="AV300" i="9"/>
  <c r="AZ300" i="9" s="1"/>
  <c r="AU300" i="9"/>
  <c r="AN300" i="9"/>
  <c r="AM300" i="9"/>
  <c r="BG300" i="9" s="1"/>
  <c r="BJ300" i="9" s="1"/>
  <c r="AL300" i="9"/>
  <c r="CC300" i="9" s="1"/>
  <c r="X300" i="9"/>
  <c r="V300" i="9"/>
  <c r="Q300" i="9"/>
  <c r="DH299" i="9"/>
  <c r="DF299" i="9"/>
  <c r="DD299" i="9"/>
  <c r="DC299" i="9"/>
  <c r="DB299" i="9"/>
  <c r="CA299" i="9"/>
  <c r="BZ299" i="9"/>
  <c r="DG299" i="9" s="1"/>
  <c r="BY299" i="9"/>
  <c r="BW299" i="9"/>
  <c r="AL299" i="9" s="1"/>
  <c r="BS299" i="9"/>
  <c r="BR299" i="9"/>
  <c r="BM299" i="9"/>
  <c r="BC299" i="9"/>
  <c r="AV299" i="9" s="1"/>
  <c r="AU299" i="9"/>
  <c r="AN299" i="9"/>
  <c r="BH299" i="9" s="1"/>
  <c r="BK299" i="9" s="1"/>
  <c r="AM299" i="9"/>
  <c r="BG299" i="9" s="1"/>
  <c r="BJ299" i="9" s="1"/>
  <c r="U299" i="9"/>
  <c r="O299" i="9"/>
  <c r="I299" i="9"/>
  <c r="Q299" i="9" s="1"/>
  <c r="DH298" i="9"/>
  <c r="DG298" i="9"/>
  <c r="DF298" i="9"/>
  <c r="DC298" i="9"/>
  <c r="CK298" i="9"/>
  <c r="CB298" i="9"/>
  <c r="DI298" i="9" s="1"/>
  <c r="BZ298" i="9"/>
  <c r="BS298" i="9"/>
  <c r="BR298" i="9"/>
  <c r="BQ298" i="9"/>
  <c r="BM298" i="9"/>
  <c r="BL298" i="9"/>
  <c r="BC298" i="9"/>
  <c r="BB298" i="9"/>
  <c r="AU298" i="9" s="1"/>
  <c r="AV298" i="9"/>
  <c r="Z298" i="9" s="1"/>
  <c r="AS298" i="9"/>
  <c r="AM298" i="9" s="1"/>
  <c r="BG298" i="9" s="1"/>
  <c r="BJ298" i="9" s="1"/>
  <c r="AQ298" i="9"/>
  <c r="AN298" i="9"/>
  <c r="AO298" i="9" s="1"/>
  <c r="AL298" i="9"/>
  <c r="CC298" i="9" s="1"/>
  <c r="O298" i="9"/>
  <c r="I298" i="9"/>
  <c r="Q298" i="9" s="1"/>
  <c r="DH297" i="9"/>
  <c r="DF297" i="9"/>
  <c r="DC297" i="9"/>
  <c r="CB297" i="9"/>
  <c r="DI297" i="9" s="1"/>
  <c r="BZ297" i="9"/>
  <c r="DG297" i="9" s="1"/>
  <c r="BS297" i="9"/>
  <c r="BR297" i="9"/>
  <c r="BN297" i="9"/>
  <c r="BO297" i="9" s="1"/>
  <c r="BM297" i="9"/>
  <c r="BD297" i="9"/>
  <c r="BE297" i="9" s="1"/>
  <c r="BC297" i="9"/>
  <c r="BH297" i="9" s="1"/>
  <c r="BK297" i="9" s="1"/>
  <c r="AY297" i="9"/>
  <c r="AU297" i="9"/>
  <c r="AN297" i="9"/>
  <c r="AP297" i="9" s="1"/>
  <c r="AM297" i="9"/>
  <c r="BG297" i="9" s="1"/>
  <c r="BJ297" i="9" s="1"/>
  <c r="AL297" i="9"/>
  <c r="CC297" i="9" s="1"/>
  <c r="AG297" i="9"/>
  <c r="U297" i="9"/>
  <c r="Q297" i="9"/>
  <c r="O297" i="9"/>
  <c r="M297" i="9"/>
  <c r="I297" i="9"/>
  <c r="R297" i="9" s="1"/>
  <c r="DG296" i="9"/>
  <c r="DC296" i="9"/>
  <c r="CA296" i="9"/>
  <c r="DH296" i="9" s="1"/>
  <c r="BZ296" i="9"/>
  <c r="BY296" i="9"/>
  <c r="DF296" i="9" s="1"/>
  <c r="BW296" i="9"/>
  <c r="BS296" i="9"/>
  <c r="BR296" i="9"/>
  <c r="BN296" i="9"/>
  <c r="BO296" i="9" s="1"/>
  <c r="BM296" i="9"/>
  <c r="BD296" i="9"/>
  <c r="BE296" i="9" s="1"/>
  <c r="BC296" i="9"/>
  <c r="BH296" i="9" s="1"/>
  <c r="BK296" i="9" s="1"/>
  <c r="AY296" i="9"/>
  <c r="AU296" i="9"/>
  <c r="AN296" i="9"/>
  <c r="AP296" i="9" s="1"/>
  <c r="AM296" i="9"/>
  <c r="BG296" i="9" s="1"/>
  <c r="BJ296" i="9" s="1"/>
  <c r="AL296" i="9"/>
  <c r="AG296" i="9"/>
  <c r="U296" i="9"/>
  <c r="O296" i="9"/>
  <c r="M296" i="9"/>
  <c r="I296" i="9"/>
  <c r="Q296" i="9" s="1"/>
  <c r="DH295" i="9"/>
  <c r="DF295" i="9"/>
  <c r="DC295" i="9"/>
  <c r="CB295" i="9"/>
  <c r="DI295" i="9" s="1"/>
  <c r="BZ295" i="9"/>
  <c r="DG295" i="9" s="1"/>
  <c r="BS295" i="9"/>
  <c r="BR295" i="9"/>
  <c r="BN295" i="9"/>
  <c r="BO295" i="9" s="1"/>
  <c r="BM295" i="9"/>
  <c r="BD295" i="9"/>
  <c r="BE295" i="9" s="1"/>
  <c r="BC295" i="9"/>
  <c r="BH295" i="9" s="1"/>
  <c r="BK295" i="9" s="1"/>
  <c r="AY295" i="9"/>
  <c r="AV295" i="9"/>
  <c r="AZ295" i="9" s="1"/>
  <c r="AU295" i="9"/>
  <c r="AW295" i="9" s="1"/>
  <c r="AN295" i="9"/>
  <c r="AP295" i="9" s="1"/>
  <c r="AM295" i="9"/>
  <c r="BG295" i="9" s="1"/>
  <c r="BJ295" i="9" s="1"/>
  <c r="AL295" i="9"/>
  <c r="CC295" i="9" s="1"/>
  <c r="AG295" i="9"/>
  <c r="AJ295" i="9" s="1"/>
  <c r="Z295" i="9"/>
  <c r="AF295" i="9" s="1"/>
  <c r="U295" i="9"/>
  <c r="Q295" i="9"/>
  <c r="O295" i="9"/>
  <c r="M295" i="9"/>
  <c r="I295" i="9"/>
  <c r="R295" i="9" s="1"/>
  <c r="DG294" i="9"/>
  <c r="DF294" i="9"/>
  <c r="DC294" i="9"/>
  <c r="CA294" i="9"/>
  <c r="DH294" i="9" s="1"/>
  <c r="BZ294" i="9"/>
  <c r="CB294" i="9" s="1"/>
  <c r="BS294" i="9"/>
  <c r="BR294" i="9"/>
  <c r="BN294" i="9"/>
  <c r="BO294" i="9" s="1"/>
  <c r="BM294" i="9"/>
  <c r="BD294" i="9"/>
  <c r="BE294" i="9" s="1"/>
  <c r="BC294" i="9"/>
  <c r="BH294" i="9" s="1"/>
  <c r="BK294" i="9" s="1"/>
  <c r="AY294" i="9"/>
  <c r="AV294" i="9"/>
  <c r="AZ294" i="9" s="1"/>
  <c r="AU294" i="9"/>
  <c r="AN294" i="9"/>
  <c r="AP294" i="9" s="1"/>
  <c r="AM294" i="9"/>
  <c r="BG294" i="9" s="1"/>
  <c r="BJ294" i="9" s="1"/>
  <c r="AL294" i="9"/>
  <c r="AG294" i="9"/>
  <c r="Z294" i="9"/>
  <c r="AF294" i="9" s="1"/>
  <c r="U294" i="9"/>
  <c r="Q294" i="9"/>
  <c r="O294" i="9"/>
  <c r="M294" i="9"/>
  <c r="I294" i="9"/>
  <c r="R294" i="9" s="1"/>
  <c r="DG293" i="9"/>
  <c r="DF293" i="9"/>
  <c r="DC293" i="9"/>
  <c r="CA293" i="9"/>
  <c r="DH293" i="9" s="1"/>
  <c r="BZ293" i="9"/>
  <c r="CB293" i="9" s="1"/>
  <c r="DI293" i="9" s="1"/>
  <c r="BS293" i="9"/>
  <c r="BR293" i="9"/>
  <c r="BN293" i="9"/>
  <c r="BO293" i="9" s="1"/>
  <c r="BM293" i="9"/>
  <c r="BD293" i="9"/>
  <c r="BE293" i="9" s="1"/>
  <c r="BC293" i="9"/>
  <c r="BH293" i="9" s="1"/>
  <c r="BK293" i="9" s="1"/>
  <c r="AY293" i="9"/>
  <c r="AV293" i="9"/>
  <c r="AZ293" i="9" s="1"/>
  <c r="AU293" i="9"/>
  <c r="AN293" i="9"/>
  <c r="AP293" i="9" s="1"/>
  <c r="AM293" i="9"/>
  <c r="BG293" i="9" s="1"/>
  <c r="BJ293" i="9" s="1"/>
  <c r="AL293" i="9"/>
  <c r="CC293" i="9" s="1"/>
  <c r="AG293" i="9"/>
  <c r="Z293" i="9"/>
  <c r="U293" i="9"/>
  <c r="Q293" i="9"/>
  <c r="O293" i="9"/>
  <c r="M293" i="9"/>
  <c r="I293" i="9"/>
  <c r="R293" i="9" s="1"/>
  <c r="DG292" i="9"/>
  <c r="DF292" i="9"/>
  <c r="DC292" i="9"/>
  <c r="CA292" i="9"/>
  <c r="DH292" i="9" s="1"/>
  <c r="BZ292" i="9"/>
  <c r="CB292" i="9" s="1"/>
  <c r="DI292" i="9" s="1"/>
  <c r="BS292" i="9"/>
  <c r="BR292" i="9"/>
  <c r="BM292" i="9"/>
  <c r="BG292" i="9"/>
  <c r="BJ292" i="9" s="1"/>
  <c r="BC292" i="9"/>
  <c r="AV292" i="9" s="1"/>
  <c r="Z292" i="9" s="1"/>
  <c r="AE292" i="9" s="1"/>
  <c r="AU292" i="9"/>
  <c r="AN292" i="9"/>
  <c r="BH292" i="9" s="1"/>
  <c r="BK292" i="9" s="1"/>
  <c r="AM292" i="9"/>
  <c r="AL292" i="9"/>
  <c r="BN292" i="9" s="1"/>
  <c r="X292" i="9"/>
  <c r="V292" i="9"/>
  <c r="U292" i="9"/>
  <c r="O292" i="9"/>
  <c r="M292" i="9"/>
  <c r="I292" i="9"/>
  <c r="Q292" i="9" s="1"/>
  <c r="DH291" i="9"/>
  <c r="DF291" i="9"/>
  <c r="DC291" i="9"/>
  <c r="CA291" i="9"/>
  <c r="BZ291" i="9"/>
  <c r="DG291" i="9" s="1"/>
  <c r="BS291" i="9"/>
  <c r="BR291" i="9"/>
  <c r="BM291" i="9"/>
  <c r="BG291" i="9"/>
  <c r="BJ291" i="9" s="1"/>
  <c r="BC291" i="9"/>
  <c r="AV291" i="9" s="1"/>
  <c r="Z291" i="9" s="1"/>
  <c r="AE291" i="9" s="1"/>
  <c r="AU291" i="9"/>
  <c r="AN291" i="9"/>
  <c r="BH291" i="9" s="1"/>
  <c r="BK291" i="9" s="1"/>
  <c r="AM291" i="9"/>
  <c r="AL291" i="9"/>
  <c r="X291" i="9"/>
  <c r="V291" i="9"/>
  <c r="U291" i="9"/>
  <c r="O291" i="9"/>
  <c r="M291" i="9"/>
  <c r="I291" i="9"/>
  <c r="Q291" i="9" s="1"/>
  <c r="DH290" i="9"/>
  <c r="DG290" i="9"/>
  <c r="DF290" i="9"/>
  <c r="DC290" i="9"/>
  <c r="CB290" i="9"/>
  <c r="DI290" i="9" s="1"/>
  <c r="BS290" i="9"/>
  <c r="BR290" i="9"/>
  <c r="BM290" i="9"/>
  <c r="BG290" i="9"/>
  <c r="BJ290" i="9" s="1"/>
  <c r="BC290" i="9"/>
  <c r="AV290" i="9" s="1"/>
  <c r="Z290" i="9" s="1"/>
  <c r="AE290" i="9" s="1"/>
  <c r="AU290" i="9"/>
  <c r="AN290" i="9"/>
  <c r="AM290" i="9"/>
  <c r="AL290" i="9"/>
  <c r="CC290" i="9" s="1"/>
  <c r="X290" i="9"/>
  <c r="V290" i="9"/>
  <c r="U290" i="9"/>
  <c r="O290" i="9"/>
  <c r="M290" i="9"/>
  <c r="I290" i="9"/>
  <c r="Q290" i="9" s="1"/>
  <c r="DH289" i="9"/>
  <c r="DF289" i="9"/>
  <c r="DC289" i="9"/>
  <c r="CA289" i="9"/>
  <c r="BZ289" i="9"/>
  <c r="DG289" i="9" s="1"/>
  <c r="BS289" i="9"/>
  <c r="BR289" i="9"/>
  <c r="BM289" i="9"/>
  <c r="BG289" i="9"/>
  <c r="BJ289" i="9" s="1"/>
  <c r="BC289" i="9"/>
  <c r="AV289" i="9" s="1"/>
  <c r="Z289" i="9" s="1"/>
  <c r="AE289" i="9" s="1"/>
  <c r="AU289" i="9"/>
  <c r="AN289" i="9"/>
  <c r="BH289" i="9" s="1"/>
  <c r="BK289" i="9" s="1"/>
  <c r="AM289" i="9"/>
  <c r="AL289" i="9"/>
  <c r="X289" i="9"/>
  <c r="V289" i="9"/>
  <c r="U289" i="9"/>
  <c r="O289" i="9"/>
  <c r="M289" i="9"/>
  <c r="I289" i="9"/>
  <c r="Q289" i="9" s="1"/>
  <c r="DH288" i="9"/>
  <c r="DF288" i="9"/>
  <c r="DC288" i="9"/>
  <c r="CA288" i="9"/>
  <c r="BZ288" i="9"/>
  <c r="DG288" i="9" s="1"/>
  <c r="BS288" i="9"/>
  <c r="BR288" i="9"/>
  <c r="BM288" i="9"/>
  <c r="BG288" i="9"/>
  <c r="BJ288" i="9" s="1"/>
  <c r="BC288" i="9"/>
  <c r="AV288" i="9" s="1"/>
  <c r="Z288" i="9" s="1"/>
  <c r="AE288" i="9" s="1"/>
  <c r="AU288" i="9"/>
  <c r="AN288" i="9"/>
  <c r="AM288" i="9"/>
  <c r="AL288" i="9"/>
  <c r="X288" i="9"/>
  <c r="V288" i="9"/>
  <c r="U288" i="9"/>
  <c r="O288" i="9"/>
  <c r="M288" i="9"/>
  <c r="I288" i="9"/>
  <c r="Q288" i="9" s="1"/>
  <c r="DH287" i="9"/>
  <c r="DF287" i="9"/>
  <c r="DC287" i="9"/>
  <c r="CA287" i="9"/>
  <c r="BZ287" i="9"/>
  <c r="DG287" i="9" s="1"/>
  <c r="BS287" i="9"/>
  <c r="BR287" i="9"/>
  <c r="BM287" i="9"/>
  <c r="BG287" i="9"/>
  <c r="BJ287" i="9" s="1"/>
  <c r="BC287" i="9"/>
  <c r="AV287" i="9" s="1"/>
  <c r="Z287" i="9" s="1"/>
  <c r="AE287" i="9" s="1"/>
  <c r="AU287" i="9"/>
  <c r="AN287" i="9"/>
  <c r="BH287" i="9" s="1"/>
  <c r="BK287" i="9" s="1"/>
  <c r="AM287" i="9"/>
  <c r="AL287" i="9"/>
  <c r="X287" i="9"/>
  <c r="V287" i="9"/>
  <c r="U287" i="9"/>
  <c r="O287" i="9"/>
  <c r="M287" i="9"/>
  <c r="I287" i="9"/>
  <c r="Q287" i="9" s="1"/>
  <c r="DH286" i="9"/>
  <c r="DF286" i="9"/>
  <c r="DC286" i="9"/>
  <c r="CA286" i="9"/>
  <c r="BZ286" i="9"/>
  <c r="DG286" i="9" s="1"/>
  <c r="BS286" i="9"/>
  <c r="BR286" i="9"/>
  <c r="BM286" i="9"/>
  <c r="BC286" i="9"/>
  <c r="AV286" i="9"/>
  <c r="Z286" i="9" s="1"/>
  <c r="AF286" i="9" s="1"/>
  <c r="AU286" i="9"/>
  <c r="AN286" i="9"/>
  <c r="BH286" i="9" s="1"/>
  <c r="BK286" i="9" s="1"/>
  <c r="AM286" i="9"/>
  <c r="BG286" i="9" s="1"/>
  <c r="BJ286" i="9" s="1"/>
  <c r="AL286" i="9"/>
  <c r="U286" i="9"/>
  <c r="Q286" i="9"/>
  <c r="O286" i="9"/>
  <c r="M286" i="9"/>
  <c r="I286" i="9"/>
  <c r="R286" i="9" s="1"/>
  <c r="DG285" i="9"/>
  <c r="DC285" i="9"/>
  <c r="CA285" i="9"/>
  <c r="DH285" i="9" s="1"/>
  <c r="BZ285" i="9"/>
  <c r="BY285" i="9"/>
  <c r="DF285" i="9" s="1"/>
  <c r="BW285" i="9"/>
  <c r="BS285" i="9"/>
  <c r="BR285" i="9"/>
  <c r="BM285" i="9"/>
  <c r="BC285" i="9"/>
  <c r="AU285" i="9"/>
  <c r="AN285" i="9"/>
  <c r="AO285" i="9" s="1"/>
  <c r="AM285" i="9"/>
  <c r="BG285" i="9" s="1"/>
  <c r="BJ285" i="9" s="1"/>
  <c r="AL285" i="9"/>
  <c r="X285" i="9"/>
  <c r="V285" i="9"/>
  <c r="U285" i="9"/>
  <c r="O285" i="9"/>
  <c r="M285" i="9"/>
  <c r="I285" i="9"/>
  <c r="Q285" i="9" s="1"/>
  <c r="DH284" i="9"/>
  <c r="DF284" i="9"/>
  <c r="DC284" i="9"/>
  <c r="CA284" i="9"/>
  <c r="BZ284" i="9"/>
  <c r="DG284" i="9" s="1"/>
  <c r="BS284" i="9"/>
  <c r="BR284" i="9"/>
  <c r="BM284" i="9"/>
  <c r="BG284" i="9"/>
  <c r="BJ284" i="9" s="1"/>
  <c r="BC284" i="9"/>
  <c r="AV284" i="9" s="1"/>
  <c r="Z284" i="9" s="1"/>
  <c r="AE284" i="9" s="1"/>
  <c r="AU284" i="9"/>
  <c r="AN284" i="9"/>
  <c r="AM284" i="9"/>
  <c r="AL284" i="9"/>
  <c r="X284" i="9"/>
  <c r="V284" i="9"/>
  <c r="U284" i="9"/>
  <c r="O284" i="9"/>
  <c r="M284" i="9"/>
  <c r="I284" i="9"/>
  <c r="Q284" i="9" s="1"/>
  <c r="DH283" i="9"/>
  <c r="DF283" i="9"/>
  <c r="DC283" i="9"/>
  <c r="CA283" i="9"/>
  <c r="BZ283" i="9"/>
  <c r="DG283" i="9" s="1"/>
  <c r="BS283" i="9"/>
  <c r="BR283" i="9"/>
  <c r="BM283" i="9"/>
  <c r="BG283" i="9"/>
  <c r="BJ283" i="9" s="1"/>
  <c r="BC283" i="9"/>
  <c r="AV283" i="9" s="1"/>
  <c r="Z283" i="9" s="1"/>
  <c r="AE283" i="9" s="1"/>
  <c r="AU283" i="9"/>
  <c r="AN283" i="9"/>
  <c r="BH283" i="9" s="1"/>
  <c r="BK283" i="9" s="1"/>
  <c r="AM283" i="9"/>
  <c r="AL283" i="9"/>
  <c r="X283" i="9"/>
  <c r="V283" i="9"/>
  <c r="U283" i="9"/>
  <c r="O283" i="9"/>
  <c r="M283" i="9"/>
  <c r="I283" i="9"/>
  <c r="Q283" i="9" s="1"/>
  <c r="DH282" i="9"/>
  <c r="DG282" i="9"/>
  <c r="DF282" i="9"/>
  <c r="DC282" i="9"/>
  <c r="CB282" i="9"/>
  <c r="DI282" i="9" s="1"/>
  <c r="BY282" i="9"/>
  <c r="BS282" i="9"/>
  <c r="BR282" i="9"/>
  <c r="BM282" i="9"/>
  <c r="BC282" i="9"/>
  <c r="AV282" i="9" s="1"/>
  <c r="Z282" i="9" s="1"/>
  <c r="AE282" i="9" s="1"/>
  <c r="AU282" i="9"/>
  <c r="AN282" i="9"/>
  <c r="AO282" i="9" s="1"/>
  <c r="AM282" i="9"/>
  <c r="BG282" i="9" s="1"/>
  <c r="BJ282" i="9" s="1"/>
  <c r="AL282" i="9"/>
  <c r="CC282" i="9" s="1"/>
  <c r="U282" i="9"/>
  <c r="Q282" i="9"/>
  <c r="O282" i="9"/>
  <c r="M282" i="9"/>
  <c r="I282" i="9"/>
  <c r="R282" i="9" s="1"/>
  <c r="DH281" i="9"/>
  <c r="DF281" i="9"/>
  <c r="DC281" i="9"/>
  <c r="BZ281" i="9"/>
  <c r="CB281" i="9" s="1"/>
  <c r="DI281" i="9" s="1"/>
  <c r="BS281" i="9"/>
  <c r="BR281" i="9"/>
  <c r="BM281" i="9"/>
  <c r="BG281" i="9"/>
  <c r="BJ281" i="9" s="1"/>
  <c r="BC281" i="9"/>
  <c r="AV281" i="9" s="1"/>
  <c r="AU281" i="9"/>
  <c r="AN281" i="9"/>
  <c r="BH281" i="9" s="1"/>
  <c r="BK281" i="9" s="1"/>
  <c r="AM281" i="9"/>
  <c r="AL281" i="9"/>
  <c r="BN281" i="9" s="1"/>
  <c r="Y281" i="9"/>
  <c r="V281" i="9"/>
  <c r="U281" i="9"/>
  <c r="O281" i="9"/>
  <c r="M281" i="9"/>
  <c r="I281" i="9"/>
  <c r="Q281" i="9" s="1"/>
  <c r="DH280" i="9"/>
  <c r="DF280" i="9"/>
  <c r="DC280" i="9"/>
  <c r="CB280" i="9"/>
  <c r="DI280" i="9" s="1"/>
  <c r="BZ280" i="9"/>
  <c r="DG280" i="9" s="1"/>
  <c r="BS280" i="9"/>
  <c r="BR280" i="9"/>
  <c r="BN280" i="9"/>
  <c r="BO280" i="9" s="1"/>
  <c r="BM280" i="9"/>
  <c r="BD280" i="9"/>
  <c r="BE280" i="9" s="1"/>
  <c r="BC280" i="9"/>
  <c r="BH280" i="9" s="1"/>
  <c r="BK280" i="9" s="1"/>
  <c r="AY280" i="9"/>
  <c r="AV280" i="9"/>
  <c r="AZ280" i="9" s="1"/>
  <c r="AU280" i="9"/>
  <c r="AN280" i="9"/>
  <c r="AP280" i="9" s="1"/>
  <c r="AM280" i="9"/>
  <c r="BG280" i="9" s="1"/>
  <c r="BJ280" i="9" s="1"/>
  <c r="AL280" i="9"/>
  <c r="CC280" i="9" s="1"/>
  <c r="AG280" i="9"/>
  <c r="Z280" i="9"/>
  <c r="AF280" i="9" s="1"/>
  <c r="U280" i="9"/>
  <c r="Y280" i="9" s="1"/>
  <c r="Q280" i="9"/>
  <c r="O280" i="9"/>
  <c r="M280" i="9"/>
  <c r="I280" i="9"/>
  <c r="R280" i="9" s="1"/>
  <c r="DH279" i="9"/>
  <c r="DG279" i="9"/>
  <c r="DC279" i="9"/>
  <c r="BY279" i="9"/>
  <c r="DF279" i="9" s="1"/>
  <c r="BS279" i="9"/>
  <c r="BR279" i="9"/>
  <c r="BM279" i="9"/>
  <c r="BC279" i="9"/>
  <c r="AU279" i="9"/>
  <c r="AN279" i="9"/>
  <c r="BH279" i="9" s="1"/>
  <c r="BK279" i="9" s="1"/>
  <c r="AM279" i="9"/>
  <c r="BG279" i="9" s="1"/>
  <c r="BJ279" i="9" s="1"/>
  <c r="AL279" i="9"/>
  <c r="BN279" i="9" s="1"/>
  <c r="Y279" i="9"/>
  <c r="V279" i="9"/>
  <c r="U279" i="9"/>
  <c r="Q279" i="9"/>
  <c r="O279" i="9"/>
  <c r="M279" i="9"/>
  <c r="I279" i="9"/>
  <c r="DH278" i="9"/>
  <c r="DF278" i="9"/>
  <c r="DC278" i="9"/>
  <c r="BZ278" i="9"/>
  <c r="CB278" i="9" s="1"/>
  <c r="DI278" i="9" s="1"/>
  <c r="BS278" i="9"/>
  <c r="BR278" i="9"/>
  <c r="BM278" i="9"/>
  <c r="BG278" i="9"/>
  <c r="BJ278" i="9" s="1"/>
  <c r="BC278" i="9"/>
  <c r="AV278" i="9" s="1"/>
  <c r="AU278" i="9"/>
  <c r="AN278" i="9"/>
  <c r="BH278" i="9" s="1"/>
  <c r="BK278" i="9" s="1"/>
  <c r="AM278" i="9"/>
  <c r="AL278" i="9"/>
  <c r="BN278" i="9" s="1"/>
  <c r="Y278" i="9"/>
  <c r="V278" i="9"/>
  <c r="U278" i="9"/>
  <c r="O278" i="9"/>
  <c r="M278" i="9"/>
  <c r="I278" i="9"/>
  <c r="Q278" i="9" s="1"/>
  <c r="DH277" i="9"/>
  <c r="DG277" i="9"/>
  <c r="DF277" i="9"/>
  <c r="DC277" i="9"/>
  <c r="CP277" i="9"/>
  <c r="CB277" i="9"/>
  <c r="DI277" i="9" s="1"/>
  <c r="BS277" i="9"/>
  <c r="BR277" i="9"/>
  <c r="BM277" i="9"/>
  <c r="BG277" i="9"/>
  <c r="BJ277" i="9" s="1"/>
  <c r="BC277" i="9"/>
  <c r="AV277" i="9" s="1"/>
  <c r="AU277" i="9"/>
  <c r="AN277" i="9"/>
  <c r="BH277" i="9" s="1"/>
  <c r="BK277" i="9" s="1"/>
  <c r="AM277" i="9"/>
  <c r="AL277" i="9"/>
  <c r="CC277" i="9" s="1"/>
  <c r="Y277" i="9"/>
  <c r="V277" i="9"/>
  <c r="U277" i="9"/>
  <c r="X277" i="9" s="1"/>
  <c r="O277" i="9"/>
  <c r="M277" i="9"/>
  <c r="I277" i="9"/>
  <c r="Q277" i="9" s="1"/>
  <c r="DH276" i="9"/>
  <c r="DF276" i="9"/>
  <c r="DC276" i="9"/>
  <c r="CB276" i="9"/>
  <c r="DI276" i="9" s="1"/>
  <c r="BZ276" i="9"/>
  <c r="DG276" i="9" s="1"/>
  <c r="BS276" i="9"/>
  <c r="BR276" i="9"/>
  <c r="BN276" i="9"/>
  <c r="BO276" i="9" s="1"/>
  <c r="BM276" i="9"/>
  <c r="BD276" i="9"/>
  <c r="BE276" i="9" s="1"/>
  <c r="BC276" i="9"/>
  <c r="BH276" i="9" s="1"/>
  <c r="BK276" i="9" s="1"/>
  <c r="AU276" i="9"/>
  <c r="AN276" i="9"/>
  <c r="AP276" i="9" s="1"/>
  <c r="AM276" i="9"/>
  <c r="BG276" i="9" s="1"/>
  <c r="BJ276" i="9" s="1"/>
  <c r="AL276" i="9"/>
  <c r="CC276" i="9" s="1"/>
  <c r="U276" i="9"/>
  <c r="O276" i="9"/>
  <c r="M276" i="9"/>
  <c r="I276" i="9"/>
  <c r="Q276" i="9" s="1"/>
  <c r="DH275" i="9"/>
  <c r="DF275" i="9"/>
  <c r="DC275" i="9"/>
  <c r="CA275" i="9"/>
  <c r="BZ275" i="9"/>
  <c r="DG275" i="9" s="1"/>
  <c r="BS275" i="9"/>
  <c r="BR275" i="9"/>
  <c r="BM275" i="9"/>
  <c r="BC275" i="9"/>
  <c r="AV275" i="9"/>
  <c r="AU275" i="9"/>
  <c r="AN275" i="9"/>
  <c r="BH275" i="9" s="1"/>
  <c r="BK275" i="9" s="1"/>
  <c r="AM275" i="9"/>
  <c r="BG275" i="9" s="1"/>
  <c r="BJ275" i="9" s="1"/>
  <c r="AL275" i="9"/>
  <c r="Y275" i="9"/>
  <c r="V275" i="9"/>
  <c r="U275" i="9"/>
  <c r="O275" i="9"/>
  <c r="M275" i="9"/>
  <c r="I275" i="9"/>
  <c r="Q275" i="9" s="1"/>
  <c r="DH274" i="9"/>
  <c r="DG274" i="9"/>
  <c r="DF274" i="9"/>
  <c r="DC274" i="9"/>
  <c r="CR274" i="9"/>
  <c r="CB274" i="9"/>
  <c r="DI274" i="9" s="1"/>
  <c r="BS274" i="9"/>
  <c r="BR274" i="9"/>
  <c r="BM274" i="9"/>
  <c r="BC274" i="9"/>
  <c r="AV274" i="9" s="1"/>
  <c r="Z274" i="9" s="1"/>
  <c r="AE274" i="9" s="1"/>
  <c r="AU274" i="9"/>
  <c r="AN274" i="9"/>
  <c r="BH274" i="9" s="1"/>
  <c r="BK274" i="9" s="1"/>
  <c r="AM274" i="9"/>
  <c r="BG274" i="9" s="1"/>
  <c r="BJ274" i="9" s="1"/>
  <c r="AL274" i="9"/>
  <c r="CC274" i="9" s="1"/>
  <c r="V274" i="9"/>
  <c r="U274" i="9"/>
  <c r="X274" i="9" s="1"/>
  <c r="Q274" i="9"/>
  <c r="O274" i="9"/>
  <c r="M274" i="9"/>
  <c r="I274" i="9"/>
  <c r="DI273" i="9"/>
  <c r="DH273" i="9"/>
  <c r="DG273" i="9"/>
  <c r="DF273" i="9"/>
  <c r="DC273" i="9"/>
  <c r="CB273" i="9"/>
  <c r="BS273" i="9"/>
  <c r="BR273" i="9"/>
  <c r="BM273" i="9"/>
  <c r="BC273" i="9"/>
  <c r="AV273" i="9" s="1"/>
  <c r="AU273" i="9"/>
  <c r="AN273" i="9"/>
  <c r="AO273" i="9" s="1"/>
  <c r="AM273" i="9"/>
  <c r="BG273" i="9" s="1"/>
  <c r="BJ273" i="9" s="1"/>
  <c r="AL273" i="9"/>
  <c r="CC273" i="9" s="1"/>
  <c r="U273" i="9"/>
  <c r="Q273" i="9"/>
  <c r="O273" i="9"/>
  <c r="M273" i="9"/>
  <c r="I273" i="9"/>
  <c r="R273" i="9" s="1"/>
  <c r="DH272" i="9"/>
  <c r="DF272" i="9"/>
  <c r="DC272" i="9"/>
  <c r="BZ272" i="9"/>
  <c r="CB272" i="9" s="1"/>
  <c r="DI272" i="9" s="1"/>
  <c r="BS272" i="9"/>
  <c r="BR272" i="9"/>
  <c r="BM272" i="9"/>
  <c r="BG272" i="9"/>
  <c r="BJ272" i="9" s="1"/>
  <c r="BC272" i="9"/>
  <c r="BB272" i="9"/>
  <c r="BB436" i="9" s="1"/>
  <c r="AV272" i="9"/>
  <c r="AU272" i="9"/>
  <c r="AN272" i="9"/>
  <c r="BH272" i="9" s="1"/>
  <c r="BK272" i="9" s="1"/>
  <c r="AM272" i="9"/>
  <c r="AL272" i="9"/>
  <c r="BN272" i="9" s="1"/>
  <c r="Y272" i="9"/>
  <c r="V272" i="9"/>
  <c r="U272" i="9"/>
  <c r="U436" i="9" s="1"/>
  <c r="O272" i="9"/>
  <c r="M272" i="9"/>
  <c r="I272" i="9"/>
  <c r="Q272" i="9" s="1"/>
  <c r="DH271" i="9"/>
  <c r="DG271" i="9"/>
  <c r="DF271" i="9"/>
  <c r="DC271" i="9"/>
  <c r="CB271" i="9"/>
  <c r="DI271" i="9" s="1"/>
  <c r="BS271" i="9"/>
  <c r="BR271" i="9"/>
  <c r="BM271" i="9"/>
  <c r="BC271" i="9"/>
  <c r="AV271" i="9"/>
  <c r="AU271" i="9"/>
  <c r="AN271" i="9"/>
  <c r="BH271" i="9" s="1"/>
  <c r="BK271" i="9" s="1"/>
  <c r="AM271" i="9"/>
  <c r="BG271" i="9" s="1"/>
  <c r="BJ271" i="9" s="1"/>
  <c r="AL271" i="9"/>
  <c r="CC271" i="9" s="1"/>
  <c r="U271" i="9"/>
  <c r="Q271" i="9"/>
  <c r="O271" i="9"/>
  <c r="M271" i="9"/>
  <c r="I271" i="9"/>
  <c r="R271" i="9" s="1"/>
  <c r="DI270" i="9"/>
  <c r="DH270" i="9"/>
  <c r="DG270" i="9"/>
  <c r="DF270" i="9"/>
  <c r="DC270" i="9"/>
  <c r="CB270" i="9"/>
  <c r="BS270" i="9"/>
  <c r="BR270" i="9"/>
  <c r="BM270" i="9"/>
  <c r="BC270" i="9"/>
  <c r="AV270" i="9"/>
  <c r="AU270" i="9"/>
  <c r="AN270" i="9"/>
  <c r="AO270" i="9" s="1"/>
  <c r="AM270" i="9"/>
  <c r="BG270" i="9" s="1"/>
  <c r="BJ270" i="9" s="1"/>
  <c r="AL270" i="9"/>
  <c r="CC270" i="9" s="1"/>
  <c r="U270" i="9"/>
  <c r="O270" i="9"/>
  <c r="M270" i="9"/>
  <c r="I270" i="9"/>
  <c r="Q270" i="9" s="1"/>
  <c r="DH269" i="9"/>
  <c r="DF269" i="9"/>
  <c r="DC269" i="9"/>
  <c r="CB269" i="9"/>
  <c r="DI269" i="9" s="1"/>
  <c r="BZ269" i="9"/>
  <c r="DG269" i="9" s="1"/>
  <c r="BS269" i="9"/>
  <c r="BR269" i="9"/>
  <c r="BM269" i="9"/>
  <c r="BC269" i="9"/>
  <c r="AV269" i="9"/>
  <c r="AU269" i="9"/>
  <c r="AW269" i="9" s="1"/>
  <c r="AN269" i="9"/>
  <c r="AO269" i="9" s="1"/>
  <c r="AM269" i="9"/>
  <c r="BG269" i="9" s="1"/>
  <c r="BJ269" i="9" s="1"/>
  <c r="AL269" i="9"/>
  <c r="CC269" i="9" s="1"/>
  <c r="Y269" i="9"/>
  <c r="V269" i="9"/>
  <c r="U269" i="9"/>
  <c r="Q269" i="9"/>
  <c r="O269" i="9"/>
  <c r="M269" i="9"/>
  <c r="I269" i="9"/>
  <c r="DI268" i="9"/>
  <c r="DH268" i="9"/>
  <c r="DG268" i="9"/>
  <c r="DF268" i="9"/>
  <c r="DC268" i="9"/>
  <c r="CB268" i="9"/>
  <c r="BS268" i="9"/>
  <c r="BR268" i="9"/>
  <c r="BQ268" i="9"/>
  <c r="BM268" i="9"/>
  <c r="BL268" i="9"/>
  <c r="BC268" i="9"/>
  <c r="BB268" i="9"/>
  <c r="AU268" i="9" s="1"/>
  <c r="AV268" i="9"/>
  <c r="AS268" i="9"/>
  <c r="AM268" i="9" s="1"/>
  <c r="BG268" i="9" s="1"/>
  <c r="BJ268" i="9" s="1"/>
  <c r="AQ268" i="9"/>
  <c r="AN268" i="9"/>
  <c r="AO268" i="9" s="1"/>
  <c r="AL268" i="9"/>
  <c r="BN268" i="9" s="1"/>
  <c r="O268" i="9"/>
  <c r="M268" i="9"/>
  <c r="I268" i="9"/>
  <c r="Q268" i="9" s="1"/>
  <c r="DH267" i="9"/>
  <c r="DF267" i="9"/>
  <c r="DC267" i="9"/>
  <c r="CB267" i="9"/>
  <c r="DI267" i="9" s="1"/>
  <c r="BZ267" i="9"/>
  <c r="DG267" i="9" s="1"/>
  <c r="BS267" i="9"/>
  <c r="BR267" i="9"/>
  <c r="BN267" i="9"/>
  <c r="BO267" i="9" s="1"/>
  <c r="BM267" i="9"/>
  <c r="BD267" i="9"/>
  <c r="BE267" i="9" s="1"/>
  <c r="BC267" i="9"/>
  <c r="BH267" i="9" s="1"/>
  <c r="BK267" i="9" s="1"/>
  <c r="AY267" i="9"/>
  <c r="AV267" i="9"/>
  <c r="AZ267" i="9" s="1"/>
  <c r="AU267" i="9"/>
  <c r="AN267" i="9"/>
  <c r="AP267" i="9" s="1"/>
  <c r="AM267" i="9"/>
  <c r="BG267" i="9" s="1"/>
  <c r="BJ267" i="9" s="1"/>
  <c r="AL267" i="9"/>
  <c r="CC267" i="9" s="1"/>
  <c r="AG267" i="9"/>
  <c r="Z267" i="9"/>
  <c r="AF267" i="9" s="1"/>
  <c r="U267" i="9"/>
  <c r="Q267" i="9"/>
  <c r="O267" i="9"/>
  <c r="M267" i="9"/>
  <c r="I267" i="9"/>
  <c r="R267" i="9" s="1"/>
  <c r="DH266" i="9"/>
  <c r="DF266" i="9"/>
  <c r="DC266" i="9"/>
  <c r="BZ266" i="9"/>
  <c r="CB266" i="9" s="1"/>
  <c r="BS266" i="9"/>
  <c r="BR266" i="9"/>
  <c r="BM266" i="9"/>
  <c r="BC266" i="9"/>
  <c r="AV266" i="9"/>
  <c r="Z266" i="9" s="1"/>
  <c r="AF266" i="9" s="1"/>
  <c r="AU266" i="9"/>
  <c r="AN266" i="9"/>
  <c r="BH266" i="9" s="1"/>
  <c r="BK266" i="9" s="1"/>
  <c r="AM266" i="9"/>
  <c r="BG266" i="9" s="1"/>
  <c r="BJ266" i="9" s="1"/>
  <c r="AL266" i="9"/>
  <c r="BN266" i="9" s="1"/>
  <c r="U266" i="9"/>
  <c r="Q266" i="9"/>
  <c r="O266" i="9"/>
  <c r="M266" i="9"/>
  <c r="I266" i="9"/>
  <c r="R266" i="9" s="1"/>
  <c r="DH265" i="9"/>
  <c r="DF265" i="9"/>
  <c r="DC265" i="9"/>
  <c r="BZ265" i="9"/>
  <c r="CB265" i="9" s="1"/>
  <c r="DI265" i="9" s="1"/>
  <c r="BS265" i="9"/>
  <c r="BR265" i="9"/>
  <c r="BM265" i="9"/>
  <c r="BG265" i="9"/>
  <c r="BJ265" i="9" s="1"/>
  <c r="BC265" i="9"/>
  <c r="AV265" i="9" s="1"/>
  <c r="AU265" i="9"/>
  <c r="AN265" i="9"/>
  <c r="AM265" i="9"/>
  <c r="AL265" i="9"/>
  <c r="BN265" i="9" s="1"/>
  <c r="Y265" i="9"/>
  <c r="V265" i="9"/>
  <c r="U265" i="9"/>
  <c r="O265" i="9"/>
  <c r="M265" i="9"/>
  <c r="I265" i="9"/>
  <c r="Q265" i="9" s="1"/>
  <c r="DH264" i="9"/>
  <c r="DF264" i="9"/>
  <c r="DC264" i="9"/>
  <c r="CA264" i="9"/>
  <c r="BZ264" i="9"/>
  <c r="DG264" i="9" s="1"/>
  <c r="BS264" i="9"/>
  <c r="BR264" i="9"/>
  <c r="BM264" i="9"/>
  <c r="BG264" i="9"/>
  <c r="BJ264" i="9" s="1"/>
  <c r="BC264" i="9"/>
  <c r="AV264" i="9" s="1"/>
  <c r="AU264" i="9"/>
  <c r="AN264" i="9"/>
  <c r="AM264" i="9"/>
  <c r="AL264" i="9"/>
  <c r="Y264" i="9"/>
  <c r="V264" i="9"/>
  <c r="U264" i="9"/>
  <c r="O264" i="9"/>
  <c r="M264" i="9"/>
  <c r="I264" i="9"/>
  <c r="Q264" i="9" s="1"/>
  <c r="DH263" i="9"/>
  <c r="DG263" i="9"/>
  <c r="DF263" i="9"/>
  <c r="DC263" i="9"/>
  <c r="CB263" i="9"/>
  <c r="DI263" i="9" s="1"/>
  <c r="BS263" i="9"/>
  <c r="BR263" i="9"/>
  <c r="BM263" i="9"/>
  <c r="BC263" i="9"/>
  <c r="AV263" i="9" s="1"/>
  <c r="Z263" i="9" s="1"/>
  <c r="AE263" i="9" s="1"/>
  <c r="AU263" i="9"/>
  <c r="AN263" i="9"/>
  <c r="BH263" i="9" s="1"/>
  <c r="BK263" i="9" s="1"/>
  <c r="AM263" i="9"/>
  <c r="BG263" i="9" s="1"/>
  <c r="BJ263" i="9" s="1"/>
  <c r="AL263" i="9"/>
  <c r="CC263" i="9" s="1"/>
  <c r="V263" i="9"/>
  <c r="U263" i="9"/>
  <c r="Q263" i="9"/>
  <c r="O263" i="9"/>
  <c r="M263" i="9"/>
  <c r="I263" i="9"/>
  <c r="DH262" i="9"/>
  <c r="DF262" i="9"/>
  <c r="DC262" i="9"/>
  <c r="BZ262" i="9"/>
  <c r="CB262" i="9" s="1"/>
  <c r="BS262" i="9"/>
  <c r="BR262" i="9"/>
  <c r="BM262" i="9"/>
  <c r="BC262" i="9"/>
  <c r="AV262" i="9"/>
  <c r="AU262" i="9"/>
  <c r="AN262" i="9"/>
  <c r="BH262" i="9" s="1"/>
  <c r="BK262" i="9" s="1"/>
  <c r="AM262" i="9"/>
  <c r="BG262" i="9" s="1"/>
  <c r="BJ262" i="9" s="1"/>
  <c r="AL262" i="9"/>
  <c r="BN262" i="9" s="1"/>
  <c r="Z262" i="9"/>
  <c r="AE262" i="9" s="1"/>
  <c r="U262" i="9"/>
  <c r="Q262" i="9"/>
  <c r="O262" i="9"/>
  <c r="M262" i="9"/>
  <c r="I262" i="9"/>
  <c r="R262" i="9" s="1"/>
  <c r="DC261" i="9"/>
  <c r="DB261" i="9"/>
  <c r="CA261" i="9"/>
  <c r="DH261" i="9" s="1"/>
  <c r="BZ261" i="9"/>
  <c r="DG261" i="9" s="1"/>
  <c r="BY261" i="9"/>
  <c r="DF261" i="9" s="1"/>
  <c r="BW261" i="9"/>
  <c r="AL261" i="9" s="1"/>
  <c r="BS261" i="9"/>
  <c r="BR261" i="9"/>
  <c r="BM261" i="9"/>
  <c r="BI261" i="9"/>
  <c r="BD261" i="9"/>
  <c r="BE261" i="9" s="1"/>
  <c r="BC261" i="9"/>
  <c r="BH261" i="9" s="1"/>
  <c r="AU261" i="9"/>
  <c r="AN261" i="9"/>
  <c r="AP261" i="9" s="1"/>
  <c r="AM261" i="9"/>
  <c r="BG261" i="9" s="1"/>
  <c r="BJ261" i="9" s="1"/>
  <c r="U261" i="9"/>
  <c r="Q261" i="9"/>
  <c r="O261" i="9"/>
  <c r="M261" i="9"/>
  <c r="I261" i="9"/>
  <c r="R261" i="9" s="1"/>
  <c r="DI260" i="9"/>
  <c r="DH260" i="9"/>
  <c r="DG260" i="9"/>
  <c r="DF260" i="9"/>
  <c r="DC260" i="9"/>
  <c r="CB260" i="9"/>
  <c r="BS260" i="9"/>
  <c r="BR260" i="9"/>
  <c r="BM260" i="9"/>
  <c r="BC260" i="9"/>
  <c r="AV260" i="9" s="1"/>
  <c r="AU260" i="9"/>
  <c r="AN260" i="9"/>
  <c r="AO260" i="9" s="1"/>
  <c r="AM260" i="9"/>
  <c r="BG260" i="9" s="1"/>
  <c r="BJ260" i="9" s="1"/>
  <c r="AL260" i="9"/>
  <c r="CC260" i="9" s="1"/>
  <c r="U260" i="9"/>
  <c r="O260" i="9"/>
  <c r="M260" i="9"/>
  <c r="I260" i="9"/>
  <c r="Q260" i="9" s="1"/>
  <c r="DH259" i="9"/>
  <c r="DF259" i="9"/>
  <c r="DC259" i="9"/>
  <c r="CB259" i="9"/>
  <c r="DI259" i="9" s="1"/>
  <c r="BZ259" i="9"/>
  <c r="DG259" i="9" s="1"/>
  <c r="BS259" i="9"/>
  <c r="BR259" i="9"/>
  <c r="BM259" i="9"/>
  <c r="BC259" i="9"/>
  <c r="AV259" i="9" s="1"/>
  <c r="AU259" i="9"/>
  <c r="AN259" i="9"/>
  <c r="AM259" i="9"/>
  <c r="BG259" i="9" s="1"/>
  <c r="BJ259" i="9" s="1"/>
  <c r="AL259" i="9"/>
  <c r="CC259" i="9" s="1"/>
  <c r="Y259" i="9"/>
  <c r="V259" i="9"/>
  <c r="U259" i="9"/>
  <c r="R259" i="9"/>
  <c r="O259" i="9"/>
  <c r="M259" i="9"/>
  <c r="I259" i="9"/>
  <c r="Q259" i="9" s="1"/>
  <c r="DF258" i="9"/>
  <c r="DC258" i="9"/>
  <c r="DB258" i="9"/>
  <c r="CA258" i="9"/>
  <c r="DH258" i="9" s="1"/>
  <c r="BZ258" i="9"/>
  <c r="DG258" i="9" s="1"/>
  <c r="BW258" i="9"/>
  <c r="AL258" i="9" s="1"/>
  <c r="BS258" i="9"/>
  <c r="BR258" i="9"/>
  <c r="BM258" i="9"/>
  <c r="BC258" i="9"/>
  <c r="AV258" i="9" s="1"/>
  <c r="AU258" i="9"/>
  <c r="AN258" i="9"/>
  <c r="AM258" i="9"/>
  <c r="BG258" i="9" s="1"/>
  <c r="BJ258" i="9" s="1"/>
  <c r="U258" i="9"/>
  <c r="Q258" i="9"/>
  <c r="O258" i="9"/>
  <c r="M258" i="9"/>
  <c r="I258" i="9"/>
  <c r="R258" i="9" s="1"/>
  <c r="DF257" i="9"/>
  <c r="DC257" i="9"/>
  <c r="DB257" i="9"/>
  <c r="CA257" i="9"/>
  <c r="DH257" i="9" s="1"/>
  <c r="BZ257" i="9"/>
  <c r="DG257" i="9" s="1"/>
  <c r="BW257" i="9"/>
  <c r="BS257" i="9"/>
  <c r="BR257" i="9"/>
  <c r="BQ257" i="9"/>
  <c r="BM257" i="9"/>
  <c r="BL257" i="9"/>
  <c r="BC257" i="9"/>
  <c r="BB257" i="9"/>
  <c r="AU257" i="9" s="1"/>
  <c r="AV257" i="9"/>
  <c r="AN257" i="9"/>
  <c r="AO257" i="9" s="1"/>
  <c r="AM257" i="9"/>
  <c r="BG257" i="9" s="1"/>
  <c r="BJ257" i="9" s="1"/>
  <c r="AL257" i="9"/>
  <c r="O257" i="9"/>
  <c r="M257" i="9"/>
  <c r="I257" i="9"/>
  <c r="Q257" i="9" s="1"/>
  <c r="DH256" i="9"/>
  <c r="DF256" i="9"/>
  <c r="DD256" i="9"/>
  <c r="DC256" i="9"/>
  <c r="BZ256" i="9"/>
  <c r="DG256" i="9" s="1"/>
  <c r="BW256" i="9"/>
  <c r="BS256" i="9"/>
  <c r="BR256" i="9"/>
  <c r="BM256" i="9"/>
  <c r="BC256" i="9"/>
  <c r="AV256" i="9"/>
  <c r="AU256" i="9"/>
  <c r="AW256" i="9" s="1"/>
  <c r="AN256" i="9"/>
  <c r="AO256" i="9" s="1"/>
  <c r="AM256" i="9"/>
  <c r="BG256" i="9" s="1"/>
  <c r="BJ256" i="9" s="1"/>
  <c r="AL256" i="9"/>
  <c r="Y256" i="9"/>
  <c r="V256" i="9"/>
  <c r="U256" i="9"/>
  <c r="CQ256" i="9" s="1"/>
  <c r="O256" i="9"/>
  <c r="M256" i="9"/>
  <c r="I256" i="9"/>
  <c r="Q256" i="9" s="1"/>
  <c r="DH255" i="9"/>
  <c r="DF255" i="9"/>
  <c r="DC255" i="9"/>
  <c r="CA255" i="9"/>
  <c r="BZ255" i="9"/>
  <c r="DG255" i="9" s="1"/>
  <c r="BY255" i="9"/>
  <c r="BW255" i="9"/>
  <c r="AL255" i="9" s="1"/>
  <c r="BS255" i="9"/>
  <c r="BR255" i="9"/>
  <c r="BM255" i="9"/>
  <c r="BC255" i="9"/>
  <c r="AV255" i="9" s="1"/>
  <c r="Z255" i="9" s="1"/>
  <c r="AF255" i="9" s="1"/>
  <c r="AU255" i="9"/>
  <c r="AN255" i="9"/>
  <c r="BH255" i="9" s="1"/>
  <c r="BK255" i="9" s="1"/>
  <c r="AM255" i="9"/>
  <c r="BG255" i="9" s="1"/>
  <c r="BJ255" i="9" s="1"/>
  <c r="U255" i="9"/>
  <c r="Q255" i="9"/>
  <c r="O255" i="9"/>
  <c r="M255" i="9"/>
  <c r="I255" i="9"/>
  <c r="R255" i="9" s="1"/>
  <c r="DH254" i="9"/>
  <c r="DG254" i="9"/>
  <c r="DF254" i="9"/>
  <c r="DC254" i="9"/>
  <c r="CB254" i="9"/>
  <c r="DI254" i="9" s="1"/>
  <c r="BS254" i="9"/>
  <c r="BR254" i="9"/>
  <c r="BM254" i="9"/>
  <c r="BC254" i="9"/>
  <c r="AV254" i="9"/>
  <c r="AU254" i="9"/>
  <c r="AN254" i="9"/>
  <c r="BH254" i="9" s="1"/>
  <c r="BK254" i="9" s="1"/>
  <c r="AM254" i="9"/>
  <c r="BG254" i="9" s="1"/>
  <c r="BJ254" i="9" s="1"/>
  <c r="AL254" i="9"/>
  <c r="CC254" i="9" s="1"/>
  <c r="Y254" i="9"/>
  <c r="V254" i="9"/>
  <c r="U254" i="9"/>
  <c r="O254" i="9"/>
  <c r="M254" i="9"/>
  <c r="I254" i="9"/>
  <c r="Q254" i="9" s="1"/>
  <c r="DH253" i="9"/>
  <c r="DF253" i="9"/>
  <c r="DC253" i="9"/>
  <c r="BZ253" i="9"/>
  <c r="DG253" i="9" s="1"/>
  <c r="BS253" i="9"/>
  <c r="BR253" i="9"/>
  <c r="BM253" i="9"/>
  <c r="BG253" i="9"/>
  <c r="BJ253" i="9" s="1"/>
  <c r="BC253" i="9"/>
  <c r="AV253" i="9"/>
  <c r="AU253" i="9"/>
  <c r="AN253" i="9"/>
  <c r="BH253" i="9" s="1"/>
  <c r="BK253" i="9" s="1"/>
  <c r="AM253" i="9"/>
  <c r="AL253" i="9"/>
  <c r="BN253" i="9" s="1"/>
  <c r="Y253" i="9"/>
  <c r="V253" i="9"/>
  <c r="U253" i="9"/>
  <c r="O253" i="9"/>
  <c r="M253" i="9"/>
  <c r="I253" i="9"/>
  <c r="Q253" i="9" s="1"/>
  <c r="DH252" i="9"/>
  <c r="DG252" i="9"/>
  <c r="DF252" i="9"/>
  <c r="DC252" i="9"/>
  <c r="CR252" i="9"/>
  <c r="CB252" i="9"/>
  <c r="DI252" i="9" s="1"/>
  <c r="BY252" i="9"/>
  <c r="BS252" i="9"/>
  <c r="BR252" i="9"/>
  <c r="BM252" i="9"/>
  <c r="BC252" i="9"/>
  <c r="AV252" i="9"/>
  <c r="AU252" i="9"/>
  <c r="AN252" i="9"/>
  <c r="AO252" i="9" s="1"/>
  <c r="AM252" i="9"/>
  <c r="BG252" i="9" s="1"/>
  <c r="BJ252" i="9" s="1"/>
  <c r="AL252" i="9"/>
  <c r="CC252" i="9" s="1"/>
  <c r="Y252" i="9"/>
  <c r="V252" i="9"/>
  <c r="U252" i="9"/>
  <c r="X252" i="9" s="1"/>
  <c r="O252" i="9"/>
  <c r="M252" i="9"/>
  <c r="I252" i="9"/>
  <c r="Q252" i="9" s="1"/>
  <c r="DH251" i="9"/>
  <c r="DG251" i="9"/>
  <c r="DF251" i="9"/>
  <c r="DC251" i="9"/>
  <c r="CR251" i="9"/>
  <c r="CB251" i="9"/>
  <c r="DI251" i="9" s="1"/>
  <c r="BS251" i="9"/>
  <c r="BR251" i="9"/>
  <c r="BM251" i="9"/>
  <c r="BC251" i="9"/>
  <c r="AV251" i="9"/>
  <c r="AU251" i="9"/>
  <c r="AN251" i="9"/>
  <c r="BH251" i="9" s="1"/>
  <c r="BK251" i="9" s="1"/>
  <c r="AM251" i="9"/>
  <c r="BG251" i="9" s="1"/>
  <c r="BJ251" i="9" s="1"/>
  <c r="AL251" i="9"/>
  <c r="CC251" i="9" s="1"/>
  <c r="Z251" i="9"/>
  <c r="AE251" i="9" s="1"/>
  <c r="V251" i="9"/>
  <c r="U251" i="9"/>
  <c r="X251" i="9" s="1"/>
  <c r="Q251" i="9"/>
  <c r="O251" i="9"/>
  <c r="M251" i="9"/>
  <c r="I251" i="9"/>
  <c r="DI250" i="9"/>
  <c r="DH250" i="9"/>
  <c r="DG250" i="9"/>
  <c r="DF250" i="9"/>
  <c r="DC250" i="9"/>
  <c r="CB250" i="9"/>
  <c r="BS250" i="9"/>
  <c r="BR250" i="9"/>
  <c r="BM250" i="9"/>
  <c r="BC250" i="9"/>
  <c r="AV250" i="9" s="1"/>
  <c r="Z250" i="9" s="1"/>
  <c r="AE250" i="9" s="1"/>
  <c r="AU250" i="9"/>
  <c r="AN250" i="9"/>
  <c r="AO250" i="9" s="1"/>
  <c r="AM250" i="9"/>
  <c r="BG250" i="9" s="1"/>
  <c r="BJ250" i="9" s="1"/>
  <c r="AL250" i="9"/>
  <c r="CC250" i="9" s="1"/>
  <c r="U250" i="9"/>
  <c r="CR250" i="9" s="1"/>
  <c r="Q250" i="9"/>
  <c r="O250" i="9"/>
  <c r="M250" i="9"/>
  <c r="I250" i="9"/>
  <c r="R250" i="9" s="1"/>
  <c r="DG249" i="9"/>
  <c r="DF249" i="9"/>
  <c r="DC249" i="9"/>
  <c r="DB249" i="9"/>
  <c r="CR249" i="9"/>
  <c r="CB249" i="9"/>
  <c r="DI249" i="9" s="1"/>
  <c r="CA249" i="9"/>
  <c r="DH249" i="9" s="1"/>
  <c r="BW249" i="9"/>
  <c r="BS249" i="9"/>
  <c r="BR249" i="9"/>
  <c r="BM249" i="9"/>
  <c r="BI249" i="9"/>
  <c r="BC249" i="9"/>
  <c r="AU249" i="9"/>
  <c r="AN249" i="9"/>
  <c r="AO249" i="9" s="1"/>
  <c r="AM249" i="9"/>
  <c r="BG249" i="9" s="1"/>
  <c r="BJ249" i="9" s="1"/>
  <c r="AL249" i="9"/>
  <c r="CC249" i="9" s="1"/>
  <c r="Y249" i="9"/>
  <c r="V249" i="9"/>
  <c r="U249" i="9"/>
  <c r="X249" i="9" s="1"/>
  <c r="P249" i="9"/>
  <c r="O249" i="9"/>
  <c r="M249" i="9"/>
  <c r="I249" i="9"/>
  <c r="Q249" i="9" s="1"/>
  <c r="DH248" i="9"/>
  <c r="DG248" i="9"/>
  <c r="DF248" i="9"/>
  <c r="CB248" i="9"/>
  <c r="DI248" i="9" s="1"/>
  <c r="CA248" i="9"/>
  <c r="BW248" i="9"/>
  <c r="AL248" i="9" s="1"/>
  <c r="BS248" i="9"/>
  <c r="BR248" i="9"/>
  <c r="BM248" i="9"/>
  <c r="BC248" i="9"/>
  <c r="AV248" i="9"/>
  <c r="AU248" i="9"/>
  <c r="AN248" i="9"/>
  <c r="BH248" i="9" s="1"/>
  <c r="BK248" i="9" s="1"/>
  <c r="AM248" i="9"/>
  <c r="BG248" i="9" s="1"/>
  <c r="BJ248" i="9" s="1"/>
  <c r="Z248" i="9"/>
  <c r="AE248" i="9" s="1"/>
  <c r="U248" i="9"/>
  <c r="Y248" i="9" s="1"/>
  <c r="P248" i="9"/>
  <c r="DC248" i="9" s="1"/>
  <c r="O248" i="9"/>
  <c r="M248" i="9"/>
  <c r="I248" i="9"/>
  <c r="Q248" i="9" s="1"/>
  <c r="DF247" i="9"/>
  <c r="DC247" i="9"/>
  <c r="DB247" i="9"/>
  <c r="CA247" i="9"/>
  <c r="DH247" i="9" s="1"/>
  <c r="BZ247" i="9"/>
  <c r="DG247" i="9" s="1"/>
  <c r="BW247" i="9"/>
  <c r="BS247" i="9"/>
  <c r="BR247" i="9"/>
  <c r="BM247" i="9"/>
  <c r="BG247" i="9"/>
  <c r="BJ247" i="9" s="1"/>
  <c r="BC247" i="9"/>
  <c r="AV247" i="9"/>
  <c r="AU247" i="9"/>
  <c r="AN247" i="9"/>
  <c r="BH247" i="9" s="1"/>
  <c r="BK247" i="9" s="1"/>
  <c r="AM247" i="9"/>
  <c r="AL247" i="9"/>
  <c r="BN247" i="9" s="1"/>
  <c r="Y247" i="9"/>
  <c r="V247" i="9"/>
  <c r="U247" i="9"/>
  <c r="CR247" i="9" s="1"/>
  <c r="O247" i="9"/>
  <c r="M247" i="9"/>
  <c r="I247" i="9"/>
  <c r="Q247" i="9" s="1"/>
  <c r="DH246" i="9"/>
  <c r="DF246" i="9"/>
  <c r="DC246" i="9"/>
  <c r="CB246" i="9"/>
  <c r="DI246" i="9" s="1"/>
  <c r="BZ246" i="9"/>
  <c r="DG246" i="9" s="1"/>
  <c r="BS246" i="9"/>
  <c r="BR246" i="9"/>
  <c r="BN246" i="9"/>
  <c r="BO246" i="9" s="1"/>
  <c r="BM246" i="9"/>
  <c r="BD246" i="9"/>
  <c r="BE246" i="9" s="1"/>
  <c r="BC246" i="9"/>
  <c r="BH246" i="9" s="1"/>
  <c r="BK246" i="9" s="1"/>
  <c r="AY246" i="9"/>
  <c r="AV246" i="9"/>
  <c r="AZ246" i="9" s="1"/>
  <c r="AU246" i="9"/>
  <c r="AN246" i="9"/>
  <c r="AP246" i="9" s="1"/>
  <c r="AM246" i="9"/>
  <c r="BG246" i="9" s="1"/>
  <c r="BJ246" i="9" s="1"/>
  <c r="AL246" i="9"/>
  <c r="CC246" i="9" s="1"/>
  <c r="AG246" i="9"/>
  <c r="Z246" i="9"/>
  <c r="AF246" i="9" s="1"/>
  <c r="U246" i="9"/>
  <c r="Q246" i="9"/>
  <c r="O246" i="9"/>
  <c r="M246" i="9"/>
  <c r="I246" i="9"/>
  <c r="R246" i="9" s="1"/>
  <c r="DG245" i="9"/>
  <c r="DF245" i="9"/>
  <c r="DC245" i="9"/>
  <c r="CA245" i="9"/>
  <c r="DH245" i="9" s="1"/>
  <c r="BZ245" i="9"/>
  <c r="CB245" i="9" s="1"/>
  <c r="BS245" i="9"/>
  <c r="BR245" i="9"/>
  <c r="BN245" i="9"/>
  <c r="BO245" i="9" s="1"/>
  <c r="BM245" i="9"/>
  <c r="BD245" i="9"/>
  <c r="BE245" i="9" s="1"/>
  <c r="BC245" i="9"/>
  <c r="BH245" i="9" s="1"/>
  <c r="BK245" i="9" s="1"/>
  <c r="AY245" i="9"/>
  <c r="AV245" i="9"/>
  <c r="AZ245" i="9" s="1"/>
  <c r="AU245" i="9"/>
  <c r="AN245" i="9"/>
  <c r="AP245" i="9" s="1"/>
  <c r="AM245" i="9"/>
  <c r="BG245" i="9" s="1"/>
  <c r="BJ245" i="9" s="1"/>
  <c r="AL245" i="9"/>
  <c r="AG245" i="9"/>
  <c r="Z245" i="9"/>
  <c r="AF245" i="9" s="1"/>
  <c r="U245" i="9"/>
  <c r="Q245" i="9"/>
  <c r="O245" i="9"/>
  <c r="M245" i="9"/>
  <c r="I245" i="9"/>
  <c r="R245" i="9" s="1"/>
  <c r="DH244" i="9"/>
  <c r="DG244" i="9"/>
  <c r="DF244" i="9"/>
  <c r="DC244" i="9"/>
  <c r="CB244" i="9"/>
  <c r="DI244" i="9" s="1"/>
  <c r="BZ244" i="9"/>
  <c r="BS244" i="9"/>
  <c r="BR244" i="9"/>
  <c r="BQ244" i="9"/>
  <c r="BM244" i="9"/>
  <c r="BL244" i="9"/>
  <c r="BC244" i="9"/>
  <c r="BB244" i="9"/>
  <c r="AU244" i="9" s="1"/>
  <c r="AV244" i="9"/>
  <c r="AS244" i="9"/>
  <c r="AM244" i="9" s="1"/>
  <c r="BG244" i="9" s="1"/>
  <c r="BJ244" i="9" s="1"/>
  <c r="AQ244" i="9"/>
  <c r="AN244" i="9"/>
  <c r="AO244" i="9" s="1"/>
  <c r="AL244" i="9"/>
  <c r="CC244" i="9" s="1"/>
  <c r="O244" i="9"/>
  <c r="M244" i="9"/>
  <c r="I244" i="9"/>
  <c r="Q244" i="9" s="1"/>
  <c r="DH243" i="9"/>
  <c r="DF243" i="9"/>
  <c r="DC243" i="9"/>
  <c r="BZ243" i="9"/>
  <c r="DG243" i="9" s="1"/>
  <c r="BS243" i="9"/>
  <c r="BR243" i="9"/>
  <c r="BQ243" i="9"/>
  <c r="BQ468" i="9" s="1"/>
  <c r="BN243" i="9"/>
  <c r="BO243" i="9" s="1"/>
  <c r="BM243" i="9"/>
  <c r="BL243" i="9"/>
  <c r="BL468" i="9" s="1"/>
  <c r="BC243" i="9"/>
  <c r="AV243" i="9" s="1"/>
  <c r="BB243" i="9"/>
  <c r="BB468" i="9" s="1"/>
  <c r="AU243" i="9"/>
  <c r="AS243" i="9"/>
  <c r="AS468" i="9" s="1"/>
  <c r="AQ243" i="9"/>
  <c r="AQ468" i="9" s="1"/>
  <c r="AN243" i="9"/>
  <c r="BH243" i="9" s="1"/>
  <c r="AM243" i="9"/>
  <c r="BG243" i="9" s="1"/>
  <c r="BJ243" i="9" s="1"/>
  <c r="AL243" i="9"/>
  <c r="U243" i="9"/>
  <c r="Q243" i="9"/>
  <c r="O243" i="9"/>
  <c r="O427" i="9" s="1"/>
  <c r="M243" i="9"/>
  <c r="M427" i="9" s="1"/>
  <c r="I243" i="9"/>
  <c r="I427" i="9" s="1"/>
  <c r="DB242" i="9"/>
  <c r="CA242" i="9"/>
  <c r="DH242" i="9" s="1"/>
  <c r="BZ242" i="9"/>
  <c r="DG242" i="9" s="1"/>
  <c r="BY242" i="9"/>
  <c r="DF242" i="9" s="1"/>
  <c r="BW242" i="9"/>
  <c r="BV242" i="9"/>
  <c r="BU242" i="9"/>
  <c r="BS242" i="9"/>
  <c r="BR242" i="9"/>
  <c r="BQ242" i="9"/>
  <c r="BM242" i="9"/>
  <c r="BL242" i="9"/>
  <c r="BI242" i="9"/>
  <c r="BC242" i="9"/>
  <c r="AV242" i="9" s="1"/>
  <c r="BB242" i="9"/>
  <c r="AU242" i="9"/>
  <c r="AT242" i="9"/>
  <c r="AS242" i="9"/>
  <c r="AR242" i="9"/>
  <c r="AQ242" i="9"/>
  <c r="AN242" i="9"/>
  <c r="AP242" i="9" s="1"/>
  <c r="AM242" i="9"/>
  <c r="BG242" i="9" s="1"/>
  <c r="T242" i="9"/>
  <c r="S242" i="9"/>
  <c r="P242" i="9"/>
  <c r="DC242" i="9" s="1"/>
  <c r="O242" i="9"/>
  <c r="N242" i="9"/>
  <c r="M242" i="9"/>
  <c r="L242" i="9"/>
  <c r="K242" i="9"/>
  <c r="J242" i="9"/>
  <c r="I242" i="9"/>
  <c r="Q242" i="9" s="1"/>
  <c r="H242" i="9"/>
  <c r="G242" i="9"/>
  <c r="F242" i="9"/>
  <c r="E242" i="9"/>
  <c r="D242" i="9"/>
  <c r="C242" i="9"/>
  <c r="DB241" i="9"/>
  <c r="DB301" i="9" s="1"/>
  <c r="CA241" i="9"/>
  <c r="CA301" i="9" s="1"/>
  <c r="DH301" i="9" s="1"/>
  <c r="BZ241" i="9"/>
  <c r="BZ301" i="9" s="1"/>
  <c r="DG301" i="9" s="1"/>
  <c r="BY241" i="9"/>
  <c r="BY301" i="9" s="1"/>
  <c r="DF301" i="9" s="1"/>
  <c r="BW241" i="9"/>
  <c r="BW301" i="9" s="1"/>
  <c r="BV241" i="9"/>
  <c r="BV301" i="9" s="1"/>
  <c r="BU241" i="9"/>
  <c r="BU301" i="9" s="1"/>
  <c r="BS241" i="9"/>
  <c r="BS301" i="9" s="1"/>
  <c r="BS317" i="9" s="1"/>
  <c r="BR241" i="9"/>
  <c r="BR301" i="9" s="1"/>
  <c r="BR317" i="9" s="1"/>
  <c r="BQ241" i="9"/>
  <c r="BM241" i="9"/>
  <c r="BM301" i="9" s="1"/>
  <c r="BM317" i="9" s="1"/>
  <c r="BL241" i="9"/>
  <c r="BI241" i="9"/>
  <c r="BI301" i="9" s="1"/>
  <c r="BC241" i="9"/>
  <c r="BC301" i="9" s="1"/>
  <c r="BB241" i="9"/>
  <c r="AU241" i="9"/>
  <c r="AT241" i="9"/>
  <c r="AT301" i="9" s="1"/>
  <c r="AS241" i="9"/>
  <c r="AR241" i="9"/>
  <c r="AR301" i="9" s="1"/>
  <c r="AN301" i="9" s="1"/>
  <c r="AQ241" i="9"/>
  <c r="AN241" i="9"/>
  <c r="AP241" i="9" s="1"/>
  <c r="AM241" i="9"/>
  <c r="BG241" i="9" s="1"/>
  <c r="T241" i="9"/>
  <c r="S241" i="9"/>
  <c r="S301" i="9" s="1"/>
  <c r="P241" i="9"/>
  <c r="P301" i="9" s="1"/>
  <c r="O241" i="9"/>
  <c r="O301" i="9" s="1"/>
  <c r="N241" i="9"/>
  <c r="N301" i="9" s="1"/>
  <c r="M241" i="9"/>
  <c r="M301" i="9" s="1"/>
  <c r="L241" i="9"/>
  <c r="K241" i="9"/>
  <c r="J241" i="9"/>
  <c r="I241" i="9"/>
  <c r="I301" i="9" s="1"/>
  <c r="H241" i="9"/>
  <c r="H301" i="9" s="1"/>
  <c r="G241" i="9"/>
  <c r="F241" i="9"/>
  <c r="E241" i="9"/>
  <c r="D241" i="9"/>
  <c r="C241" i="9"/>
  <c r="DI240" i="9"/>
  <c r="DH240" i="9"/>
  <c r="DG240" i="9"/>
  <c r="DF240" i="9"/>
  <c r="DC240" i="9"/>
  <c r="DB240" i="9"/>
  <c r="CC240" i="9"/>
  <c r="BP240" i="9"/>
  <c r="BO240" i="9"/>
  <c r="BK240" i="9"/>
  <c r="BG240" i="9"/>
  <c r="BJ240" i="9" s="1"/>
  <c r="BF240" i="9"/>
  <c r="BE240" i="9"/>
  <c r="AA240" i="9"/>
  <c r="Y240" i="9"/>
  <c r="X240" i="9"/>
  <c r="V240" i="9"/>
  <c r="R240" i="9"/>
  <c r="Q240" i="9"/>
  <c r="F240" i="9"/>
  <c r="E240" i="9"/>
  <c r="DI238" i="9"/>
  <c r="DH238" i="9"/>
  <c r="DG238" i="9"/>
  <c r="DF238" i="9"/>
  <c r="DC238" i="9"/>
  <c r="BS238" i="9"/>
  <c r="BR238" i="9"/>
  <c r="BM238" i="9"/>
  <c r="BC238" i="9"/>
  <c r="AV238" i="9"/>
  <c r="AU238" i="9"/>
  <c r="AN238" i="9"/>
  <c r="BH238" i="9" s="1"/>
  <c r="BK238" i="9" s="1"/>
  <c r="AM238" i="9"/>
  <c r="BG238" i="9" s="1"/>
  <c r="BJ238" i="9" s="1"/>
  <c r="AL238" i="9"/>
  <c r="BN238" i="9" s="1"/>
  <c r="Z238" i="9"/>
  <c r="AE238" i="9" s="1"/>
  <c r="X238" i="9"/>
  <c r="V238" i="9"/>
  <c r="Q238" i="9"/>
  <c r="DI237" i="9"/>
  <c r="DH237" i="9"/>
  <c r="DG237" i="9"/>
  <c r="DF237" i="9"/>
  <c r="DC237" i="9"/>
  <c r="BS237" i="9"/>
  <c r="BR237" i="9"/>
  <c r="BM237" i="9"/>
  <c r="BC237" i="9"/>
  <c r="AV237" i="9"/>
  <c r="AU237" i="9"/>
  <c r="AN237" i="9"/>
  <c r="BH237" i="9" s="1"/>
  <c r="BK237" i="9" s="1"/>
  <c r="AM237" i="9"/>
  <c r="BG237" i="9" s="1"/>
  <c r="BJ237" i="9" s="1"/>
  <c r="AL237" i="9"/>
  <c r="BN237" i="9" s="1"/>
  <c r="Z237" i="9"/>
  <c r="AE237" i="9" s="1"/>
  <c r="V237" i="9"/>
  <c r="U237" i="9"/>
  <c r="Q237" i="9"/>
  <c r="O237" i="9"/>
  <c r="M237" i="9"/>
  <c r="I237" i="9"/>
  <c r="DI236" i="9"/>
  <c r="DH236" i="9"/>
  <c r="DG236" i="9"/>
  <c r="DF236" i="9"/>
  <c r="DC236" i="9"/>
  <c r="BS236" i="9"/>
  <c r="BR236" i="9"/>
  <c r="BM236" i="9"/>
  <c r="BC236" i="9"/>
  <c r="AV236" i="9"/>
  <c r="AU236" i="9"/>
  <c r="AN236" i="9"/>
  <c r="BH236" i="9" s="1"/>
  <c r="BK236" i="9" s="1"/>
  <c r="AM236" i="9"/>
  <c r="BG236" i="9" s="1"/>
  <c r="BJ236" i="9" s="1"/>
  <c r="AL236" i="9"/>
  <c r="BN236" i="9" s="1"/>
  <c r="Z236" i="9"/>
  <c r="AE236" i="9" s="1"/>
  <c r="V236" i="9"/>
  <c r="U236" i="9"/>
  <c r="Q236" i="9"/>
  <c r="O236" i="9"/>
  <c r="M236" i="9"/>
  <c r="I236" i="9"/>
  <c r="DH235" i="9"/>
  <c r="DG235" i="9"/>
  <c r="DF235" i="9"/>
  <c r="DD235" i="9"/>
  <c r="DC235" i="9"/>
  <c r="CB235" i="9"/>
  <c r="DI235" i="9" s="1"/>
  <c r="BS235" i="9"/>
  <c r="BR235" i="9"/>
  <c r="BM235" i="9"/>
  <c r="BC235" i="9"/>
  <c r="AV235" i="9" s="1"/>
  <c r="Z235" i="9" s="1"/>
  <c r="AU235" i="9"/>
  <c r="AN235" i="9"/>
  <c r="BH235" i="9" s="1"/>
  <c r="BK235" i="9" s="1"/>
  <c r="AM235" i="9"/>
  <c r="BG235" i="9" s="1"/>
  <c r="BJ235" i="9" s="1"/>
  <c r="AL235" i="9"/>
  <c r="CC235" i="9" s="1"/>
  <c r="U235" i="9"/>
  <c r="O235" i="9"/>
  <c r="M235" i="9"/>
  <c r="I235" i="9"/>
  <c r="Q235" i="9" s="1"/>
  <c r="DH234" i="9"/>
  <c r="DG234" i="9"/>
  <c r="DF234" i="9"/>
  <c r="DD234" i="9"/>
  <c r="DC234" i="9"/>
  <c r="DB234" i="9"/>
  <c r="CB234" i="9"/>
  <c r="DI234" i="9" s="1"/>
  <c r="BY234" i="9"/>
  <c r="BS234" i="9"/>
  <c r="BR234" i="9"/>
  <c r="BM234" i="9"/>
  <c r="BI234" i="9"/>
  <c r="BC234" i="9"/>
  <c r="AV234" i="9" s="1"/>
  <c r="Z234" i="9" s="1"/>
  <c r="AE234" i="9" s="1"/>
  <c r="AU234" i="9"/>
  <c r="AN234" i="9"/>
  <c r="BH234" i="9" s="1"/>
  <c r="AM234" i="9"/>
  <c r="BG234" i="9" s="1"/>
  <c r="AL234" i="9"/>
  <c r="CC234" i="9" s="1"/>
  <c r="X234" i="9"/>
  <c r="V234" i="9"/>
  <c r="U234" i="9"/>
  <c r="O234" i="9"/>
  <c r="M234" i="9"/>
  <c r="I234" i="9"/>
  <c r="Q234" i="9" s="1"/>
  <c r="DH233" i="9"/>
  <c r="DF233" i="9"/>
  <c r="DD233" i="9"/>
  <c r="DB233" i="9"/>
  <c r="CA233" i="9"/>
  <c r="BZ233" i="9"/>
  <c r="DG233" i="9" s="1"/>
  <c r="BY233" i="9"/>
  <c r="BU233" i="9"/>
  <c r="BS233" i="9"/>
  <c r="BR233" i="9"/>
  <c r="BM233" i="9"/>
  <c r="BG233" i="9"/>
  <c r="BJ233" i="9" s="1"/>
  <c r="BC233" i="9"/>
  <c r="AV233" i="9"/>
  <c r="Z233" i="9" s="1"/>
  <c r="AE233" i="9" s="1"/>
  <c r="AU233" i="9"/>
  <c r="AN233" i="9"/>
  <c r="BH233" i="9" s="1"/>
  <c r="BK233" i="9" s="1"/>
  <c r="AM233" i="9"/>
  <c r="AL233" i="9"/>
  <c r="V233" i="9"/>
  <c r="U233" i="9"/>
  <c r="P233" i="9"/>
  <c r="Q233" i="9" s="1"/>
  <c r="M233" i="9"/>
  <c r="I233" i="9"/>
  <c r="DH232" i="9"/>
  <c r="DG232" i="9"/>
  <c r="DC232" i="9"/>
  <c r="BY232" i="9"/>
  <c r="DF232" i="9" s="1"/>
  <c r="BS232" i="9"/>
  <c r="BR232" i="9"/>
  <c r="BM232" i="9"/>
  <c r="BC232" i="9"/>
  <c r="AV232" i="9"/>
  <c r="AU232" i="9"/>
  <c r="AN232" i="9"/>
  <c r="BH232" i="9" s="1"/>
  <c r="BK232" i="9" s="1"/>
  <c r="AM232" i="9"/>
  <c r="BG232" i="9" s="1"/>
  <c r="BJ232" i="9" s="1"/>
  <c r="AL232" i="9"/>
  <c r="BN232" i="9" s="1"/>
  <c r="U232" i="9"/>
  <c r="Q232" i="9"/>
  <c r="O232" i="9"/>
  <c r="M232" i="9"/>
  <c r="I232" i="9"/>
  <c r="R232" i="9" s="1"/>
  <c r="DH231" i="9"/>
  <c r="DG231" i="9"/>
  <c r="BY231" i="9"/>
  <c r="DF231" i="9" s="1"/>
  <c r="BS231" i="9"/>
  <c r="BR231" i="9"/>
  <c r="BM231" i="9"/>
  <c r="BC231" i="9"/>
  <c r="AV231" i="9" s="1"/>
  <c r="AU231" i="9"/>
  <c r="AN231" i="9"/>
  <c r="AM231" i="9"/>
  <c r="BG231" i="9" s="1"/>
  <c r="BJ231" i="9" s="1"/>
  <c r="AL231" i="9"/>
  <c r="BN231" i="9" s="1"/>
  <c r="U231" i="9"/>
  <c r="P231" i="9"/>
  <c r="R231" i="9" s="1"/>
  <c r="O231" i="9"/>
  <c r="M231" i="9"/>
  <c r="I231" i="9"/>
  <c r="Q231" i="9" s="1"/>
  <c r="DB230" i="9"/>
  <c r="CA230" i="9"/>
  <c r="DH230" i="9" s="1"/>
  <c r="BZ230" i="9"/>
  <c r="DG230" i="9" s="1"/>
  <c r="BY230" i="9"/>
  <c r="DF230" i="9" s="1"/>
  <c r="BW230" i="9"/>
  <c r="BV230" i="9"/>
  <c r="BU230" i="9"/>
  <c r="BS230" i="9"/>
  <c r="BR230" i="9"/>
  <c r="BQ230" i="9"/>
  <c r="BM230" i="9"/>
  <c r="BL230" i="9"/>
  <c r="BI230" i="9"/>
  <c r="BC230" i="9"/>
  <c r="AV230" i="9" s="1"/>
  <c r="BB230" i="9"/>
  <c r="AU230" i="9"/>
  <c r="AT230" i="9"/>
  <c r="AS230" i="9"/>
  <c r="AR230" i="9"/>
  <c r="AQ230" i="9"/>
  <c r="AN230" i="9"/>
  <c r="AP230" i="9" s="1"/>
  <c r="AM230" i="9"/>
  <c r="BG230" i="9" s="1"/>
  <c r="AL230" i="9"/>
  <c r="U230" i="9"/>
  <c r="X230" i="9" s="1"/>
  <c r="T230" i="9"/>
  <c r="S230" i="9"/>
  <c r="P230" i="9"/>
  <c r="DC230" i="9" s="1"/>
  <c r="N230" i="9"/>
  <c r="M230" i="9"/>
  <c r="L230" i="9"/>
  <c r="K230" i="9"/>
  <c r="J230" i="9"/>
  <c r="I230" i="9"/>
  <c r="Q230" i="9" s="1"/>
  <c r="H230" i="9"/>
  <c r="G230" i="9"/>
  <c r="F230" i="9"/>
  <c r="E230" i="9"/>
  <c r="D230" i="9"/>
  <c r="C230" i="9"/>
  <c r="DH229" i="9"/>
  <c r="DG229" i="9"/>
  <c r="DF229" i="9"/>
  <c r="DC229" i="9"/>
  <c r="CB229" i="9"/>
  <c r="DI229" i="9" s="1"/>
  <c r="BS229" i="9"/>
  <c r="BR229" i="9"/>
  <c r="BM229" i="9"/>
  <c r="BC229" i="9"/>
  <c r="AV229" i="9" s="1"/>
  <c r="AU229" i="9"/>
  <c r="AN229" i="9"/>
  <c r="AM229" i="9"/>
  <c r="BG229" i="9" s="1"/>
  <c r="BJ229" i="9" s="1"/>
  <c r="AL229" i="9"/>
  <c r="CC229" i="9" s="1"/>
  <c r="Y229" i="9"/>
  <c r="V229" i="9"/>
  <c r="U229" i="9"/>
  <c r="O229" i="9"/>
  <c r="M229" i="9"/>
  <c r="I229" i="9"/>
  <c r="Q229" i="9" s="1"/>
  <c r="DH228" i="9"/>
  <c r="DG228" i="9"/>
  <c r="DF228" i="9"/>
  <c r="DC228" i="9"/>
  <c r="DB228" i="9"/>
  <c r="CB228" i="9"/>
  <c r="DI228" i="9" s="1"/>
  <c r="BS228" i="9"/>
  <c r="BR228" i="9"/>
  <c r="BM228" i="9"/>
  <c r="BC228" i="9"/>
  <c r="AV228" i="9"/>
  <c r="AU228" i="9"/>
  <c r="AW228" i="9" s="1"/>
  <c r="AN228" i="9"/>
  <c r="AP228" i="9" s="1"/>
  <c r="AM228" i="9"/>
  <c r="BG228" i="9" s="1"/>
  <c r="BJ228" i="9" s="1"/>
  <c r="AL228" i="9"/>
  <c r="CC228" i="9" s="1"/>
  <c r="Z228" i="9"/>
  <c r="AF228" i="9" s="1"/>
  <c r="U228" i="9"/>
  <c r="Q228" i="9"/>
  <c r="O228" i="9"/>
  <c r="M228" i="9"/>
  <c r="I228" i="9"/>
  <c r="R228" i="9" s="1"/>
  <c r="DH227" i="9"/>
  <c r="DG227" i="9"/>
  <c r="DB227" i="9"/>
  <c r="CB227" i="9"/>
  <c r="DI227" i="9" s="1"/>
  <c r="BY227" i="9"/>
  <c r="DF227" i="9" s="1"/>
  <c r="BS227" i="9"/>
  <c r="BR227" i="9"/>
  <c r="BM227" i="9"/>
  <c r="BI227" i="9"/>
  <c r="BC227" i="9"/>
  <c r="AV227" i="9"/>
  <c r="AU227" i="9"/>
  <c r="AN227" i="9"/>
  <c r="BH227" i="9" s="1"/>
  <c r="AM227" i="9"/>
  <c r="BG227" i="9" s="1"/>
  <c r="AL227" i="9"/>
  <c r="CC227" i="9" s="1"/>
  <c r="Z227" i="9"/>
  <c r="AE227" i="9" s="1"/>
  <c r="U227" i="9"/>
  <c r="P227" i="9"/>
  <c r="Q227" i="9" s="1"/>
  <c r="M227" i="9"/>
  <c r="I227" i="9"/>
  <c r="DH226" i="9"/>
  <c r="DG226" i="9"/>
  <c r="DF226" i="9"/>
  <c r="DC226" i="9"/>
  <c r="DB226" i="9"/>
  <c r="CB226" i="9"/>
  <c r="DI226" i="9" s="1"/>
  <c r="BS226" i="9"/>
  <c r="BR226" i="9"/>
  <c r="BM226" i="9"/>
  <c r="BC226" i="9"/>
  <c r="AV226" i="9" s="1"/>
  <c r="Z226" i="9" s="1"/>
  <c r="AE226" i="9" s="1"/>
  <c r="AU226" i="9"/>
  <c r="AN226" i="9"/>
  <c r="BH226" i="9" s="1"/>
  <c r="BK226" i="9" s="1"/>
  <c r="AM226" i="9"/>
  <c r="BG226" i="9" s="1"/>
  <c r="BJ226" i="9" s="1"/>
  <c r="AL226" i="9"/>
  <c r="CC226" i="9" s="1"/>
  <c r="Y226" i="9"/>
  <c r="V226" i="9"/>
  <c r="U226" i="9"/>
  <c r="O226" i="9"/>
  <c r="M226" i="9"/>
  <c r="I226" i="9"/>
  <c r="Q226" i="9" s="1"/>
  <c r="DC225" i="9"/>
  <c r="DB225" i="9"/>
  <c r="CA225" i="9"/>
  <c r="DH225" i="9" s="1"/>
  <c r="BZ225" i="9"/>
  <c r="DG225" i="9" s="1"/>
  <c r="BY225" i="9"/>
  <c r="CB225" i="9" s="1"/>
  <c r="DI225" i="9" s="1"/>
  <c r="BU225" i="9"/>
  <c r="BS225" i="9"/>
  <c r="BR225" i="9"/>
  <c r="BQ225" i="9"/>
  <c r="BM225" i="9"/>
  <c r="BL225" i="9"/>
  <c r="BC225" i="9"/>
  <c r="AV225" i="9" s="1"/>
  <c r="Z225" i="9" s="1"/>
  <c r="AU225" i="9"/>
  <c r="AS225" i="9"/>
  <c r="AN225" i="9"/>
  <c r="AO225" i="9" s="1"/>
  <c r="AM225" i="9"/>
  <c r="BG225" i="9" s="1"/>
  <c r="BJ225" i="9" s="1"/>
  <c r="AL225" i="9"/>
  <c r="BN225" i="9" s="1"/>
  <c r="Y225" i="9"/>
  <c r="V225" i="9"/>
  <c r="U225" i="9"/>
  <c r="O225" i="9"/>
  <c r="M225" i="9"/>
  <c r="I225" i="9"/>
  <c r="Q225" i="9" s="1"/>
  <c r="DH224" i="9"/>
  <c r="DG224" i="9"/>
  <c r="DF224" i="9"/>
  <c r="DC224" i="9"/>
  <c r="DB224" i="9"/>
  <c r="CB224" i="9"/>
  <c r="DI224" i="9" s="1"/>
  <c r="BS224" i="9"/>
  <c r="BR224" i="9"/>
  <c r="BM224" i="9"/>
  <c r="BC224" i="9"/>
  <c r="AV224" i="9"/>
  <c r="AU224" i="9"/>
  <c r="AN224" i="9"/>
  <c r="AP224" i="9" s="1"/>
  <c r="AM224" i="9"/>
  <c r="BG224" i="9" s="1"/>
  <c r="BJ224" i="9" s="1"/>
  <c r="AL224" i="9"/>
  <c r="CC224" i="9" s="1"/>
  <c r="Z224" i="9"/>
  <c r="AF224" i="9" s="1"/>
  <c r="U224" i="9"/>
  <c r="O224" i="9"/>
  <c r="M224" i="9"/>
  <c r="I224" i="9"/>
  <c r="R224" i="9" s="1"/>
  <c r="DH223" i="9"/>
  <c r="DG223" i="9"/>
  <c r="DF223" i="9"/>
  <c r="DC223" i="9"/>
  <c r="DB223" i="9"/>
  <c r="CB223" i="9"/>
  <c r="DI223" i="9" s="1"/>
  <c r="BS223" i="9"/>
  <c r="BR223" i="9"/>
  <c r="BM223" i="9"/>
  <c r="BC223" i="9"/>
  <c r="AV223" i="9" s="1"/>
  <c r="Z223" i="9" s="1"/>
  <c r="AE223" i="9" s="1"/>
  <c r="AU223" i="9"/>
  <c r="AN223" i="9"/>
  <c r="AM223" i="9"/>
  <c r="BG223" i="9" s="1"/>
  <c r="BJ223" i="9" s="1"/>
  <c r="AL223" i="9"/>
  <c r="CC223" i="9" s="1"/>
  <c r="U223" i="9"/>
  <c r="Q223" i="9"/>
  <c r="O223" i="9"/>
  <c r="M223" i="9"/>
  <c r="I223" i="9"/>
  <c r="R223" i="9" s="1"/>
  <c r="DH222" i="9"/>
  <c r="DG222" i="9"/>
  <c r="DF222" i="9"/>
  <c r="DC222" i="9"/>
  <c r="DB222" i="9"/>
  <c r="CB222" i="9"/>
  <c r="DI222" i="9" s="1"/>
  <c r="BS222" i="9"/>
  <c r="BR222" i="9"/>
  <c r="BM222" i="9"/>
  <c r="BC222" i="9"/>
  <c r="AV222" i="9"/>
  <c r="AU222" i="9"/>
  <c r="AN222" i="9"/>
  <c r="BH222" i="9" s="1"/>
  <c r="BK222" i="9" s="1"/>
  <c r="AM222" i="9"/>
  <c r="BG222" i="9" s="1"/>
  <c r="BJ222" i="9" s="1"/>
  <c r="AL222" i="9"/>
  <c r="CC222" i="9" s="1"/>
  <c r="Z222" i="9"/>
  <c r="AE222" i="9" s="1"/>
  <c r="Y222" i="9"/>
  <c r="V222" i="9"/>
  <c r="U222" i="9"/>
  <c r="O222" i="9"/>
  <c r="M222" i="9"/>
  <c r="I222" i="9"/>
  <c r="Q222" i="9" s="1"/>
  <c r="DH221" i="9"/>
  <c r="DG221" i="9"/>
  <c r="DF221" i="9"/>
  <c r="DC221" i="9"/>
  <c r="CB221" i="9"/>
  <c r="DI221" i="9" s="1"/>
  <c r="BS221" i="9"/>
  <c r="BR221" i="9"/>
  <c r="BM221" i="9"/>
  <c r="BI221" i="9"/>
  <c r="BC221" i="9"/>
  <c r="AV221" i="9" s="1"/>
  <c r="AU221" i="9"/>
  <c r="AN221" i="9"/>
  <c r="AO221" i="9" s="1"/>
  <c r="AM221" i="9"/>
  <c r="BG221" i="9" s="1"/>
  <c r="BJ221" i="9" s="1"/>
  <c r="AL221" i="9"/>
  <c r="CC221" i="9" s="1"/>
  <c r="Y221" i="9"/>
  <c r="V221" i="9"/>
  <c r="U221" i="9"/>
  <c r="O221" i="9"/>
  <c r="M221" i="9"/>
  <c r="I221" i="9"/>
  <c r="Q221" i="9" s="1"/>
  <c r="DH220" i="9"/>
  <c r="DG220" i="9"/>
  <c r="DF220" i="9"/>
  <c r="DC220" i="9"/>
  <c r="DB220" i="9"/>
  <c r="CB220" i="9"/>
  <c r="DI220" i="9" s="1"/>
  <c r="BS220" i="9"/>
  <c r="BR220" i="9"/>
  <c r="BM220" i="9"/>
  <c r="BC220" i="9"/>
  <c r="AV220" i="9"/>
  <c r="AU220" i="9"/>
  <c r="AN220" i="9"/>
  <c r="AP220" i="9" s="1"/>
  <c r="AM220" i="9"/>
  <c r="BG220" i="9" s="1"/>
  <c r="BJ220" i="9" s="1"/>
  <c r="AL220" i="9"/>
  <c r="Z220" i="9"/>
  <c r="AF220" i="9" s="1"/>
  <c r="X220" i="9"/>
  <c r="V220" i="9"/>
  <c r="U220" i="9"/>
  <c r="R220" i="9"/>
  <c r="O220" i="9"/>
  <c r="M220" i="9"/>
  <c r="I220" i="9"/>
  <c r="Q220" i="9" s="1"/>
  <c r="DH219" i="9"/>
  <c r="DG219" i="9"/>
  <c r="DF219" i="9"/>
  <c r="DC219" i="9"/>
  <c r="DB219" i="9"/>
  <c r="BY219" i="9"/>
  <c r="CB219" i="9" s="1"/>
  <c r="DI219" i="9" s="1"/>
  <c r="BS219" i="9"/>
  <c r="BR219" i="9"/>
  <c r="BM219" i="9"/>
  <c r="BI219" i="9"/>
  <c r="BG219" i="9"/>
  <c r="BC219" i="9"/>
  <c r="AV219" i="9"/>
  <c r="AU219" i="9"/>
  <c r="AN219" i="9"/>
  <c r="AP219" i="9" s="1"/>
  <c r="AM219" i="9"/>
  <c r="AL219" i="9"/>
  <c r="CC219" i="9" s="1"/>
  <c r="Y219" i="9"/>
  <c r="V219" i="9"/>
  <c r="U219" i="9"/>
  <c r="O219" i="9"/>
  <c r="M219" i="9"/>
  <c r="I219" i="9"/>
  <c r="R219" i="9" s="1"/>
  <c r="DH218" i="9"/>
  <c r="DG218" i="9"/>
  <c r="DB218" i="9"/>
  <c r="BY218" i="9"/>
  <c r="DF218" i="9" s="1"/>
  <c r="BS218" i="9"/>
  <c r="BR218" i="9"/>
  <c r="BM218" i="9"/>
  <c r="BI218" i="9"/>
  <c r="BD218" i="9"/>
  <c r="BC218" i="9"/>
  <c r="BH218" i="9" s="1"/>
  <c r="AU218" i="9"/>
  <c r="AN218" i="9"/>
  <c r="AP218" i="9" s="1"/>
  <c r="AM218" i="9"/>
  <c r="AO218" i="9" s="1"/>
  <c r="AL218" i="9"/>
  <c r="BN218" i="9" s="1"/>
  <c r="U218" i="9"/>
  <c r="P218" i="9"/>
  <c r="DC218" i="9" s="1"/>
  <c r="O218" i="9"/>
  <c r="M218" i="9"/>
  <c r="I218" i="9"/>
  <c r="Q218" i="9" s="1"/>
  <c r="DH217" i="9"/>
  <c r="DG217" i="9"/>
  <c r="DC217" i="9"/>
  <c r="DB217" i="9"/>
  <c r="BY217" i="9"/>
  <c r="BS217" i="9"/>
  <c r="BR217" i="9"/>
  <c r="BM217" i="9"/>
  <c r="BI217" i="9"/>
  <c r="BD217" i="9"/>
  <c r="BE217" i="9" s="1"/>
  <c r="BC217" i="9"/>
  <c r="BH217" i="9" s="1"/>
  <c r="AU217" i="9"/>
  <c r="AN217" i="9"/>
  <c r="AP217" i="9" s="1"/>
  <c r="AM217" i="9"/>
  <c r="BG217" i="9" s="1"/>
  <c r="BJ217" i="9" s="1"/>
  <c r="AL217" i="9"/>
  <c r="BN217" i="9" s="1"/>
  <c r="BP217" i="9" s="1"/>
  <c r="U217" i="9"/>
  <c r="Q217" i="9"/>
  <c r="O217" i="9"/>
  <c r="M217" i="9"/>
  <c r="I217" i="9"/>
  <c r="R217" i="9" s="1"/>
  <c r="DG216" i="9"/>
  <c r="DB216" i="9"/>
  <c r="CA216" i="9"/>
  <c r="DH216" i="9" s="1"/>
  <c r="BZ216" i="9"/>
  <c r="CB216" i="9" s="1"/>
  <c r="DI216" i="9" s="1"/>
  <c r="BY216" i="9"/>
  <c r="DF216" i="9" s="1"/>
  <c r="BU216" i="9"/>
  <c r="BS216" i="9"/>
  <c r="BR216" i="9"/>
  <c r="BQ216" i="9"/>
  <c r="BM216" i="9"/>
  <c r="BL216" i="9"/>
  <c r="BI216" i="9"/>
  <c r="BC216" i="9"/>
  <c r="BB216" i="9"/>
  <c r="AU216" i="9" s="1"/>
  <c r="AV216" i="9"/>
  <c r="AS216" i="9"/>
  <c r="AQ216" i="9"/>
  <c r="AN216" i="9"/>
  <c r="AL216" i="9"/>
  <c r="BN216" i="9" s="1"/>
  <c r="Z216" i="9"/>
  <c r="AF216" i="9" s="1"/>
  <c r="R216" i="9"/>
  <c r="P216" i="9"/>
  <c r="M216" i="9"/>
  <c r="I216" i="9"/>
  <c r="F216" i="9"/>
  <c r="E216" i="9"/>
  <c r="D216" i="9"/>
  <c r="C216" i="9"/>
  <c r="DH215" i="9"/>
  <c r="DG215" i="9"/>
  <c r="DF215" i="9"/>
  <c r="DC215" i="9"/>
  <c r="DB215" i="9"/>
  <c r="CB215" i="9"/>
  <c r="DI215" i="9" s="1"/>
  <c r="BS215" i="9"/>
  <c r="BR215" i="9"/>
  <c r="BM215" i="9"/>
  <c r="BG215" i="9"/>
  <c r="BJ215" i="9" s="1"/>
  <c r="BC215" i="9"/>
  <c r="AV215" i="9" s="1"/>
  <c r="AU215" i="9"/>
  <c r="AN215" i="9"/>
  <c r="AM215" i="9"/>
  <c r="AL215" i="9"/>
  <c r="X215" i="9"/>
  <c r="V215" i="9"/>
  <c r="U215" i="9"/>
  <c r="R215" i="9"/>
  <c r="O215" i="9"/>
  <c r="M215" i="9"/>
  <c r="I215" i="9"/>
  <c r="Q215" i="9" s="1"/>
  <c r="DH214" i="9"/>
  <c r="DF214" i="9"/>
  <c r="DB214" i="9"/>
  <c r="BZ214" i="9"/>
  <c r="DG214" i="9" s="1"/>
  <c r="BY214" i="9"/>
  <c r="CB214" i="9" s="1"/>
  <c r="DI214" i="9" s="1"/>
  <c r="BS214" i="9"/>
  <c r="BR214" i="9"/>
  <c r="BM214" i="9"/>
  <c r="BI214" i="9"/>
  <c r="BG214" i="9"/>
  <c r="BC214" i="9"/>
  <c r="AV214" i="9" s="1"/>
  <c r="AU214" i="9"/>
  <c r="AN214" i="9"/>
  <c r="AM214" i="9"/>
  <c r="AL214" i="9"/>
  <c r="CC214" i="9" s="1"/>
  <c r="V214" i="9"/>
  <c r="U214" i="9"/>
  <c r="R214" i="9"/>
  <c r="P214" i="9"/>
  <c r="M214" i="9"/>
  <c r="I214" i="9"/>
  <c r="DI213" i="9"/>
  <c r="DH213" i="9"/>
  <c r="DG213" i="9"/>
  <c r="DF213" i="9"/>
  <c r="DC213" i="9"/>
  <c r="DB213" i="9"/>
  <c r="CP213" i="9"/>
  <c r="CB213" i="9"/>
  <c r="BS213" i="9"/>
  <c r="BR213" i="9"/>
  <c r="BM213" i="9"/>
  <c r="BG213" i="9"/>
  <c r="BJ213" i="9" s="1"/>
  <c r="BC213" i="9"/>
  <c r="AV213" i="9"/>
  <c r="AU213" i="9"/>
  <c r="AP213" i="9"/>
  <c r="AN213" i="9"/>
  <c r="AM213" i="9"/>
  <c r="AL213" i="9"/>
  <c r="Y213" i="9"/>
  <c r="V213" i="9"/>
  <c r="U213" i="9"/>
  <c r="X213" i="9" s="1"/>
  <c r="R213" i="9"/>
  <c r="O213" i="9"/>
  <c r="M213" i="9"/>
  <c r="I213" i="9"/>
  <c r="Q213" i="9" s="1"/>
  <c r="DH212" i="9"/>
  <c r="DB212" i="9"/>
  <c r="CC212" i="9"/>
  <c r="CA212" i="9"/>
  <c r="BZ212" i="9"/>
  <c r="DG212" i="9" s="1"/>
  <c r="BY212" i="9"/>
  <c r="CB212" i="9" s="1"/>
  <c r="DI212" i="9" s="1"/>
  <c r="BU212" i="9"/>
  <c r="BS212" i="9"/>
  <c r="BR212" i="9"/>
  <c r="BN212" i="9"/>
  <c r="BO212" i="9" s="1"/>
  <c r="BM212" i="9"/>
  <c r="BD212" i="9"/>
  <c r="BE212" i="9" s="1"/>
  <c r="BC212" i="9"/>
  <c r="BH212" i="9" s="1"/>
  <c r="BK212" i="9" s="1"/>
  <c r="AY212" i="9"/>
  <c r="AV212" i="9"/>
  <c r="AZ212" i="9" s="1"/>
  <c r="AU212" i="9"/>
  <c r="AN212" i="9"/>
  <c r="AM212" i="9"/>
  <c r="BG212" i="9" s="1"/>
  <c r="BJ212" i="9" s="1"/>
  <c r="AL212" i="9"/>
  <c r="AG212" i="9"/>
  <c r="Z212" i="9"/>
  <c r="AC212" i="9" s="1"/>
  <c r="X212" i="9"/>
  <c r="U212" i="9"/>
  <c r="P212" i="9"/>
  <c r="DC212" i="9" s="1"/>
  <c r="O212" i="9"/>
  <c r="M212" i="9"/>
  <c r="I212" i="9"/>
  <c r="Q212" i="9" s="1"/>
  <c r="DH211" i="9"/>
  <c r="DG211" i="9"/>
  <c r="DF211" i="9"/>
  <c r="DC211" i="9"/>
  <c r="CB211" i="9"/>
  <c r="DI211" i="9" s="1"/>
  <c r="BH211" i="9"/>
  <c r="BK211" i="9" s="1"/>
  <c r="BD211" i="9"/>
  <c r="BE211" i="9" s="1"/>
  <c r="AV211" i="9"/>
  <c r="AU211" i="9"/>
  <c r="AN211" i="9"/>
  <c r="AM211" i="9"/>
  <c r="BG211" i="9" s="1"/>
  <c r="BJ211" i="9" s="1"/>
  <c r="AL211" i="9"/>
  <c r="CC211" i="9" s="1"/>
  <c r="V211" i="9"/>
  <c r="U211" i="9"/>
  <c r="Q211" i="9"/>
  <c r="O211" i="9"/>
  <c r="M211" i="9"/>
  <c r="I211" i="9"/>
  <c r="DH210" i="9"/>
  <c r="DG210" i="9"/>
  <c r="DC210" i="9"/>
  <c r="DB210" i="9"/>
  <c r="CP210" i="9"/>
  <c r="BZ210" i="9"/>
  <c r="BY210" i="9"/>
  <c r="DF210" i="9" s="1"/>
  <c r="BU210" i="9"/>
  <c r="BS210" i="9"/>
  <c r="BR210" i="9"/>
  <c r="BM210" i="9"/>
  <c r="BI210" i="9"/>
  <c r="BG210" i="9"/>
  <c r="BC210" i="9"/>
  <c r="AV210" i="9"/>
  <c r="AU210" i="9"/>
  <c r="AP210" i="9"/>
  <c r="AN210" i="9"/>
  <c r="AM210" i="9"/>
  <c r="AL210" i="9"/>
  <c r="X210" i="9"/>
  <c r="V210" i="9"/>
  <c r="U210" i="9"/>
  <c r="W210" i="9" s="1"/>
  <c r="R210" i="9"/>
  <c r="O210" i="9"/>
  <c r="M210" i="9"/>
  <c r="I210" i="9"/>
  <c r="Q210" i="9" s="1"/>
  <c r="DH209" i="9"/>
  <c r="DG209" i="9"/>
  <c r="DF209" i="9"/>
  <c r="DC209" i="9"/>
  <c r="CB209" i="9"/>
  <c r="DI209" i="9" s="1"/>
  <c r="BS209" i="9"/>
  <c r="BR209" i="9"/>
  <c r="BM209" i="9"/>
  <c r="BC209" i="9"/>
  <c r="AV209" i="9"/>
  <c r="AU209" i="9"/>
  <c r="AN209" i="9"/>
  <c r="AM209" i="9"/>
  <c r="BG209" i="9" s="1"/>
  <c r="BJ209" i="9" s="1"/>
  <c r="AL209" i="9"/>
  <c r="V209" i="9"/>
  <c r="U209" i="9"/>
  <c r="Q209" i="9"/>
  <c r="O209" i="9"/>
  <c r="M209" i="9"/>
  <c r="I209" i="9"/>
  <c r="DH208" i="9"/>
  <c r="DG208" i="9"/>
  <c r="DF208" i="9"/>
  <c r="DC208" i="9"/>
  <c r="DB208" i="9"/>
  <c r="CB208" i="9"/>
  <c r="DI208" i="9" s="1"/>
  <c r="BS208" i="9"/>
  <c r="BR208" i="9"/>
  <c r="BM208" i="9"/>
  <c r="BG208" i="9"/>
  <c r="BJ208" i="9" s="1"/>
  <c r="BC208" i="9"/>
  <c r="AV208" i="9" s="1"/>
  <c r="AU208" i="9"/>
  <c r="AN208" i="9"/>
  <c r="AM208" i="9"/>
  <c r="AL208" i="9"/>
  <c r="X208" i="9"/>
  <c r="V208" i="9"/>
  <c r="U208" i="9"/>
  <c r="R208" i="9"/>
  <c r="O208" i="9"/>
  <c r="M208" i="9"/>
  <c r="I208" i="9"/>
  <c r="Q208" i="9" s="1"/>
  <c r="DH207" i="9"/>
  <c r="DG207" i="9"/>
  <c r="DF207" i="9"/>
  <c r="DC207" i="9"/>
  <c r="DB207" i="9"/>
  <c r="CC207" i="9"/>
  <c r="CB207" i="9"/>
  <c r="DI207" i="9" s="1"/>
  <c r="BS207" i="9"/>
  <c r="BR207" i="9"/>
  <c r="BN207" i="9"/>
  <c r="BO207" i="9" s="1"/>
  <c r="BM207" i="9"/>
  <c r="BP207" i="9" s="1"/>
  <c r="BD207" i="9"/>
  <c r="BE207" i="9" s="1"/>
  <c r="BC207" i="9"/>
  <c r="BH207" i="9" s="1"/>
  <c r="BK207" i="9" s="1"/>
  <c r="AU207" i="9"/>
  <c r="AN207" i="9"/>
  <c r="AP207" i="9" s="1"/>
  <c r="AM207" i="9"/>
  <c r="BG207" i="9" s="1"/>
  <c r="BJ207" i="9" s="1"/>
  <c r="AL207" i="9"/>
  <c r="U207" i="9"/>
  <c r="Q207" i="9"/>
  <c r="O207" i="9"/>
  <c r="M207" i="9"/>
  <c r="I207" i="9"/>
  <c r="R207" i="9" s="1"/>
  <c r="DI206" i="9"/>
  <c r="DH206" i="9"/>
  <c r="DG206" i="9"/>
  <c r="DF206" i="9"/>
  <c r="DC206" i="9"/>
  <c r="CC206" i="9"/>
  <c r="CB206" i="9"/>
  <c r="BS206" i="9"/>
  <c r="BR206" i="9"/>
  <c r="BN206" i="9"/>
  <c r="BO206" i="9" s="1"/>
  <c r="BM206" i="9"/>
  <c r="BD206" i="9"/>
  <c r="BE206" i="9" s="1"/>
  <c r="BC206" i="9"/>
  <c r="BF206" i="9" s="1"/>
  <c r="AY206" i="9"/>
  <c r="AU206" i="9"/>
  <c r="AN206" i="9"/>
  <c r="AM206" i="9"/>
  <c r="BG206" i="9" s="1"/>
  <c r="BJ206" i="9" s="1"/>
  <c r="AL206" i="9"/>
  <c r="AG206" i="9"/>
  <c r="X206" i="9"/>
  <c r="U206" i="9"/>
  <c r="Q206" i="9"/>
  <c r="O206" i="9"/>
  <c r="M206" i="9"/>
  <c r="I206" i="9"/>
  <c r="R206" i="9" s="1"/>
  <c r="DH205" i="9"/>
  <c r="DG205" i="9"/>
  <c r="DC205" i="9"/>
  <c r="BY205" i="9"/>
  <c r="BS205" i="9"/>
  <c r="BR205" i="9"/>
  <c r="BM205" i="9"/>
  <c r="BC205" i="9"/>
  <c r="AV205" i="9" s="1"/>
  <c r="Z205" i="9" s="1"/>
  <c r="AU205" i="9"/>
  <c r="AN205" i="9"/>
  <c r="AM205" i="9"/>
  <c r="BG205" i="9" s="1"/>
  <c r="BJ205" i="9" s="1"/>
  <c r="AL205" i="9"/>
  <c r="BN205" i="9" s="1"/>
  <c r="U205" i="9"/>
  <c r="O205" i="9"/>
  <c r="M205" i="9"/>
  <c r="I205" i="9"/>
  <c r="Q205" i="9" s="1"/>
  <c r="DH204" i="9"/>
  <c r="DG204" i="9"/>
  <c r="DF204" i="9"/>
  <c r="DC204" i="9"/>
  <c r="DB204" i="9"/>
  <c r="CA204" i="9"/>
  <c r="BY204" i="9"/>
  <c r="CB204" i="9" s="1"/>
  <c r="DI204" i="9" s="1"/>
  <c r="BS204" i="9"/>
  <c r="BR204" i="9"/>
  <c r="BM204" i="9"/>
  <c r="BI204" i="9"/>
  <c r="BG204" i="9"/>
  <c r="BC204" i="9"/>
  <c r="AU204" i="9"/>
  <c r="AN204" i="9"/>
  <c r="AM204" i="9"/>
  <c r="AL204" i="9"/>
  <c r="CC204" i="9" s="1"/>
  <c r="Y204" i="9"/>
  <c r="V204" i="9"/>
  <c r="U204" i="9"/>
  <c r="O204" i="9"/>
  <c r="M204" i="9"/>
  <c r="I204" i="9"/>
  <c r="Q204" i="9" s="1"/>
  <c r="DH203" i="9"/>
  <c r="DG203" i="9"/>
  <c r="DF203" i="9"/>
  <c r="DC203" i="9"/>
  <c r="DB203" i="9"/>
  <c r="CC203" i="9"/>
  <c r="CB203" i="9"/>
  <c r="DI203" i="9" s="1"/>
  <c r="BS203" i="9"/>
  <c r="BR203" i="9"/>
  <c r="BN203" i="9"/>
  <c r="BO203" i="9" s="1"/>
  <c r="BM203" i="9"/>
  <c r="BD203" i="9"/>
  <c r="BE203" i="9" s="1"/>
  <c r="BC203" i="9"/>
  <c r="BF203" i="9" s="1"/>
  <c r="AY203" i="9"/>
  <c r="AV203" i="9"/>
  <c r="AZ203" i="9" s="1"/>
  <c r="AU203" i="9"/>
  <c r="AN203" i="9"/>
  <c r="AM203" i="9"/>
  <c r="BG203" i="9" s="1"/>
  <c r="BJ203" i="9" s="1"/>
  <c r="AL203" i="9"/>
  <c r="AG203" i="9"/>
  <c r="Z203" i="9"/>
  <c r="AF203" i="9" s="1"/>
  <c r="W203" i="9"/>
  <c r="U203" i="9"/>
  <c r="Q203" i="9"/>
  <c r="O203" i="9"/>
  <c r="M203" i="9"/>
  <c r="I203" i="9"/>
  <c r="R203" i="9" s="1"/>
  <c r="DH202" i="9"/>
  <c r="DG202" i="9"/>
  <c r="DF202" i="9"/>
  <c r="DC202" i="9"/>
  <c r="DB202" i="9"/>
  <c r="CB202" i="9"/>
  <c r="DI202" i="9" s="1"/>
  <c r="BS202" i="9"/>
  <c r="BR202" i="9"/>
  <c r="BM202" i="9"/>
  <c r="BC202" i="9"/>
  <c r="AV202" i="9" s="1"/>
  <c r="Z202" i="9" s="1"/>
  <c r="AU202" i="9"/>
  <c r="AN202" i="9"/>
  <c r="AM202" i="9"/>
  <c r="BG202" i="9" s="1"/>
  <c r="BJ202" i="9" s="1"/>
  <c r="AL202" i="9"/>
  <c r="U202" i="9"/>
  <c r="Q202" i="9"/>
  <c r="O202" i="9"/>
  <c r="M202" i="9"/>
  <c r="I202" i="9"/>
  <c r="R202" i="9" s="1"/>
  <c r="DG201" i="9"/>
  <c r="DB201" i="9"/>
  <c r="CA201" i="9"/>
  <c r="DH201" i="9" s="1"/>
  <c r="BZ201" i="9"/>
  <c r="CB201" i="9" s="1"/>
  <c r="DI201" i="9" s="1"/>
  <c r="BY201" i="9"/>
  <c r="DF201" i="9" s="1"/>
  <c r="BU201" i="9"/>
  <c r="BS201" i="9"/>
  <c r="BR201" i="9"/>
  <c r="BM201" i="9"/>
  <c r="BG201" i="9"/>
  <c r="BJ201" i="9" s="1"/>
  <c r="BC201" i="9"/>
  <c r="AV201" i="9"/>
  <c r="AU201" i="9"/>
  <c r="AP201" i="9"/>
  <c r="AN201" i="9"/>
  <c r="AM201" i="9"/>
  <c r="AL201" i="9"/>
  <c r="V201" i="9"/>
  <c r="U201" i="9"/>
  <c r="R201" i="9"/>
  <c r="P201" i="9"/>
  <c r="M201" i="9"/>
  <c r="I201" i="9"/>
  <c r="C201" i="9"/>
  <c r="C170" i="9" s="1"/>
  <c r="DB200" i="9"/>
  <c r="CA200" i="9"/>
  <c r="DH200" i="9" s="1"/>
  <c r="BZ200" i="9"/>
  <c r="DG200" i="9" s="1"/>
  <c r="BY200" i="9"/>
  <c r="CB200" i="9" s="1"/>
  <c r="DI200" i="9" s="1"/>
  <c r="BS200" i="9"/>
  <c r="BR200" i="9"/>
  <c r="BM200" i="9"/>
  <c r="BG200" i="9"/>
  <c r="BJ200" i="9" s="1"/>
  <c r="BC200" i="9"/>
  <c r="AV200" i="9" s="1"/>
  <c r="AU200" i="9"/>
  <c r="AN200" i="9"/>
  <c r="AM200" i="9"/>
  <c r="AL200" i="9"/>
  <c r="BN200" i="9" s="1"/>
  <c r="BP200" i="9" s="1"/>
  <c r="V200" i="9"/>
  <c r="U200" i="9"/>
  <c r="P200" i="9"/>
  <c r="M200" i="9"/>
  <c r="I200" i="9"/>
  <c r="DH199" i="9"/>
  <c r="DG199" i="9"/>
  <c r="DC199" i="9"/>
  <c r="BY199" i="9"/>
  <c r="BS199" i="9"/>
  <c r="BR199" i="9"/>
  <c r="BO199" i="9"/>
  <c r="BM199" i="9"/>
  <c r="BI199" i="9"/>
  <c r="BD199" i="9"/>
  <c r="BE199" i="9" s="1"/>
  <c r="BC199" i="9"/>
  <c r="BH199" i="9" s="1"/>
  <c r="AU199" i="9"/>
  <c r="AN199" i="9"/>
  <c r="AM199" i="9"/>
  <c r="BG199" i="9" s="1"/>
  <c r="BJ199" i="9" s="1"/>
  <c r="AL199" i="9"/>
  <c r="BN199" i="9" s="1"/>
  <c r="BP199" i="9" s="1"/>
  <c r="X199" i="9"/>
  <c r="U199" i="9"/>
  <c r="P199" i="9"/>
  <c r="O199" i="9"/>
  <c r="M199" i="9"/>
  <c r="I199" i="9"/>
  <c r="Q199" i="9" s="1"/>
  <c r="DH198" i="9"/>
  <c r="DG198" i="9"/>
  <c r="DB198" i="9"/>
  <c r="CC198" i="9"/>
  <c r="BY198" i="9"/>
  <c r="CB198" i="9" s="1"/>
  <c r="DI198" i="9" s="1"/>
  <c r="BS198" i="9"/>
  <c r="BR198" i="9"/>
  <c r="BO198" i="9"/>
  <c r="BM198" i="9"/>
  <c r="BI198" i="9"/>
  <c r="BD198" i="9"/>
  <c r="BE198" i="9" s="1"/>
  <c r="BC198" i="9"/>
  <c r="BH198" i="9" s="1"/>
  <c r="AU198" i="9"/>
  <c r="AN198" i="9"/>
  <c r="AM198" i="9"/>
  <c r="BG198" i="9" s="1"/>
  <c r="BJ198" i="9" s="1"/>
  <c r="AL198" i="9"/>
  <c r="BN198" i="9" s="1"/>
  <c r="BP198" i="9" s="1"/>
  <c r="U198" i="9"/>
  <c r="P198" i="9"/>
  <c r="DC198" i="9" s="1"/>
  <c r="O198" i="9"/>
  <c r="M198" i="9"/>
  <c r="I198" i="9"/>
  <c r="Q198" i="9" s="1"/>
  <c r="DH197" i="9"/>
  <c r="DG197" i="9"/>
  <c r="DF197" i="9"/>
  <c r="DC197" i="9"/>
  <c r="DB197" i="9"/>
  <c r="CC197" i="9"/>
  <c r="BY197" i="9"/>
  <c r="CB197" i="9" s="1"/>
  <c r="DI197" i="9" s="1"/>
  <c r="BS197" i="9"/>
  <c r="BR197" i="9"/>
  <c r="BO197" i="9"/>
  <c r="BM197" i="9"/>
  <c r="BI197" i="9"/>
  <c r="BD197" i="9"/>
  <c r="BE197" i="9" s="1"/>
  <c r="BC197" i="9"/>
  <c r="BH197" i="9" s="1"/>
  <c r="AU197" i="9"/>
  <c r="AN197" i="9"/>
  <c r="AM197" i="9"/>
  <c r="BG197" i="9" s="1"/>
  <c r="BJ197" i="9" s="1"/>
  <c r="AL197" i="9"/>
  <c r="BN197" i="9" s="1"/>
  <c r="BP197" i="9" s="1"/>
  <c r="U197" i="9"/>
  <c r="Q197" i="9"/>
  <c r="O197" i="9"/>
  <c r="M197" i="9"/>
  <c r="I197" i="9"/>
  <c r="R197" i="9" s="1"/>
  <c r="DG196" i="9"/>
  <c r="DC196" i="9"/>
  <c r="DB196" i="9"/>
  <c r="CA196" i="9"/>
  <c r="DH196" i="9" s="1"/>
  <c r="BZ196" i="9"/>
  <c r="CB196" i="9" s="1"/>
  <c r="DI196" i="9" s="1"/>
  <c r="BY196" i="9"/>
  <c r="DF196" i="9" s="1"/>
  <c r="BU196" i="9"/>
  <c r="AL196" i="9" s="1"/>
  <c r="BS196" i="9"/>
  <c r="BR196" i="9"/>
  <c r="BM196" i="9"/>
  <c r="BI196" i="9"/>
  <c r="BD196" i="9"/>
  <c r="BE196" i="9" s="1"/>
  <c r="BC196" i="9"/>
  <c r="BH196" i="9" s="1"/>
  <c r="AU196" i="9"/>
  <c r="AN196" i="9"/>
  <c r="AM196" i="9"/>
  <c r="BG196" i="9" s="1"/>
  <c r="BJ196" i="9" s="1"/>
  <c r="W196" i="9"/>
  <c r="U196" i="9"/>
  <c r="P196" i="9"/>
  <c r="O196" i="9"/>
  <c r="M196" i="9"/>
  <c r="I196" i="9"/>
  <c r="Q196" i="9" s="1"/>
  <c r="DH195" i="9"/>
  <c r="DG195" i="9"/>
  <c r="DF195" i="9"/>
  <c r="DC195" i="9"/>
  <c r="CB195" i="9"/>
  <c r="DI195" i="9" s="1"/>
  <c r="BS195" i="9"/>
  <c r="BR195" i="9"/>
  <c r="BM195" i="9"/>
  <c r="BJ195" i="9"/>
  <c r="BG195" i="9"/>
  <c r="BC195" i="9"/>
  <c r="AV195" i="9"/>
  <c r="AU195" i="9"/>
  <c r="AP195" i="9"/>
  <c r="AN195" i="9"/>
  <c r="AM195" i="9"/>
  <c r="AL195" i="9"/>
  <c r="X195" i="9"/>
  <c r="V195" i="9"/>
  <c r="U195" i="9"/>
  <c r="O195" i="9"/>
  <c r="M195" i="9"/>
  <c r="I195" i="9"/>
  <c r="Q195" i="9" s="1"/>
  <c r="DH194" i="9"/>
  <c r="DG194" i="9"/>
  <c r="DB194" i="9"/>
  <c r="CC194" i="9"/>
  <c r="BY194" i="9"/>
  <c r="CB194" i="9" s="1"/>
  <c r="DI194" i="9" s="1"/>
  <c r="BS194" i="9"/>
  <c r="BR194" i="9"/>
  <c r="BO194" i="9"/>
  <c r="BM194" i="9"/>
  <c r="BI194" i="9"/>
  <c r="BD194" i="9"/>
  <c r="BE194" i="9" s="1"/>
  <c r="BC194" i="9"/>
  <c r="BH194" i="9" s="1"/>
  <c r="AU194" i="9"/>
  <c r="AN194" i="9"/>
  <c r="AM194" i="9"/>
  <c r="BG194" i="9" s="1"/>
  <c r="BJ194" i="9" s="1"/>
  <c r="AL194" i="9"/>
  <c r="BN194" i="9" s="1"/>
  <c r="BP194" i="9" s="1"/>
  <c r="U194" i="9"/>
  <c r="P194" i="9"/>
  <c r="DC194" i="9" s="1"/>
  <c r="O194" i="9"/>
  <c r="M194" i="9"/>
  <c r="I194" i="9"/>
  <c r="Q194" i="9" s="1"/>
  <c r="DC193" i="9"/>
  <c r="DB193" i="9"/>
  <c r="CA193" i="9"/>
  <c r="CA170" i="9" s="1"/>
  <c r="DH170" i="9" s="1"/>
  <c r="BZ193" i="9"/>
  <c r="DG193" i="9" s="1"/>
  <c r="BY193" i="9"/>
  <c r="CB193" i="9" s="1"/>
  <c r="DI193" i="9" s="1"/>
  <c r="BU193" i="9"/>
  <c r="BS193" i="9"/>
  <c r="BR193" i="9"/>
  <c r="BN193" i="9"/>
  <c r="BO193" i="9" s="1"/>
  <c r="BM193" i="9"/>
  <c r="BP193" i="9" s="1"/>
  <c r="BD193" i="9"/>
  <c r="BE193" i="9" s="1"/>
  <c r="BC193" i="9"/>
  <c r="AV193" i="9" s="1"/>
  <c r="Z193" i="9" s="1"/>
  <c r="AU193" i="9"/>
  <c r="AN193" i="9"/>
  <c r="AP193" i="9" s="1"/>
  <c r="AM193" i="9"/>
  <c r="BG193" i="9" s="1"/>
  <c r="BJ193" i="9" s="1"/>
  <c r="AL193" i="9"/>
  <c r="U193" i="9"/>
  <c r="Q193" i="9"/>
  <c r="O193" i="9"/>
  <c r="M193" i="9"/>
  <c r="I193" i="9"/>
  <c r="R193" i="9" s="1"/>
  <c r="DI192" i="9"/>
  <c r="DH192" i="9"/>
  <c r="DG192" i="9"/>
  <c r="DF192" i="9"/>
  <c r="DC192" i="9"/>
  <c r="CB192" i="9"/>
  <c r="BS192" i="9"/>
  <c r="BR192" i="9"/>
  <c r="BN192" i="9"/>
  <c r="BO192" i="9" s="1"/>
  <c r="BM192" i="9"/>
  <c r="BC192" i="9"/>
  <c r="AV192" i="9" s="1"/>
  <c r="Z192" i="9" s="1"/>
  <c r="AC192" i="9" s="1"/>
  <c r="AU192" i="9"/>
  <c r="AN192" i="9"/>
  <c r="AM192" i="9"/>
  <c r="BG192" i="9" s="1"/>
  <c r="BJ192" i="9" s="1"/>
  <c r="AL192" i="9"/>
  <c r="CC192" i="9" s="1"/>
  <c r="X192" i="9"/>
  <c r="U192" i="9"/>
  <c r="Q192" i="9"/>
  <c r="O192" i="9"/>
  <c r="M192" i="9"/>
  <c r="I192" i="9"/>
  <c r="R192" i="9" s="1"/>
  <c r="DH191" i="9"/>
  <c r="DG191" i="9"/>
  <c r="DF191" i="9"/>
  <c r="DC191" i="9"/>
  <c r="DB191" i="9"/>
  <c r="CB191" i="9"/>
  <c r="DI191" i="9" s="1"/>
  <c r="BS191" i="9"/>
  <c r="BR191" i="9"/>
  <c r="BM191" i="9"/>
  <c r="BG191" i="9"/>
  <c r="BJ191" i="9" s="1"/>
  <c r="BC191" i="9"/>
  <c r="AV191" i="9" s="1"/>
  <c r="AU191" i="9"/>
  <c r="AN191" i="9"/>
  <c r="AM191" i="9"/>
  <c r="AL191" i="9"/>
  <c r="X191" i="9"/>
  <c r="V191" i="9"/>
  <c r="U191" i="9"/>
  <c r="R191" i="9"/>
  <c r="O191" i="9"/>
  <c r="M191" i="9"/>
  <c r="I191" i="9"/>
  <c r="Q191" i="9" s="1"/>
  <c r="DH190" i="9"/>
  <c r="DG190" i="9"/>
  <c r="DF190" i="9"/>
  <c r="DC190" i="9"/>
  <c r="DB190" i="9"/>
  <c r="CC190" i="9"/>
  <c r="CB190" i="9"/>
  <c r="DI190" i="9" s="1"/>
  <c r="BS190" i="9"/>
  <c r="BR190" i="9"/>
  <c r="BN190" i="9"/>
  <c r="BO190" i="9" s="1"/>
  <c r="BM190" i="9"/>
  <c r="BP190" i="9" s="1"/>
  <c r="BD190" i="9"/>
  <c r="BE190" i="9" s="1"/>
  <c r="BC190" i="9"/>
  <c r="AV190" i="9" s="1"/>
  <c r="Z190" i="9" s="1"/>
  <c r="AU190" i="9"/>
  <c r="AN190" i="9"/>
  <c r="AP190" i="9" s="1"/>
  <c r="AM190" i="9"/>
  <c r="BG190" i="9" s="1"/>
  <c r="BJ190" i="9" s="1"/>
  <c r="AL190" i="9"/>
  <c r="U190" i="9"/>
  <c r="Q190" i="9"/>
  <c r="O190" i="9"/>
  <c r="M190" i="9"/>
  <c r="I190" i="9"/>
  <c r="R190" i="9" s="1"/>
  <c r="DH189" i="9"/>
  <c r="DG189" i="9"/>
  <c r="DB189" i="9"/>
  <c r="CB189" i="9"/>
  <c r="DI189" i="9" s="1"/>
  <c r="BY189" i="9"/>
  <c r="DF189" i="9" s="1"/>
  <c r="BS189" i="9"/>
  <c r="BR189" i="9"/>
  <c r="BM189" i="9"/>
  <c r="BI189" i="9"/>
  <c r="BG189" i="9"/>
  <c r="BC189" i="9"/>
  <c r="AV189" i="9" s="1"/>
  <c r="AU189" i="9"/>
  <c r="AP189" i="9"/>
  <c r="AN189" i="9"/>
  <c r="AM189" i="9"/>
  <c r="AL189" i="9"/>
  <c r="V189" i="9"/>
  <c r="U189" i="9"/>
  <c r="P189" i="9"/>
  <c r="M189" i="9"/>
  <c r="I189" i="9"/>
  <c r="DH188" i="9"/>
  <c r="DG188" i="9"/>
  <c r="DC188" i="9"/>
  <c r="BY188" i="9"/>
  <c r="BS188" i="9"/>
  <c r="BR188" i="9"/>
  <c r="BO188" i="9"/>
  <c r="BM188" i="9"/>
  <c r="BI188" i="9"/>
  <c r="BD188" i="9"/>
  <c r="BE188" i="9" s="1"/>
  <c r="BC188" i="9"/>
  <c r="BH188" i="9" s="1"/>
  <c r="AU188" i="9"/>
  <c r="AN188" i="9"/>
  <c r="AM188" i="9"/>
  <c r="BG188" i="9" s="1"/>
  <c r="BJ188" i="9" s="1"/>
  <c r="AL188" i="9"/>
  <c r="BN188" i="9" s="1"/>
  <c r="BP188" i="9" s="1"/>
  <c r="U188" i="9"/>
  <c r="P188" i="9"/>
  <c r="R188" i="9" s="1"/>
  <c r="O188" i="9"/>
  <c r="M188" i="9"/>
  <c r="I188" i="9"/>
  <c r="Q188" i="9" s="1"/>
  <c r="DH187" i="9"/>
  <c r="DG187" i="9"/>
  <c r="DF187" i="9"/>
  <c r="DB187" i="9"/>
  <c r="CC187" i="9"/>
  <c r="CB187" i="9"/>
  <c r="DI187" i="9" s="1"/>
  <c r="BS187" i="9"/>
  <c r="BR187" i="9"/>
  <c r="BN187" i="9"/>
  <c r="BO187" i="9" s="1"/>
  <c r="BM187" i="9"/>
  <c r="BD187" i="9"/>
  <c r="BE187" i="9" s="1"/>
  <c r="BC187" i="9"/>
  <c r="BH187" i="9" s="1"/>
  <c r="BK187" i="9" s="1"/>
  <c r="AY187" i="9"/>
  <c r="AV187" i="9"/>
  <c r="AZ187" i="9" s="1"/>
  <c r="AU187" i="9"/>
  <c r="AN187" i="9"/>
  <c r="AM187" i="9"/>
  <c r="BG187" i="9" s="1"/>
  <c r="BJ187" i="9" s="1"/>
  <c r="AL187" i="9"/>
  <c r="AG187" i="9"/>
  <c r="Z187" i="9"/>
  <c r="AF187" i="9" s="1"/>
  <c r="W187" i="9"/>
  <c r="U187" i="9"/>
  <c r="P187" i="9"/>
  <c r="DC187" i="9" s="1"/>
  <c r="O187" i="9"/>
  <c r="M187" i="9"/>
  <c r="I187" i="9"/>
  <c r="Q187" i="9" s="1"/>
  <c r="DH186" i="9"/>
  <c r="DG186" i="9"/>
  <c r="DF186" i="9"/>
  <c r="DC186" i="9"/>
  <c r="CB186" i="9"/>
  <c r="DI186" i="9" s="1"/>
  <c r="BY186" i="9"/>
  <c r="BS186" i="9"/>
  <c r="BR186" i="9"/>
  <c r="BM186" i="9"/>
  <c r="BI186" i="9"/>
  <c r="BG186" i="9"/>
  <c r="BC186" i="9"/>
  <c r="AV186" i="9" s="1"/>
  <c r="AU186" i="9"/>
  <c r="AN186" i="9"/>
  <c r="AM186" i="9"/>
  <c r="AL186" i="9"/>
  <c r="CC186" i="9" s="1"/>
  <c r="X186" i="9"/>
  <c r="V186" i="9"/>
  <c r="U186" i="9"/>
  <c r="R186" i="9"/>
  <c r="O186" i="9"/>
  <c r="M186" i="9"/>
  <c r="I186" i="9"/>
  <c r="Q186" i="9" s="1"/>
  <c r="DH185" i="9"/>
  <c r="DG185" i="9"/>
  <c r="DF185" i="9"/>
  <c r="DC185" i="9"/>
  <c r="DB185" i="9"/>
  <c r="CC185" i="9"/>
  <c r="CB185" i="9"/>
  <c r="DI185" i="9" s="1"/>
  <c r="BS185" i="9"/>
  <c r="BR185" i="9"/>
  <c r="BN185" i="9"/>
  <c r="BO185" i="9" s="1"/>
  <c r="BM185" i="9"/>
  <c r="BP185" i="9" s="1"/>
  <c r="BD185" i="9"/>
  <c r="BE185" i="9" s="1"/>
  <c r="BC185" i="9"/>
  <c r="BH185" i="9" s="1"/>
  <c r="BK185" i="9" s="1"/>
  <c r="AU185" i="9"/>
  <c r="AN185" i="9"/>
  <c r="AP185" i="9" s="1"/>
  <c r="AM185" i="9"/>
  <c r="BG185" i="9" s="1"/>
  <c r="BJ185" i="9" s="1"/>
  <c r="AL185" i="9"/>
  <c r="U185" i="9"/>
  <c r="Q185" i="9"/>
  <c r="O185" i="9"/>
  <c r="M185" i="9"/>
  <c r="I185" i="9"/>
  <c r="R185" i="9" s="1"/>
  <c r="DH184" i="9"/>
  <c r="DG184" i="9"/>
  <c r="DF184" i="9"/>
  <c r="DC184" i="9"/>
  <c r="DB184" i="9"/>
  <c r="CB184" i="9"/>
  <c r="DI184" i="9" s="1"/>
  <c r="BS184" i="9"/>
  <c r="BR184" i="9"/>
  <c r="BM184" i="9"/>
  <c r="BJ184" i="9"/>
  <c r="BG184" i="9"/>
  <c r="BC184" i="9"/>
  <c r="AV184" i="9"/>
  <c r="AU184" i="9"/>
  <c r="AP184" i="9"/>
  <c r="AN184" i="9"/>
  <c r="AM184" i="9"/>
  <c r="AL184" i="9"/>
  <c r="X184" i="9"/>
  <c r="V184" i="9"/>
  <c r="U184" i="9"/>
  <c r="O184" i="9"/>
  <c r="M184" i="9"/>
  <c r="I184" i="9"/>
  <c r="Q184" i="9" s="1"/>
  <c r="F184" i="9"/>
  <c r="E184" i="9"/>
  <c r="E170" i="9" s="1"/>
  <c r="C184" i="9"/>
  <c r="DC183" i="9"/>
  <c r="DB183" i="9"/>
  <c r="CA183" i="9"/>
  <c r="DH183" i="9" s="1"/>
  <c r="BZ183" i="9"/>
  <c r="DG183" i="9" s="1"/>
  <c r="BY183" i="9"/>
  <c r="DF183" i="9" s="1"/>
  <c r="BU183" i="9"/>
  <c r="AL183" i="9" s="1"/>
  <c r="BS183" i="9"/>
  <c r="BR183" i="9"/>
  <c r="BQ183" i="9"/>
  <c r="BM183" i="9"/>
  <c r="BL183" i="9"/>
  <c r="U183" i="9" s="1"/>
  <c r="BJ183" i="9"/>
  <c r="BG183" i="9"/>
  <c r="BC183" i="9"/>
  <c r="AV183" i="9" s="1"/>
  <c r="Z183" i="9" s="1"/>
  <c r="BB183" i="9"/>
  <c r="AU183" i="9"/>
  <c r="AW183" i="9" s="1"/>
  <c r="AS183" i="9"/>
  <c r="AP183" i="9"/>
  <c r="AN183" i="9"/>
  <c r="AM183" i="9"/>
  <c r="X183" i="9"/>
  <c r="V183" i="9"/>
  <c r="R183" i="9"/>
  <c r="P183" i="9"/>
  <c r="M183" i="9"/>
  <c r="I183" i="9"/>
  <c r="DH182" i="9"/>
  <c r="DG182" i="9"/>
  <c r="DF182" i="9"/>
  <c r="DC182" i="9"/>
  <c r="DB182" i="9"/>
  <c r="CB182" i="9"/>
  <c r="DI182" i="9" s="1"/>
  <c r="BS182" i="9"/>
  <c r="BR182" i="9"/>
  <c r="BM182" i="9"/>
  <c r="BG182" i="9"/>
  <c r="BJ182" i="9" s="1"/>
  <c r="BC182" i="9"/>
  <c r="AV182" i="9" s="1"/>
  <c r="AU182" i="9"/>
  <c r="AN182" i="9"/>
  <c r="AM182" i="9"/>
  <c r="AL182" i="9"/>
  <c r="Y182" i="9"/>
  <c r="V182" i="9"/>
  <c r="U182" i="9"/>
  <c r="O182" i="9"/>
  <c r="M182" i="9"/>
  <c r="I182" i="9"/>
  <c r="Q182" i="9" s="1"/>
  <c r="DH181" i="9"/>
  <c r="DG181" i="9"/>
  <c r="DF181" i="9"/>
  <c r="DC181" i="9"/>
  <c r="CB181" i="9"/>
  <c r="DI181" i="9" s="1"/>
  <c r="BS181" i="9"/>
  <c r="BR181" i="9"/>
  <c r="BM181" i="9"/>
  <c r="BC181" i="9"/>
  <c r="AV181" i="9"/>
  <c r="AU181" i="9"/>
  <c r="AN181" i="9"/>
  <c r="BH181" i="9" s="1"/>
  <c r="BK181" i="9" s="1"/>
  <c r="AM181" i="9"/>
  <c r="BG181" i="9" s="1"/>
  <c r="BJ181" i="9" s="1"/>
  <c r="AL181" i="9"/>
  <c r="CC181" i="9" s="1"/>
  <c r="Y181" i="9"/>
  <c r="V181" i="9"/>
  <c r="U181" i="9"/>
  <c r="R181" i="9"/>
  <c r="O181" i="9"/>
  <c r="M181" i="9"/>
  <c r="I181" i="9"/>
  <c r="Q181" i="9" s="1"/>
  <c r="DH180" i="9"/>
  <c r="DG180" i="9"/>
  <c r="DF180" i="9"/>
  <c r="DC180" i="9"/>
  <c r="DB180" i="9"/>
  <c r="CC180" i="9"/>
  <c r="CB180" i="9"/>
  <c r="DI180" i="9" s="1"/>
  <c r="BS180" i="9"/>
  <c r="BR180" i="9"/>
  <c r="BM180" i="9"/>
  <c r="BD180" i="9"/>
  <c r="BC180" i="9"/>
  <c r="BH180" i="9" s="1"/>
  <c r="BK180" i="9" s="1"/>
  <c r="AU180" i="9"/>
  <c r="AP180" i="9"/>
  <c r="AN180" i="9"/>
  <c r="AM180" i="9"/>
  <c r="BG180" i="9" s="1"/>
  <c r="BJ180" i="9" s="1"/>
  <c r="AL180" i="9"/>
  <c r="BN180" i="9" s="1"/>
  <c r="X180" i="9"/>
  <c r="V180" i="9"/>
  <c r="U180" i="9"/>
  <c r="O180" i="9"/>
  <c r="M180" i="9"/>
  <c r="I180" i="9"/>
  <c r="Q180" i="9" s="1"/>
  <c r="DH179" i="9"/>
  <c r="DG179" i="9"/>
  <c r="DF179" i="9"/>
  <c r="DC179" i="9"/>
  <c r="DB179" i="9"/>
  <c r="CC179" i="9"/>
  <c r="CB179" i="9"/>
  <c r="DI179" i="9" s="1"/>
  <c r="BS179" i="9"/>
  <c r="BR179" i="9"/>
  <c r="BN179" i="9"/>
  <c r="BO179" i="9" s="1"/>
  <c r="BM179" i="9"/>
  <c r="BD179" i="9"/>
  <c r="BE179" i="9" s="1"/>
  <c r="BC179" i="9"/>
  <c r="BF179" i="9" s="1"/>
  <c r="AY179" i="9"/>
  <c r="AV179" i="9"/>
  <c r="AZ179" i="9" s="1"/>
  <c r="AU179" i="9"/>
  <c r="AN179" i="9"/>
  <c r="AM179" i="9"/>
  <c r="BG179" i="9" s="1"/>
  <c r="BJ179" i="9" s="1"/>
  <c r="AL179" i="9"/>
  <c r="AG179" i="9"/>
  <c r="Z179" i="9"/>
  <c r="AC179" i="9" s="1"/>
  <c r="X179" i="9"/>
  <c r="U179" i="9"/>
  <c r="Q179" i="9"/>
  <c r="O179" i="9"/>
  <c r="M179" i="9"/>
  <c r="I179" i="9"/>
  <c r="R179" i="9" s="1"/>
  <c r="DH178" i="9"/>
  <c r="DG178" i="9"/>
  <c r="DF178" i="9"/>
  <c r="DC178" i="9"/>
  <c r="DB178" i="9"/>
  <c r="CB178" i="9"/>
  <c r="DI178" i="9" s="1"/>
  <c r="BS178" i="9"/>
  <c r="BR178" i="9"/>
  <c r="BM178" i="9"/>
  <c r="BG178" i="9"/>
  <c r="BJ178" i="9" s="1"/>
  <c r="BC178" i="9"/>
  <c r="AV178" i="9" s="1"/>
  <c r="AU178" i="9"/>
  <c r="AN178" i="9"/>
  <c r="AM178" i="9"/>
  <c r="AL178" i="9"/>
  <c r="V178" i="9"/>
  <c r="U178" i="9"/>
  <c r="R178" i="9"/>
  <c r="P178" i="9"/>
  <c r="M178" i="9"/>
  <c r="I178" i="9"/>
  <c r="DH177" i="9"/>
  <c r="DG177" i="9"/>
  <c r="DF177" i="9"/>
  <c r="DC177" i="9"/>
  <c r="DB177" i="9"/>
  <c r="CB177" i="9"/>
  <c r="DI177" i="9" s="1"/>
  <c r="BS177" i="9"/>
  <c r="BR177" i="9"/>
  <c r="BQ177" i="9"/>
  <c r="BQ402" i="9" s="1"/>
  <c r="BN177" i="9"/>
  <c r="BM177" i="9"/>
  <c r="BP177" i="9" s="1"/>
  <c r="BL177" i="9"/>
  <c r="BL402" i="9" s="1"/>
  <c r="BC177" i="9"/>
  <c r="AV177" i="9" s="1"/>
  <c r="BB177" i="9"/>
  <c r="BB402" i="9" s="1"/>
  <c r="AU177" i="9"/>
  <c r="AW177" i="9" s="1"/>
  <c r="AS177" i="9"/>
  <c r="AS402" i="9" s="1"/>
  <c r="AQ177" i="9"/>
  <c r="AN177" i="9"/>
  <c r="AL177" i="9"/>
  <c r="CC177" i="9" s="1"/>
  <c r="P177" i="9"/>
  <c r="P375" i="9" s="1"/>
  <c r="O177" i="9"/>
  <c r="M177" i="9"/>
  <c r="I177" i="9"/>
  <c r="Q177" i="9" s="1"/>
  <c r="DH176" i="9"/>
  <c r="DG176" i="9"/>
  <c r="DF176" i="9"/>
  <c r="DC176" i="9"/>
  <c r="CB176" i="9"/>
  <c r="DI176" i="9" s="1"/>
  <c r="BS176" i="9"/>
  <c r="BR176" i="9"/>
  <c r="BM176" i="9"/>
  <c r="BC176" i="9"/>
  <c r="AV176" i="9"/>
  <c r="Z176" i="9" s="1"/>
  <c r="AU176" i="9"/>
  <c r="AN176" i="9"/>
  <c r="BH176" i="9" s="1"/>
  <c r="BK176" i="9" s="1"/>
  <c r="AM176" i="9"/>
  <c r="BG176" i="9" s="1"/>
  <c r="BJ176" i="9" s="1"/>
  <c r="AL176" i="9"/>
  <c r="CC176" i="9" s="1"/>
  <c r="V176" i="9"/>
  <c r="U176" i="9"/>
  <c r="Q176" i="9"/>
  <c r="O176" i="9"/>
  <c r="M176" i="9"/>
  <c r="I176" i="9"/>
  <c r="DI175" i="9"/>
  <c r="DH175" i="9"/>
  <c r="DG175" i="9"/>
  <c r="DF175" i="9"/>
  <c r="DC175" i="9"/>
  <c r="CB175" i="9"/>
  <c r="BS175" i="9"/>
  <c r="BR175" i="9"/>
  <c r="BN175" i="9"/>
  <c r="BO175" i="9" s="1"/>
  <c r="BM175" i="9"/>
  <c r="BC175" i="9"/>
  <c r="AV175" i="9" s="1"/>
  <c r="AU175" i="9"/>
  <c r="AN175" i="9"/>
  <c r="AM175" i="9"/>
  <c r="BG175" i="9" s="1"/>
  <c r="BJ175" i="9" s="1"/>
  <c r="AL175" i="9"/>
  <c r="CC175" i="9" s="1"/>
  <c r="U175" i="9"/>
  <c r="O175" i="9"/>
  <c r="M175" i="9"/>
  <c r="I175" i="9"/>
  <c r="Q175" i="9" s="1"/>
  <c r="DH174" i="9"/>
  <c r="DG174" i="9"/>
  <c r="DB174" i="9"/>
  <c r="BY174" i="9"/>
  <c r="BS174" i="9"/>
  <c r="BR174" i="9"/>
  <c r="BM174" i="9"/>
  <c r="BI174" i="9"/>
  <c r="BD174" i="9"/>
  <c r="BE174" i="9" s="1"/>
  <c r="BC174" i="9"/>
  <c r="BH174" i="9" s="1"/>
  <c r="AU174" i="9"/>
  <c r="AN174" i="9"/>
  <c r="AP174" i="9" s="1"/>
  <c r="AM174" i="9"/>
  <c r="BG174" i="9" s="1"/>
  <c r="BJ174" i="9" s="1"/>
  <c r="AL174" i="9"/>
  <c r="BN174" i="9" s="1"/>
  <c r="W174" i="9"/>
  <c r="U174" i="9"/>
  <c r="P174" i="9"/>
  <c r="DC174" i="9" s="1"/>
  <c r="O174" i="9"/>
  <c r="M174" i="9"/>
  <c r="I174" i="9"/>
  <c r="I170" i="9" s="1"/>
  <c r="DH173" i="9"/>
  <c r="DG173" i="9"/>
  <c r="DF173" i="9"/>
  <c r="DC173" i="9"/>
  <c r="CB173" i="9"/>
  <c r="DI173" i="9" s="1"/>
  <c r="BS173" i="9"/>
  <c r="BR173" i="9"/>
  <c r="BM173" i="9"/>
  <c r="BC173" i="9"/>
  <c r="AV173" i="9" s="1"/>
  <c r="Z173" i="9" s="1"/>
  <c r="AU173" i="9"/>
  <c r="AN173" i="9"/>
  <c r="AM173" i="9"/>
  <c r="BG173" i="9" s="1"/>
  <c r="BJ173" i="9" s="1"/>
  <c r="AL173" i="9"/>
  <c r="CC173" i="9" s="1"/>
  <c r="V173" i="9"/>
  <c r="U173" i="9"/>
  <c r="Q173" i="9"/>
  <c r="O173" i="9"/>
  <c r="M173" i="9"/>
  <c r="I173" i="9"/>
  <c r="DH172" i="9"/>
  <c r="DG172" i="9"/>
  <c r="DB172" i="9"/>
  <c r="CB172" i="9"/>
  <c r="DI172" i="9" s="1"/>
  <c r="BY172" i="9"/>
  <c r="DF172" i="9" s="1"/>
  <c r="BS172" i="9"/>
  <c r="BR172" i="9"/>
  <c r="BM172" i="9"/>
  <c r="BI172" i="9"/>
  <c r="BG172" i="9"/>
  <c r="BC172" i="9"/>
  <c r="AV172" i="9"/>
  <c r="AU172" i="9"/>
  <c r="AP172" i="9"/>
  <c r="AN172" i="9"/>
  <c r="AM172" i="9"/>
  <c r="AL172" i="9"/>
  <c r="V172" i="9"/>
  <c r="U172" i="9"/>
  <c r="P172" i="9"/>
  <c r="M172" i="9"/>
  <c r="I172" i="9"/>
  <c r="DH171" i="9"/>
  <c r="DG171" i="9"/>
  <c r="DF171" i="9"/>
  <c r="DC171" i="9"/>
  <c r="DB171" i="9"/>
  <c r="CB171" i="9"/>
  <c r="DI171" i="9" s="1"/>
  <c r="BS171" i="9"/>
  <c r="BR171" i="9"/>
  <c r="BR170" i="9" s="1"/>
  <c r="BM171" i="9"/>
  <c r="BC171" i="9"/>
  <c r="AV171" i="9" s="1"/>
  <c r="Z171" i="9" s="1"/>
  <c r="AC171" i="9" s="1"/>
  <c r="AU171" i="9"/>
  <c r="AN171" i="9"/>
  <c r="BH171" i="9" s="1"/>
  <c r="BK171" i="9" s="1"/>
  <c r="AM171" i="9"/>
  <c r="BG171" i="9" s="1"/>
  <c r="BJ171" i="9" s="1"/>
  <c r="AL171" i="9"/>
  <c r="CC171" i="9" s="1"/>
  <c r="X171" i="9"/>
  <c r="U171" i="9"/>
  <c r="Q171" i="9"/>
  <c r="O171" i="9"/>
  <c r="M171" i="9"/>
  <c r="M170" i="9" s="1"/>
  <c r="I171" i="9"/>
  <c r="R171" i="9" s="1"/>
  <c r="BZ170" i="9"/>
  <c r="DG170" i="9" s="1"/>
  <c r="BW170" i="9"/>
  <c r="BV170" i="9"/>
  <c r="BU170" i="9"/>
  <c r="BQ170" i="9"/>
  <c r="BL170" i="9"/>
  <c r="BB170" i="9"/>
  <c r="AT170" i="9"/>
  <c r="AR170" i="9"/>
  <c r="AN170" i="9"/>
  <c r="T170" i="9"/>
  <c r="S170" i="9"/>
  <c r="N170" i="9"/>
  <c r="L170" i="9"/>
  <c r="K170" i="9"/>
  <c r="J170" i="9"/>
  <c r="H170" i="9"/>
  <c r="G170" i="9"/>
  <c r="F170" i="9"/>
  <c r="D170" i="9"/>
  <c r="DI169" i="9"/>
  <c r="DH169" i="9"/>
  <c r="DG169" i="9"/>
  <c r="DF169" i="9"/>
  <c r="DC169" i="9"/>
  <c r="CC169" i="9"/>
  <c r="CB169" i="9"/>
  <c r="BS169" i="9"/>
  <c r="BR169" i="9"/>
  <c r="BM169" i="9"/>
  <c r="BD169" i="9"/>
  <c r="BE169" i="9" s="1"/>
  <c r="BC169" i="9"/>
  <c r="AV169" i="9" s="1"/>
  <c r="AU169" i="9"/>
  <c r="AN169" i="9"/>
  <c r="AM169" i="9"/>
  <c r="BG169" i="9" s="1"/>
  <c r="BJ169" i="9" s="1"/>
  <c r="AL169" i="9"/>
  <c r="BN169" i="9" s="1"/>
  <c r="Y169" i="9"/>
  <c r="V169" i="9"/>
  <c r="U169" i="9"/>
  <c r="R169" i="9"/>
  <c r="O169" i="9"/>
  <c r="M169" i="9"/>
  <c r="I169" i="9"/>
  <c r="Q169" i="9" s="1"/>
  <c r="DH168" i="9"/>
  <c r="DG168" i="9"/>
  <c r="DF168" i="9"/>
  <c r="DC168" i="9"/>
  <c r="DB168" i="9"/>
  <c r="CC168" i="9"/>
  <c r="CB168" i="9"/>
  <c r="DI168" i="9" s="1"/>
  <c r="BS168" i="9"/>
  <c r="BR168" i="9"/>
  <c r="BN168" i="9"/>
  <c r="BO168" i="9" s="1"/>
  <c r="BM168" i="9"/>
  <c r="BP168" i="9" s="1"/>
  <c r="BD168" i="9"/>
  <c r="BE168" i="9" s="1"/>
  <c r="BC168" i="9"/>
  <c r="BH168" i="9" s="1"/>
  <c r="BK168" i="9" s="1"/>
  <c r="AU168" i="9"/>
  <c r="AN168" i="9"/>
  <c r="AP168" i="9" s="1"/>
  <c r="AM168" i="9"/>
  <c r="BG168" i="9" s="1"/>
  <c r="BJ168" i="9" s="1"/>
  <c r="AL168" i="9"/>
  <c r="U168" i="9"/>
  <c r="Q168" i="9"/>
  <c r="O168" i="9"/>
  <c r="M168" i="9"/>
  <c r="I168" i="9"/>
  <c r="R168" i="9" s="1"/>
  <c r="DH167" i="9"/>
  <c r="DG167" i="9"/>
  <c r="DF167" i="9"/>
  <c r="DC167" i="9"/>
  <c r="DB167" i="9"/>
  <c r="CB167" i="9"/>
  <c r="DI167" i="9" s="1"/>
  <c r="BS167" i="9"/>
  <c r="BR167" i="9"/>
  <c r="BM167" i="9"/>
  <c r="BJ167" i="9"/>
  <c r="BG167" i="9"/>
  <c r="BC167" i="9"/>
  <c r="AV167" i="9" s="1"/>
  <c r="AU167" i="9"/>
  <c r="AP167" i="9"/>
  <c r="AN167" i="9"/>
  <c r="AM167" i="9"/>
  <c r="AL167" i="9"/>
  <c r="X167" i="9"/>
  <c r="V167" i="9"/>
  <c r="U167" i="9"/>
  <c r="O167" i="9"/>
  <c r="M167" i="9"/>
  <c r="I167" i="9"/>
  <c r="Q167" i="9" s="1"/>
  <c r="DH166" i="9"/>
  <c r="DG166" i="9"/>
  <c r="DF166" i="9"/>
  <c r="DC166" i="9"/>
  <c r="CB166" i="9"/>
  <c r="DI166" i="9" s="1"/>
  <c r="BS166" i="9"/>
  <c r="BR166" i="9"/>
  <c r="BM166" i="9"/>
  <c r="BJ166" i="9"/>
  <c r="BG166" i="9"/>
  <c r="BC166" i="9"/>
  <c r="AU166" i="9"/>
  <c r="AP166" i="9"/>
  <c r="AN166" i="9"/>
  <c r="AM166" i="9"/>
  <c r="AL166" i="9"/>
  <c r="X166" i="9"/>
  <c r="V166" i="9"/>
  <c r="U166" i="9"/>
  <c r="O166" i="9"/>
  <c r="M166" i="9"/>
  <c r="I166" i="9"/>
  <c r="Q166" i="9" s="1"/>
  <c r="DH165" i="9"/>
  <c r="DG165" i="9"/>
  <c r="DF165" i="9"/>
  <c r="DC165" i="9"/>
  <c r="DB165" i="9"/>
  <c r="CC165" i="9"/>
  <c r="CB165" i="9"/>
  <c r="DI165" i="9" s="1"/>
  <c r="BS165" i="9"/>
  <c r="BR165" i="9"/>
  <c r="BN165" i="9"/>
  <c r="BO165" i="9" s="1"/>
  <c r="BM165" i="9"/>
  <c r="BD165" i="9"/>
  <c r="BE165" i="9" s="1"/>
  <c r="BC165" i="9"/>
  <c r="BF165" i="9" s="1"/>
  <c r="AY165" i="9"/>
  <c r="AV165" i="9"/>
  <c r="AZ165" i="9" s="1"/>
  <c r="AU165" i="9"/>
  <c r="AN165" i="9"/>
  <c r="AM165" i="9"/>
  <c r="BG165" i="9" s="1"/>
  <c r="BJ165" i="9" s="1"/>
  <c r="AL165" i="9"/>
  <c r="AG165" i="9"/>
  <c r="Z165" i="9"/>
  <c r="AF165" i="9" s="1"/>
  <c r="W165" i="9"/>
  <c r="U165" i="9"/>
  <c r="Q165" i="9"/>
  <c r="O165" i="9"/>
  <c r="M165" i="9"/>
  <c r="I165" i="9"/>
  <c r="R165" i="9" s="1"/>
  <c r="DI164" i="9"/>
  <c r="DH164" i="9"/>
  <c r="DG164" i="9"/>
  <c r="DC164" i="9"/>
  <c r="DB164" i="9"/>
  <c r="CB164" i="9"/>
  <c r="BY164" i="9"/>
  <c r="DF164" i="9" s="1"/>
  <c r="BS164" i="9"/>
  <c r="BR164" i="9"/>
  <c r="BM164" i="9"/>
  <c r="BI164" i="9"/>
  <c r="BG164" i="9"/>
  <c r="BC164" i="9"/>
  <c r="AU164" i="9"/>
  <c r="AN164" i="9"/>
  <c r="AM164" i="9"/>
  <c r="AL164" i="9"/>
  <c r="CC164" i="9" s="1"/>
  <c r="X164" i="9"/>
  <c r="V164" i="9"/>
  <c r="U164" i="9"/>
  <c r="R164" i="9"/>
  <c r="O164" i="9"/>
  <c r="M164" i="9"/>
  <c r="I164" i="9"/>
  <c r="Q164" i="9" s="1"/>
  <c r="DH163" i="9"/>
  <c r="DG163" i="9"/>
  <c r="DB163" i="9"/>
  <c r="BY163" i="9"/>
  <c r="CB163" i="9" s="1"/>
  <c r="DI163" i="9" s="1"/>
  <c r="BS163" i="9"/>
  <c r="BR163" i="9"/>
  <c r="BM163" i="9"/>
  <c r="BI163" i="9"/>
  <c r="BD163" i="9"/>
  <c r="BE163" i="9" s="1"/>
  <c r="BC163" i="9"/>
  <c r="BH163" i="9" s="1"/>
  <c r="AU163" i="9"/>
  <c r="AN163" i="9"/>
  <c r="AP163" i="9" s="1"/>
  <c r="AM163" i="9"/>
  <c r="BG163" i="9" s="1"/>
  <c r="BJ163" i="9" s="1"/>
  <c r="AL163" i="9"/>
  <c r="BN163" i="9" s="1"/>
  <c r="W163" i="9"/>
  <c r="U163" i="9"/>
  <c r="P163" i="9"/>
  <c r="DC163" i="9" s="1"/>
  <c r="O163" i="9"/>
  <c r="M163" i="9"/>
  <c r="I163" i="9"/>
  <c r="Q163" i="9" s="1"/>
  <c r="DH162" i="9"/>
  <c r="DG162" i="9"/>
  <c r="DB162" i="9"/>
  <c r="BY162" i="9"/>
  <c r="BS162" i="9"/>
  <c r="BR162" i="9"/>
  <c r="BO162" i="9"/>
  <c r="BM162" i="9"/>
  <c r="BI162" i="9"/>
  <c r="BD162" i="9"/>
  <c r="BE162" i="9" s="1"/>
  <c r="BC162" i="9"/>
  <c r="BH162" i="9" s="1"/>
  <c r="AU162" i="9"/>
  <c r="AN162" i="9"/>
  <c r="AM162" i="9"/>
  <c r="BG162" i="9" s="1"/>
  <c r="BJ162" i="9" s="1"/>
  <c r="AL162" i="9"/>
  <c r="BN162" i="9" s="1"/>
  <c r="BP162" i="9" s="1"/>
  <c r="U162" i="9"/>
  <c r="P162" i="9"/>
  <c r="DC162" i="9" s="1"/>
  <c r="O162" i="9"/>
  <c r="M162" i="9"/>
  <c r="I162" i="9"/>
  <c r="DH161" i="9"/>
  <c r="DF161" i="9"/>
  <c r="DB161" i="9"/>
  <c r="DB160" i="9" s="1"/>
  <c r="BZ161" i="9"/>
  <c r="DG161" i="9" s="1"/>
  <c r="BY161" i="9"/>
  <c r="CB161" i="9" s="1"/>
  <c r="DI161" i="9" s="1"/>
  <c r="BS161" i="9"/>
  <c r="BR161" i="9"/>
  <c r="BM161" i="9"/>
  <c r="BI161" i="9"/>
  <c r="BG161" i="9"/>
  <c r="BC161" i="9"/>
  <c r="BC160" i="9" s="1"/>
  <c r="AU161" i="9"/>
  <c r="AN161" i="9"/>
  <c r="AM161" i="9"/>
  <c r="AL161" i="9"/>
  <c r="AL160" i="9" s="1"/>
  <c r="V161" i="9"/>
  <c r="U161" i="9"/>
  <c r="R161" i="9"/>
  <c r="P161" i="9"/>
  <c r="M161" i="9"/>
  <c r="M160" i="9" s="1"/>
  <c r="I161" i="9"/>
  <c r="DC160" i="9"/>
  <c r="CA160" i="9"/>
  <c r="DH160" i="9" s="1"/>
  <c r="BZ160" i="9"/>
  <c r="DG160" i="9" s="1"/>
  <c r="BW160" i="9"/>
  <c r="BV160" i="9"/>
  <c r="BU160" i="9"/>
  <c r="BQ160" i="9"/>
  <c r="BL160" i="9"/>
  <c r="BB160" i="9"/>
  <c r="AU160" i="9" s="1"/>
  <c r="AT160" i="9"/>
  <c r="AS160" i="9"/>
  <c r="AR160" i="9"/>
  <c r="AN160" i="9" s="1"/>
  <c r="AQ160" i="9"/>
  <c r="AM160" i="9"/>
  <c r="BG160" i="9" s="1"/>
  <c r="T160" i="9"/>
  <c r="S160" i="9"/>
  <c r="P160" i="9"/>
  <c r="N160" i="9"/>
  <c r="L160" i="9"/>
  <c r="K160" i="9"/>
  <c r="J160" i="9"/>
  <c r="H160" i="9"/>
  <c r="G160" i="9"/>
  <c r="F160" i="9"/>
  <c r="E160" i="9"/>
  <c r="D160" i="9"/>
  <c r="C160" i="9"/>
  <c r="DI159" i="9"/>
  <c r="DH159" i="9"/>
  <c r="DG159" i="9"/>
  <c r="DF159" i="9"/>
  <c r="DC159" i="9"/>
  <c r="CC159" i="9"/>
  <c r="CB159" i="9"/>
  <c r="BS159" i="9"/>
  <c r="BR159" i="9"/>
  <c r="BN159" i="9"/>
  <c r="BO159" i="9" s="1"/>
  <c r="BM159" i="9"/>
  <c r="BP159" i="9" s="1"/>
  <c r="BD159" i="9"/>
  <c r="BE159" i="9" s="1"/>
  <c r="BC159" i="9"/>
  <c r="AV159" i="9" s="1"/>
  <c r="Z159" i="9" s="1"/>
  <c r="AU159" i="9"/>
  <c r="AN159" i="9"/>
  <c r="AP159" i="9" s="1"/>
  <c r="AM159" i="9"/>
  <c r="BG159" i="9" s="1"/>
  <c r="BJ159" i="9" s="1"/>
  <c r="AL159" i="9"/>
  <c r="U159" i="9"/>
  <c r="Q159" i="9"/>
  <c r="O159" i="9"/>
  <c r="M159" i="9"/>
  <c r="I159" i="9"/>
  <c r="R159" i="9" s="1"/>
  <c r="DG158" i="9"/>
  <c r="DB158" i="9"/>
  <c r="CA158" i="9"/>
  <c r="DH158" i="9" s="1"/>
  <c r="BZ158" i="9"/>
  <c r="CB158" i="9" s="1"/>
  <c r="DI158" i="9" s="1"/>
  <c r="BY158" i="9"/>
  <c r="DF158" i="9" s="1"/>
  <c r="BU158" i="9"/>
  <c r="BS158" i="9"/>
  <c r="BR158" i="9"/>
  <c r="BM158" i="9"/>
  <c r="BJ158" i="9"/>
  <c r="BG158" i="9"/>
  <c r="BC158" i="9"/>
  <c r="AV158" i="9"/>
  <c r="AU158" i="9"/>
  <c r="AP158" i="9"/>
  <c r="AN158" i="9"/>
  <c r="AM158" i="9"/>
  <c r="AL158" i="9"/>
  <c r="V158" i="9"/>
  <c r="U158" i="9"/>
  <c r="P158" i="9"/>
  <c r="M158" i="9"/>
  <c r="I158" i="9"/>
  <c r="DH157" i="9"/>
  <c r="DG157" i="9"/>
  <c r="DB157" i="9"/>
  <c r="CB157" i="9"/>
  <c r="DI157" i="9" s="1"/>
  <c r="BY157" i="9"/>
  <c r="DF157" i="9" s="1"/>
  <c r="BS157" i="9"/>
  <c r="BR157" i="9"/>
  <c r="BM157" i="9"/>
  <c r="BI157" i="9"/>
  <c r="BG157" i="9"/>
  <c r="BC157" i="9"/>
  <c r="AV157" i="9" s="1"/>
  <c r="AU157" i="9"/>
  <c r="AP157" i="9"/>
  <c r="AN157" i="9"/>
  <c r="AM157" i="9"/>
  <c r="AL157" i="9"/>
  <c r="V157" i="9"/>
  <c r="U157" i="9"/>
  <c r="P157" i="9"/>
  <c r="M157" i="9"/>
  <c r="I157" i="9"/>
  <c r="DH156" i="9"/>
  <c r="DG156" i="9"/>
  <c r="DF156" i="9"/>
  <c r="DC156" i="9"/>
  <c r="DB156" i="9"/>
  <c r="CB156" i="9"/>
  <c r="DI156" i="9" s="1"/>
  <c r="BS156" i="9"/>
  <c r="BR156" i="9"/>
  <c r="BM156" i="9"/>
  <c r="BJ156" i="9"/>
  <c r="BG156" i="9"/>
  <c r="BC156" i="9"/>
  <c r="AV156" i="9" s="1"/>
  <c r="AU156" i="9"/>
  <c r="AP156" i="9"/>
  <c r="AN156" i="9"/>
  <c r="AM156" i="9"/>
  <c r="AL156" i="9"/>
  <c r="X156" i="9"/>
  <c r="V156" i="9"/>
  <c r="U156" i="9"/>
  <c r="O156" i="9"/>
  <c r="M156" i="9"/>
  <c r="I156" i="9"/>
  <c r="Q156" i="9" s="1"/>
  <c r="DH155" i="9"/>
  <c r="DG155" i="9"/>
  <c r="DB155" i="9"/>
  <c r="BY155" i="9"/>
  <c r="CB155" i="9" s="1"/>
  <c r="DI155" i="9" s="1"/>
  <c r="BS155" i="9"/>
  <c r="BR155" i="9"/>
  <c r="BM155" i="9"/>
  <c r="BI155" i="9"/>
  <c r="BJ155" i="9" s="1"/>
  <c r="BG155" i="9"/>
  <c r="BC155" i="9"/>
  <c r="AV155" i="9"/>
  <c r="AU155" i="9"/>
  <c r="AN155" i="9"/>
  <c r="BH155" i="9" s="1"/>
  <c r="AM155" i="9"/>
  <c r="AL155" i="9"/>
  <c r="BN155" i="9" s="1"/>
  <c r="BP155" i="9" s="1"/>
  <c r="Z155" i="9"/>
  <c r="AE155" i="9" s="1"/>
  <c r="V155" i="9"/>
  <c r="U155" i="9"/>
  <c r="P155" i="9"/>
  <c r="DC155" i="9" s="1"/>
  <c r="M155" i="9"/>
  <c r="I155" i="9"/>
  <c r="DH154" i="9"/>
  <c r="DG154" i="9"/>
  <c r="DC154" i="9"/>
  <c r="DB154" i="9"/>
  <c r="CB154" i="9"/>
  <c r="DI154" i="9" s="1"/>
  <c r="BY154" i="9"/>
  <c r="DF154" i="9" s="1"/>
  <c r="BU154" i="9"/>
  <c r="BS154" i="9"/>
  <c r="BR154" i="9"/>
  <c r="BM154" i="9"/>
  <c r="BG154" i="9"/>
  <c r="BJ154" i="9" s="1"/>
  <c r="BC154" i="9"/>
  <c r="AV154" i="9"/>
  <c r="Z154" i="9" s="1"/>
  <c r="AE154" i="9" s="1"/>
  <c r="AU154" i="9"/>
  <c r="AN154" i="9"/>
  <c r="BH154" i="9" s="1"/>
  <c r="BK154" i="9" s="1"/>
  <c r="AM154" i="9"/>
  <c r="AL154" i="9"/>
  <c r="CC154" i="9" s="1"/>
  <c r="X154" i="9"/>
  <c r="V154" i="9"/>
  <c r="U154" i="9"/>
  <c r="O154" i="9"/>
  <c r="M154" i="9"/>
  <c r="I154" i="9"/>
  <c r="Q154" i="9" s="1"/>
  <c r="DH153" i="9"/>
  <c r="DG153" i="9"/>
  <c r="DB153" i="9"/>
  <c r="BY153" i="9"/>
  <c r="CB153" i="9" s="1"/>
  <c r="BS153" i="9"/>
  <c r="BR153" i="9"/>
  <c r="BM153" i="9"/>
  <c r="BI153" i="9"/>
  <c r="BD153" i="9"/>
  <c r="BE153" i="9" s="1"/>
  <c r="BC153" i="9"/>
  <c r="BH153" i="9" s="1"/>
  <c r="AU153" i="9"/>
  <c r="AN153" i="9"/>
  <c r="AP153" i="9" s="1"/>
  <c r="AM153" i="9"/>
  <c r="BG153" i="9" s="1"/>
  <c r="BJ153" i="9" s="1"/>
  <c r="AL153" i="9"/>
  <c r="BN153" i="9" s="1"/>
  <c r="U153" i="9"/>
  <c r="P153" i="9"/>
  <c r="DC153" i="9" s="1"/>
  <c r="O153" i="9"/>
  <c r="M153" i="9"/>
  <c r="I153" i="9"/>
  <c r="Q153" i="9" s="1"/>
  <c r="DH152" i="9"/>
  <c r="DG152" i="9"/>
  <c r="DF152" i="9"/>
  <c r="DC152" i="9"/>
  <c r="CB152" i="9"/>
  <c r="DI152" i="9" s="1"/>
  <c r="BY152" i="9"/>
  <c r="BS152" i="9"/>
  <c r="BR152" i="9"/>
  <c r="BN152" i="9"/>
  <c r="BO152" i="9" s="1"/>
  <c r="BM152" i="9"/>
  <c r="BD152" i="9"/>
  <c r="BE152" i="9" s="1"/>
  <c r="BC152" i="9"/>
  <c r="BH152" i="9" s="1"/>
  <c r="BK152" i="9" s="1"/>
  <c r="AY152" i="9"/>
  <c r="AV152" i="9"/>
  <c r="AZ152" i="9" s="1"/>
  <c r="AU152" i="9"/>
  <c r="AN152" i="9"/>
  <c r="AP152" i="9" s="1"/>
  <c r="AM152" i="9"/>
  <c r="BG152" i="9" s="1"/>
  <c r="BJ152" i="9" s="1"/>
  <c r="AL152" i="9"/>
  <c r="CC152" i="9" s="1"/>
  <c r="AG152" i="9"/>
  <c r="Z152" i="9"/>
  <c r="AF152" i="9" s="1"/>
  <c r="U152" i="9"/>
  <c r="Q152" i="9"/>
  <c r="O152" i="9"/>
  <c r="M152" i="9"/>
  <c r="I152" i="9"/>
  <c r="R152" i="9" s="1"/>
  <c r="DI151" i="9"/>
  <c r="DH151" i="9"/>
  <c r="DG151" i="9"/>
  <c r="DF151" i="9"/>
  <c r="DC151" i="9"/>
  <c r="CC151" i="9"/>
  <c r="CB151" i="9"/>
  <c r="BS151" i="9"/>
  <c r="BR151" i="9"/>
  <c r="BN151" i="9"/>
  <c r="BO151" i="9" s="1"/>
  <c r="BM151" i="9"/>
  <c r="BD151" i="9"/>
  <c r="BE151" i="9" s="1"/>
  <c r="BC151" i="9"/>
  <c r="BH151" i="9" s="1"/>
  <c r="BK151" i="9" s="1"/>
  <c r="AY151" i="9"/>
  <c r="AV151" i="9"/>
  <c r="AZ151" i="9" s="1"/>
  <c r="AU151" i="9"/>
  <c r="AN151" i="9"/>
  <c r="AP151" i="9" s="1"/>
  <c r="AM151" i="9"/>
  <c r="BG151" i="9" s="1"/>
  <c r="BJ151" i="9" s="1"/>
  <c r="AL151" i="9"/>
  <c r="AG151" i="9"/>
  <c r="Z151" i="9"/>
  <c r="AF151" i="9" s="1"/>
  <c r="U151" i="9"/>
  <c r="CP151" i="9" s="1"/>
  <c r="Q151" i="9"/>
  <c r="O151" i="9"/>
  <c r="M151" i="9"/>
  <c r="I151" i="9"/>
  <c r="R151" i="9" s="1"/>
  <c r="DC150" i="9"/>
  <c r="DB150" i="9"/>
  <c r="CA150" i="9"/>
  <c r="DH150" i="9" s="1"/>
  <c r="BZ150" i="9"/>
  <c r="DG150" i="9" s="1"/>
  <c r="BY150" i="9"/>
  <c r="DF150" i="9" s="1"/>
  <c r="BU150" i="9"/>
  <c r="AL150" i="9" s="1"/>
  <c r="BS150" i="9"/>
  <c r="BR150" i="9"/>
  <c r="BM150" i="9"/>
  <c r="BI150" i="9"/>
  <c r="BD150" i="9"/>
  <c r="BE150" i="9" s="1"/>
  <c r="BC150" i="9"/>
  <c r="BH150" i="9" s="1"/>
  <c r="AU150" i="9"/>
  <c r="AN150" i="9"/>
  <c r="AP150" i="9" s="1"/>
  <c r="AM150" i="9"/>
  <c r="BG150" i="9" s="1"/>
  <c r="BJ150" i="9" s="1"/>
  <c r="U150" i="9"/>
  <c r="X150" i="9" s="1"/>
  <c r="P150" i="9"/>
  <c r="O150" i="9"/>
  <c r="M150" i="9"/>
  <c r="I150" i="9"/>
  <c r="Q150" i="9" s="1"/>
  <c r="DH149" i="9"/>
  <c r="DG149" i="9"/>
  <c r="DF149" i="9"/>
  <c r="DC149" i="9"/>
  <c r="DB149" i="9"/>
  <c r="CC149" i="9"/>
  <c r="CB149" i="9"/>
  <c r="DI149" i="9" s="1"/>
  <c r="BS149" i="9"/>
  <c r="BR149" i="9"/>
  <c r="BN149" i="9"/>
  <c r="BO149" i="9" s="1"/>
  <c r="BM149" i="9"/>
  <c r="BD149" i="9"/>
  <c r="BE149" i="9" s="1"/>
  <c r="BC149" i="9"/>
  <c r="BH149" i="9" s="1"/>
  <c r="BK149" i="9" s="1"/>
  <c r="AY149" i="9"/>
  <c r="AV149" i="9"/>
  <c r="AZ149" i="9" s="1"/>
  <c r="AU149" i="9"/>
  <c r="AN149" i="9"/>
  <c r="AP149" i="9" s="1"/>
  <c r="AM149" i="9"/>
  <c r="BG149" i="9" s="1"/>
  <c r="BJ149" i="9" s="1"/>
  <c r="AL149" i="9"/>
  <c r="AG149" i="9"/>
  <c r="Z149" i="9"/>
  <c r="AF149" i="9" s="1"/>
  <c r="U149" i="9"/>
  <c r="CP149" i="9" s="1"/>
  <c r="Q149" i="9"/>
  <c r="O149" i="9"/>
  <c r="M149" i="9"/>
  <c r="I149" i="9"/>
  <c r="R149" i="9" s="1"/>
  <c r="D149" i="9"/>
  <c r="C149" i="9"/>
  <c r="DH148" i="9"/>
  <c r="DG148" i="9"/>
  <c r="DF148" i="9"/>
  <c r="DC148" i="9"/>
  <c r="DB148" i="9"/>
  <c r="CP148" i="9"/>
  <c r="CB148" i="9"/>
  <c r="DI148" i="9" s="1"/>
  <c r="BS148" i="9"/>
  <c r="BR148" i="9"/>
  <c r="BM148" i="9"/>
  <c r="BG148" i="9"/>
  <c r="BJ148" i="9" s="1"/>
  <c r="BC148" i="9"/>
  <c r="AU148" i="9"/>
  <c r="AN148" i="9"/>
  <c r="AM148" i="9"/>
  <c r="AL148" i="9"/>
  <c r="CC148" i="9" s="1"/>
  <c r="Y148" i="9"/>
  <c r="V148" i="9"/>
  <c r="U148" i="9"/>
  <c r="X148" i="9" s="1"/>
  <c r="O148" i="9"/>
  <c r="M148" i="9"/>
  <c r="I148" i="9"/>
  <c r="Q148" i="9" s="1"/>
  <c r="DH147" i="9"/>
  <c r="DG147" i="9"/>
  <c r="DC147" i="9"/>
  <c r="DB147" i="9"/>
  <c r="DB417" i="9" s="1"/>
  <c r="BY147" i="9"/>
  <c r="CB147" i="9" s="1"/>
  <c r="BU147" i="9"/>
  <c r="BS147" i="9"/>
  <c r="BS146" i="9" s="1"/>
  <c r="BR147" i="9"/>
  <c r="BN147" i="9"/>
  <c r="BO147" i="9" s="1"/>
  <c r="BM147" i="9"/>
  <c r="BD147" i="9"/>
  <c r="BC147" i="9"/>
  <c r="BH147" i="9" s="1"/>
  <c r="AY147" i="9"/>
  <c r="AV147" i="9"/>
  <c r="AZ147" i="9" s="1"/>
  <c r="AU147" i="9"/>
  <c r="AN147" i="9"/>
  <c r="AP147" i="9" s="1"/>
  <c r="AM147" i="9"/>
  <c r="BG147" i="9" s="1"/>
  <c r="AL147" i="9"/>
  <c r="AG147" i="9"/>
  <c r="Z147" i="9"/>
  <c r="AF147" i="9" s="1"/>
  <c r="U147" i="9"/>
  <c r="U417" i="9" s="1"/>
  <c r="Q147" i="9"/>
  <c r="O147" i="9"/>
  <c r="M147" i="9"/>
  <c r="M417" i="9" s="1"/>
  <c r="I147" i="9"/>
  <c r="D147" i="9"/>
  <c r="C147" i="9"/>
  <c r="CA146" i="9"/>
  <c r="DH146" i="9" s="1"/>
  <c r="BZ146" i="9"/>
  <c r="DG146" i="9" s="1"/>
  <c r="BW146" i="9"/>
  <c r="BV146" i="9"/>
  <c r="BU146" i="9"/>
  <c r="BR146" i="9"/>
  <c r="BQ146" i="9"/>
  <c r="BL146" i="9"/>
  <c r="BI146" i="9"/>
  <c r="BB146" i="9"/>
  <c r="AU146" i="9" s="1"/>
  <c r="AT146" i="9"/>
  <c r="AS146" i="9"/>
  <c r="AR146" i="9"/>
  <c r="AQ146" i="9"/>
  <c r="AN146" i="9"/>
  <c r="AO146" i="9" s="1"/>
  <c r="AM146" i="9"/>
  <c r="BG146" i="9" s="1"/>
  <c r="BJ146" i="9" s="1"/>
  <c r="T146" i="9"/>
  <c r="S146" i="9"/>
  <c r="P146" i="9"/>
  <c r="N146" i="9"/>
  <c r="L146" i="9"/>
  <c r="K146" i="9"/>
  <c r="J146" i="9"/>
  <c r="H146" i="9"/>
  <c r="G146" i="9"/>
  <c r="F146" i="9"/>
  <c r="E146" i="9"/>
  <c r="D146" i="9"/>
  <c r="C146" i="9"/>
  <c r="DH145" i="9"/>
  <c r="DG145" i="9"/>
  <c r="DF145" i="9"/>
  <c r="DC145" i="9"/>
  <c r="DB145" i="9"/>
  <c r="CB145" i="9"/>
  <c r="DI145" i="9" s="1"/>
  <c r="BS145" i="9"/>
  <c r="BR145" i="9"/>
  <c r="BM145" i="9"/>
  <c r="BG145" i="9"/>
  <c r="BJ145" i="9" s="1"/>
  <c r="BC145" i="9"/>
  <c r="AV145" i="9" s="1"/>
  <c r="Z145" i="9" s="1"/>
  <c r="AE145" i="9" s="1"/>
  <c r="AU145" i="9"/>
  <c r="AN145" i="9"/>
  <c r="AM145" i="9"/>
  <c r="AL145" i="9"/>
  <c r="CC145" i="9" s="1"/>
  <c r="X145" i="9"/>
  <c r="V145" i="9"/>
  <c r="U145" i="9"/>
  <c r="O145" i="9"/>
  <c r="M145" i="9"/>
  <c r="I145" i="9"/>
  <c r="Q145" i="9" s="1"/>
  <c r="DH144" i="9"/>
  <c r="DG144" i="9"/>
  <c r="DF144" i="9"/>
  <c r="DC144" i="9"/>
  <c r="DB144" i="9"/>
  <c r="CC144" i="9"/>
  <c r="CB144" i="9"/>
  <c r="DI144" i="9" s="1"/>
  <c r="BS144" i="9"/>
  <c r="BR144" i="9"/>
  <c r="BN144" i="9"/>
  <c r="BO144" i="9" s="1"/>
  <c r="BM144" i="9"/>
  <c r="BD144" i="9"/>
  <c r="BE144" i="9" s="1"/>
  <c r="BC144" i="9"/>
  <c r="BH144" i="9" s="1"/>
  <c r="BK144" i="9" s="1"/>
  <c r="AY144" i="9"/>
  <c r="AV144" i="9"/>
  <c r="AZ144" i="9" s="1"/>
  <c r="AU144" i="9"/>
  <c r="AN144" i="9"/>
  <c r="AP144" i="9" s="1"/>
  <c r="AM144" i="9"/>
  <c r="BG144" i="9" s="1"/>
  <c r="BJ144" i="9" s="1"/>
  <c r="AL144" i="9"/>
  <c r="AG144" i="9"/>
  <c r="Z144" i="9"/>
  <c r="AF144" i="9" s="1"/>
  <c r="U144" i="9"/>
  <c r="Q144" i="9"/>
  <c r="O144" i="9"/>
  <c r="M144" i="9"/>
  <c r="I144" i="9"/>
  <c r="R144" i="9" s="1"/>
  <c r="DH143" i="9"/>
  <c r="DG143" i="9"/>
  <c r="DF143" i="9"/>
  <c r="DC143" i="9"/>
  <c r="DB143" i="9"/>
  <c r="CB143" i="9"/>
  <c r="DI143" i="9" s="1"/>
  <c r="BS143" i="9"/>
  <c r="BR143" i="9"/>
  <c r="BM143" i="9"/>
  <c r="BG143" i="9"/>
  <c r="BJ143" i="9" s="1"/>
  <c r="BC143" i="9"/>
  <c r="AV143" i="9" s="1"/>
  <c r="Z143" i="9" s="1"/>
  <c r="AE143" i="9" s="1"/>
  <c r="AU143" i="9"/>
  <c r="AN143" i="9"/>
  <c r="BH143" i="9" s="1"/>
  <c r="BK143" i="9" s="1"/>
  <c r="AM143" i="9"/>
  <c r="AL143" i="9"/>
  <c r="CC143" i="9" s="1"/>
  <c r="X143" i="9"/>
  <c r="V143" i="9"/>
  <c r="U143" i="9"/>
  <c r="O143" i="9"/>
  <c r="M143" i="9"/>
  <c r="I143" i="9"/>
  <c r="Q143" i="9" s="1"/>
  <c r="DH142" i="9"/>
  <c r="DG142" i="9"/>
  <c r="DB142" i="9"/>
  <c r="BY142" i="9"/>
  <c r="CB142" i="9" s="1"/>
  <c r="BS142" i="9"/>
  <c r="BR142" i="9"/>
  <c r="BM142" i="9"/>
  <c r="BI142" i="9"/>
  <c r="BI402" i="9" s="1"/>
  <c r="BD142" i="9"/>
  <c r="BE142" i="9" s="1"/>
  <c r="BC142" i="9"/>
  <c r="BH142" i="9" s="1"/>
  <c r="AU142" i="9"/>
  <c r="AN142" i="9"/>
  <c r="AP142" i="9" s="1"/>
  <c r="AM142" i="9"/>
  <c r="BG142" i="9" s="1"/>
  <c r="BJ142" i="9" s="1"/>
  <c r="AL142" i="9"/>
  <c r="BN142" i="9" s="1"/>
  <c r="U142" i="9"/>
  <c r="P142" i="9"/>
  <c r="DC142" i="9" s="1"/>
  <c r="O142" i="9"/>
  <c r="M142" i="9"/>
  <c r="I142" i="9"/>
  <c r="Q142" i="9" s="1"/>
  <c r="DH141" i="9"/>
  <c r="DG141" i="9"/>
  <c r="DF141" i="9"/>
  <c r="DB141" i="9"/>
  <c r="DB402" i="9" s="1"/>
  <c r="CC141" i="9"/>
  <c r="CB141" i="9"/>
  <c r="DI141" i="9" s="1"/>
  <c r="BS141" i="9"/>
  <c r="BR141" i="9"/>
  <c r="BN141" i="9"/>
  <c r="BO141" i="9" s="1"/>
  <c r="BM141" i="9"/>
  <c r="BD141" i="9"/>
  <c r="BC141" i="9"/>
  <c r="BH141" i="9" s="1"/>
  <c r="AY141" i="9"/>
  <c r="AV141" i="9"/>
  <c r="AZ141" i="9" s="1"/>
  <c r="AU141" i="9"/>
  <c r="AN141" i="9"/>
  <c r="AP141" i="9" s="1"/>
  <c r="AM141" i="9"/>
  <c r="BG141" i="9" s="1"/>
  <c r="AL141" i="9"/>
  <c r="AG141" i="9"/>
  <c r="Z141" i="9"/>
  <c r="AF141" i="9" s="1"/>
  <c r="U141" i="9"/>
  <c r="P141" i="9"/>
  <c r="P402" i="9" s="1"/>
  <c r="O141" i="9"/>
  <c r="M141" i="9"/>
  <c r="M402" i="9" s="1"/>
  <c r="I141" i="9"/>
  <c r="I402" i="9" s="1"/>
  <c r="DB140" i="9"/>
  <c r="CA140" i="9"/>
  <c r="DH140" i="9" s="1"/>
  <c r="BZ140" i="9"/>
  <c r="DG140" i="9" s="1"/>
  <c r="BY140" i="9"/>
  <c r="DF140" i="9" s="1"/>
  <c r="BW140" i="9"/>
  <c r="BV140" i="9"/>
  <c r="BU140" i="9"/>
  <c r="BS140" i="9"/>
  <c r="BQ140" i="9"/>
  <c r="BM140" i="9"/>
  <c r="BL140" i="9"/>
  <c r="BI140" i="9"/>
  <c r="BC140" i="9"/>
  <c r="BB140" i="9"/>
  <c r="AU140" i="9"/>
  <c r="AT140" i="9"/>
  <c r="AS140" i="9"/>
  <c r="AR140" i="9"/>
  <c r="AQ140" i="9"/>
  <c r="AN140" i="9"/>
  <c r="AP140" i="9" s="1"/>
  <c r="AM140" i="9"/>
  <c r="BG140" i="9" s="1"/>
  <c r="AL140" i="9"/>
  <c r="U140" i="9"/>
  <c r="X140" i="9" s="1"/>
  <c r="T140" i="9"/>
  <c r="S140" i="9"/>
  <c r="P140" i="9"/>
  <c r="DC140" i="9" s="1"/>
  <c r="O140" i="9"/>
  <c r="N140" i="9"/>
  <c r="M140" i="9"/>
  <c r="L140" i="9"/>
  <c r="K140" i="9"/>
  <c r="J140" i="9"/>
  <c r="I140" i="9"/>
  <c r="Q140" i="9" s="1"/>
  <c r="H140" i="9"/>
  <c r="G140" i="9"/>
  <c r="F140" i="9"/>
  <c r="E140" i="9"/>
  <c r="D140" i="9"/>
  <c r="C140" i="9"/>
  <c r="CA139" i="9"/>
  <c r="DH139" i="9" s="1"/>
  <c r="BZ139" i="9"/>
  <c r="DG139" i="9" s="1"/>
  <c r="BW139" i="9"/>
  <c r="BV139" i="9"/>
  <c r="BU139" i="9"/>
  <c r="BQ139" i="9"/>
  <c r="BQ458" i="9" s="1"/>
  <c r="BQ499" i="9" s="1"/>
  <c r="BL139" i="9"/>
  <c r="BL458" i="9" s="1"/>
  <c r="BL499" i="9" s="1"/>
  <c r="BB139" i="9"/>
  <c r="BB458" i="9" s="1"/>
  <c r="BB499" i="9" s="1"/>
  <c r="AU139" i="9"/>
  <c r="AT139" i="9"/>
  <c r="AR139" i="9"/>
  <c r="AN139" i="9"/>
  <c r="T139" i="9"/>
  <c r="T458" i="9" s="1"/>
  <c r="T499" i="9" s="1"/>
  <c r="S139" i="9"/>
  <c r="N139" i="9"/>
  <c r="L139" i="9"/>
  <c r="K139" i="9"/>
  <c r="J139" i="9"/>
  <c r="H139" i="9"/>
  <c r="G139" i="9"/>
  <c r="F139" i="9"/>
  <c r="E139" i="9"/>
  <c r="D139" i="9"/>
  <c r="C139" i="9"/>
  <c r="DH138" i="9"/>
  <c r="DG138" i="9"/>
  <c r="DF138" i="9"/>
  <c r="DC138" i="9"/>
  <c r="CC138" i="9"/>
  <c r="CB138" i="9"/>
  <c r="DI138" i="9" s="1"/>
  <c r="BX138" i="9"/>
  <c r="BP138" i="9"/>
  <c r="BO138" i="9"/>
  <c r="BK138" i="9"/>
  <c r="BF138" i="9"/>
  <c r="BE138" i="9"/>
  <c r="AY138" i="9"/>
  <c r="AG138" i="9" s="1"/>
  <c r="AV138" i="9"/>
  <c r="AZ138" i="9" s="1"/>
  <c r="AU138" i="9"/>
  <c r="AW138" i="9" s="1"/>
  <c r="AN138" i="9"/>
  <c r="AP138" i="9" s="1"/>
  <c r="AM138" i="9"/>
  <c r="BG138" i="9" s="1"/>
  <c r="BJ138" i="9" s="1"/>
  <c r="Z138" i="9"/>
  <c r="AE138" i="9" s="1"/>
  <c r="Y138" i="9"/>
  <c r="X138" i="9"/>
  <c r="W138" i="9"/>
  <c r="V138" i="9"/>
  <c r="O138" i="9"/>
  <c r="M138" i="9"/>
  <c r="I138" i="9"/>
  <c r="Q138" i="9" s="1"/>
  <c r="DH137" i="9"/>
  <c r="DG137" i="9"/>
  <c r="DF137" i="9"/>
  <c r="DD137" i="9"/>
  <c r="DC137" i="9"/>
  <c r="DB137" i="9"/>
  <c r="CB137" i="9"/>
  <c r="DI137" i="9" s="1"/>
  <c r="BS137" i="9"/>
  <c r="BR137" i="9"/>
  <c r="BM137" i="9"/>
  <c r="BC137" i="9"/>
  <c r="AV137" i="9" s="1"/>
  <c r="Z137" i="9" s="1"/>
  <c r="AF137" i="9" s="1"/>
  <c r="AU137" i="9"/>
  <c r="AN137" i="9"/>
  <c r="BH137" i="9" s="1"/>
  <c r="BK137" i="9" s="1"/>
  <c r="AM137" i="9"/>
  <c r="BG137" i="9" s="1"/>
  <c r="BJ137" i="9" s="1"/>
  <c r="AL137" i="9"/>
  <c r="CC137" i="9" s="1"/>
  <c r="U137" i="9"/>
  <c r="Q137" i="9"/>
  <c r="O137" i="9"/>
  <c r="M137" i="9"/>
  <c r="I137" i="9"/>
  <c r="R137" i="9" s="1"/>
  <c r="DH136" i="9"/>
  <c r="DG136" i="9"/>
  <c r="DC136" i="9"/>
  <c r="DB136" i="9"/>
  <c r="CB136" i="9"/>
  <c r="DI136" i="9" s="1"/>
  <c r="BY136" i="9"/>
  <c r="DF136" i="9" s="1"/>
  <c r="BS136" i="9"/>
  <c r="BR136" i="9"/>
  <c r="BM136" i="9"/>
  <c r="BI136" i="9"/>
  <c r="BC136" i="9"/>
  <c r="AV136" i="9" s="1"/>
  <c r="Z136" i="9" s="1"/>
  <c r="AF136" i="9" s="1"/>
  <c r="AU136" i="9"/>
  <c r="AQ136" i="9"/>
  <c r="AN136" i="9"/>
  <c r="AM136" i="9"/>
  <c r="BG136" i="9" s="1"/>
  <c r="AL136" i="9"/>
  <c r="CC136" i="9" s="1"/>
  <c r="U136" i="9"/>
  <c r="Q136" i="9"/>
  <c r="O136" i="9"/>
  <c r="M136" i="9"/>
  <c r="M375" i="9" s="1"/>
  <c r="I136" i="9"/>
  <c r="I375" i="9" s="1"/>
  <c r="DI135" i="9"/>
  <c r="DH135" i="9"/>
  <c r="DG135" i="9"/>
  <c r="DF135" i="9"/>
  <c r="DD135" i="9"/>
  <c r="DC135" i="9"/>
  <c r="DB135" i="9"/>
  <c r="CB135" i="9"/>
  <c r="BS135" i="9"/>
  <c r="BR135" i="9"/>
  <c r="BM135" i="9"/>
  <c r="BC135" i="9"/>
  <c r="AV135" i="9" s="1"/>
  <c r="AU135" i="9"/>
  <c r="AN135" i="9"/>
  <c r="AO135" i="9" s="1"/>
  <c r="AM135" i="9"/>
  <c r="BG135" i="9" s="1"/>
  <c r="BJ135" i="9" s="1"/>
  <c r="AL135" i="9"/>
  <c r="CC135" i="9" s="1"/>
  <c r="Y135" i="9"/>
  <c r="V135" i="9"/>
  <c r="U135" i="9"/>
  <c r="CQ135" i="9" s="1"/>
  <c r="O135" i="9"/>
  <c r="M135" i="9"/>
  <c r="I135" i="9"/>
  <c r="Q135" i="9" s="1"/>
  <c r="DH134" i="9"/>
  <c r="DG134" i="9"/>
  <c r="DF134" i="9"/>
  <c r="DD134" i="9"/>
  <c r="DC134" i="9"/>
  <c r="DB134" i="9"/>
  <c r="CR134" i="9"/>
  <c r="CB134" i="9"/>
  <c r="DI134" i="9" s="1"/>
  <c r="BS134" i="9"/>
  <c r="BR134" i="9"/>
  <c r="BM134" i="9"/>
  <c r="BG134" i="9"/>
  <c r="BJ134" i="9" s="1"/>
  <c r="BC134" i="9"/>
  <c r="AV134" i="9" s="1"/>
  <c r="AU134" i="9"/>
  <c r="AN134" i="9"/>
  <c r="AM134" i="9"/>
  <c r="AL134" i="9"/>
  <c r="CC134" i="9" s="1"/>
  <c r="Y134" i="9"/>
  <c r="V134" i="9"/>
  <c r="U134" i="9"/>
  <c r="X134" i="9" s="1"/>
  <c r="O134" i="9"/>
  <c r="M134" i="9"/>
  <c r="I134" i="9"/>
  <c r="Q134" i="9" s="1"/>
  <c r="DH133" i="9"/>
  <c r="DG133" i="9"/>
  <c r="DF133" i="9"/>
  <c r="DC133" i="9"/>
  <c r="DB133" i="9"/>
  <c r="CC133" i="9"/>
  <c r="CB133" i="9"/>
  <c r="DI133" i="9" s="1"/>
  <c r="BS133" i="9"/>
  <c r="BR133" i="9"/>
  <c r="BN133" i="9"/>
  <c r="BO133" i="9" s="1"/>
  <c r="BM133" i="9"/>
  <c r="BD133" i="9"/>
  <c r="BE133" i="9" s="1"/>
  <c r="BC133" i="9"/>
  <c r="BH133" i="9" s="1"/>
  <c r="BK133" i="9" s="1"/>
  <c r="AY133" i="9"/>
  <c r="AV133" i="9"/>
  <c r="AZ133" i="9" s="1"/>
  <c r="AU133" i="9"/>
  <c r="AN133" i="9"/>
  <c r="AP133" i="9" s="1"/>
  <c r="AM133" i="9"/>
  <c r="BG133" i="9" s="1"/>
  <c r="BJ133" i="9" s="1"/>
  <c r="AL133" i="9"/>
  <c r="AG133" i="9"/>
  <c r="Z133" i="9"/>
  <c r="AF133" i="9" s="1"/>
  <c r="U133" i="9"/>
  <c r="CR133" i="9" s="1"/>
  <c r="Q133" i="9"/>
  <c r="O133" i="9"/>
  <c r="M133" i="9"/>
  <c r="I133" i="9"/>
  <c r="R133" i="9" s="1"/>
  <c r="DI132" i="9"/>
  <c r="DH132" i="9"/>
  <c r="DG132" i="9"/>
  <c r="DF132" i="9"/>
  <c r="DC132" i="9"/>
  <c r="CC132" i="9"/>
  <c r="CB132" i="9"/>
  <c r="BS132" i="9"/>
  <c r="BR132" i="9"/>
  <c r="BN132" i="9"/>
  <c r="BO132" i="9" s="1"/>
  <c r="BM132" i="9"/>
  <c r="BD132" i="9"/>
  <c r="BE132" i="9" s="1"/>
  <c r="BC132" i="9"/>
  <c r="BH132" i="9" s="1"/>
  <c r="BK132" i="9" s="1"/>
  <c r="AY132" i="9"/>
  <c r="AU132" i="9"/>
  <c r="AN132" i="9"/>
  <c r="AP132" i="9" s="1"/>
  <c r="AM132" i="9"/>
  <c r="BG132" i="9" s="1"/>
  <c r="BJ132" i="9" s="1"/>
  <c r="AL132" i="9"/>
  <c r="AG132" i="9"/>
  <c r="U132" i="9"/>
  <c r="P132" i="9"/>
  <c r="R132" i="9" s="1"/>
  <c r="O132" i="9"/>
  <c r="M132" i="9"/>
  <c r="I132" i="9"/>
  <c r="Q132" i="9" s="1"/>
  <c r="DH131" i="9"/>
  <c r="DG131" i="9"/>
  <c r="DF131" i="9"/>
  <c r="DC131" i="9"/>
  <c r="DB131" i="9"/>
  <c r="CC131" i="9"/>
  <c r="CB131" i="9"/>
  <c r="DI131" i="9" s="1"/>
  <c r="BS131" i="9"/>
  <c r="BR131" i="9"/>
  <c r="BN131" i="9"/>
  <c r="BO131" i="9" s="1"/>
  <c r="BM131" i="9"/>
  <c r="BD131" i="9"/>
  <c r="BE131" i="9" s="1"/>
  <c r="BC131" i="9"/>
  <c r="BH131" i="9" s="1"/>
  <c r="BK131" i="9" s="1"/>
  <c r="AY131" i="9"/>
  <c r="AV131" i="9"/>
  <c r="AZ131" i="9" s="1"/>
  <c r="AU131" i="9"/>
  <c r="AN131" i="9"/>
  <c r="AP131" i="9" s="1"/>
  <c r="AM131" i="9"/>
  <c r="BG131" i="9" s="1"/>
  <c r="BJ131" i="9" s="1"/>
  <c r="AL131" i="9"/>
  <c r="AG131" i="9"/>
  <c r="Z131" i="9"/>
  <c r="AF131" i="9" s="1"/>
  <c r="U131" i="9"/>
  <c r="Q131" i="9"/>
  <c r="O131" i="9"/>
  <c r="M131" i="9"/>
  <c r="I131" i="9"/>
  <c r="R131" i="9" s="1"/>
  <c r="DH130" i="9"/>
  <c r="DG130" i="9"/>
  <c r="DC130" i="9"/>
  <c r="DB130" i="9"/>
  <c r="CB130" i="9"/>
  <c r="DI130" i="9" s="1"/>
  <c r="BY130" i="9"/>
  <c r="DF130" i="9" s="1"/>
  <c r="BS130" i="9"/>
  <c r="BR130" i="9"/>
  <c r="BM130" i="9"/>
  <c r="BI130" i="9"/>
  <c r="BJ130" i="9" s="1"/>
  <c r="BG130" i="9"/>
  <c r="BC130" i="9"/>
  <c r="AV130" i="9"/>
  <c r="Z130" i="9" s="1"/>
  <c r="AE130" i="9" s="1"/>
  <c r="AU130" i="9"/>
  <c r="AN130" i="9"/>
  <c r="BH130" i="9" s="1"/>
  <c r="AM130" i="9"/>
  <c r="AL130" i="9"/>
  <c r="CC130" i="9" s="1"/>
  <c r="X130" i="9"/>
  <c r="V130" i="9"/>
  <c r="U130" i="9"/>
  <c r="O130" i="9"/>
  <c r="M130" i="9"/>
  <c r="I130" i="9"/>
  <c r="Q130" i="9" s="1"/>
  <c r="DC129" i="9"/>
  <c r="DB129" i="9"/>
  <c r="CA129" i="9"/>
  <c r="DH129" i="9" s="1"/>
  <c r="BZ129" i="9"/>
  <c r="DG129" i="9" s="1"/>
  <c r="BY129" i="9"/>
  <c r="CB129" i="9" s="1"/>
  <c r="DI129" i="9" s="1"/>
  <c r="BU129" i="9"/>
  <c r="BS129" i="9"/>
  <c r="BR129" i="9"/>
  <c r="BQ129" i="9"/>
  <c r="BQ399" i="9" s="1"/>
  <c r="BM129" i="9"/>
  <c r="BL129" i="9"/>
  <c r="BL399" i="9" s="1"/>
  <c r="BI129" i="9"/>
  <c r="BJ129" i="9" s="1"/>
  <c r="BG129" i="9"/>
  <c r="BC129" i="9"/>
  <c r="AV129" i="9" s="1"/>
  <c r="Z129" i="9" s="1"/>
  <c r="AE129" i="9" s="1"/>
  <c r="AU129" i="9"/>
  <c r="AN129" i="9"/>
  <c r="BH129" i="9" s="1"/>
  <c r="AM129" i="9"/>
  <c r="AL129" i="9"/>
  <c r="BN129" i="9" s="1"/>
  <c r="X129" i="9"/>
  <c r="V129" i="9"/>
  <c r="U129" i="9"/>
  <c r="O129" i="9"/>
  <c r="M129" i="9"/>
  <c r="I129" i="9"/>
  <c r="Q129" i="9" s="1"/>
  <c r="DB128" i="9"/>
  <c r="CA128" i="9"/>
  <c r="DH128" i="9" s="1"/>
  <c r="BZ128" i="9"/>
  <c r="DG128" i="9" s="1"/>
  <c r="BY128" i="9"/>
  <c r="CB128" i="9" s="1"/>
  <c r="DI128" i="9" s="1"/>
  <c r="BU128" i="9"/>
  <c r="BS128" i="9"/>
  <c r="BR128" i="9"/>
  <c r="BM128" i="9"/>
  <c r="BI128" i="9"/>
  <c r="BJ128" i="9" s="1"/>
  <c r="BG128" i="9"/>
  <c r="BC128" i="9"/>
  <c r="AU128" i="9"/>
  <c r="AN128" i="9"/>
  <c r="AM128" i="9"/>
  <c r="AL128" i="9"/>
  <c r="CC128" i="9" s="1"/>
  <c r="V128" i="9"/>
  <c r="U128" i="9"/>
  <c r="P128" i="9"/>
  <c r="DC128" i="9" s="1"/>
  <c r="M128" i="9"/>
  <c r="I128" i="9"/>
  <c r="DB127" i="9"/>
  <c r="CA127" i="9"/>
  <c r="DH127" i="9" s="1"/>
  <c r="BZ127" i="9"/>
  <c r="DG127" i="9" s="1"/>
  <c r="BY127" i="9"/>
  <c r="DF127" i="9" s="1"/>
  <c r="BU127" i="9"/>
  <c r="BS127" i="9"/>
  <c r="BR127" i="9"/>
  <c r="BM127" i="9"/>
  <c r="BG127" i="9"/>
  <c r="BJ127" i="9" s="1"/>
  <c r="BC127" i="9"/>
  <c r="AV127" i="9" s="1"/>
  <c r="Z127" i="9" s="1"/>
  <c r="AE127" i="9" s="1"/>
  <c r="AU127" i="9"/>
  <c r="AN127" i="9"/>
  <c r="AM127" i="9"/>
  <c r="AL127" i="9"/>
  <c r="V127" i="9"/>
  <c r="U127" i="9"/>
  <c r="P127" i="9"/>
  <c r="Q127" i="9" s="1"/>
  <c r="M127" i="9"/>
  <c r="I127" i="9"/>
  <c r="DH126" i="9"/>
  <c r="DG126" i="9"/>
  <c r="DB126" i="9"/>
  <c r="CB126" i="9"/>
  <c r="DI126" i="9" s="1"/>
  <c r="BY126" i="9"/>
  <c r="DF126" i="9" s="1"/>
  <c r="BS126" i="9"/>
  <c r="BR126" i="9"/>
  <c r="BM126" i="9"/>
  <c r="BI126" i="9"/>
  <c r="BJ126" i="9" s="1"/>
  <c r="BG126" i="9"/>
  <c r="BC126" i="9"/>
  <c r="AV126" i="9" s="1"/>
  <c r="Z126" i="9" s="1"/>
  <c r="AE126" i="9" s="1"/>
  <c r="AU126" i="9"/>
  <c r="AN126" i="9"/>
  <c r="AM126" i="9"/>
  <c r="AL126" i="9"/>
  <c r="CC126" i="9" s="1"/>
  <c r="V126" i="9"/>
  <c r="U126" i="9"/>
  <c r="P126" i="9"/>
  <c r="Q126" i="9" s="1"/>
  <c r="M126" i="9"/>
  <c r="I126" i="9"/>
  <c r="DH125" i="9"/>
  <c r="DG125" i="9"/>
  <c r="DF125" i="9"/>
  <c r="DC125" i="9"/>
  <c r="DB125" i="9"/>
  <c r="CB125" i="9"/>
  <c r="DI125" i="9" s="1"/>
  <c r="BS125" i="9"/>
  <c r="BR125" i="9"/>
  <c r="BM125" i="9"/>
  <c r="BG125" i="9"/>
  <c r="BJ125" i="9" s="1"/>
  <c r="BC125" i="9"/>
  <c r="AV125" i="9" s="1"/>
  <c r="Z125" i="9" s="1"/>
  <c r="AE125" i="9" s="1"/>
  <c r="AU125" i="9"/>
  <c r="AN125" i="9"/>
  <c r="AM125" i="9"/>
  <c r="AL125" i="9"/>
  <c r="CC125" i="9" s="1"/>
  <c r="X125" i="9"/>
  <c r="V125" i="9"/>
  <c r="U125" i="9"/>
  <c r="O125" i="9"/>
  <c r="M125" i="9"/>
  <c r="I125" i="9"/>
  <c r="Q125" i="9" s="1"/>
  <c r="DH124" i="9"/>
  <c r="DG124" i="9"/>
  <c r="DF124" i="9"/>
  <c r="CB124" i="9"/>
  <c r="DI124" i="9" s="1"/>
  <c r="BS124" i="9"/>
  <c r="BR124" i="9"/>
  <c r="BM124" i="9"/>
  <c r="BC124" i="9"/>
  <c r="AV124" i="9" s="1"/>
  <c r="Z124" i="9" s="1"/>
  <c r="AF124" i="9" s="1"/>
  <c r="AU124" i="9"/>
  <c r="AN124" i="9"/>
  <c r="AM124" i="9"/>
  <c r="BG124" i="9" s="1"/>
  <c r="BJ124" i="9" s="1"/>
  <c r="AL124" i="9"/>
  <c r="CC124" i="9" s="1"/>
  <c r="U124" i="9"/>
  <c r="P124" i="9"/>
  <c r="DC124" i="9" s="1"/>
  <c r="M124" i="9"/>
  <c r="I124" i="9"/>
  <c r="DH123" i="9"/>
  <c r="DG123" i="9"/>
  <c r="DF123" i="9"/>
  <c r="DC123" i="9"/>
  <c r="DB123" i="9"/>
  <c r="CB123" i="9"/>
  <c r="DI123" i="9" s="1"/>
  <c r="BS123" i="9"/>
  <c r="BR123" i="9"/>
  <c r="BM123" i="9"/>
  <c r="BG123" i="9"/>
  <c r="BJ123" i="9" s="1"/>
  <c r="BC123" i="9"/>
  <c r="AV123" i="9" s="1"/>
  <c r="Z123" i="9" s="1"/>
  <c r="AE123" i="9" s="1"/>
  <c r="AU123" i="9"/>
  <c r="AN123" i="9"/>
  <c r="BH123" i="9" s="1"/>
  <c r="BK123" i="9" s="1"/>
  <c r="AM123" i="9"/>
  <c r="AL123" i="9"/>
  <c r="CC123" i="9" s="1"/>
  <c r="X123" i="9"/>
  <c r="V123" i="9"/>
  <c r="U123" i="9"/>
  <c r="O123" i="9"/>
  <c r="M123" i="9"/>
  <c r="I123" i="9"/>
  <c r="Q123" i="9" s="1"/>
  <c r="DH122" i="9"/>
  <c r="DG122" i="9"/>
  <c r="DF122" i="9"/>
  <c r="DC122" i="9"/>
  <c r="DB122" i="9"/>
  <c r="CC122" i="9"/>
  <c r="CB122" i="9"/>
  <c r="DI122" i="9" s="1"/>
  <c r="BS122" i="9"/>
  <c r="BR122" i="9"/>
  <c r="BN122" i="9"/>
  <c r="BO122" i="9" s="1"/>
  <c r="BM122" i="9"/>
  <c r="BD122" i="9"/>
  <c r="BE122" i="9" s="1"/>
  <c r="BC122" i="9"/>
  <c r="BH122" i="9" s="1"/>
  <c r="BK122" i="9" s="1"/>
  <c r="AY122" i="9"/>
  <c r="AV122" i="9"/>
  <c r="AZ122" i="9" s="1"/>
  <c r="AU122" i="9"/>
  <c r="AN122" i="9"/>
  <c r="AP122" i="9" s="1"/>
  <c r="AM122" i="9"/>
  <c r="BG122" i="9" s="1"/>
  <c r="BJ122" i="9" s="1"/>
  <c r="AL122" i="9"/>
  <c r="AG122" i="9"/>
  <c r="Z122" i="9"/>
  <c r="AF122" i="9" s="1"/>
  <c r="U122" i="9"/>
  <c r="Q122" i="9"/>
  <c r="O122" i="9"/>
  <c r="M122" i="9"/>
  <c r="I122" i="9"/>
  <c r="R122" i="9" s="1"/>
  <c r="DH121" i="9"/>
  <c r="DG121" i="9"/>
  <c r="DF121" i="9"/>
  <c r="DC121" i="9"/>
  <c r="DB121" i="9"/>
  <c r="CB121" i="9"/>
  <c r="DI121" i="9" s="1"/>
  <c r="BS121" i="9"/>
  <c r="BR121" i="9"/>
  <c r="BM121" i="9"/>
  <c r="BG121" i="9"/>
  <c r="BJ121" i="9" s="1"/>
  <c r="BC121" i="9"/>
  <c r="AV121" i="9" s="1"/>
  <c r="AU121" i="9"/>
  <c r="AN121" i="9"/>
  <c r="AM121" i="9"/>
  <c r="AL121" i="9"/>
  <c r="Y121" i="9"/>
  <c r="V121" i="9"/>
  <c r="U121" i="9"/>
  <c r="O121" i="9"/>
  <c r="M121" i="9"/>
  <c r="I121" i="9"/>
  <c r="Q121" i="9" s="1"/>
  <c r="DH120" i="9"/>
  <c r="DG120" i="9"/>
  <c r="DF120" i="9"/>
  <c r="DD120" i="9"/>
  <c r="DC120" i="9"/>
  <c r="DB120" i="9"/>
  <c r="CB120" i="9"/>
  <c r="DI120" i="9" s="1"/>
  <c r="BS120" i="9"/>
  <c r="BR120" i="9"/>
  <c r="BM120" i="9"/>
  <c r="BJ120" i="9"/>
  <c r="BG120" i="9"/>
  <c r="BC120" i="9"/>
  <c r="AV120" i="9"/>
  <c r="AU120" i="9"/>
  <c r="AP120" i="9"/>
  <c r="AN120" i="9"/>
  <c r="AM120" i="9"/>
  <c r="AL120" i="9"/>
  <c r="X120" i="9"/>
  <c r="V120" i="9"/>
  <c r="U120" i="9"/>
  <c r="O120" i="9"/>
  <c r="M120" i="9"/>
  <c r="I120" i="9"/>
  <c r="Q120" i="9" s="1"/>
  <c r="DH119" i="9"/>
  <c r="DG119" i="9"/>
  <c r="DB119" i="9"/>
  <c r="CC119" i="9"/>
  <c r="BY119" i="9"/>
  <c r="CB119" i="9" s="1"/>
  <c r="DI119" i="9" s="1"/>
  <c r="BS119" i="9"/>
  <c r="BR119" i="9"/>
  <c r="BO119" i="9"/>
  <c r="BM119" i="9"/>
  <c r="BI119" i="9"/>
  <c r="BD119" i="9"/>
  <c r="BE119" i="9" s="1"/>
  <c r="BC119" i="9"/>
  <c r="BH119" i="9" s="1"/>
  <c r="AU119" i="9"/>
  <c r="AN119" i="9"/>
  <c r="AM119" i="9"/>
  <c r="BG119" i="9" s="1"/>
  <c r="BJ119" i="9" s="1"/>
  <c r="AL119" i="9"/>
  <c r="BN119" i="9" s="1"/>
  <c r="V119" i="9"/>
  <c r="U119" i="9"/>
  <c r="P119" i="9"/>
  <c r="DC119" i="9" s="1"/>
  <c r="M119" i="9"/>
  <c r="I119" i="9"/>
  <c r="DH118" i="9"/>
  <c r="DG118" i="9"/>
  <c r="DC118" i="9"/>
  <c r="DB118" i="9"/>
  <c r="CB118" i="9"/>
  <c r="DI118" i="9" s="1"/>
  <c r="BY118" i="9"/>
  <c r="DF118" i="9" s="1"/>
  <c r="BS118" i="9"/>
  <c r="BR118" i="9"/>
  <c r="BM118" i="9"/>
  <c r="BC118" i="9"/>
  <c r="AV118" i="9" s="1"/>
  <c r="Z118" i="9" s="1"/>
  <c r="AE118" i="9" s="1"/>
  <c r="AU118" i="9"/>
  <c r="AQ118" i="9"/>
  <c r="AN118" i="9"/>
  <c r="AO118" i="9" s="1"/>
  <c r="AM118" i="9"/>
  <c r="BG118" i="9" s="1"/>
  <c r="BJ118" i="9" s="1"/>
  <c r="AL118" i="9"/>
  <c r="CC118" i="9" s="1"/>
  <c r="X118" i="9"/>
  <c r="V118" i="9"/>
  <c r="U118" i="9"/>
  <c r="O118" i="9"/>
  <c r="M118" i="9"/>
  <c r="I118" i="9"/>
  <c r="Q118" i="9" s="1"/>
  <c r="DH117" i="9"/>
  <c r="DG117" i="9"/>
  <c r="DC117" i="9"/>
  <c r="DB117" i="9"/>
  <c r="BY117" i="9"/>
  <c r="CB117" i="9" s="1"/>
  <c r="DI117" i="9" s="1"/>
  <c r="BS117" i="9"/>
  <c r="BR117" i="9"/>
  <c r="BM117" i="9"/>
  <c r="BI117" i="9"/>
  <c r="BD117" i="9"/>
  <c r="BE117" i="9" s="1"/>
  <c r="BC117" i="9"/>
  <c r="BH117" i="9" s="1"/>
  <c r="AU117" i="9"/>
  <c r="AN117" i="9"/>
  <c r="AP117" i="9" s="1"/>
  <c r="AM117" i="9"/>
  <c r="BG117" i="9" s="1"/>
  <c r="BJ117" i="9" s="1"/>
  <c r="AL117" i="9"/>
  <c r="BN117" i="9" s="1"/>
  <c r="U117" i="9"/>
  <c r="CP117" i="9" s="1"/>
  <c r="Q117" i="9"/>
  <c r="O117" i="9"/>
  <c r="M117" i="9"/>
  <c r="I117" i="9"/>
  <c r="R117" i="9" s="1"/>
  <c r="DI116" i="9"/>
  <c r="DH116" i="9"/>
  <c r="DG116" i="9"/>
  <c r="DF116" i="9"/>
  <c r="DC116" i="9"/>
  <c r="CB116" i="9"/>
  <c r="BS116" i="9"/>
  <c r="BR116" i="9"/>
  <c r="BM116" i="9"/>
  <c r="BC116" i="9"/>
  <c r="AU116" i="9"/>
  <c r="AN116" i="9"/>
  <c r="AO116" i="9" s="1"/>
  <c r="AM116" i="9"/>
  <c r="BG116" i="9" s="1"/>
  <c r="BJ116" i="9" s="1"/>
  <c r="AL116" i="9"/>
  <c r="CC116" i="9" s="1"/>
  <c r="Y116" i="9"/>
  <c r="V116" i="9"/>
  <c r="U116" i="9"/>
  <c r="CP116" i="9" s="1"/>
  <c r="O116" i="9"/>
  <c r="M116" i="9"/>
  <c r="I116" i="9"/>
  <c r="Q116" i="9" s="1"/>
  <c r="DH115" i="9"/>
  <c r="DG115" i="9"/>
  <c r="DF115" i="9"/>
  <c r="CB115" i="9"/>
  <c r="DI115" i="9" s="1"/>
  <c r="BS115" i="9"/>
  <c r="BR115" i="9"/>
  <c r="BM115" i="9"/>
  <c r="BG115" i="9"/>
  <c r="BJ115" i="9" s="1"/>
  <c r="BC115" i="9"/>
  <c r="AV115" i="9" s="1"/>
  <c r="Z115" i="9" s="1"/>
  <c r="AE115" i="9" s="1"/>
  <c r="AU115" i="9"/>
  <c r="AN115" i="9"/>
  <c r="AM115" i="9"/>
  <c r="AL115" i="9"/>
  <c r="CC115" i="9" s="1"/>
  <c r="V115" i="9"/>
  <c r="U115" i="9"/>
  <c r="Y115" i="9" s="1"/>
  <c r="P115" i="9"/>
  <c r="DC115" i="9" s="1"/>
  <c r="M115" i="9"/>
  <c r="I115" i="9"/>
  <c r="E115" i="9"/>
  <c r="D115" i="9"/>
  <c r="C115" i="9"/>
  <c r="DH114" i="9"/>
  <c r="DG114" i="9"/>
  <c r="DF114" i="9"/>
  <c r="DC114" i="9"/>
  <c r="DB114" i="9"/>
  <c r="CC114" i="9"/>
  <c r="CB114" i="9"/>
  <c r="DI114" i="9" s="1"/>
  <c r="BS114" i="9"/>
  <c r="BR114" i="9"/>
  <c r="BN114" i="9"/>
  <c r="BO114" i="9" s="1"/>
  <c r="BM114" i="9"/>
  <c r="BD114" i="9"/>
  <c r="BE114" i="9" s="1"/>
  <c r="BC114" i="9"/>
  <c r="BH114" i="9" s="1"/>
  <c r="BK114" i="9" s="1"/>
  <c r="AY114" i="9"/>
  <c r="AV114" i="9"/>
  <c r="AZ114" i="9" s="1"/>
  <c r="AU114" i="9"/>
  <c r="AN114" i="9"/>
  <c r="AP114" i="9" s="1"/>
  <c r="AM114" i="9"/>
  <c r="BG114" i="9" s="1"/>
  <c r="BJ114" i="9" s="1"/>
  <c r="AL114" i="9"/>
  <c r="AG114" i="9"/>
  <c r="Z114" i="9"/>
  <c r="AF114" i="9" s="1"/>
  <c r="U114" i="9"/>
  <c r="CP114" i="9" s="1"/>
  <c r="Q114" i="9"/>
  <c r="O114" i="9"/>
  <c r="M114" i="9"/>
  <c r="I114" i="9"/>
  <c r="R114" i="9" s="1"/>
  <c r="DH113" i="9"/>
  <c r="DG113" i="9"/>
  <c r="DD113" i="9"/>
  <c r="DC113" i="9"/>
  <c r="DB113" i="9"/>
  <c r="BY113" i="9"/>
  <c r="DF113" i="9" s="1"/>
  <c r="BS113" i="9"/>
  <c r="BR113" i="9"/>
  <c r="BM113" i="9"/>
  <c r="BI113" i="9"/>
  <c r="BD113" i="9"/>
  <c r="BE113" i="9" s="1"/>
  <c r="BC113" i="9"/>
  <c r="BH113" i="9" s="1"/>
  <c r="AU113" i="9"/>
  <c r="AN113" i="9"/>
  <c r="AP113" i="9" s="1"/>
  <c r="AM113" i="9"/>
  <c r="BG113" i="9" s="1"/>
  <c r="BJ113" i="9" s="1"/>
  <c r="AL113" i="9"/>
  <c r="BN113" i="9" s="1"/>
  <c r="U113" i="9"/>
  <c r="CP113" i="9" s="1"/>
  <c r="Q113" i="9"/>
  <c r="O113" i="9"/>
  <c r="M113" i="9"/>
  <c r="I113" i="9"/>
  <c r="R113" i="9" s="1"/>
  <c r="E113" i="9"/>
  <c r="D113" i="9"/>
  <c r="C113" i="9"/>
  <c r="DH112" i="9"/>
  <c r="DG112" i="9"/>
  <c r="DF112" i="9"/>
  <c r="DD112" i="9"/>
  <c r="DC112" i="9"/>
  <c r="DB112" i="9"/>
  <c r="CB112" i="9"/>
  <c r="DI112" i="9" s="1"/>
  <c r="BS112" i="9"/>
  <c r="BR112" i="9"/>
  <c r="BM112" i="9"/>
  <c r="BG112" i="9"/>
  <c r="BJ112" i="9" s="1"/>
  <c r="BC112" i="9"/>
  <c r="AV112" i="9" s="1"/>
  <c r="Z112" i="9" s="1"/>
  <c r="AE112" i="9" s="1"/>
  <c r="AU112" i="9"/>
  <c r="AN112" i="9"/>
  <c r="AM112" i="9"/>
  <c r="AL112" i="9"/>
  <c r="CC112" i="9" s="1"/>
  <c r="X112" i="9"/>
  <c r="V112" i="9"/>
  <c r="U112" i="9"/>
  <c r="O112" i="9"/>
  <c r="M112" i="9"/>
  <c r="I112" i="9"/>
  <c r="Q112" i="9" s="1"/>
  <c r="E112" i="9"/>
  <c r="D112" i="9"/>
  <c r="D376" i="9" s="1"/>
  <c r="C112" i="9"/>
  <c r="DH111" i="9"/>
  <c r="DG111" i="9"/>
  <c r="DC111" i="9"/>
  <c r="DB111" i="9"/>
  <c r="CB111" i="9"/>
  <c r="DI111" i="9" s="1"/>
  <c r="BY111" i="9"/>
  <c r="DF111" i="9" s="1"/>
  <c r="BS111" i="9"/>
  <c r="BR111" i="9"/>
  <c r="BM111" i="9"/>
  <c r="BI111" i="9"/>
  <c r="BJ111" i="9" s="1"/>
  <c r="BG111" i="9"/>
  <c r="BC111" i="9"/>
  <c r="AV111" i="9"/>
  <c r="Z111" i="9" s="1"/>
  <c r="AE111" i="9" s="1"/>
  <c r="AU111" i="9"/>
  <c r="AN111" i="9"/>
  <c r="BH111" i="9" s="1"/>
  <c r="AM111" i="9"/>
  <c r="AL111" i="9"/>
  <c r="CC111" i="9" s="1"/>
  <c r="X111" i="9"/>
  <c r="V111" i="9"/>
  <c r="U111" i="9"/>
  <c r="O111" i="9"/>
  <c r="M111" i="9"/>
  <c r="I111" i="9"/>
  <c r="Q111" i="9" s="1"/>
  <c r="DH110" i="9"/>
  <c r="DG110" i="9"/>
  <c r="DF110" i="9"/>
  <c r="DB110" i="9"/>
  <c r="CC110" i="9"/>
  <c r="CB110" i="9"/>
  <c r="DI110" i="9" s="1"/>
  <c r="BS110" i="9"/>
  <c r="BR110" i="9"/>
  <c r="BN110" i="9"/>
  <c r="BO110" i="9" s="1"/>
  <c r="BM110" i="9"/>
  <c r="BD110" i="9"/>
  <c r="BE110" i="9" s="1"/>
  <c r="BC110" i="9"/>
  <c r="BH110" i="9" s="1"/>
  <c r="BK110" i="9" s="1"/>
  <c r="AY110" i="9"/>
  <c r="AV110" i="9"/>
  <c r="AZ110" i="9" s="1"/>
  <c r="AU110" i="9"/>
  <c r="AN110" i="9"/>
  <c r="AP110" i="9" s="1"/>
  <c r="AM110" i="9"/>
  <c r="BG110" i="9" s="1"/>
  <c r="BJ110" i="9" s="1"/>
  <c r="AL110" i="9"/>
  <c r="AG110" i="9"/>
  <c r="Z110" i="9"/>
  <c r="AF110" i="9" s="1"/>
  <c r="U110" i="9"/>
  <c r="P110" i="9"/>
  <c r="DC110" i="9" s="1"/>
  <c r="O110" i="9"/>
  <c r="M110" i="9"/>
  <c r="I110" i="9"/>
  <c r="Q110" i="9" s="1"/>
  <c r="DH109" i="9"/>
  <c r="DG109" i="9"/>
  <c r="DF109" i="9"/>
  <c r="DC109" i="9"/>
  <c r="CB109" i="9"/>
  <c r="DI109" i="9" s="1"/>
  <c r="BS109" i="9"/>
  <c r="BR109" i="9"/>
  <c r="BM109" i="9"/>
  <c r="BG109" i="9"/>
  <c r="BJ109" i="9" s="1"/>
  <c r="BC109" i="9"/>
  <c r="AV109" i="9"/>
  <c r="Z109" i="9" s="1"/>
  <c r="AE109" i="9" s="1"/>
  <c r="AU109" i="9"/>
  <c r="AN109" i="9"/>
  <c r="BH109" i="9" s="1"/>
  <c r="BK109" i="9" s="1"/>
  <c r="AM109" i="9"/>
  <c r="AL109" i="9"/>
  <c r="CC109" i="9" s="1"/>
  <c r="X109" i="9"/>
  <c r="V109" i="9"/>
  <c r="U109" i="9"/>
  <c r="O109" i="9"/>
  <c r="M109" i="9"/>
  <c r="I109" i="9"/>
  <c r="Q109" i="9" s="1"/>
  <c r="DH108" i="9"/>
  <c r="DG108" i="9"/>
  <c r="DF108" i="9"/>
  <c r="DB108" i="9"/>
  <c r="CC108" i="9"/>
  <c r="CB108" i="9"/>
  <c r="DI108" i="9" s="1"/>
  <c r="BS108" i="9"/>
  <c r="BR108" i="9"/>
  <c r="BN108" i="9"/>
  <c r="BO108" i="9" s="1"/>
  <c r="BM108" i="9"/>
  <c r="BD108" i="9"/>
  <c r="BE108" i="9" s="1"/>
  <c r="BC108" i="9"/>
  <c r="BH108" i="9" s="1"/>
  <c r="BK108" i="9" s="1"/>
  <c r="AY108" i="9"/>
  <c r="AV108" i="9"/>
  <c r="AZ108" i="9" s="1"/>
  <c r="AU108" i="9"/>
  <c r="AN108" i="9"/>
  <c r="AP108" i="9" s="1"/>
  <c r="AM108" i="9"/>
  <c r="BG108" i="9" s="1"/>
  <c r="BJ108" i="9" s="1"/>
  <c r="AL108" i="9"/>
  <c r="AG108" i="9"/>
  <c r="Z108" i="9"/>
  <c r="AF108" i="9" s="1"/>
  <c r="U108" i="9"/>
  <c r="P108" i="9"/>
  <c r="DC108" i="9" s="1"/>
  <c r="O108" i="9"/>
  <c r="M108" i="9"/>
  <c r="I108" i="9"/>
  <c r="Q108" i="9" s="1"/>
  <c r="DH107" i="9"/>
  <c r="DG107" i="9"/>
  <c r="DF107" i="9"/>
  <c r="DB107" i="9"/>
  <c r="CC107" i="9"/>
  <c r="CB107" i="9"/>
  <c r="DI107" i="9" s="1"/>
  <c r="BS107" i="9"/>
  <c r="BR107" i="9"/>
  <c r="BN107" i="9"/>
  <c r="BO107" i="9" s="1"/>
  <c r="BM107" i="9"/>
  <c r="BD107" i="9"/>
  <c r="BE107" i="9" s="1"/>
  <c r="BC107" i="9"/>
  <c r="BH107" i="9" s="1"/>
  <c r="BK107" i="9" s="1"/>
  <c r="AY107" i="9"/>
  <c r="AV107" i="9"/>
  <c r="AZ107" i="9" s="1"/>
  <c r="AU107" i="9"/>
  <c r="AN107" i="9"/>
  <c r="AP107" i="9" s="1"/>
  <c r="AM107" i="9"/>
  <c r="BG107" i="9" s="1"/>
  <c r="BJ107" i="9" s="1"/>
  <c r="AL107" i="9"/>
  <c r="AG107" i="9"/>
  <c r="Z107" i="9"/>
  <c r="AF107" i="9" s="1"/>
  <c r="U107" i="9"/>
  <c r="P107" i="9"/>
  <c r="DC107" i="9" s="1"/>
  <c r="O107" i="9"/>
  <c r="M107" i="9"/>
  <c r="I107" i="9"/>
  <c r="Q107" i="9" s="1"/>
  <c r="DH106" i="9"/>
  <c r="DG106" i="9"/>
  <c r="DF106" i="9"/>
  <c r="DC106" i="9"/>
  <c r="DB106" i="9"/>
  <c r="CC106" i="9"/>
  <c r="CB106" i="9"/>
  <c r="DI106" i="9" s="1"/>
  <c r="BS106" i="9"/>
  <c r="BR106" i="9"/>
  <c r="BN106" i="9"/>
  <c r="BO106" i="9" s="1"/>
  <c r="BM106" i="9"/>
  <c r="BD106" i="9"/>
  <c r="BE106" i="9" s="1"/>
  <c r="BC106" i="9"/>
  <c r="BH106" i="9" s="1"/>
  <c r="BK106" i="9" s="1"/>
  <c r="AY106" i="9"/>
  <c r="AV106" i="9"/>
  <c r="AZ106" i="9" s="1"/>
  <c r="AU106" i="9"/>
  <c r="AN106" i="9"/>
  <c r="AP106" i="9" s="1"/>
  <c r="AM106" i="9"/>
  <c r="BG106" i="9" s="1"/>
  <c r="BJ106" i="9" s="1"/>
  <c r="AL106" i="9"/>
  <c r="AG106" i="9"/>
  <c r="Z106" i="9"/>
  <c r="AF106" i="9" s="1"/>
  <c r="U106" i="9"/>
  <c r="Q106" i="9"/>
  <c r="O106" i="9"/>
  <c r="M106" i="9"/>
  <c r="I106" i="9"/>
  <c r="R106" i="9" s="1"/>
  <c r="DH105" i="9"/>
  <c r="DG105" i="9"/>
  <c r="DF105" i="9"/>
  <c r="DC105" i="9"/>
  <c r="DB105" i="9"/>
  <c r="CB105" i="9"/>
  <c r="DI105" i="9" s="1"/>
  <c r="BS105" i="9"/>
  <c r="BR105" i="9"/>
  <c r="BM105" i="9"/>
  <c r="BG105" i="9"/>
  <c r="BJ105" i="9" s="1"/>
  <c r="BC105" i="9"/>
  <c r="AV105" i="9" s="1"/>
  <c r="Z105" i="9" s="1"/>
  <c r="AE105" i="9" s="1"/>
  <c r="AU105" i="9"/>
  <c r="AN105" i="9"/>
  <c r="BH105" i="9" s="1"/>
  <c r="BK105" i="9" s="1"/>
  <c r="AM105" i="9"/>
  <c r="AL105" i="9"/>
  <c r="CC105" i="9" s="1"/>
  <c r="X105" i="9"/>
  <c r="V105" i="9"/>
  <c r="U105" i="9"/>
  <c r="O105" i="9"/>
  <c r="M105" i="9"/>
  <c r="I105" i="9"/>
  <c r="Q105" i="9" s="1"/>
  <c r="DH104" i="9"/>
  <c r="DG104" i="9"/>
  <c r="DF104" i="9"/>
  <c r="DC104" i="9"/>
  <c r="DB104" i="9"/>
  <c r="CC104" i="9"/>
  <c r="CB104" i="9"/>
  <c r="DI104" i="9" s="1"/>
  <c r="BS104" i="9"/>
  <c r="BR104" i="9"/>
  <c r="BN104" i="9"/>
  <c r="BO104" i="9" s="1"/>
  <c r="BM104" i="9"/>
  <c r="BD104" i="9"/>
  <c r="BE104" i="9" s="1"/>
  <c r="BC104" i="9"/>
  <c r="AV104" i="9" s="1"/>
  <c r="Z104" i="9" s="1"/>
  <c r="AU104" i="9"/>
  <c r="AN104" i="9"/>
  <c r="AP104" i="9" s="1"/>
  <c r="AM104" i="9"/>
  <c r="BG104" i="9" s="1"/>
  <c r="BJ104" i="9" s="1"/>
  <c r="AL104" i="9"/>
  <c r="U104" i="9"/>
  <c r="Q104" i="9"/>
  <c r="O104" i="9"/>
  <c r="M104" i="9"/>
  <c r="I104" i="9"/>
  <c r="R104" i="9" s="1"/>
  <c r="DH103" i="9"/>
  <c r="DG103" i="9"/>
  <c r="DF103" i="9"/>
  <c r="DB103" i="9"/>
  <c r="CB103" i="9"/>
  <c r="DI103" i="9" s="1"/>
  <c r="BS103" i="9"/>
  <c r="BR103" i="9"/>
  <c r="BM103" i="9"/>
  <c r="BG103" i="9"/>
  <c r="BJ103" i="9" s="1"/>
  <c r="BC103" i="9"/>
  <c r="AV103" i="9" s="1"/>
  <c r="AU103" i="9"/>
  <c r="AN103" i="9"/>
  <c r="BH103" i="9" s="1"/>
  <c r="BK103" i="9" s="1"/>
  <c r="AM103" i="9"/>
  <c r="AL103" i="9"/>
  <c r="CC103" i="9" s="1"/>
  <c r="V103" i="9"/>
  <c r="U103" i="9"/>
  <c r="P103" i="9"/>
  <c r="Q103" i="9" s="1"/>
  <c r="M103" i="9"/>
  <c r="I103" i="9"/>
  <c r="DG102" i="9"/>
  <c r="DD102" i="9"/>
  <c r="DB102" i="9"/>
  <c r="CA102" i="9"/>
  <c r="DH102" i="9" s="1"/>
  <c r="BZ102" i="9"/>
  <c r="BY102" i="9"/>
  <c r="DF102" i="9" s="1"/>
  <c r="BU102" i="9"/>
  <c r="BS102" i="9"/>
  <c r="BR102" i="9"/>
  <c r="BM102" i="9"/>
  <c r="BI102" i="9"/>
  <c r="BJ102" i="9" s="1"/>
  <c r="BG102" i="9"/>
  <c r="BC102" i="9"/>
  <c r="AU102" i="9"/>
  <c r="AN102" i="9"/>
  <c r="AM102" i="9"/>
  <c r="AL102" i="9"/>
  <c r="V102" i="9"/>
  <c r="U102" i="9"/>
  <c r="P102" i="9"/>
  <c r="DC102" i="9" s="1"/>
  <c r="M102" i="9"/>
  <c r="I102" i="9"/>
  <c r="DG101" i="9"/>
  <c r="DD101" i="9"/>
  <c r="DB101" i="9"/>
  <c r="CA101" i="9"/>
  <c r="DH101" i="9" s="1"/>
  <c r="BZ101" i="9"/>
  <c r="BY101" i="9"/>
  <c r="DF101" i="9" s="1"/>
  <c r="BU101" i="9"/>
  <c r="BS101" i="9"/>
  <c r="BR101" i="9"/>
  <c r="BM101" i="9"/>
  <c r="BC101" i="9"/>
  <c r="AU101" i="9"/>
  <c r="AQ101" i="9"/>
  <c r="AN101" i="9"/>
  <c r="AO101" i="9" s="1"/>
  <c r="AM101" i="9"/>
  <c r="BG101" i="9" s="1"/>
  <c r="BJ101" i="9" s="1"/>
  <c r="AL101" i="9"/>
  <c r="V101" i="9"/>
  <c r="U101" i="9"/>
  <c r="P101" i="9"/>
  <c r="DC101" i="9" s="1"/>
  <c r="M101" i="9"/>
  <c r="I101" i="9"/>
  <c r="DB100" i="9"/>
  <c r="CA100" i="9"/>
  <c r="DH100" i="9" s="1"/>
  <c r="BZ100" i="9"/>
  <c r="DG100" i="9" s="1"/>
  <c r="BY100" i="9"/>
  <c r="DF100" i="9" s="1"/>
  <c r="BU100" i="9"/>
  <c r="BS100" i="9"/>
  <c r="BR100" i="9"/>
  <c r="BQ100" i="9"/>
  <c r="BM100" i="9"/>
  <c r="AV100" i="9" s="1"/>
  <c r="Z100" i="9" s="1"/>
  <c r="AE100" i="9" s="1"/>
  <c r="BL100" i="9"/>
  <c r="BI100" i="9"/>
  <c r="BC100" i="9"/>
  <c r="BB100" i="9"/>
  <c r="AU100" i="9" s="1"/>
  <c r="AS100" i="9"/>
  <c r="AM100" i="9" s="1"/>
  <c r="BG100" i="9" s="1"/>
  <c r="BJ100" i="9" s="1"/>
  <c r="AQ100" i="9"/>
  <c r="AN100" i="9"/>
  <c r="AO100" i="9" s="1"/>
  <c r="AL100" i="9"/>
  <c r="P100" i="9"/>
  <c r="Q100" i="9" s="1"/>
  <c r="M100" i="9"/>
  <c r="I100" i="9"/>
  <c r="DG99" i="9"/>
  <c r="DD99" i="9"/>
  <c r="DB99" i="9"/>
  <c r="CA99" i="9"/>
  <c r="DH99" i="9" s="1"/>
  <c r="BZ99" i="9"/>
  <c r="BY99" i="9"/>
  <c r="DF99" i="9" s="1"/>
  <c r="BU99" i="9"/>
  <c r="BS99" i="9"/>
  <c r="BR99" i="9"/>
  <c r="BM99" i="9"/>
  <c r="BI99" i="9"/>
  <c r="BJ99" i="9" s="1"/>
  <c r="BG99" i="9"/>
  <c r="BC99" i="9"/>
  <c r="AU99" i="9"/>
  <c r="AN99" i="9"/>
  <c r="BH99" i="9" s="1"/>
  <c r="AM99" i="9"/>
  <c r="AL99" i="9"/>
  <c r="V99" i="9"/>
  <c r="U99" i="9"/>
  <c r="P99" i="9"/>
  <c r="DC99" i="9" s="1"/>
  <c r="M99" i="9"/>
  <c r="I99" i="9"/>
  <c r="DI98" i="9"/>
  <c r="DH98" i="9"/>
  <c r="DG98" i="9"/>
  <c r="DF98" i="9"/>
  <c r="DC98" i="9"/>
  <c r="CC98" i="9"/>
  <c r="CB98" i="9"/>
  <c r="BQ98" i="9"/>
  <c r="BL98" i="9"/>
  <c r="U98" i="9" s="1"/>
  <c r="AV98" i="9"/>
  <c r="AU98" i="9"/>
  <c r="AW98" i="9" s="1"/>
  <c r="AS98" i="9"/>
  <c r="AN98" i="9"/>
  <c r="BH98" i="9" s="1"/>
  <c r="BK98" i="9" s="1"/>
  <c r="AM98" i="9"/>
  <c r="BG98" i="9" s="1"/>
  <c r="BJ98" i="9" s="1"/>
  <c r="AL98" i="9"/>
  <c r="BN98" i="9" s="1"/>
  <c r="Z98" i="9"/>
  <c r="AF98" i="9" s="1"/>
  <c r="O98" i="9"/>
  <c r="M98" i="9"/>
  <c r="I98" i="9"/>
  <c r="Q98" i="9" s="1"/>
  <c r="DH97" i="9"/>
  <c r="DG97" i="9"/>
  <c r="DF97" i="9"/>
  <c r="DC97" i="9"/>
  <c r="DB97" i="9"/>
  <c r="CC97" i="9"/>
  <c r="CB97" i="9"/>
  <c r="DI97" i="9" s="1"/>
  <c r="BS97" i="9"/>
  <c r="BR97" i="9"/>
  <c r="BN97" i="9"/>
  <c r="BO97" i="9" s="1"/>
  <c r="BM97" i="9"/>
  <c r="BD97" i="9"/>
  <c r="BE97" i="9" s="1"/>
  <c r="BC97" i="9"/>
  <c r="BH97" i="9" s="1"/>
  <c r="BK97" i="9" s="1"/>
  <c r="AY97" i="9"/>
  <c r="AV97" i="9"/>
  <c r="AZ97" i="9" s="1"/>
  <c r="AU97" i="9"/>
  <c r="AN97" i="9"/>
  <c r="AP97" i="9" s="1"/>
  <c r="AM97" i="9"/>
  <c r="BG97" i="9" s="1"/>
  <c r="BJ97" i="9" s="1"/>
  <c r="AL97" i="9"/>
  <c r="AG97" i="9"/>
  <c r="Z97" i="9"/>
  <c r="AF97" i="9" s="1"/>
  <c r="U97" i="9"/>
  <c r="Q97" i="9"/>
  <c r="O97" i="9"/>
  <c r="M97" i="9"/>
  <c r="I97" i="9"/>
  <c r="R97" i="9" s="1"/>
  <c r="DH96" i="9"/>
  <c r="DG96" i="9"/>
  <c r="DD96" i="9"/>
  <c r="DB96" i="9"/>
  <c r="BY96" i="9"/>
  <c r="DF96" i="9" s="1"/>
  <c r="BS96" i="9"/>
  <c r="BR96" i="9"/>
  <c r="BM96" i="9"/>
  <c r="BI96" i="9"/>
  <c r="BD96" i="9"/>
  <c r="BE96" i="9" s="1"/>
  <c r="BC96" i="9"/>
  <c r="BH96" i="9" s="1"/>
  <c r="AU96" i="9"/>
  <c r="AN96" i="9"/>
  <c r="AP96" i="9" s="1"/>
  <c r="AM96" i="9"/>
  <c r="BG96" i="9" s="1"/>
  <c r="BJ96" i="9" s="1"/>
  <c r="AL96" i="9"/>
  <c r="BN96" i="9" s="1"/>
  <c r="U96" i="9"/>
  <c r="P96" i="9"/>
  <c r="DC96" i="9" s="1"/>
  <c r="O96" i="9"/>
  <c r="M96" i="9"/>
  <c r="I96" i="9"/>
  <c r="Q96" i="9" s="1"/>
  <c r="DH95" i="9"/>
  <c r="DG95" i="9"/>
  <c r="DF95" i="9"/>
  <c r="DD95" i="9"/>
  <c r="DB95" i="9"/>
  <c r="CB95" i="9"/>
  <c r="DI95" i="9" s="1"/>
  <c r="BY95" i="9"/>
  <c r="BS95" i="9"/>
  <c r="BR95" i="9"/>
  <c r="BM95" i="9"/>
  <c r="BI95" i="9"/>
  <c r="BJ95" i="9" s="1"/>
  <c r="BG95" i="9"/>
  <c r="BC95" i="9"/>
  <c r="AV95" i="9" s="1"/>
  <c r="Z95" i="9" s="1"/>
  <c r="AE95" i="9" s="1"/>
  <c r="AU95" i="9"/>
  <c r="AN95" i="9"/>
  <c r="AM95" i="9"/>
  <c r="AL95" i="9"/>
  <c r="CC95" i="9" s="1"/>
  <c r="V95" i="9"/>
  <c r="U95" i="9"/>
  <c r="P95" i="9"/>
  <c r="Q95" i="9" s="1"/>
  <c r="M95" i="9"/>
  <c r="I95" i="9"/>
  <c r="DH94" i="9"/>
  <c r="DG94" i="9"/>
  <c r="DD94" i="9"/>
  <c r="DB94" i="9"/>
  <c r="BY94" i="9"/>
  <c r="DF94" i="9" s="1"/>
  <c r="BS94" i="9"/>
  <c r="BR94" i="9"/>
  <c r="BM94" i="9"/>
  <c r="BI94" i="9"/>
  <c r="BD94" i="9"/>
  <c r="BE94" i="9" s="1"/>
  <c r="BC94" i="9"/>
  <c r="BH94" i="9" s="1"/>
  <c r="AU94" i="9"/>
  <c r="AN94" i="9"/>
  <c r="AP94" i="9" s="1"/>
  <c r="AM94" i="9"/>
  <c r="BG94" i="9" s="1"/>
  <c r="BJ94" i="9" s="1"/>
  <c r="AL94" i="9"/>
  <c r="BN94" i="9" s="1"/>
  <c r="U94" i="9"/>
  <c r="P94" i="9"/>
  <c r="DC94" i="9" s="1"/>
  <c r="O94" i="9"/>
  <c r="M94" i="9"/>
  <c r="I94" i="9"/>
  <c r="Q94" i="9" s="1"/>
  <c r="DB93" i="9"/>
  <c r="CA93" i="9"/>
  <c r="DH93" i="9" s="1"/>
  <c r="BZ93" i="9"/>
  <c r="DG93" i="9" s="1"/>
  <c r="BY93" i="9"/>
  <c r="CB93" i="9" s="1"/>
  <c r="BU93" i="9"/>
  <c r="BS93" i="9"/>
  <c r="BR93" i="9"/>
  <c r="BN93" i="9"/>
  <c r="BO93" i="9" s="1"/>
  <c r="BM93" i="9"/>
  <c r="BD93" i="9"/>
  <c r="BE93" i="9" s="1"/>
  <c r="BC93" i="9"/>
  <c r="BH93" i="9" s="1"/>
  <c r="BK93" i="9" s="1"/>
  <c r="AY93" i="9"/>
  <c r="AV93" i="9"/>
  <c r="AZ93" i="9" s="1"/>
  <c r="AU93" i="9"/>
  <c r="AN93" i="9"/>
  <c r="AP93" i="9" s="1"/>
  <c r="AM93" i="9"/>
  <c r="BG93" i="9" s="1"/>
  <c r="BJ93" i="9" s="1"/>
  <c r="AL93" i="9"/>
  <c r="AG93" i="9"/>
  <c r="Z93" i="9"/>
  <c r="AF93" i="9" s="1"/>
  <c r="U93" i="9"/>
  <c r="P93" i="9"/>
  <c r="DC93" i="9" s="1"/>
  <c r="O93" i="9"/>
  <c r="M93" i="9"/>
  <c r="I93" i="9"/>
  <c r="Q93" i="9" s="1"/>
  <c r="DH92" i="9"/>
  <c r="DG92" i="9"/>
  <c r="DF92" i="9"/>
  <c r="DD92" i="9"/>
  <c r="DB92" i="9"/>
  <c r="CB92" i="9"/>
  <c r="DI92" i="9" s="1"/>
  <c r="BY92" i="9"/>
  <c r="BS92" i="9"/>
  <c r="BR92" i="9"/>
  <c r="BM92" i="9"/>
  <c r="BI92" i="9"/>
  <c r="BJ92" i="9" s="1"/>
  <c r="BG92" i="9"/>
  <c r="BC92" i="9"/>
  <c r="AV92" i="9" s="1"/>
  <c r="Z92" i="9" s="1"/>
  <c r="AE92" i="9" s="1"/>
  <c r="AU92" i="9"/>
  <c r="AN92" i="9"/>
  <c r="AM92" i="9"/>
  <c r="AL92" i="9"/>
  <c r="CC92" i="9" s="1"/>
  <c r="V92" i="9"/>
  <c r="U92" i="9"/>
  <c r="P92" i="9"/>
  <c r="Q92" i="9" s="1"/>
  <c r="M92" i="9"/>
  <c r="I92" i="9"/>
  <c r="DG91" i="9"/>
  <c r="DD91" i="9"/>
  <c r="DB91" i="9"/>
  <c r="DB414" i="9" s="1"/>
  <c r="DB421" i="9" s="1"/>
  <c r="CA91" i="9"/>
  <c r="DH91" i="9" s="1"/>
  <c r="BZ91" i="9"/>
  <c r="BY91" i="9"/>
  <c r="DF91" i="9" s="1"/>
  <c r="BU91" i="9"/>
  <c r="BS91" i="9"/>
  <c r="BR91" i="9"/>
  <c r="BR414" i="9" s="1"/>
  <c r="BM91" i="9"/>
  <c r="BM414" i="9" s="1"/>
  <c r="BI91" i="9"/>
  <c r="BI414" i="9" s="1"/>
  <c r="BG91" i="9"/>
  <c r="BC91" i="9"/>
  <c r="BC414" i="9" s="1"/>
  <c r="AU91" i="9"/>
  <c r="AN91" i="9"/>
  <c r="BH91" i="9" s="1"/>
  <c r="AM91" i="9"/>
  <c r="AL91" i="9"/>
  <c r="V91" i="9"/>
  <c r="U91" i="9"/>
  <c r="P91" i="9"/>
  <c r="M91" i="9"/>
  <c r="I91" i="9"/>
  <c r="DH90" i="9"/>
  <c r="DG90" i="9"/>
  <c r="DD90" i="9"/>
  <c r="DB90" i="9"/>
  <c r="BY90" i="9"/>
  <c r="DF90" i="9" s="1"/>
  <c r="BV90" i="9"/>
  <c r="BS90" i="9"/>
  <c r="BR90" i="9"/>
  <c r="BM90" i="9"/>
  <c r="BI90" i="9"/>
  <c r="BJ90" i="9" s="1"/>
  <c r="BG90" i="9"/>
  <c r="BC90" i="9"/>
  <c r="AV90" i="9"/>
  <c r="Z90" i="9" s="1"/>
  <c r="AE90" i="9" s="1"/>
  <c r="AU90" i="9"/>
  <c r="AN90" i="9"/>
  <c r="BH90" i="9" s="1"/>
  <c r="AM90" i="9"/>
  <c r="AL90" i="9"/>
  <c r="V90" i="9"/>
  <c r="U90" i="9"/>
  <c r="P90" i="9"/>
  <c r="DC90" i="9" s="1"/>
  <c r="M90" i="9"/>
  <c r="I90" i="9"/>
  <c r="F90" i="9"/>
  <c r="E90" i="9"/>
  <c r="E373" i="9" s="1"/>
  <c r="D90" i="9"/>
  <c r="C90" i="9"/>
  <c r="DD89" i="9"/>
  <c r="CA89" i="9"/>
  <c r="DH89" i="9" s="1"/>
  <c r="BZ89" i="9"/>
  <c r="DG89" i="9" s="1"/>
  <c r="BY89" i="9"/>
  <c r="DF89" i="9" s="1"/>
  <c r="BU89" i="9"/>
  <c r="BS89" i="9"/>
  <c r="BR89" i="9"/>
  <c r="BM89" i="9"/>
  <c r="BI89" i="9"/>
  <c r="BG89" i="9"/>
  <c r="BC89" i="9"/>
  <c r="AV89" i="9" s="1"/>
  <c r="Z89" i="9" s="1"/>
  <c r="AF89" i="9" s="1"/>
  <c r="AU89" i="9"/>
  <c r="AN89" i="9"/>
  <c r="AP89" i="9" s="1"/>
  <c r="AM89" i="9"/>
  <c r="AL89" i="9"/>
  <c r="V89" i="9"/>
  <c r="U89" i="9"/>
  <c r="P89" i="9"/>
  <c r="DC89" i="9" s="1"/>
  <c r="M89" i="9"/>
  <c r="I89" i="9"/>
  <c r="DG88" i="9"/>
  <c r="DD88" i="9"/>
  <c r="DC88" i="9"/>
  <c r="DB88" i="9"/>
  <c r="CA88" i="9"/>
  <c r="DH88" i="9" s="1"/>
  <c r="BZ88" i="9"/>
  <c r="BY88" i="9"/>
  <c r="DF88" i="9" s="1"/>
  <c r="BS88" i="9"/>
  <c r="BR88" i="9"/>
  <c r="BM88" i="9"/>
  <c r="BI88" i="9"/>
  <c r="BD88" i="9"/>
  <c r="BC88" i="9"/>
  <c r="BH88" i="9" s="1"/>
  <c r="AU88" i="9"/>
  <c r="AN88" i="9"/>
  <c r="AP88" i="9" s="1"/>
  <c r="AM88" i="9"/>
  <c r="AO88" i="9" s="1"/>
  <c r="AL88" i="9"/>
  <c r="U88" i="9"/>
  <c r="Q88" i="9"/>
  <c r="O88" i="9"/>
  <c r="M88" i="9"/>
  <c r="I88" i="9"/>
  <c r="R88" i="9" s="1"/>
  <c r="D88" i="9"/>
  <c r="D373" i="9" s="1"/>
  <c r="C88" i="9"/>
  <c r="DG87" i="9"/>
  <c r="DD87" i="9"/>
  <c r="DB87" i="9"/>
  <c r="DB399" i="9" s="1"/>
  <c r="CA87" i="9"/>
  <c r="DH87" i="9" s="1"/>
  <c r="BZ87" i="9"/>
  <c r="BY87" i="9"/>
  <c r="DF87" i="9" s="1"/>
  <c r="BS87" i="9"/>
  <c r="BR87" i="9"/>
  <c r="BM87" i="9"/>
  <c r="BM399" i="9" s="1"/>
  <c r="BI87" i="9"/>
  <c r="BI399" i="9" s="1"/>
  <c r="BD87" i="9"/>
  <c r="BE87" i="9" s="1"/>
  <c r="BC87" i="9"/>
  <c r="AU87" i="9"/>
  <c r="AN87" i="9"/>
  <c r="AP87" i="9" s="1"/>
  <c r="AM87" i="9"/>
  <c r="AO87" i="9" s="1"/>
  <c r="AL87" i="9"/>
  <c r="BN87" i="9" s="1"/>
  <c r="U87" i="9"/>
  <c r="U399" i="9" s="1"/>
  <c r="P87" i="9"/>
  <c r="P399" i="9" s="1"/>
  <c r="O87" i="9"/>
  <c r="M87" i="9"/>
  <c r="M399" i="9" s="1"/>
  <c r="I87" i="9"/>
  <c r="I399" i="9" s="1"/>
  <c r="DH86" i="9"/>
  <c r="DG86" i="9"/>
  <c r="DC86" i="9"/>
  <c r="DB86" i="9"/>
  <c r="DB85" i="9" s="1"/>
  <c r="BY86" i="9"/>
  <c r="DF86" i="9" s="1"/>
  <c r="BS86" i="9"/>
  <c r="BR86" i="9"/>
  <c r="BM86" i="9"/>
  <c r="BM85" i="9" s="1"/>
  <c r="AV85" i="9" s="1"/>
  <c r="Z85" i="9" s="1"/>
  <c r="AF85" i="9" s="1"/>
  <c r="BI86" i="9"/>
  <c r="BD86" i="9"/>
  <c r="BC86" i="9"/>
  <c r="BH86" i="9" s="1"/>
  <c r="AU86" i="9"/>
  <c r="AN86" i="9"/>
  <c r="AP86" i="9" s="1"/>
  <c r="AM86" i="9"/>
  <c r="AO86" i="9" s="1"/>
  <c r="AL86" i="9"/>
  <c r="BN86" i="9" s="1"/>
  <c r="U86" i="9"/>
  <c r="Q86" i="9"/>
  <c r="O86" i="9"/>
  <c r="M86" i="9"/>
  <c r="I86" i="9"/>
  <c r="R86" i="9" s="1"/>
  <c r="CA85" i="9"/>
  <c r="DH85" i="9" s="1"/>
  <c r="BZ85" i="9"/>
  <c r="DG85" i="9" s="1"/>
  <c r="BW85" i="9"/>
  <c r="BV85" i="9"/>
  <c r="BU85" i="9"/>
  <c r="BS85" i="9"/>
  <c r="BR85" i="9"/>
  <c r="BQ85" i="9"/>
  <c r="BQ455" i="9" s="1"/>
  <c r="BL85" i="9"/>
  <c r="BL455" i="9" s="1"/>
  <c r="BI85" i="9"/>
  <c r="BC85" i="9"/>
  <c r="BB85" i="9"/>
  <c r="BB455" i="9" s="1"/>
  <c r="AT85" i="9"/>
  <c r="AS85" i="9"/>
  <c r="AS455" i="9" s="1"/>
  <c r="AR85" i="9"/>
  <c r="AQ85" i="9"/>
  <c r="AQ455" i="9" s="1"/>
  <c r="AN85" i="9"/>
  <c r="AP85" i="9" s="1"/>
  <c r="AM85" i="9"/>
  <c r="BG85" i="9" s="1"/>
  <c r="BJ85" i="9" s="1"/>
  <c r="AL85" i="9"/>
  <c r="T85" i="9"/>
  <c r="T455" i="9" s="1"/>
  <c r="S85" i="9"/>
  <c r="P85" i="9"/>
  <c r="DC85" i="9" s="1"/>
  <c r="N85" i="9"/>
  <c r="M85" i="9"/>
  <c r="L85" i="9"/>
  <c r="K85" i="9"/>
  <c r="J85" i="9"/>
  <c r="I85" i="9"/>
  <c r="H85" i="9"/>
  <c r="G85" i="9"/>
  <c r="F85" i="9"/>
  <c r="E85" i="9"/>
  <c r="D85" i="9"/>
  <c r="C85" i="9"/>
  <c r="DH84" i="9"/>
  <c r="DG84" i="9"/>
  <c r="DF84" i="9"/>
  <c r="DD84" i="9"/>
  <c r="DB84" i="9"/>
  <c r="CP84" i="9"/>
  <c r="CB84" i="9"/>
  <c r="DI84" i="9" s="1"/>
  <c r="BS84" i="9"/>
  <c r="BR84" i="9"/>
  <c r="BM84" i="9"/>
  <c r="BG84" i="9"/>
  <c r="BJ84" i="9" s="1"/>
  <c r="BC84" i="9"/>
  <c r="AV84" i="9"/>
  <c r="AU84" i="9"/>
  <c r="AN84" i="9"/>
  <c r="AP84" i="9" s="1"/>
  <c r="AM84" i="9"/>
  <c r="AL84" i="9"/>
  <c r="CC84" i="9" s="1"/>
  <c r="Y84" i="9"/>
  <c r="V84" i="9"/>
  <c r="U84" i="9"/>
  <c r="X84" i="9" s="1"/>
  <c r="O84" i="9"/>
  <c r="M84" i="9"/>
  <c r="I84" i="9"/>
  <c r="R84" i="9" s="1"/>
  <c r="DH83" i="9"/>
  <c r="DG83" i="9"/>
  <c r="DF83" i="9"/>
  <c r="DB83" i="9"/>
  <c r="CP83" i="9"/>
  <c r="CB83" i="9"/>
  <c r="DI83" i="9" s="1"/>
  <c r="BY83" i="9"/>
  <c r="BS83" i="9"/>
  <c r="BR83" i="9"/>
  <c r="BM83" i="9"/>
  <c r="BI83" i="9"/>
  <c r="BG83" i="9"/>
  <c r="BC83" i="9"/>
  <c r="AV83" i="9"/>
  <c r="Z83" i="9" s="1"/>
  <c r="AF83" i="9" s="1"/>
  <c r="AU83" i="9"/>
  <c r="AN83" i="9"/>
  <c r="AP83" i="9" s="1"/>
  <c r="AM83" i="9"/>
  <c r="AL83" i="9"/>
  <c r="BN83" i="9" s="1"/>
  <c r="V83" i="9"/>
  <c r="U83" i="9"/>
  <c r="Y83" i="9" s="1"/>
  <c r="P83" i="9"/>
  <c r="X83" i="9" s="1"/>
  <c r="M83" i="9"/>
  <c r="I83" i="9"/>
  <c r="DI82" i="9"/>
  <c r="DH82" i="9"/>
  <c r="DG82" i="9"/>
  <c r="DF82" i="9"/>
  <c r="DB82" i="9"/>
  <c r="CC82" i="9"/>
  <c r="CB82" i="9"/>
  <c r="BS82" i="9"/>
  <c r="BR82" i="9"/>
  <c r="BN82" i="9"/>
  <c r="BM82" i="9"/>
  <c r="BD82" i="9"/>
  <c r="BC82" i="9"/>
  <c r="BH82" i="9" s="1"/>
  <c r="BK82" i="9" s="1"/>
  <c r="AY82" i="9"/>
  <c r="AV82" i="9"/>
  <c r="AZ82" i="9" s="1"/>
  <c r="AU82" i="9"/>
  <c r="AN82" i="9"/>
  <c r="AP82" i="9" s="1"/>
  <c r="AM82" i="9"/>
  <c r="AO82" i="9" s="1"/>
  <c r="AL82" i="9"/>
  <c r="AG82" i="9"/>
  <c r="Z82" i="9"/>
  <c r="AF82" i="9" s="1"/>
  <c r="U82" i="9"/>
  <c r="Q82" i="9"/>
  <c r="O82" i="9"/>
  <c r="M82" i="9"/>
  <c r="I82" i="9"/>
  <c r="R82" i="9" s="1"/>
  <c r="DH81" i="9"/>
  <c r="DG81" i="9"/>
  <c r="DF81" i="9"/>
  <c r="CB81" i="9"/>
  <c r="DI81" i="9" s="1"/>
  <c r="BS81" i="9"/>
  <c r="BR81" i="9"/>
  <c r="BM81" i="9"/>
  <c r="BG81" i="9"/>
  <c r="BJ81" i="9" s="1"/>
  <c r="BC81" i="9"/>
  <c r="AV81" i="9" s="1"/>
  <c r="AU81" i="9"/>
  <c r="AN81" i="9"/>
  <c r="AP81" i="9" s="1"/>
  <c r="AM81" i="9"/>
  <c r="AL81" i="9"/>
  <c r="CC81" i="9" s="1"/>
  <c r="X81" i="9"/>
  <c r="V81" i="9"/>
  <c r="U81" i="9"/>
  <c r="O81" i="9"/>
  <c r="M81" i="9"/>
  <c r="I81" i="9"/>
  <c r="R81" i="9" s="1"/>
  <c r="DH80" i="9"/>
  <c r="DG80" i="9"/>
  <c r="DF80" i="9"/>
  <c r="DB80" i="9"/>
  <c r="CB80" i="9"/>
  <c r="DI80" i="9" s="1"/>
  <c r="BS80" i="9"/>
  <c r="BR80" i="9"/>
  <c r="BQ80" i="9"/>
  <c r="BN80" i="9"/>
  <c r="BM80" i="9"/>
  <c r="BL80" i="9"/>
  <c r="BC80" i="9"/>
  <c r="AV80" i="9" s="1"/>
  <c r="BB80" i="9"/>
  <c r="AU80" i="9"/>
  <c r="AS80" i="9"/>
  <c r="AQ80" i="9"/>
  <c r="AN80" i="9"/>
  <c r="AM80" i="9"/>
  <c r="BG80" i="9" s="1"/>
  <c r="BJ80" i="9" s="1"/>
  <c r="AL80" i="9"/>
  <c r="CC80" i="9" s="1"/>
  <c r="U80" i="9"/>
  <c r="CP80" i="9" s="1"/>
  <c r="P80" i="9"/>
  <c r="R80" i="9" s="1"/>
  <c r="O80" i="9"/>
  <c r="M80" i="9"/>
  <c r="I80" i="9"/>
  <c r="Q80" i="9" s="1"/>
  <c r="DH79" i="9"/>
  <c r="DG79" i="9"/>
  <c r="DF79" i="9"/>
  <c r="DD79" i="9"/>
  <c r="DB79" i="9"/>
  <c r="CC79" i="9"/>
  <c r="CB79" i="9"/>
  <c r="DI79" i="9" s="1"/>
  <c r="BS79" i="9"/>
  <c r="BR79" i="9"/>
  <c r="BN79" i="9"/>
  <c r="BM79" i="9"/>
  <c r="BD79" i="9"/>
  <c r="BF79" i="9" s="1"/>
  <c r="BC79" i="9"/>
  <c r="BH79" i="9" s="1"/>
  <c r="BK79" i="9" s="1"/>
  <c r="AY79" i="9"/>
  <c r="AU79" i="9"/>
  <c r="AN79" i="9"/>
  <c r="AP79" i="9" s="1"/>
  <c r="AM79" i="9"/>
  <c r="AO79" i="9" s="1"/>
  <c r="AL79" i="9"/>
  <c r="AG79" i="9"/>
  <c r="U79" i="9"/>
  <c r="P79" i="9"/>
  <c r="R79" i="9" s="1"/>
  <c r="O79" i="9"/>
  <c r="M79" i="9"/>
  <c r="I79" i="9"/>
  <c r="Q79" i="9" s="1"/>
  <c r="DH78" i="9"/>
  <c r="DG78" i="9"/>
  <c r="DD78" i="9"/>
  <c r="DB78" i="9"/>
  <c r="BY78" i="9"/>
  <c r="DF78" i="9" s="1"/>
  <c r="BS78" i="9"/>
  <c r="BR78" i="9"/>
  <c r="BQ78" i="9"/>
  <c r="BM78" i="9"/>
  <c r="BL78" i="9"/>
  <c r="BI78" i="9"/>
  <c r="BC78" i="9"/>
  <c r="BB78" i="9"/>
  <c r="AU78" i="9" s="1"/>
  <c r="AV78" i="9"/>
  <c r="Z78" i="9" s="1"/>
  <c r="AF78" i="9" s="1"/>
  <c r="AS78" i="9"/>
  <c r="AM78" i="9" s="1"/>
  <c r="BG78" i="9" s="1"/>
  <c r="BJ78" i="9" s="1"/>
  <c r="AQ78" i="9"/>
  <c r="AN78" i="9"/>
  <c r="AL78" i="9"/>
  <c r="P78" i="9"/>
  <c r="R78" i="9" s="1"/>
  <c r="M78" i="9"/>
  <c r="I78" i="9"/>
  <c r="DI77" i="9"/>
  <c r="DH77" i="9"/>
  <c r="DG77" i="9"/>
  <c r="DF77" i="9"/>
  <c r="DB77" i="9"/>
  <c r="CB77" i="9"/>
  <c r="BS77" i="9"/>
  <c r="BR77" i="9"/>
  <c r="BQ77" i="9"/>
  <c r="BQ404" i="9" s="1"/>
  <c r="BM77" i="9"/>
  <c r="BL77" i="9"/>
  <c r="BL404" i="9" s="1"/>
  <c r="BC77" i="9"/>
  <c r="BB77" i="9"/>
  <c r="BB404" i="9" s="1"/>
  <c r="AV77" i="9"/>
  <c r="Z77" i="9" s="1"/>
  <c r="AF77" i="9" s="1"/>
  <c r="AS77" i="9"/>
  <c r="AS404" i="9" s="1"/>
  <c r="AQ77" i="9"/>
  <c r="AQ404" i="9" s="1"/>
  <c r="AN77" i="9"/>
  <c r="AL77" i="9"/>
  <c r="CC77" i="9" s="1"/>
  <c r="O77" i="9"/>
  <c r="M77" i="9"/>
  <c r="I77" i="9"/>
  <c r="R77" i="9" s="1"/>
  <c r="DH76" i="9"/>
  <c r="DG76" i="9"/>
  <c r="DF76" i="9"/>
  <c r="DB76" i="9"/>
  <c r="CB76" i="9"/>
  <c r="DI76" i="9" s="1"/>
  <c r="BS76" i="9"/>
  <c r="BR76" i="9"/>
  <c r="BM76" i="9"/>
  <c r="BG76" i="9"/>
  <c r="BJ76" i="9" s="1"/>
  <c r="BC76" i="9"/>
  <c r="AV76" i="9" s="1"/>
  <c r="Z76" i="9" s="1"/>
  <c r="AF76" i="9" s="1"/>
  <c r="AU76" i="9"/>
  <c r="AN76" i="9"/>
  <c r="AP76" i="9" s="1"/>
  <c r="AM76" i="9"/>
  <c r="AL76" i="9"/>
  <c r="CC76" i="9" s="1"/>
  <c r="X76" i="9"/>
  <c r="V76" i="9"/>
  <c r="U76" i="9"/>
  <c r="CP76" i="9" s="1"/>
  <c r="O76" i="9"/>
  <c r="M76" i="9"/>
  <c r="I76" i="9"/>
  <c r="R76" i="9" s="1"/>
  <c r="DH75" i="9"/>
  <c r="DG75" i="9"/>
  <c r="DD75" i="9"/>
  <c r="DB75" i="9"/>
  <c r="BY75" i="9"/>
  <c r="DF75" i="9" s="1"/>
  <c r="BS75" i="9"/>
  <c r="BS72" i="9" s="1"/>
  <c r="BR75" i="9"/>
  <c r="BM75" i="9"/>
  <c r="BI75" i="9"/>
  <c r="BI404" i="9" s="1"/>
  <c r="BD75" i="9"/>
  <c r="BC75" i="9"/>
  <c r="BH75" i="9" s="1"/>
  <c r="AU75" i="9"/>
  <c r="AN75" i="9"/>
  <c r="AP75" i="9" s="1"/>
  <c r="AM75" i="9"/>
  <c r="AO75" i="9" s="1"/>
  <c r="AL75" i="9"/>
  <c r="U75" i="9"/>
  <c r="P75" i="9"/>
  <c r="P404" i="9" s="1"/>
  <c r="O75" i="9"/>
  <c r="M75" i="9"/>
  <c r="I75" i="9"/>
  <c r="Q75" i="9" s="1"/>
  <c r="DH74" i="9"/>
  <c r="DG74" i="9"/>
  <c r="DF74" i="9"/>
  <c r="DD74" i="9"/>
  <c r="DB74" i="9"/>
  <c r="CB74" i="9"/>
  <c r="DI74" i="9" s="1"/>
  <c r="BS74" i="9"/>
  <c r="BR74" i="9"/>
  <c r="BM74" i="9"/>
  <c r="BC74" i="9"/>
  <c r="AV74" i="9" s="1"/>
  <c r="Z74" i="9" s="1"/>
  <c r="AE74" i="9" s="1"/>
  <c r="AU74" i="9"/>
  <c r="AN74" i="9"/>
  <c r="AM74" i="9"/>
  <c r="AO74" i="9" s="1"/>
  <c r="AL74" i="9"/>
  <c r="CC74" i="9" s="1"/>
  <c r="U74" i="9"/>
  <c r="Q74" i="9"/>
  <c r="O74" i="9"/>
  <c r="M74" i="9"/>
  <c r="I74" i="9"/>
  <c r="R74" i="9" s="1"/>
  <c r="DH73" i="9"/>
  <c r="DG73" i="9"/>
  <c r="DF73" i="9"/>
  <c r="DD73" i="9"/>
  <c r="DB73" i="9"/>
  <c r="DB404" i="9" s="1"/>
  <c r="CB73" i="9"/>
  <c r="DI73" i="9" s="1"/>
  <c r="BS73" i="9"/>
  <c r="BR73" i="9"/>
  <c r="BR404" i="9" s="1"/>
  <c r="BM73" i="9"/>
  <c r="BC73" i="9"/>
  <c r="BC404" i="9" s="1"/>
  <c r="AU73" i="9"/>
  <c r="AN73" i="9"/>
  <c r="AP73" i="9" s="1"/>
  <c r="AM73" i="9"/>
  <c r="BG73" i="9" s="1"/>
  <c r="AL73" i="9"/>
  <c r="CC73" i="9" s="1"/>
  <c r="X73" i="9"/>
  <c r="V73" i="9"/>
  <c r="U73" i="9"/>
  <c r="O73" i="9"/>
  <c r="M73" i="9"/>
  <c r="M404" i="9" s="1"/>
  <c r="I73" i="9"/>
  <c r="I404" i="9" s="1"/>
  <c r="DH72" i="9"/>
  <c r="DB72" i="9"/>
  <c r="CA72" i="9"/>
  <c r="BZ72" i="9"/>
  <c r="DG72" i="9" s="1"/>
  <c r="BY72" i="9"/>
  <c r="DF72" i="9" s="1"/>
  <c r="BW72" i="9"/>
  <c r="BV72" i="9"/>
  <c r="BU72" i="9"/>
  <c r="BR72" i="9"/>
  <c r="BQ72" i="9"/>
  <c r="BQ460" i="9" s="1"/>
  <c r="BQ501" i="9" s="1"/>
  <c r="BM72" i="9"/>
  <c r="BL72" i="9"/>
  <c r="BL460" i="9" s="1"/>
  <c r="BL501" i="9" s="1"/>
  <c r="BI72" i="9"/>
  <c r="BB72" i="9"/>
  <c r="BB460" i="9" s="1"/>
  <c r="BB501" i="9" s="1"/>
  <c r="AT72" i="9"/>
  <c r="AS72" i="9"/>
  <c r="AS460" i="9" s="1"/>
  <c r="AS501" i="9" s="1"/>
  <c r="AR72" i="9"/>
  <c r="AQ72" i="9"/>
  <c r="AQ460" i="9" s="1"/>
  <c r="AQ501" i="9" s="1"/>
  <c r="AN72" i="9"/>
  <c r="AP72" i="9" s="1"/>
  <c r="AM72" i="9"/>
  <c r="BG72" i="9" s="1"/>
  <c r="BJ72" i="9" s="1"/>
  <c r="AL72" i="9"/>
  <c r="T72" i="9"/>
  <c r="T460" i="9" s="1"/>
  <c r="T501" i="9" s="1"/>
  <c r="S72" i="9"/>
  <c r="P72" i="9"/>
  <c r="R72" i="9" s="1"/>
  <c r="N72" i="9"/>
  <c r="M72" i="9"/>
  <c r="L72" i="9"/>
  <c r="K72" i="9"/>
  <c r="J72" i="9"/>
  <c r="I72" i="9"/>
  <c r="H72" i="9"/>
  <c r="G72" i="9"/>
  <c r="F72" i="9"/>
  <c r="E72" i="9"/>
  <c r="D72" i="9"/>
  <c r="C72" i="9"/>
  <c r="DH71" i="9"/>
  <c r="DG71" i="9"/>
  <c r="DF71" i="9"/>
  <c r="DB71" i="9"/>
  <c r="CB71" i="9"/>
  <c r="DI71" i="9" s="1"/>
  <c r="BS71" i="9"/>
  <c r="BR71" i="9"/>
  <c r="BM71" i="9"/>
  <c r="BC71" i="9"/>
  <c r="AU71" i="9"/>
  <c r="AN71" i="9"/>
  <c r="AP71" i="9" s="1"/>
  <c r="AM71" i="9"/>
  <c r="BG71" i="9" s="1"/>
  <c r="BJ71" i="9" s="1"/>
  <c r="AL71" i="9"/>
  <c r="CC71" i="9" s="1"/>
  <c r="U71" i="9"/>
  <c r="O71" i="9"/>
  <c r="M71" i="9"/>
  <c r="I71" i="9"/>
  <c r="R71" i="9" s="1"/>
  <c r="DH70" i="9"/>
  <c r="DG70" i="9"/>
  <c r="DB70" i="9"/>
  <c r="BY70" i="9"/>
  <c r="DF70" i="9" s="1"/>
  <c r="BS70" i="9"/>
  <c r="BR70" i="9"/>
  <c r="BM70" i="9"/>
  <c r="BI70" i="9"/>
  <c r="BC70" i="9"/>
  <c r="AV70" i="9" s="1"/>
  <c r="Z70" i="9" s="1"/>
  <c r="AE70" i="9" s="1"/>
  <c r="AU70" i="9"/>
  <c r="AN70" i="9"/>
  <c r="BH70" i="9" s="1"/>
  <c r="AM70" i="9"/>
  <c r="BG70" i="9" s="1"/>
  <c r="BJ70" i="9" s="1"/>
  <c r="AL70" i="9"/>
  <c r="U70" i="9"/>
  <c r="P70" i="9"/>
  <c r="R70" i="9" s="1"/>
  <c r="O70" i="9"/>
  <c r="M70" i="9"/>
  <c r="I70" i="9"/>
  <c r="Q70" i="9" s="1"/>
  <c r="DH69" i="9"/>
  <c r="DG69" i="9"/>
  <c r="DB69" i="9"/>
  <c r="BY69" i="9"/>
  <c r="DF69" i="9" s="1"/>
  <c r="BS69" i="9"/>
  <c r="BR69" i="9"/>
  <c r="BM69" i="9"/>
  <c r="BI69" i="9"/>
  <c r="BC69" i="9"/>
  <c r="AV69" i="9" s="1"/>
  <c r="Z69" i="9" s="1"/>
  <c r="AE69" i="9" s="1"/>
  <c r="AU69" i="9"/>
  <c r="AN69" i="9"/>
  <c r="BH69" i="9" s="1"/>
  <c r="AM69" i="9"/>
  <c r="AO69" i="9" s="1"/>
  <c r="AL69" i="9"/>
  <c r="U69" i="9"/>
  <c r="P69" i="9"/>
  <c r="Q69" i="9" s="1"/>
  <c r="O69" i="9"/>
  <c r="M69" i="9"/>
  <c r="I69" i="9"/>
  <c r="DH68" i="9"/>
  <c r="DG68" i="9"/>
  <c r="DB68" i="9"/>
  <c r="BY68" i="9"/>
  <c r="DF68" i="9" s="1"/>
  <c r="BS68" i="9"/>
  <c r="BR68" i="9"/>
  <c r="BM68" i="9"/>
  <c r="BI68" i="9"/>
  <c r="BJ68" i="9" s="1"/>
  <c r="BC68" i="9"/>
  <c r="AV68" i="9" s="1"/>
  <c r="Z68" i="9" s="1"/>
  <c r="AE68" i="9" s="1"/>
  <c r="AU68" i="9"/>
  <c r="AN68" i="9"/>
  <c r="AM68" i="9"/>
  <c r="BG68" i="9" s="1"/>
  <c r="AL68" i="9"/>
  <c r="V68" i="9"/>
  <c r="U68" i="9"/>
  <c r="P68" i="9"/>
  <c r="Q68" i="9" s="1"/>
  <c r="M68" i="9"/>
  <c r="I68" i="9"/>
  <c r="DB67" i="9"/>
  <c r="CA67" i="9"/>
  <c r="DH67" i="9" s="1"/>
  <c r="BZ67" i="9"/>
  <c r="DG67" i="9" s="1"/>
  <c r="BY67" i="9"/>
  <c r="DF67" i="9" s="1"/>
  <c r="BU67" i="9"/>
  <c r="BS67" i="9"/>
  <c r="BR67" i="9"/>
  <c r="BM67" i="9"/>
  <c r="BI67" i="9"/>
  <c r="BC67" i="9"/>
  <c r="AV67" i="9"/>
  <c r="Z67" i="9" s="1"/>
  <c r="AF67" i="9" s="1"/>
  <c r="AU67" i="9"/>
  <c r="AN67" i="9"/>
  <c r="AP67" i="9" s="1"/>
  <c r="AM67" i="9"/>
  <c r="BG67" i="9" s="1"/>
  <c r="BJ67" i="9" s="1"/>
  <c r="AL67" i="9"/>
  <c r="U67" i="9"/>
  <c r="P67" i="9"/>
  <c r="P373" i="9" s="1"/>
  <c r="M67" i="9"/>
  <c r="I67" i="9"/>
  <c r="DH66" i="9"/>
  <c r="DG66" i="9"/>
  <c r="DB66" i="9"/>
  <c r="CB66" i="9"/>
  <c r="DI66" i="9" s="1"/>
  <c r="BY66" i="9"/>
  <c r="DF66" i="9" s="1"/>
  <c r="BS66" i="9"/>
  <c r="BR66" i="9"/>
  <c r="BM66" i="9"/>
  <c r="BI66" i="9"/>
  <c r="BG66" i="9"/>
  <c r="BC66" i="9"/>
  <c r="AV66" i="9" s="1"/>
  <c r="AU66" i="9"/>
  <c r="AN66" i="9"/>
  <c r="AP66" i="9" s="1"/>
  <c r="AM66" i="9"/>
  <c r="AL66" i="9"/>
  <c r="BN66" i="9" s="1"/>
  <c r="V66" i="9"/>
  <c r="U66" i="9"/>
  <c r="P66" i="9"/>
  <c r="Y66" i="9" s="1"/>
  <c r="M66" i="9"/>
  <c r="I66" i="9"/>
  <c r="DH65" i="9"/>
  <c r="DG65" i="9"/>
  <c r="DF65" i="9"/>
  <c r="DB65" i="9"/>
  <c r="CB65" i="9"/>
  <c r="DI65" i="9" s="1"/>
  <c r="BS65" i="9"/>
  <c r="BR65" i="9"/>
  <c r="BM65" i="9"/>
  <c r="BG65" i="9"/>
  <c r="BJ65" i="9" s="1"/>
  <c r="BC65" i="9"/>
  <c r="AV65" i="9" s="1"/>
  <c r="AU65" i="9"/>
  <c r="AN65" i="9"/>
  <c r="AP65" i="9" s="1"/>
  <c r="AM65" i="9"/>
  <c r="AL65" i="9"/>
  <c r="CC65" i="9" s="1"/>
  <c r="Y65" i="9"/>
  <c r="V65" i="9"/>
  <c r="U65" i="9"/>
  <c r="O65" i="9"/>
  <c r="M65" i="9"/>
  <c r="I65" i="9"/>
  <c r="R65" i="9" s="1"/>
  <c r="DH64" i="9"/>
  <c r="DG64" i="9"/>
  <c r="DB64" i="9"/>
  <c r="BY64" i="9"/>
  <c r="DF64" i="9" s="1"/>
  <c r="BS64" i="9"/>
  <c r="BR64" i="9"/>
  <c r="BM64" i="9"/>
  <c r="BI64" i="9"/>
  <c r="BD64" i="9"/>
  <c r="BC64" i="9"/>
  <c r="BH64" i="9" s="1"/>
  <c r="AU64" i="9"/>
  <c r="AN64" i="9"/>
  <c r="AP64" i="9" s="1"/>
  <c r="AM64" i="9"/>
  <c r="AO64" i="9" s="1"/>
  <c r="AL64" i="9"/>
  <c r="BN64" i="9" s="1"/>
  <c r="U64" i="9"/>
  <c r="P64" i="9"/>
  <c r="R64" i="9" s="1"/>
  <c r="O64" i="9"/>
  <c r="M64" i="9"/>
  <c r="I64" i="9"/>
  <c r="Q64" i="9" s="1"/>
  <c r="DH63" i="9"/>
  <c r="DG63" i="9"/>
  <c r="DF63" i="9"/>
  <c r="DB63" i="9"/>
  <c r="CC63" i="9"/>
  <c r="CB63" i="9"/>
  <c r="DI63" i="9" s="1"/>
  <c r="BS63" i="9"/>
  <c r="BR63" i="9"/>
  <c r="BN63" i="9"/>
  <c r="BM63" i="9"/>
  <c r="BD63" i="9"/>
  <c r="BC63" i="9"/>
  <c r="BH63" i="9" s="1"/>
  <c r="BK63" i="9" s="1"/>
  <c r="AY63" i="9"/>
  <c r="AV63" i="9"/>
  <c r="AZ63" i="9" s="1"/>
  <c r="AU63" i="9"/>
  <c r="AN63" i="9"/>
  <c r="AP63" i="9" s="1"/>
  <c r="AM63" i="9"/>
  <c r="AO63" i="9" s="1"/>
  <c r="AL63" i="9"/>
  <c r="AG63" i="9"/>
  <c r="Z63" i="9"/>
  <c r="AF63" i="9" s="1"/>
  <c r="U63" i="9"/>
  <c r="Q63" i="9"/>
  <c r="O63" i="9"/>
  <c r="M63" i="9"/>
  <c r="I63" i="9"/>
  <c r="R63" i="9" s="1"/>
  <c r="DH62" i="9"/>
  <c r="DG62" i="9"/>
  <c r="DB62" i="9"/>
  <c r="CB62" i="9"/>
  <c r="DI62" i="9" s="1"/>
  <c r="BY62" i="9"/>
  <c r="DF62" i="9" s="1"/>
  <c r="BS62" i="9"/>
  <c r="BR62" i="9"/>
  <c r="BM62" i="9"/>
  <c r="BI62" i="9"/>
  <c r="BG62" i="9"/>
  <c r="BC62" i="9"/>
  <c r="AU62" i="9"/>
  <c r="AN62" i="9"/>
  <c r="AP62" i="9" s="1"/>
  <c r="AM62" i="9"/>
  <c r="AL62" i="9"/>
  <c r="BN62" i="9" s="1"/>
  <c r="X62" i="9"/>
  <c r="V62" i="9"/>
  <c r="U62" i="9"/>
  <c r="O62" i="9"/>
  <c r="M62" i="9"/>
  <c r="I62" i="9"/>
  <c r="R62" i="9" s="1"/>
  <c r="DH61" i="9"/>
  <c r="DG61" i="9"/>
  <c r="DB61" i="9"/>
  <c r="BY61" i="9"/>
  <c r="DF61" i="9" s="1"/>
  <c r="BS61" i="9"/>
  <c r="BR61" i="9"/>
  <c r="BM61" i="9"/>
  <c r="BI61" i="9"/>
  <c r="BD61" i="9"/>
  <c r="BC61" i="9"/>
  <c r="BH61" i="9" s="1"/>
  <c r="AU61" i="9"/>
  <c r="AN61" i="9"/>
  <c r="AP61" i="9" s="1"/>
  <c r="AM61" i="9"/>
  <c r="AO61" i="9" s="1"/>
  <c r="AL61" i="9"/>
  <c r="BN61" i="9" s="1"/>
  <c r="U61" i="9"/>
  <c r="P61" i="9"/>
  <c r="R61" i="9" s="1"/>
  <c r="O61" i="9"/>
  <c r="M61" i="9"/>
  <c r="I61" i="9"/>
  <c r="Q61" i="9" s="1"/>
  <c r="E61" i="9"/>
  <c r="E370" i="9" s="1"/>
  <c r="D61" i="9"/>
  <c r="D370" i="9" s="1"/>
  <c r="C61" i="9"/>
  <c r="C370" i="9" s="1"/>
  <c r="DB60" i="9"/>
  <c r="CA60" i="9"/>
  <c r="DH60" i="9" s="1"/>
  <c r="BZ60" i="9"/>
  <c r="DG60" i="9" s="1"/>
  <c r="BY60" i="9"/>
  <c r="DF60" i="9" s="1"/>
  <c r="BU60" i="9"/>
  <c r="BS60" i="9"/>
  <c r="BR60" i="9"/>
  <c r="BM60" i="9"/>
  <c r="BC60" i="9"/>
  <c r="AV60" i="9" s="1"/>
  <c r="Z60" i="9" s="1"/>
  <c r="AE60" i="9" s="1"/>
  <c r="AU60" i="9"/>
  <c r="AN60" i="9"/>
  <c r="AP60" i="9" s="1"/>
  <c r="AM60" i="9"/>
  <c r="BG60" i="9" s="1"/>
  <c r="BJ60" i="9" s="1"/>
  <c r="AL60" i="9"/>
  <c r="Y60" i="9"/>
  <c r="V60" i="9"/>
  <c r="U60" i="9"/>
  <c r="O60" i="9"/>
  <c r="M60" i="9"/>
  <c r="I60" i="9"/>
  <c r="R60" i="9" s="1"/>
  <c r="DB59" i="9"/>
  <c r="CA59" i="9"/>
  <c r="DH59" i="9" s="1"/>
  <c r="BZ59" i="9"/>
  <c r="DG59" i="9" s="1"/>
  <c r="BY59" i="9"/>
  <c r="DF59" i="9" s="1"/>
  <c r="BU59" i="9"/>
  <c r="BS59" i="9"/>
  <c r="BR59" i="9"/>
  <c r="BM59" i="9"/>
  <c r="BI59" i="9"/>
  <c r="BC59" i="9"/>
  <c r="AV59" i="9" s="1"/>
  <c r="Z59" i="9" s="1"/>
  <c r="AF59" i="9" s="1"/>
  <c r="AU59" i="9"/>
  <c r="AN59" i="9"/>
  <c r="AP59" i="9" s="1"/>
  <c r="AM59" i="9"/>
  <c r="BG59" i="9" s="1"/>
  <c r="AL59" i="9"/>
  <c r="V59" i="9"/>
  <c r="U59" i="9"/>
  <c r="P59" i="9"/>
  <c r="R59" i="9" s="1"/>
  <c r="M59" i="9"/>
  <c r="I59" i="9"/>
  <c r="E59" i="9"/>
  <c r="E374" i="9" s="1"/>
  <c r="D59" i="9"/>
  <c r="D374" i="9" s="1"/>
  <c r="C59" i="9"/>
  <c r="C374" i="9" s="1"/>
  <c r="DB58" i="9"/>
  <c r="CA58" i="9"/>
  <c r="DH58" i="9" s="1"/>
  <c r="BZ58" i="9"/>
  <c r="DG58" i="9" s="1"/>
  <c r="BY58" i="9"/>
  <c r="DF58" i="9" s="1"/>
  <c r="BU58" i="9"/>
  <c r="BS58" i="9"/>
  <c r="BR58" i="9"/>
  <c r="BM58" i="9"/>
  <c r="BC58" i="9"/>
  <c r="AV58" i="9" s="1"/>
  <c r="Z58" i="9" s="1"/>
  <c r="AF58" i="9" s="1"/>
  <c r="AU58" i="9"/>
  <c r="AN58" i="9"/>
  <c r="AM58" i="9"/>
  <c r="AO58" i="9" s="1"/>
  <c r="AL58" i="9"/>
  <c r="U58" i="9"/>
  <c r="P58" i="9"/>
  <c r="R58" i="9" s="1"/>
  <c r="O58" i="9"/>
  <c r="M58" i="9"/>
  <c r="I58" i="9"/>
  <c r="Q58" i="9" s="1"/>
  <c r="DB57" i="9"/>
  <c r="DB405" i="9" s="1"/>
  <c r="CA57" i="9"/>
  <c r="DH57" i="9" s="1"/>
  <c r="BZ57" i="9"/>
  <c r="DG57" i="9" s="1"/>
  <c r="BY57" i="9"/>
  <c r="DF57" i="9" s="1"/>
  <c r="BU57" i="9"/>
  <c r="BS57" i="9"/>
  <c r="BR57" i="9"/>
  <c r="BR405" i="9" s="1"/>
  <c r="BM57" i="9"/>
  <c r="BM405" i="9" s="1"/>
  <c r="BI57" i="9"/>
  <c r="BI405" i="9" s="1"/>
  <c r="BC57" i="9"/>
  <c r="BC405" i="9" s="1"/>
  <c r="AU57" i="9"/>
  <c r="AN57" i="9"/>
  <c r="AP57" i="9" s="1"/>
  <c r="AM57" i="9"/>
  <c r="BG57" i="9" s="1"/>
  <c r="AL57" i="9"/>
  <c r="U57" i="9"/>
  <c r="U405" i="9" s="1"/>
  <c r="P57" i="9"/>
  <c r="P405" i="9" s="1"/>
  <c r="O57" i="9"/>
  <c r="M57" i="9"/>
  <c r="M405" i="9" s="1"/>
  <c r="I57" i="9"/>
  <c r="I405" i="9" s="1"/>
  <c r="DB56" i="9"/>
  <c r="CR56" i="9"/>
  <c r="CA56" i="9"/>
  <c r="DH56" i="9" s="1"/>
  <c r="BZ56" i="9"/>
  <c r="DG56" i="9" s="1"/>
  <c r="BY56" i="9"/>
  <c r="DF56" i="9" s="1"/>
  <c r="BW56" i="9"/>
  <c r="BV56" i="9"/>
  <c r="BU56" i="9"/>
  <c r="BS56" i="9"/>
  <c r="BR56" i="9"/>
  <c r="BQ56" i="9"/>
  <c r="BQ461" i="9" s="1"/>
  <c r="BQ502" i="9" s="1"/>
  <c r="BM56" i="9"/>
  <c r="BL56" i="9"/>
  <c r="BL461" i="9" s="1"/>
  <c r="BL502" i="9" s="1"/>
  <c r="BI56" i="9"/>
  <c r="BC56" i="9"/>
  <c r="BB56" i="9"/>
  <c r="BB461" i="9" s="1"/>
  <c r="BB502" i="9" s="1"/>
  <c r="AV56" i="9"/>
  <c r="Z56" i="9" s="1"/>
  <c r="AE56" i="9" s="1"/>
  <c r="AU56" i="9"/>
  <c r="AT56" i="9"/>
  <c r="AS56" i="9"/>
  <c r="AS461" i="9" s="1"/>
  <c r="AS502" i="9" s="1"/>
  <c r="AR56" i="9"/>
  <c r="AQ56" i="9"/>
  <c r="AQ461" i="9" s="1"/>
  <c r="AQ502" i="9" s="1"/>
  <c r="AN56" i="9"/>
  <c r="AO56" i="9" s="1"/>
  <c r="AM56" i="9"/>
  <c r="BG56" i="9" s="1"/>
  <c r="AL56" i="9"/>
  <c r="U56" i="9"/>
  <c r="U461" i="9" s="1"/>
  <c r="U502" i="9" s="1"/>
  <c r="T56" i="9"/>
  <c r="T461" i="9" s="1"/>
  <c r="T502" i="9" s="1"/>
  <c r="S56" i="9"/>
  <c r="P56" i="9"/>
  <c r="Q56" i="9" s="1"/>
  <c r="N56" i="9"/>
  <c r="M56" i="9"/>
  <c r="L56" i="9"/>
  <c r="K56" i="9"/>
  <c r="J56" i="9"/>
  <c r="I56" i="9"/>
  <c r="H56" i="9"/>
  <c r="G56" i="9"/>
  <c r="F56" i="9"/>
  <c r="E56" i="9"/>
  <c r="D56" i="9"/>
  <c r="C56" i="9"/>
  <c r="DH55" i="9"/>
  <c r="DG55" i="9"/>
  <c r="DF55" i="9"/>
  <c r="CB55" i="9"/>
  <c r="DI55" i="9" s="1"/>
  <c r="AV55" i="9"/>
  <c r="AU55" i="9"/>
  <c r="AN55" i="9"/>
  <c r="AO55" i="9" s="1"/>
  <c r="AM55" i="9"/>
  <c r="BG55" i="9" s="1"/>
  <c r="BJ55" i="9" s="1"/>
  <c r="AL55" i="9"/>
  <c r="CC55" i="9" s="1"/>
  <c r="Z55" i="9"/>
  <c r="AE55" i="9" s="1"/>
  <c r="X55" i="9"/>
  <c r="V55" i="9"/>
  <c r="U55" i="9"/>
  <c r="O55" i="9"/>
  <c r="M55" i="9"/>
  <c r="I55" i="9"/>
  <c r="Q55" i="9" s="1"/>
  <c r="DH54" i="9"/>
  <c r="DG54" i="9"/>
  <c r="DF54" i="9"/>
  <c r="DB54" i="9"/>
  <c r="CB54" i="9"/>
  <c r="DI54" i="9" s="1"/>
  <c r="BY54" i="9"/>
  <c r="BS54" i="9"/>
  <c r="BR54" i="9"/>
  <c r="BM54" i="9"/>
  <c r="BI54" i="9"/>
  <c r="BC54" i="9"/>
  <c r="AV54" i="9" s="1"/>
  <c r="Z54" i="9" s="1"/>
  <c r="AE54" i="9" s="1"/>
  <c r="AU54" i="9"/>
  <c r="AN54" i="9"/>
  <c r="AM54" i="9"/>
  <c r="BG54" i="9" s="1"/>
  <c r="AL54" i="9"/>
  <c r="CC54" i="9" s="1"/>
  <c r="U54" i="9"/>
  <c r="P54" i="9"/>
  <c r="R54" i="9" s="1"/>
  <c r="O54" i="9"/>
  <c r="M54" i="9"/>
  <c r="I54" i="9"/>
  <c r="Q54" i="9" s="1"/>
  <c r="DH53" i="9"/>
  <c r="DG53" i="9"/>
  <c r="DF53" i="9"/>
  <c r="CB53" i="9"/>
  <c r="DI53" i="9" s="1"/>
  <c r="AV53" i="9"/>
  <c r="AU53" i="9"/>
  <c r="AW53" i="9" s="1"/>
  <c r="AN53" i="9"/>
  <c r="BH53" i="9" s="1"/>
  <c r="BK53" i="9" s="1"/>
  <c r="AM53" i="9"/>
  <c r="BG53" i="9" s="1"/>
  <c r="BJ53" i="9" s="1"/>
  <c r="AL53" i="9"/>
  <c r="CC53" i="9" s="1"/>
  <c r="AE53" i="9"/>
  <c r="AA53" i="9"/>
  <c r="Z53" i="9"/>
  <c r="AF53" i="9" s="1"/>
  <c r="U53" i="9"/>
  <c r="Q53" i="9"/>
  <c r="O53" i="9"/>
  <c r="M53" i="9"/>
  <c r="I53" i="9"/>
  <c r="R53" i="9" s="1"/>
  <c r="DG52" i="9"/>
  <c r="DB52" i="9"/>
  <c r="DB401" i="9" s="1"/>
  <c r="CA52" i="9"/>
  <c r="DH52" i="9" s="1"/>
  <c r="BZ52" i="9"/>
  <c r="BY52" i="9"/>
  <c r="DF52" i="9" s="1"/>
  <c r="BS52" i="9"/>
  <c r="BR52" i="9"/>
  <c r="BR401" i="9" s="1"/>
  <c r="BQ52" i="9"/>
  <c r="BM52" i="9"/>
  <c r="BM401" i="9" s="1"/>
  <c r="BL52" i="9"/>
  <c r="BI52" i="9"/>
  <c r="BI401" i="9" s="1"/>
  <c r="BC52" i="9"/>
  <c r="BC401" i="9" s="1"/>
  <c r="BB52" i="9"/>
  <c r="AS52" i="9"/>
  <c r="AQ52" i="9"/>
  <c r="AN52" i="9"/>
  <c r="AL52" i="9"/>
  <c r="X52" i="9"/>
  <c r="V52" i="9"/>
  <c r="U52" i="9"/>
  <c r="S52" i="9"/>
  <c r="S401" i="9" s="1"/>
  <c r="P52" i="9"/>
  <c r="P401" i="9" s="1"/>
  <c r="O52" i="9"/>
  <c r="O401" i="9" s="1"/>
  <c r="M52" i="9"/>
  <c r="M401" i="9" s="1"/>
  <c r="I52" i="9"/>
  <c r="I401" i="9" s="1"/>
  <c r="DH51" i="9"/>
  <c r="DG51" i="9"/>
  <c r="DF51" i="9"/>
  <c r="DB51" i="9"/>
  <c r="CB51" i="9"/>
  <c r="DI51" i="9" s="1"/>
  <c r="BY51" i="9"/>
  <c r="BS51" i="9"/>
  <c r="BR51" i="9"/>
  <c r="BM51" i="9"/>
  <c r="BI51" i="9"/>
  <c r="BC51" i="9"/>
  <c r="AV51" i="9" s="1"/>
  <c r="Z51" i="9" s="1"/>
  <c r="AE51" i="9" s="1"/>
  <c r="AU51" i="9"/>
  <c r="AN51" i="9"/>
  <c r="BH51" i="9" s="1"/>
  <c r="AM51" i="9"/>
  <c r="BG51" i="9" s="1"/>
  <c r="AL51" i="9"/>
  <c r="CC51" i="9" s="1"/>
  <c r="U51" i="9"/>
  <c r="P51" i="9"/>
  <c r="R51" i="9" s="1"/>
  <c r="O51" i="9"/>
  <c r="M51" i="9"/>
  <c r="M368" i="9" s="1"/>
  <c r="I51" i="9"/>
  <c r="I368" i="9" s="1"/>
  <c r="DH50" i="9"/>
  <c r="DG50" i="9"/>
  <c r="DF50" i="9"/>
  <c r="CB50" i="9"/>
  <c r="DI50" i="9" s="1"/>
  <c r="AV50" i="9"/>
  <c r="AU50" i="9"/>
  <c r="AW50" i="9" s="1"/>
  <c r="AN50" i="9"/>
  <c r="BH50" i="9" s="1"/>
  <c r="BK50" i="9" s="1"/>
  <c r="AM50" i="9"/>
  <c r="BG50" i="9" s="1"/>
  <c r="BJ50" i="9" s="1"/>
  <c r="AL50" i="9"/>
  <c r="CC50" i="9" s="1"/>
  <c r="Z50" i="9"/>
  <c r="AF50" i="9" s="1"/>
  <c r="U50" i="9"/>
  <c r="Q50" i="9"/>
  <c r="O50" i="9"/>
  <c r="M50" i="9"/>
  <c r="I50" i="9"/>
  <c r="R50" i="9" s="1"/>
  <c r="DI49" i="9"/>
  <c r="DH49" i="9"/>
  <c r="DG49" i="9"/>
  <c r="DF49" i="9"/>
  <c r="DB49" i="9"/>
  <c r="CB49" i="9"/>
  <c r="BS49" i="9"/>
  <c r="BR49" i="9"/>
  <c r="BQ49" i="9"/>
  <c r="BM49" i="9"/>
  <c r="AV49" i="9" s="1"/>
  <c r="Z49" i="9" s="1"/>
  <c r="AF49" i="9" s="1"/>
  <c r="BL49" i="9"/>
  <c r="BD49" i="9"/>
  <c r="BE49" i="9" s="1"/>
  <c r="BC49" i="9"/>
  <c r="BH49" i="9" s="1"/>
  <c r="BK49" i="9" s="1"/>
  <c r="BB49" i="9"/>
  <c r="AU49" i="9" s="1"/>
  <c r="AS49" i="9"/>
  <c r="AN49" i="9"/>
  <c r="AP49" i="9" s="1"/>
  <c r="AM49" i="9"/>
  <c r="BG49" i="9" s="1"/>
  <c r="BJ49" i="9" s="1"/>
  <c r="AL49" i="9"/>
  <c r="BN49" i="9" s="1"/>
  <c r="U49" i="9"/>
  <c r="P49" i="9"/>
  <c r="R49" i="9" s="1"/>
  <c r="O49" i="9"/>
  <c r="M49" i="9"/>
  <c r="I49" i="9"/>
  <c r="Q49" i="9" s="1"/>
  <c r="DH48" i="9"/>
  <c r="DG48" i="9"/>
  <c r="DF48" i="9"/>
  <c r="DB48" i="9"/>
  <c r="CB48" i="9"/>
  <c r="DI48" i="9" s="1"/>
  <c r="BS48" i="9"/>
  <c r="BR48" i="9"/>
  <c r="BM48" i="9"/>
  <c r="BG48" i="9"/>
  <c r="BJ48" i="9" s="1"/>
  <c r="BC48" i="9"/>
  <c r="AV48" i="9" s="1"/>
  <c r="AU48" i="9"/>
  <c r="AN48" i="9"/>
  <c r="BH48" i="9" s="1"/>
  <c r="BK48" i="9" s="1"/>
  <c r="AM48" i="9"/>
  <c r="AL48" i="9"/>
  <c r="CC48" i="9" s="1"/>
  <c r="Y48" i="9"/>
  <c r="V48" i="9"/>
  <c r="U48" i="9"/>
  <c r="O48" i="9"/>
  <c r="M48" i="9"/>
  <c r="I48" i="9"/>
  <c r="Q48" i="9" s="1"/>
  <c r="DH47" i="9"/>
  <c r="DG47" i="9"/>
  <c r="DF47" i="9"/>
  <c r="CB47" i="9"/>
  <c r="DI47" i="9" s="1"/>
  <c r="BS47" i="9"/>
  <c r="BR47" i="9"/>
  <c r="BM47" i="9"/>
  <c r="BC47" i="9"/>
  <c r="AV47" i="9" s="1"/>
  <c r="Z47" i="9" s="1"/>
  <c r="AE47" i="9" s="1"/>
  <c r="AU47" i="9"/>
  <c r="AN47" i="9"/>
  <c r="AO47" i="9" s="1"/>
  <c r="AM47" i="9"/>
  <c r="BG47" i="9" s="1"/>
  <c r="BJ47" i="9" s="1"/>
  <c r="AL47" i="9"/>
  <c r="CC47" i="9" s="1"/>
  <c r="U47" i="9"/>
  <c r="O47" i="9"/>
  <c r="M47" i="9"/>
  <c r="I47" i="9"/>
  <c r="Q47" i="9" s="1"/>
  <c r="DH46" i="9"/>
  <c r="DG46" i="9"/>
  <c r="DF46" i="9"/>
  <c r="DB46" i="9"/>
  <c r="CB46" i="9"/>
  <c r="DI46" i="9" s="1"/>
  <c r="BY46" i="9"/>
  <c r="BS46" i="9"/>
  <c r="BR46" i="9"/>
  <c r="BQ46" i="9"/>
  <c r="BM46" i="9"/>
  <c r="BL46" i="9"/>
  <c r="BI46" i="9"/>
  <c r="BC46" i="9"/>
  <c r="BB46" i="9"/>
  <c r="AU46" i="9"/>
  <c r="AS46" i="9"/>
  <c r="AQ46" i="9"/>
  <c r="AN46" i="9"/>
  <c r="BH46" i="9" s="1"/>
  <c r="AM46" i="9"/>
  <c r="BG46" i="9" s="1"/>
  <c r="AL46" i="9"/>
  <c r="CC46" i="9" s="1"/>
  <c r="U46" i="9"/>
  <c r="P46" i="9"/>
  <c r="R46" i="9" s="1"/>
  <c r="O46" i="9"/>
  <c r="M46" i="9"/>
  <c r="I46" i="9"/>
  <c r="Q46" i="9" s="1"/>
  <c r="DH45" i="9"/>
  <c r="DG45" i="9"/>
  <c r="DF45" i="9"/>
  <c r="CC45" i="9"/>
  <c r="CB45" i="9"/>
  <c r="DI45" i="9" s="1"/>
  <c r="BS45" i="9"/>
  <c r="BR45" i="9"/>
  <c r="BN45" i="9"/>
  <c r="BO45" i="9" s="1"/>
  <c r="BM45" i="9"/>
  <c r="BD45" i="9"/>
  <c r="BE45" i="9" s="1"/>
  <c r="BC45" i="9"/>
  <c r="BH45" i="9" s="1"/>
  <c r="BK45" i="9" s="1"/>
  <c r="AY45" i="9"/>
  <c r="AV45" i="9"/>
  <c r="AZ45" i="9" s="1"/>
  <c r="AU45" i="9"/>
  <c r="AN45" i="9"/>
  <c r="AP45" i="9" s="1"/>
  <c r="AM45" i="9"/>
  <c r="BG45" i="9" s="1"/>
  <c r="BJ45" i="9" s="1"/>
  <c r="AL45" i="9"/>
  <c r="AG45" i="9"/>
  <c r="Z45" i="9"/>
  <c r="AF45" i="9" s="1"/>
  <c r="U45" i="9"/>
  <c r="Q45" i="9"/>
  <c r="O45" i="9"/>
  <c r="M45" i="9"/>
  <c r="I45" i="9"/>
  <c r="R45" i="9" s="1"/>
  <c r="DI44" i="9"/>
  <c r="DH44" i="9"/>
  <c r="DG44" i="9"/>
  <c r="DF44" i="9"/>
  <c r="DB44" i="9"/>
  <c r="CC44" i="9"/>
  <c r="CB44" i="9"/>
  <c r="BS44" i="9"/>
  <c r="BR44" i="9"/>
  <c r="BN44" i="9"/>
  <c r="BO44" i="9" s="1"/>
  <c r="BM44" i="9"/>
  <c r="BD44" i="9"/>
  <c r="BE44" i="9" s="1"/>
  <c r="BC44" i="9"/>
  <c r="BH44" i="9" s="1"/>
  <c r="BK44" i="9" s="1"/>
  <c r="AY44" i="9"/>
  <c r="AV44" i="9"/>
  <c r="AZ44" i="9" s="1"/>
  <c r="AU44" i="9"/>
  <c r="AN44" i="9"/>
  <c r="AP44" i="9" s="1"/>
  <c r="AM44" i="9"/>
  <c r="BG44" i="9" s="1"/>
  <c r="BJ44" i="9" s="1"/>
  <c r="AL44" i="9"/>
  <c r="AG44" i="9"/>
  <c r="Z44" i="9"/>
  <c r="AF44" i="9" s="1"/>
  <c r="U44" i="9"/>
  <c r="Q44" i="9"/>
  <c r="O44" i="9"/>
  <c r="M44" i="9"/>
  <c r="I44" i="9"/>
  <c r="R44" i="9" s="1"/>
  <c r="DH43" i="9"/>
  <c r="DG43" i="9"/>
  <c r="DF43" i="9"/>
  <c r="CB43" i="9"/>
  <c r="DI43" i="9" s="1"/>
  <c r="BS43" i="9"/>
  <c r="BR43" i="9"/>
  <c r="BM43" i="9"/>
  <c r="BG43" i="9"/>
  <c r="BJ43" i="9" s="1"/>
  <c r="BC43" i="9"/>
  <c r="AV43" i="9" s="1"/>
  <c r="AU43" i="9"/>
  <c r="AN43" i="9"/>
  <c r="BH43" i="9" s="1"/>
  <c r="BK43" i="9" s="1"/>
  <c r="AM43" i="9"/>
  <c r="AL43" i="9"/>
  <c r="CC43" i="9" s="1"/>
  <c r="Y43" i="9"/>
  <c r="V43" i="9"/>
  <c r="U43" i="9"/>
  <c r="O43" i="9"/>
  <c r="M43" i="9"/>
  <c r="I43" i="9"/>
  <c r="Q43" i="9" s="1"/>
  <c r="DH42" i="9"/>
  <c r="DG42" i="9"/>
  <c r="DF42" i="9"/>
  <c r="DB42" i="9"/>
  <c r="CB42" i="9"/>
  <c r="DI42" i="9" s="1"/>
  <c r="BY42" i="9"/>
  <c r="BS42" i="9"/>
  <c r="BR42" i="9"/>
  <c r="BQ42" i="9"/>
  <c r="BM42" i="9"/>
  <c r="BL42" i="9"/>
  <c r="BI42" i="9"/>
  <c r="BJ42" i="9" s="1"/>
  <c r="BC42" i="9"/>
  <c r="BB42" i="9"/>
  <c r="AU42" i="9"/>
  <c r="AS42" i="9"/>
  <c r="AQ42" i="9"/>
  <c r="AN42" i="9"/>
  <c r="BH42" i="9" s="1"/>
  <c r="AM42" i="9"/>
  <c r="BG42" i="9" s="1"/>
  <c r="AL42" i="9"/>
  <c r="CC42" i="9" s="1"/>
  <c r="U42" i="9"/>
  <c r="P42" i="9"/>
  <c r="R42" i="9" s="1"/>
  <c r="O42" i="9"/>
  <c r="M42" i="9"/>
  <c r="I42" i="9"/>
  <c r="Q42" i="9" s="1"/>
  <c r="DH41" i="9"/>
  <c r="DG41" i="9"/>
  <c r="DF41" i="9"/>
  <c r="DB41" i="9"/>
  <c r="CB41" i="9"/>
  <c r="DI41" i="9" s="1"/>
  <c r="BY41" i="9"/>
  <c r="BS41" i="9"/>
  <c r="BR41" i="9"/>
  <c r="BQ41" i="9"/>
  <c r="BM41" i="9"/>
  <c r="BL41" i="9"/>
  <c r="BI41" i="9"/>
  <c r="BC41" i="9"/>
  <c r="AV41" i="9" s="1"/>
  <c r="BB41" i="9"/>
  <c r="AU41" i="9"/>
  <c r="AS41" i="9"/>
  <c r="AQ41" i="9"/>
  <c r="AN41" i="9"/>
  <c r="AM41" i="9"/>
  <c r="BG41" i="9" s="1"/>
  <c r="AL41" i="9"/>
  <c r="CC41" i="9" s="1"/>
  <c r="U41" i="9"/>
  <c r="P41" i="9"/>
  <c r="R41" i="9" s="1"/>
  <c r="O41" i="9"/>
  <c r="M41" i="9"/>
  <c r="I41" i="9"/>
  <c r="Q41" i="9" s="1"/>
  <c r="DH40" i="9"/>
  <c r="DG40" i="9"/>
  <c r="DF40" i="9"/>
  <c r="DB40" i="9"/>
  <c r="CB40" i="9"/>
  <c r="DI40" i="9" s="1"/>
  <c r="BY40" i="9"/>
  <c r="BS40" i="9"/>
  <c r="BR40" i="9"/>
  <c r="BQ40" i="9"/>
  <c r="BM40" i="9"/>
  <c r="BL40" i="9"/>
  <c r="BI40" i="9"/>
  <c r="BJ40" i="9" s="1"/>
  <c r="BC40" i="9"/>
  <c r="BB40" i="9"/>
  <c r="AU40" i="9"/>
  <c r="AS40" i="9"/>
  <c r="AQ40" i="9"/>
  <c r="AN40" i="9"/>
  <c r="BH40" i="9" s="1"/>
  <c r="AM40" i="9"/>
  <c r="BG40" i="9" s="1"/>
  <c r="AL40" i="9"/>
  <c r="CC40" i="9" s="1"/>
  <c r="U40" i="9"/>
  <c r="P40" i="9"/>
  <c r="R40" i="9" s="1"/>
  <c r="O40" i="9"/>
  <c r="M40" i="9"/>
  <c r="I40" i="9"/>
  <c r="Q40" i="9" s="1"/>
  <c r="E40" i="9"/>
  <c r="E376" i="9" s="1"/>
  <c r="DH39" i="9"/>
  <c r="DG39" i="9"/>
  <c r="DF39" i="9"/>
  <c r="DB39" i="9"/>
  <c r="DB400" i="9" s="1"/>
  <c r="CB39" i="9"/>
  <c r="DI39" i="9" s="1"/>
  <c r="BY39" i="9"/>
  <c r="BS39" i="9"/>
  <c r="BR39" i="9"/>
  <c r="BR400" i="9" s="1"/>
  <c r="BQ39" i="9"/>
  <c r="BM39" i="9"/>
  <c r="BM400" i="9" s="1"/>
  <c r="BL39" i="9"/>
  <c r="BI39" i="9"/>
  <c r="BI400" i="9" s="1"/>
  <c r="BC39" i="9"/>
  <c r="BB39" i="9"/>
  <c r="AU39" i="9"/>
  <c r="AS39" i="9"/>
  <c r="AQ39" i="9"/>
  <c r="AN39" i="9"/>
  <c r="BH39" i="9" s="1"/>
  <c r="AM39" i="9"/>
  <c r="BG39" i="9" s="1"/>
  <c r="AL39" i="9"/>
  <c r="CC39" i="9" s="1"/>
  <c r="U39" i="9"/>
  <c r="U400" i="9" s="1"/>
  <c r="S39" i="9"/>
  <c r="P39" i="9"/>
  <c r="M39" i="9"/>
  <c r="M400" i="9" s="1"/>
  <c r="I39" i="9"/>
  <c r="I400" i="9" s="1"/>
  <c r="F39" i="9"/>
  <c r="C39" i="9"/>
  <c r="C376" i="9" s="1"/>
  <c r="DG38" i="9"/>
  <c r="DB38" i="9"/>
  <c r="CA38" i="9"/>
  <c r="DH38" i="9" s="1"/>
  <c r="BZ38" i="9"/>
  <c r="BY38" i="9"/>
  <c r="DF38" i="9" s="1"/>
  <c r="BW38" i="9"/>
  <c r="BV38" i="9"/>
  <c r="BU38" i="9"/>
  <c r="BS38" i="9"/>
  <c r="BQ38" i="9"/>
  <c r="BQ456" i="9" s="1"/>
  <c r="BQ497" i="9" s="1"/>
  <c r="BL38" i="9"/>
  <c r="BL456" i="9" s="1"/>
  <c r="BL497" i="9" s="1"/>
  <c r="BI38" i="9"/>
  <c r="BC38" i="9"/>
  <c r="BB38" i="9"/>
  <c r="BB456" i="9" s="1"/>
  <c r="BB497" i="9" s="1"/>
  <c r="AU38" i="9"/>
  <c r="AT38" i="9"/>
  <c r="AS38" i="9"/>
  <c r="AS456" i="9" s="1"/>
  <c r="AS497" i="9" s="1"/>
  <c r="AR38" i="9"/>
  <c r="AQ38" i="9"/>
  <c r="AQ456" i="9" s="1"/>
  <c r="AQ497" i="9" s="1"/>
  <c r="AN38" i="9"/>
  <c r="AP38" i="9" s="1"/>
  <c r="AM38" i="9"/>
  <c r="BG38" i="9" s="1"/>
  <c r="AL38" i="9"/>
  <c r="U38" i="9"/>
  <c r="U456" i="9" s="1"/>
  <c r="U497" i="9" s="1"/>
  <c r="T38" i="9"/>
  <c r="T456" i="9" s="1"/>
  <c r="T497" i="9" s="1"/>
  <c r="S38" i="9"/>
  <c r="P38" i="9"/>
  <c r="R38" i="9" s="1"/>
  <c r="N38" i="9"/>
  <c r="M38" i="9"/>
  <c r="L38" i="9"/>
  <c r="K38" i="9"/>
  <c r="J38" i="9"/>
  <c r="I38" i="9"/>
  <c r="Q38" i="9" s="1"/>
  <c r="H38" i="9"/>
  <c r="G38" i="9"/>
  <c r="F38" i="9"/>
  <c r="E38" i="9"/>
  <c r="D38" i="9"/>
  <c r="C38" i="9"/>
  <c r="DH37" i="9"/>
  <c r="DG37" i="9"/>
  <c r="DF37" i="9"/>
  <c r="CB37" i="9"/>
  <c r="DI37" i="9" s="1"/>
  <c r="BS37" i="9"/>
  <c r="BS35" i="9" s="1"/>
  <c r="BR37" i="9"/>
  <c r="BM37" i="9"/>
  <c r="BM35" i="9" s="1"/>
  <c r="AV35" i="9" s="1"/>
  <c r="Z35" i="9" s="1"/>
  <c r="AF35" i="9" s="1"/>
  <c r="BC37" i="9"/>
  <c r="AV37" i="9"/>
  <c r="AU37" i="9"/>
  <c r="AN37" i="9"/>
  <c r="AO37" i="9" s="1"/>
  <c r="AM37" i="9"/>
  <c r="BG37" i="9" s="1"/>
  <c r="BJ37" i="9" s="1"/>
  <c r="AL37" i="9"/>
  <c r="CC37" i="9" s="1"/>
  <c r="U37" i="9"/>
  <c r="Q37" i="9"/>
  <c r="O37" i="9"/>
  <c r="M37" i="9"/>
  <c r="I37" i="9"/>
  <c r="R37" i="9" s="1"/>
  <c r="DD36" i="9"/>
  <c r="DB36" i="9"/>
  <c r="CA36" i="9"/>
  <c r="DH36" i="9" s="1"/>
  <c r="BZ36" i="9"/>
  <c r="DG36" i="9" s="1"/>
  <c r="BY36" i="9"/>
  <c r="DF36" i="9" s="1"/>
  <c r="BS36" i="9"/>
  <c r="BR36" i="9"/>
  <c r="BR35" i="9" s="1"/>
  <c r="BM36" i="9"/>
  <c r="BI36" i="9"/>
  <c r="BG36" i="9"/>
  <c r="BC36" i="9"/>
  <c r="AV36" i="9" s="1"/>
  <c r="Z36" i="9" s="1"/>
  <c r="AE36" i="9" s="1"/>
  <c r="AU36" i="9"/>
  <c r="AN36" i="9"/>
  <c r="BH36" i="9" s="1"/>
  <c r="AM36" i="9"/>
  <c r="AL36" i="9"/>
  <c r="X36" i="9"/>
  <c r="V36" i="9"/>
  <c r="U36" i="9"/>
  <c r="O36" i="9"/>
  <c r="M36" i="9"/>
  <c r="I36" i="9"/>
  <c r="F36" i="9"/>
  <c r="F376" i="9" s="1"/>
  <c r="DH35" i="9"/>
  <c r="DF35" i="9"/>
  <c r="DB35" i="9"/>
  <c r="CA35" i="9"/>
  <c r="BZ35" i="9"/>
  <c r="DG35" i="9" s="1"/>
  <c r="BY35" i="9"/>
  <c r="BW35" i="9"/>
  <c r="BV35" i="9"/>
  <c r="BU35" i="9"/>
  <c r="BQ35" i="9"/>
  <c r="BQ459" i="9" s="1"/>
  <c r="BQ500" i="9" s="1"/>
  <c r="BL35" i="9"/>
  <c r="BL459" i="9" s="1"/>
  <c r="BL500" i="9" s="1"/>
  <c r="BI35" i="9"/>
  <c r="BC35" i="9"/>
  <c r="BB35" i="9"/>
  <c r="BB459" i="9" s="1"/>
  <c r="BB500" i="9" s="1"/>
  <c r="AT35" i="9"/>
  <c r="AS35" i="9"/>
  <c r="AS459" i="9" s="1"/>
  <c r="AS500" i="9" s="1"/>
  <c r="AR35" i="9"/>
  <c r="AQ35" i="9"/>
  <c r="AQ459" i="9" s="1"/>
  <c r="AQ500" i="9" s="1"/>
  <c r="AN35" i="9"/>
  <c r="AP35" i="9" s="1"/>
  <c r="AM35" i="9"/>
  <c r="BG35" i="9" s="1"/>
  <c r="BJ35" i="9" s="1"/>
  <c r="AL35" i="9"/>
  <c r="U35" i="9"/>
  <c r="U459" i="9" s="1"/>
  <c r="U500" i="9" s="1"/>
  <c r="T35" i="9"/>
  <c r="T459" i="9" s="1"/>
  <c r="T500" i="9" s="1"/>
  <c r="S35" i="9"/>
  <c r="P35" i="9"/>
  <c r="X35" i="9" s="1"/>
  <c r="O35" i="9"/>
  <c r="N35" i="9"/>
  <c r="M35" i="9"/>
  <c r="L35" i="9"/>
  <c r="K35" i="9"/>
  <c r="J35" i="9"/>
  <c r="I35" i="9"/>
  <c r="H35" i="9"/>
  <c r="G35" i="9"/>
  <c r="F35" i="9"/>
  <c r="E35" i="9"/>
  <c r="D35" i="9"/>
  <c r="C35" i="9"/>
  <c r="CA34" i="9"/>
  <c r="CA239" i="9" s="1"/>
  <c r="DH239" i="9" s="1"/>
  <c r="BZ34" i="9"/>
  <c r="BZ239" i="9" s="1"/>
  <c r="DG239" i="9" s="1"/>
  <c r="BW34" i="9"/>
  <c r="BV34" i="9"/>
  <c r="BV239" i="9" s="1"/>
  <c r="BU34" i="9"/>
  <c r="BU239" i="9" s="1"/>
  <c r="BL34" i="9"/>
  <c r="BL239" i="9" s="1"/>
  <c r="BB34" i="9"/>
  <c r="BB239" i="9" s="1"/>
  <c r="AU239" i="9" s="1"/>
  <c r="AU34" i="9"/>
  <c r="AT34" i="9"/>
  <c r="AT239" i="9" s="1"/>
  <c r="AR34" i="9"/>
  <c r="AR239" i="9" s="1"/>
  <c r="AN239" i="9" s="1"/>
  <c r="AN34" i="9"/>
  <c r="T34" i="9"/>
  <c r="S34" i="9"/>
  <c r="N34" i="9"/>
  <c r="N239" i="9" s="1"/>
  <c r="L34" i="9"/>
  <c r="L239" i="9" s="1"/>
  <c r="K34" i="9"/>
  <c r="K239" i="9" s="1"/>
  <c r="J34" i="9"/>
  <c r="J239" i="9" s="1"/>
  <c r="H34" i="9"/>
  <c r="H239" i="9" s="1"/>
  <c r="G34" i="9"/>
  <c r="G239" i="9" s="1"/>
  <c r="F34" i="9"/>
  <c r="F239" i="9" s="1"/>
  <c r="E34" i="9"/>
  <c r="E239" i="9" s="1"/>
  <c r="D34" i="9"/>
  <c r="D239" i="9" s="1"/>
  <c r="C34" i="9"/>
  <c r="DI33" i="9"/>
  <c r="DH33" i="9"/>
  <c r="DG33" i="9"/>
  <c r="DF33" i="9"/>
  <c r="CC33" i="9"/>
  <c r="BP33" i="9"/>
  <c r="BO33" i="9"/>
  <c r="BK33" i="9"/>
  <c r="BF33" i="9"/>
  <c r="BE33" i="9"/>
  <c r="AZ33" i="9"/>
  <c r="AY33" i="9"/>
  <c r="AV33" i="9"/>
  <c r="AU33" i="9"/>
  <c r="AW33" i="9" s="1"/>
  <c r="AN33" i="9"/>
  <c r="AO33" i="9" s="1"/>
  <c r="AM33" i="9"/>
  <c r="BG33" i="9" s="1"/>
  <c r="BJ33" i="9" s="1"/>
  <c r="AG33" i="9"/>
  <c r="AH33" i="9" s="1"/>
  <c r="Y33" i="9"/>
  <c r="V33" i="9"/>
  <c r="P33" i="9"/>
  <c r="X33" i="9" s="1"/>
  <c r="N33" i="9"/>
  <c r="M33" i="9"/>
  <c r="L33" i="9"/>
  <c r="K33" i="9"/>
  <c r="J33" i="9"/>
  <c r="I33" i="9"/>
  <c r="Q33" i="9" s="1"/>
  <c r="F33" i="9"/>
  <c r="E33" i="9"/>
  <c r="DI32" i="9"/>
  <c r="DH32" i="9"/>
  <c r="DG32" i="9"/>
  <c r="DF32" i="9"/>
  <c r="CC32" i="9"/>
  <c r="BP32" i="9"/>
  <c r="BO32" i="9"/>
  <c r="BK32" i="9"/>
  <c r="BF32" i="9"/>
  <c r="BE32" i="9"/>
  <c r="AY32" i="9"/>
  <c r="AG32" i="9" s="1"/>
  <c r="AV32" i="9"/>
  <c r="AZ32" i="9" s="1"/>
  <c r="AU32" i="9"/>
  <c r="AN32" i="9"/>
  <c r="AM32" i="9"/>
  <c r="BG32" i="9" s="1"/>
  <c r="BJ32" i="9" s="1"/>
  <c r="Z32" i="9"/>
  <c r="V32" i="9"/>
  <c r="BW31" i="9"/>
  <c r="BW239" i="9" s="1"/>
  <c r="DH30" i="9"/>
  <c r="DG30" i="9"/>
  <c r="DB30" i="9"/>
  <c r="BY30" i="9"/>
  <c r="DF30" i="9" s="1"/>
  <c r="BS30" i="9"/>
  <c r="BR30" i="9"/>
  <c r="BQ30" i="9"/>
  <c r="BM30" i="9"/>
  <c r="BL30" i="9"/>
  <c r="BC30" i="9"/>
  <c r="BB30" i="9"/>
  <c r="AV30" i="9"/>
  <c r="Z30" i="9" s="1"/>
  <c r="AF30" i="9" s="1"/>
  <c r="AU30" i="9"/>
  <c r="AS30" i="9"/>
  <c r="AQ30" i="9"/>
  <c r="AN30" i="9"/>
  <c r="AP30" i="9" s="1"/>
  <c r="AM30" i="9"/>
  <c r="BG30" i="9" s="1"/>
  <c r="BJ30" i="9" s="1"/>
  <c r="AL30" i="9"/>
  <c r="U30" i="9"/>
  <c r="X30" i="9" s="1"/>
  <c r="T30" i="9"/>
  <c r="P30" i="9"/>
  <c r="Q30" i="9" s="1"/>
  <c r="M30" i="9"/>
  <c r="I30" i="9"/>
  <c r="DB29" i="9"/>
  <c r="CR29" i="9"/>
  <c r="CQ29" i="9"/>
  <c r="CA29" i="9"/>
  <c r="DH29" i="9" s="1"/>
  <c r="BZ29" i="9"/>
  <c r="DG29" i="9" s="1"/>
  <c r="BY29" i="9"/>
  <c r="DF29" i="9" s="1"/>
  <c r="BW29" i="9"/>
  <c r="BV29" i="9"/>
  <c r="BU29" i="9"/>
  <c r="BS29" i="9"/>
  <c r="BS28" i="9" s="1"/>
  <c r="BR29" i="9"/>
  <c r="BQ29" i="9"/>
  <c r="BQ28" i="9" s="1"/>
  <c r="BM29" i="9"/>
  <c r="BL29" i="9"/>
  <c r="BI29" i="9"/>
  <c r="BC29" i="9"/>
  <c r="BC28" i="9" s="1"/>
  <c r="BB29" i="9"/>
  <c r="AU29" i="9"/>
  <c r="AT29" i="9"/>
  <c r="AS29" i="9"/>
  <c r="AR29" i="9"/>
  <c r="AQ29" i="9"/>
  <c r="AN29" i="9"/>
  <c r="AO29" i="9" s="1"/>
  <c r="AM29" i="9"/>
  <c r="BG29" i="9" s="1"/>
  <c r="AL29" i="9"/>
  <c r="U29" i="9"/>
  <c r="Y29" i="9" s="1"/>
  <c r="T29" i="9"/>
  <c r="S29" i="9"/>
  <c r="P29" i="9"/>
  <c r="Q29" i="9" s="1"/>
  <c r="N29" i="9"/>
  <c r="M29" i="9"/>
  <c r="L29" i="9"/>
  <c r="K29" i="9"/>
  <c r="J29" i="9"/>
  <c r="I29" i="9"/>
  <c r="H29" i="9"/>
  <c r="G29" i="9"/>
  <c r="F29" i="9"/>
  <c r="E29" i="9"/>
  <c r="D29" i="9"/>
  <c r="C29" i="9"/>
  <c r="DB28" i="9"/>
  <c r="CR28" i="9"/>
  <c r="CR31" i="9" s="1"/>
  <c r="CQ28" i="9"/>
  <c r="CA28" i="9"/>
  <c r="CA321" i="9" s="1"/>
  <c r="DH321" i="9" s="1"/>
  <c r="BZ28" i="9"/>
  <c r="BZ321" i="9" s="1"/>
  <c r="DG321" i="9" s="1"/>
  <c r="BY28" i="9"/>
  <c r="BW28" i="9"/>
  <c r="BV28" i="9"/>
  <c r="BV321" i="9" s="1"/>
  <c r="BU28" i="9"/>
  <c r="BU321" i="9" s="1"/>
  <c r="BR28" i="9"/>
  <c r="BM28" i="9"/>
  <c r="BL28" i="9"/>
  <c r="BI28" i="9"/>
  <c r="BB28" i="9"/>
  <c r="AU28" i="9"/>
  <c r="AT28" i="9"/>
  <c r="AT321" i="9" s="1"/>
  <c r="AS28" i="9"/>
  <c r="AR28" i="9"/>
  <c r="AR321" i="9" s="1"/>
  <c r="AN321" i="9" s="1"/>
  <c r="AQ28" i="9"/>
  <c r="AN28" i="9"/>
  <c r="AP28" i="9" s="1"/>
  <c r="AM28" i="9"/>
  <c r="BG28" i="9" s="1"/>
  <c r="AL28" i="9"/>
  <c r="U28" i="9"/>
  <c r="T28" i="9"/>
  <c r="S28" i="9"/>
  <c r="P28" i="9"/>
  <c r="Q28" i="9" s="1"/>
  <c r="N28" i="9"/>
  <c r="M28" i="9"/>
  <c r="L28" i="9"/>
  <c r="K28" i="9"/>
  <c r="J28" i="9"/>
  <c r="I28" i="9"/>
  <c r="H28" i="9"/>
  <c r="H321" i="9" s="1"/>
  <c r="G28" i="9"/>
  <c r="F28" i="9"/>
  <c r="F321" i="9" s="1"/>
  <c r="F348" i="9" s="1"/>
  <c r="E28" i="9"/>
  <c r="E321" i="9" s="1"/>
  <c r="D28" i="9"/>
  <c r="D321" i="9" s="1"/>
  <c r="C28" i="9"/>
  <c r="C321" i="9" s="1"/>
  <c r="CC27" i="9"/>
  <c r="BP27" i="9"/>
  <c r="BO27" i="9"/>
  <c r="BK27" i="9"/>
  <c r="BJ27" i="9"/>
  <c r="BG27" i="9"/>
  <c r="BF27" i="9"/>
  <c r="BE27" i="9"/>
  <c r="AZ27" i="9"/>
  <c r="AU27" i="9"/>
  <c r="AW27" i="9" s="1"/>
  <c r="DH25" i="9"/>
  <c r="DG25" i="9"/>
  <c r="DF25" i="9"/>
  <c r="DC25" i="9"/>
  <c r="CB25" i="9"/>
  <c r="DI25" i="9" s="1"/>
  <c r="BS25" i="9"/>
  <c r="BR25" i="9"/>
  <c r="BM25" i="9"/>
  <c r="BC25" i="9"/>
  <c r="AV25" i="9"/>
  <c r="Z25" i="9" s="1"/>
  <c r="AF25" i="9" s="1"/>
  <c r="AU25" i="9"/>
  <c r="AN25" i="9"/>
  <c r="BH25" i="9" s="1"/>
  <c r="BK25" i="9" s="1"/>
  <c r="AM25" i="9"/>
  <c r="BG25" i="9" s="1"/>
  <c r="BJ25" i="9" s="1"/>
  <c r="AL25" i="9"/>
  <c r="CC25" i="9" s="1"/>
  <c r="U25" i="9"/>
  <c r="X25" i="9" s="1"/>
  <c r="O25" i="9"/>
  <c r="M25" i="9"/>
  <c r="I25" i="9"/>
  <c r="Q25" i="9" s="1"/>
  <c r="DH24" i="9"/>
  <c r="DG24" i="9"/>
  <c r="DF24" i="9"/>
  <c r="DC24" i="9"/>
  <c r="CB24" i="9"/>
  <c r="DI24" i="9" s="1"/>
  <c r="BS24" i="9"/>
  <c r="BR24" i="9"/>
  <c r="BM24" i="9"/>
  <c r="BC24" i="9"/>
  <c r="AU24" i="9"/>
  <c r="AN24" i="9"/>
  <c r="AO24" i="9" s="1"/>
  <c r="AM24" i="9"/>
  <c r="BG24" i="9" s="1"/>
  <c r="BJ24" i="9" s="1"/>
  <c r="AL24" i="9"/>
  <c r="CC24" i="9" s="1"/>
  <c r="U24" i="9"/>
  <c r="CR24" i="9" s="1"/>
  <c r="O24" i="9"/>
  <c r="M24" i="9"/>
  <c r="I24" i="9"/>
  <c r="Q24" i="9" s="1"/>
  <c r="DH23" i="9"/>
  <c r="DG23" i="9"/>
  <c r="DC23" i="9"/>
  <c r="BW23" i="9"/>
  <c r="BY23" i="9" s="1"/>
  <c r="BS23" i="9"/>
  <c r="BR23" i="9"/>
  <c r="BQ23" i="9"/>
  <c r="BM23" i="9"/>
  <c r="BL23" i="9"/>
  <c r="BC23" i="9"/>
  <c r="BB23" i="9"/>
  <c r="AV23" i="9"/>
  <c r="AU23" i="9"/>
  <c r="AS23" i="9"/>
  <c r="AN23" i="9"/>
  <c r="BH23" i="9" s="1"/>
  <c r="BK23" i="9" s="1"/>
  <c r="AM23" i="9"/>
  <c r="BG23" i="9" s="1"/>
  <c r="BJ23" i="9" s="1"/>
  <c r="AL23" i="9"/>
  <c r="Z23" i="9"/>
  <c r="AE23" i="9" s="1"/>
  <c r="U23" i="9"/>
  <c r="X23" i="9" s="1"/>
  <c r="Q23" i="9"/>
  <c r="O23" i="9"/>
  <c r="M23" i="9"/>
  <c r="I23" i="9"/>
  <c r="R23" i="9" s="1"/>
  <c r="DC22" i="9"/>
  <c r="DB22" i="9"/>
  <c r="CA22" i="9"/>
  <c r="DH22" i="9" s="1"/>
  <c r="BZ22" i="9"/>
  <c r="DG22" i="9" s="1"/>
  <c r="BY22" i="9"/>
  <c r="CB22" i="9" s="1"/>
  <c r="DI22" i="9" s="1"/>
  <c r="BW22" i="9"/>
  <c r="BS22" i="9"/>
  <c r="BR22" i="9"/>
  <c r="BM22" i="9"/>
  <c r="BI22" i="9"/>
  <c r="BC22" i="9"/>
  <c r="AV22" i="9" s="1"/>
  <c r="Z22" i="9" s="1"/>
  <c r="AE22" i="9" s="1"/>
  <c r="AU22" i="9"/>
  <c r="AN22" i="9"/>
  <c r="BH22" i="9" s="1"/>
  <c r="AM22" i="9"/>
  <c r="BG22" i="9" s="1"/>
  <c r="BJ22" i="9" s="1"/>
  <c r="AL22" i="9"/>
  <c r="CC22" i="9" s="1"/>
  <c r="U22" i="9"/>
  <c r="CR22" i="9" s="1"/>
  <c r="O22" i="9"/>
  <c r="M22" i="9"/>
  <c r="I22" i="9"/>
  <c r="R22" i="9" s="1"/>
  <c r="DG21" i="9"/>
  <c r="DF21" i="9"/>
  <c r="DC21" i="9"/>
  <c r="CA21" i="9"/>
  <c r="DH21" i="9" s="1"/>
  <c r="BW21" i="9"/>
  <c r="BS21" i="9"/>
  <c r="BR21" i="9"/>
  <c r="BM21" i="9"/>
  <c r="BC21" i="9"/>
  <c r="AV21" i="9" s="1"/>
  <c r="Z21" i="9" s="1"/>
  <c r="AF21" i="9" s="1"/>
  <c r="AU21" i="9"/>
  <c r="AN21" i="9"/>
  <c r="AP21" i="9" s="1"/>
  <c r="AM21" i="9"/>
  <c r="BG21" i="9" s="1"/>
  <c r="BJ21" i="9" s="1"/>
  <c r="AL21" i="9"/>
  <c r="U21" i="9"/>
  <c r="CR21" i="9" s="1"/>
  <c r="Q21" i="9"/>
  <c r="O21" i="9"/>
  <c r="M21" i="9"/>
  <c r="I21" i="9"/>
  <c r="R21" i="9" s="1"/>
  <c r="DF20" i="9"/>
  <c r="CA20" i="9"/>
  <c r="DH20" i="9" s="1"/>
  <c r="BZ20" i="9"/>
  <c r="CB20" i="9" s="1"/>
  <c r="DI20" i="9" s="1"/>
  <c r="BS20" i="9"/>
  <c r="BR20" i="9"/>
  <c r="BM20" i="9"/>
  <c r="BC20" i="9"/>
  <c r="AU20" i="9"/>
  <c r="AQ20" i="9"/>
  <c r="AQ435" i="9" s="1"/>
  <c r="AQ437" i="9" s="1"/>
  <c r="AN20" i="9"/>
  <c r="AP20" i="9" s="1"/>
  <c r="AM20" i="9"/>
  <c r="BG20" i="9" s="1"/>
  <c r="BJ20" i="9" s="1"/>
  <c r="AL20" i="9"/>
  <c r="CC20" i="9" s="1"/>
  <c r="U20" i="9"/>
  <c r="U435" i="9" s="1"/>
  <c r="U437" i="9" s="1"/>
  <c r="Q20" i="9"/>
  <c r="O20" i="9"/>
  <c r="M20" i="9"/>
  <c r="I20" i="9"/>
  <c r="R20" i="9" s="1"/>
  <c r="DI19" i="9"/>
  <c r="DH19" i="9"/>
  <c r="DG19" i="9"/>
  <c r="DF19" i="9"/>
  <c r="DC19" i="9"/>
  <c r="CB19" i="9"/>
  <c r="BS19" i="9"/>
  <c r="BR19" i="9"/>
  <c r="BM19" i="9"/>
  <c r="BC19" i="9"/>
  <c r="AV19" i="9"/>
  <c r="Z19" i="9" s="1"/>
  <c r="AC19" i="9" s="1"/>
  <c r="AU19" i="9"/>
  <c r="AN19" i="9"/>
  <c r="AO19" i="9" s="1"/>
  <c r="AM19" i="9"/>
  <c r="BG19" i="9" s="1"/>
  <c r="BJ19" i="9" s="1"/>
  <c r="AL19" i="9"/>
  <c r="CC19" i="9" s="1"/>
  <c r="U19" i="9"/>
  <c r="CR19" i="9" s="1"/>
  <c r="O19" i="9"/>
  <c r="M19" i="9"/>
  <c r="I19" i="9"/>
  <c r="Q19" i="9" s="1"/>
  <c r="DH18" i="9"/>
  <c r="DG18" i="9"/>
  <c r="DF18" i="9"/>
  <c r="DC18" i="9"/>
  <c r="CB18" i="9"/>
  <c r="DI18" i="9" s="1"/>
  <c r="BS18" i="9"/>
  <c r="BR18" i="9"/>
  <c r="BM18" i="9"/>
  <c r="BC18" i="9"/>
  <c r="AV18" i="9" s="1"/>
  <c r="Z18" i="9" s="1"/>
  <c r="AF18" i="9" s="1"/>
  <c r="AU18" i="9"/>
  <c r="AN18" i="9"/>
  <c r="BH18" i="9" s="1"/>
  <c r="BK18" i="9" s="1"/>
  <c r="AM18" i="9"/>
  <c r="BG18" i="9" s="1"/>
  <c r="BJ18" i="9" s="1"/>
  <c r="AL18" i="9"/>
  <c r="CC18" i="9" s="1"/>
  <c r="V18" i="9"/>
  <c r="U18" i="9"/>
  <c r="X18" i="9" s="1"/>
  <c r="O18" i="9"/>
  <c r="M18" i="9"/>
  <c r="M370" i="9" s="1"/>
  <c r="I18" i="9"/>
  <c r="I370" i="9" s="1"/>
  <c r="DG17" i="9"/>
  <c r="DF17" i="9"/>
  <c r="DC17" i="9"/>
  <c r="BW17" i="9"/>
  <c r="CA17" i="9" s="1"/>
  <c r="BS17" i="9"/>
  <c r="BR17" i="9"/>
  <c r="BM17" i="9"/>
  <c r="BC17" i="9"/>
  <c r="AU17" i="9"/>
  <c r="AN17" i="9"/>
  <c r="BH17" i="9" s="1"/>
  <c r="BK17" i="9" s="1"/>
  <c r="AM17" i="9"/>
  <c r="BG17" i="9" s="1"/>
  <c r="BJ17" i="9" s="1"/>
  <c r="AL17" i="9"/>
  <c r="U17" i="9"/>
  <c r="Y17" i="9" s="1"/>
  <c r="O17" i="9"/>
  <c r="M17" i="9"/>
  <c r="I17" i="9"/>
  <c r="Q17" i="9" s="1"/>
  <c r="DG16" i="9"/>
  <c r="DF16" i="9"/>
  <c r="DB16" i="9"/>
  <c r="DC16" i="9" s="1"/>
  <c r="CA16" i="9"/>
  <c r="CB16" i="9" s="1"/>
  <c r="DI16" i="9" s="1"/>
  <c r="BW16" i="9"/>
  <c r="BS16" i="9"/>
  <c r="BR16" i="9"/>
  <c r="BM16" i="9"/>
  <c r="BC16" i="9"/>
  <c r="AV16" i="9" s="1"/>
  <c r="Z16" i="9" s="1"/>
  <c r="AU16" i="9"/>
  <c r="AN16" i="9"/>
  <c r="AO16" i="9" s="1"/>
  <c r="AM16" i="9"/>
  <c r="BG16" i="9" s="1"/>
  <c r="BJ16" i="9" s="1"/>
  <c r="AL16" i="9"/>
  <c r="CC16" i="9" s="1"/>
  <c r="U16" i="9"/>
  <c r="CR16" i="9" s="1"/>
  <c r="O16" i="9"/>
  <c r="M16" i="9"/>
  <c r="M372" i="9" s="1"/>
  <c r="I16" i="9"/>
  <c r="I372" i="9" s="1"/>
  <c r="DB15" i="9"/>
  <c r="DC15" i="9" s="1"/>
  <c r="CA15" i="9"/>
  <c r="DH15" i="9" s="1"/>
  <c r="BZ15" i="9"/>
  <c r="DG15" i="9" s="1"/>
  <c r="BY15" i="9"/>
  <c r="CB15" i="9" s="1"/>
  <c r="DI15" i="9" s="1"/>
  <c r="BW15" i="9"/>
  <c r="BS15" i="9"/>
  <c r="BR15" i="9"/>
  <c r="BM15" i="9"/>
  <c r="BC15" i="9"/>
  <c r="AV15" i="9"/>
  <c r="AU15" i="9"/>
  <c r="AN15" i="9"/>
  <c r="AP15" i="9" s="1"/>
  <c r="AM15" i="9"/>
  <c r="BG15" i="9" s="1"/>
  <c r="BJ15" i="9" s="1"/>
  <c r="AL15" i="9"/>
  <c r="CC15" i="9" s="1"/>
  <c r="Z15" i="9"/>
  <c r="AF15" i="9" s="1"/>
  <c r="U15" i="9"/>
  <c r="CR15" i="9" s="1"/>
  <c r="Q15" i="9"/>
  <c r="O15" i="9"/>
  <c r="M15" i="9"/>
  <c r="I15" i="9"/>
  <c r="R15" i="9" s="1"/>
  <c r="DG14" i="9"/>
  <c r="DF14" i="9"/>
  <c r="DC14" i="9"/>
  <c r="DB14" i="9"/>
  <c r="BW14" i="9"/>
  <c r="CA14" i="9" s="1"/>
  <c r="BS14" i="9"/>
  <c r="BR14" i="9"/>
  <c r="BM14" i="9"/>
  <c r="BC14" i="9"/>
  <c r="AV14" i="9" s="1"/>
  <c r="Z14" i="9" s="1"/>
  <c r="AE14" i="9" s="1"/>
  <c r="AU14" i="9"/>
  <c r="AN14" i="9"/>
  <c r="BH14" i="9" s="1"/>
  <c r="AM14" i="9"/>
  <c r="BG14" i="9" s="1"/>
  <c r="BJ14" i="9" s="1"/>
  <c r="AL14" i="9"/>
  <c r="U14" i="9"/>
  <c r="U467" i="9" s="1"/>
  <c r="U508" i="9" s="1"/>
  <c r="Q14" i="9"/>
  <c r="O14" i="9"/>
  <c r="M14" i="9"/>
  <c r="M369" i="9" s="1"/>
  <c r="I14" i="9"/>
  <c r="I369" i="9" s="1"/>
  <c r="DB13" i="9"/>
  <c r="BZ13" i="9"/>
  <c r="DG13" i="9" s="1"/>
  <c r="BW13" i="9"/>
  <c r="BV13" i="9"/>
  <c r="BU13" i="9"/>
  <c r="BS13" i="9"/>
  <c r="BR13" i="9"/>
  <c r="BQ13" i="9"/>
  <c r="BQ469" i="9" s="1"/>
  <c r="BQ510" i="9" s="1"/>
  <c r="BM13" i="9"/>
  <c r="BL13" i="9"/>
  <c r="BL469" i="9" s="1"/>
  <c r="BL510" i="9" s="1"/>
  <c r="BI13" i="9"/>
  <c r="BC13" i="9"/>
  <c r="BB13" i="9"/>
  <c r="BB469" i="9" s="1"/>
  <c r="BB510" i="9" s="1"/>
  <c r="AV13" i="9"/>
  <c r="Z13" i="9" s="1"/>
  <c r="AE13" i="9" s="1"/>
  <c r="AU13" i="9"/>
  <c r="AT13" i="9"/>
  <c r="AS13" i="9"/>
  <c r="AS469" i="9" s="1"/>
  <c r="AS510" i="9" s="1"/>
  <c r="AR13" i="9"/>
  <c r="AQ13" i="9"/>
  <c r="AQ469" i="9" s="1"/>
  <c r="AQ510" i="9" s="1"/>
  <c r="AN13" i="9"/>
  <c r="AO13" i="9" s="1"/>
  <c r="AM13" i="9"/>
  <c r="BG13" i="9" s="1"/>
  <c r="BJ13" i="9" s="1"/>
  <c r="AL13" i="9"/>
  <c r="U13" i="9"/>
  <c r="U469" i="9" s="1"/>
  <c r="U510" i="9" s="1"/>
  <c r="T13" i="9"/>
  <c r="T469" i="9" s="1"/>
  <c r="T510" i="9" s="1"/>
  <c r="S13" i="9"/>
  <c r="P13" i="9"/>
  <c r="Q13" i="9" s="1"/>
  <c r="O13" i="9"/>
  <c r="N13" i="9"/>
  <c r="M13" i="9"/>
  <c r="L13" i="9"/>
  <c r="K13" i="9"/>
  <c r="J13" i="9"/>
  <c r="I13" i="9"/>
  <c r="H13" i="9"/>
  <c r="G13" i="9"/>
  <c r="G338" i="9" s="1"/>
  <c r="F13" i="9"/>
  <c r="F338" i="9" s="1"/>
  <c r="E13" i="9"/>
  <c r="E338" i="9" s="1"/>
  <c r="D13" i="9"/>
  <c r="D338" i="9" s="1"/>
  <c r="C13" i="9"/>
  <c r="C338" i="9" s="1"/>
  <c r="DG12" i="9"/>
  <c r="DF12" i="9"/>
  <c r="CA12" i="9"/>
  <c r="DH12" i="9" s="1"/>
  <c r="BS12" i="9"/>
  <c r="BR12" i="9"/>
  <c r="BM12" i="9"/>
  <c r="BC12" i="9"/>
  <c r="CM12" i="9" s="1"/>
  <c r="AU12" i="9"/>
  <c r="AN12" i="9"/>
  <c r="BH12" i="9" s="1"/>
  <c r="BK12" i="9" s="1"/>
  <c r="AM12" i="9"/>
  <c r="BG12" i="9" s="1"/>
  <c r="BJ12" i="9" s="1"/>
  <c r="AL12" i="9"/>
  <c r="BN12" i="9" s="1"/>
  <c r="Y12" i="9"/>
  <c r="V12" i="9"/>
  <c r="U12" i="9"/>
  <c r="X12" i="9" s="1"/>
  <c r="O12" i="9"/>
  <c r="M12" i="9"/>
  <c r="I12" i="9"/>
  <c r="Q12" i="9" s="1"/>
  <c r="F12" i="9"/>
  <c r="F373" i="9" s="1"/>
  <c r="C12" i="9"/>
  <c r="C373" i="9" s="1"/>
  <c r="DG11" i="9"/>
  <c r="DF11" i="9"/>
  <c r="CA11" i="9"/>
  <c r="CB11" i="9" s="1"/>
  <c r="DI11" i="9" s="1"/>
  <c r="BS11" i="9"/>
  <c r="BR11" i="9"/>
  <c r="BM11" i="9"/>
  <c r="BC11" i="9"/>
  <c r="AV11" i="9" s="1"/>
  <c r="Z11" i="9" s="1"/>
  <c r="AU11" i="9"/>
  <c r="AN11" i="9"/>
  <c r="BH11" i="9" s="1"/>
  <c r="BK11" i="9" s="1"/>
  <c r="AM11" i="9"/>
  <c r="BG11" i="9" s="1"/>
  <c r="BJ11" i="9" s="1"/>
  <c r="AL11" i="9"/>
  <c r="BN11" i="9" s="1"/>
  <c r="Y11" i="9"/>
  <c r="V11" i="9"/>
  <c r="U11" i="9"/>
  <c r="CR11" i="9" s="1"/>
  <c r="O11" i="9"/>
  <c r="M11" i="9"/>
  <c r="M373" i="9" s="1"/>
  <c r="I11" i="9"/>
  <c r="I373" i="9" s="1"/>
  <c r="DG10" i="9"/>
  <c r="DF10" i="9"/>
  <c r="CA10" i="9"/>
  <c r="CB10" i="9" s="1"/>
  <c r="BS10" i="9"/>
  <c r="BR10" i="9"/>
  <c r="BM10" i="9"/>
  <c r="BC10" i="9"/>
  <c r="AV10" i="9"/>
  <c r="AU10" i="9"/>
  <c r="AS10" i="9"/>
  <c r="AM10" i="9" s="1"/>
  <c r="BG10" i="9" s="1"/>
  <c r="BJ10" i="9" s="1"/>
  <c r="AQ10" i="9"/>
  <c r="AN10" i="9"/>
  <c r="BH10" i="9" s="1"/>
  <c r="AL10" i="9"/>
  <c r="BN10" i="9" s="1"/>
  <c r="Z10" i="9"/>
  <c r="AE10" i="9" s="1"/>
  <c r="Y10" i="9"/>
  <c r="V10" i="9"/>
  <c r="U10" i="9"/>
  <c r="CR10" i="9" s="1"/>
  <c r="O10" i="9"/>
  <c r="M10" i="9"/>
  <c r="M376" i="9" s="1"/>
  <c r="I10" i="9"/>
  <c r="I376" i="9" s="1"/>
  <c r="DB9" i="9"/>
  <c r="CQ9" i="9"/>
  <c r="CQ451" i="9" s="1"/>
  <c r="CQ492" i="9" s="1"/>
  <c r="CP9" i="9"/>
  <c r="CP451" i="9" s="1"/>
  <c r="CP492" i="9" s="1"/>
  <c r="CA9" i="9"/>
  <c r="DH9" i="9" s="1"/>
  <c r="DH6" i="9" s="1"/>
  <c r="BZ9" i="9"/>
  <c r="CA306" i="9" s="1"/>
  <c r="BY9" i="9"/>
  <c r="DF9" i="9" s="1"/>
  <c r="BX9" i="9"/>
  <c r="BS9" i="9"/>
  <c r="BR9" i="9"/>
  <c r="BQ9" i="9"/>
  <c r="BQ451" i="9" s="1"/>
  <c r="BQ492" i="9" s="1"/>
  <c r="BM9" i="9"/>
  <c r="BL9" i="9"/>
  <c r="BL451" i="9" s="1"/>
  <c r="BL492" i="9" s="1"/>
  <c r="BI9" i="9"/>
  <c r="BC9" i="9"/>
  <c r="BB9" i="9"/>
  <c r="BB451" i="9" s="1"/>
  <c r="BB492" i="9" s="1"/>
  <c r="AV9" i="9"/>
  <c r="Z9" i="9" s="1"/>
  <c r="AE9" i="9" s="1"/>
  <c r="AU9" i="9"/>
  <c r="AT9" i="9"/>
  <c r="AS9" i="9"/>
  <c r="AS451" i="9" s="1"/>
  <c r="AS492" i="9" s="1"/>
  <c r="AR9" i="9"/>
  <c r="AQ9" i="9"/>
  <c r="AQ451" i="9" s="1"/>
  <c r="AQ492" i="9" s="1"/>
  <c r="AN9" i="9"/>
  <c r="AP9" i="9" s="1"/>
  <c r="AM9" i="9"/>
  <c r="BG9" i="9" s="1"/>
  <c r="AL9" i="9"/>
  <c r="U9" i="9"/>
  <c r="U451" i="9" s="1"/>
  <c r="U492" i="9" s="1"/>
  <c r="T9" i="9"/>
  <c r="T451" i="9" s="1"/>
  <c r="T492" i="9" s="1"/>
  <c r="S9" i="9"/>
  <c r="P9" i="9"/>
  <c r="Q9" i="9" s="1"/>
  <c r="O9" i="9"/>
  <c r="N9" i="9"/>
  <c r="M9" i="9"/>
  <c r="L9" i="9"/>
  <c r="K9" i="9"/>
  <c r="J9" i="9"/>
  <c r="I9" i="9"/>
  <c r="H9" i="9"/>
  <c r="G9" i="9"/>
  <c r="F9" i="9"/>
  <c r="E9" i="9"/>
  <c r="D9" i="9"/>
  <c r="C9" i="9"/>
  <c r="DH8" i="9"/>
  <c r="DF8" i="9"/>
  <c r="BZ8" i="9"/>
  <c r="BZ306" i="9" s="1"/>
  <c r="BS8" i="9"/>
  <c r="BR8" i="9"/>
  <c r="BM8" i="9"/>
  <c r="BC8" i="9"/>
  <c r="AV8" i="9" s="1"/>
  <c r="AU8" i="9"/>
  <c r="AN8" i="9"/>
  <c r="AP8" i="9" s="1"/>
  <c r="AM8" i="9"/>
  <c r="BG8" i="9" s="1"/>
  <c r="BJ8" i="9" s="1"/>
  <c r="AL8" i="9"/>
  <c r="Y8" i="9"/>
  <c r="V8" i="9"/>
  <c r="U8" i="9"/>
  <c r="U450" i="9" s="1"/>
  <c r="U491" i="9" s="1"/>
  <c r="O8" i="9"/>
  <c r="M8" i="9"/>
  <c r="M377" i="9" s="1"/>
  <c r="I8" i="9"/>
  <c r="I377" i="9" s="1"/>
  <c r="DH7" i="9"/>
  <c r="DG7" i="9"/>
  <c r="DB7" i="9"/>
  <c r="CT7" i="9"/>
  <c r="CV7" i="9" s="1"/>
  <c r="CB7" i="9"/>
  <c r="DI7" i="9" s="1"/>
  <c r="BY7" i="9"/>
  <c r="DF7" i="9" s="1"/>
  <c r="DF6" i="9" s="1"/>
  <c r="BS7" i="9"/>
  <c r="BR7" i="9"/>
  <c r="BR6" i="9" s="1"/>
  <c r="BR5" i="9" s="1"/>
  <c r="BQ7" i="9"/>
  <c r="BQ449" i="9" s="1"/>
  <c r="BM7" i="9"/>
  <c r="BM6" i="9" s="1"/>
  <c r="BL7" i="9"/>
  <c r="BL449" i="9" s="1"/>
  <c r="BC7" i="9"/>
  <c r="BB7" i="9"/>
  <c r="BB449" i="9" s="1"/>
  <c r="AV7" i="9"/>
  <c r="Z7" i="9" s="1"/>
  <c r="AE7" i="9" s="1"/>
  <c r="AU7" i="9"/>
  <c r="AS7" i="9"/>
  <c r="AS449" i="9" s="1"/>
  <c r="AQ7" i="9"/>
  <c r="AQ449" i="9" s="1"/>
  <c r="AN7" i="9"/>
  <c r="BH7" i="9" s="1"/>
  <c r="AM7" i="9"/>
  <c r="AO7" i="9" s="1"/>
  <c r="AL7" i="9"/>
  <c r="CC7" i="9" s="1"/>
  <c r="U7" i="9"/>
  <c r="U449" i="9" s="1"/>
  <c r="T7" i="9"/>
  <c r="T449" i="9" s="1"/>
  <c r="O7" i="9"/>
  <c r="M7" i="9"/>
  <c r="M371" i="9" s="1"/>
  <c r="I7" i="9"/>
  <c r="I371" i="9" s="1"/>
  <c r="DB6" i="9"/>
  <c r="CA6" i="9"/>
  <c r="BZ6" i="9"/>
  <c r="BY6" i="9"/>
  <c r="BX6" i="9"/>
  <c r="BW6" i="9"/>
  <c r="BV6" i="9"/>
  <c r="BU6" i="9"/>
  <c r="BS6" i="9"/>
  <c r="BQ6" i="9"/>
  <c r="BL6" i="9"/>
  <c r="BI6" i="9"/>
  <c r="BC6" i="9"/>
  <c r="BB6" i="9"/>
  <c r="AU6" i="9"/>
  <c r="AT6" i="9"/>
  <c r="AS6" i="9"/>
  <c r="AR6" i="9"/>
  <c r="AQ6" i="9"/>
  <c r="AN6" i="9"/>
  <c r="AO6" i="9" s="1"/>
  <c r="AM6" i="9"/>
  <c r="BG6" i="9" s="1"/>
  <c r="AL6" i="9"/>
  <c r="U6" i="9"/>
  <c r="Y6" i="9" s="1"/>
  <c r="T6" i="9"/>
  <c r="S6" i="9"/>
  <c r="P6" i="9"/>
  <c r="Q6" i="9" s="1"/>
  <c r="O6" i="9"/>
  <c r="N6" i="9"/>
  <c r="M6" i="9"/>
  <c r="L6" i="9"/>
  <c r="K6" i="9"/>
  <c r="J6" i="9"/>
  <c r="I6" i="9"/>
  <c r="H6" i="9"/>
  <c r="G6" i="9"/>
  <c r="F6" i="9"/>
  <c r="E6" i="9"/>
  <c r="D6" i="9"/>
  <c r="C6" i="9"/>
  <c r="DB5" i="9"/>
  <c r="BZ5" i="9"/>
  <c r="BX5" i="9"/>
  <c r="BW5" i="9"/>
  <c r="BW26" i="9" s="1"/>
  <c r="BV5" i="9"/>
  <c r="BV26" i="9" s="1"/>
  <c r="BU5" i="9"/>
  <c r="BU26" i="9" s="1"/>
  <c r="BS5" i="9"/>
  <c r="BS26" i="9" s="1"/>
  <c r="BQ5" i="9"/>
  <c r="BQ26" i="9" s="1"/>
  <c r="BL5" i="9"/>
  <c r="BI5" i="9"/>
  <c r="BI26" i="9" s="1"/>
  <c r="BC5" i="9"/>
  <c r="BC26" i="9" s="1"/>
  <c r="BB5" i="9"/>
  <c r="AU5" i="9"/>
  <c r="AT5" i="9"/>
  <c r="AT325" i="9" s="1"/>
  <c r="AS5" i="9"/>
  <c r="AS26" i="9" s="1"/>
  <c r="AR5" i="9"/>
  <c r="AR325" i="9" s="1"/>
  <c r="AN325" i="9" s="1"/>
  <c r="AQ5" i="9"/>
  <c r="AQ26" i="9" s="1"/>
  <c r="AN5" i="9"/>
  <c r="AO5" i="9" s="1"/>
  <c r="AM5" i="9"/>
  <c r="BG5" i="9" s="1"/>
  <c r="AL5" i="9"/>
  <c r="U5" i="9"/>
  <c r="U26" i="9" s="1"/>
  <c r="T5" i="9"/>
  <c r="S5" i="9"/>
  <c r="S26" i="9" s="1"/>
  <c r="P5" i="9"/>
  <c r="O5" i="9"/>
  <c r="O26" i="9" s="1"/>
  <c r="N5" i="9"/>
  <c r="M5" i="9"/>
  <c r="M26" i="9" s="1"/>
  <c r="L5" i="9"/>
  <c r="K5" i="9"/>
  <c r="K26" i="9" s="1"/>
  <c r="J5" i="9"/>
  <c r="I5" i="9"/>
  <c r="I26" i="9" s="1"/>
  <c r="H5" i="9"/>
  <c r="G5" i="9"/>
  <c r="G26" i="9" s="1"/>
  <c r="F5" i="9"/>
  <c r="E5" i="9"/>
  <c r="E26" i="9" s="1"/>
  <c r="D5" i="9"/>
  <c r="D366" i="9" s="1"/>
  <c r="D381" i="9" s="1"/>
  <c r="C5" i="9"/>
  <c r="C26" i="9" s="1"/>
  <c r="DL43" i="8"/>
  <c r="CV43" i="8"/>
  <c r="CF43" i="8"/>
  <c r="BD43" i="8"/>
  <c r="BR43" i="8" s="1"/>
  <c r="DL40" i="8"/>
  <c r="CV40" i="8"/>
  <c r="CF40" i="8"/>
  <c r="BD40" i="8"/>
  <c r="BR40" i="8" s="1"/>
  <c r="BD37" i="8"/>
  <c r="BR37" i="8" s="1"/>
  <c r="BD35" i="8"/>
  <c r="BR35" i="8" s="1"/>
  <c r="BD34" i="8"/>
  <c r="BR34" i="8" s="1"/>
  <c r="BR33" i="8"/>
  <c r="BD33" i="8"/>
  <c r="BD32" i="8"/>
  <c r="BR32" i="8" s="1"/>
  <c r="BD31" i="8"/>
  <c r="BR31" i="8" s="1"/>
  <c r="CV30" i="8"/>
  <c r="CV36" i="8" s="1"/>
  <c r="CV38" i="8" s="1"/>
  <c r="DL27" i="8"/>
  <c r="DL30" i="8" s="1"/>
  <c r="DL36" i="8" s="1"/>
  <c r="DL38" i="8" s="1"/>
  <c r="CV27" i="8"/>
  <c r="CF27" i="8"/>
  <c r="CF30" i="8" s="1"/>
  <c r="CF36" i="8" s="1"/>
  <c r="CF38" i="8" s="1"/>
  <c r="BD25" i="8"/>
  <c r="BR25" i="8" s="1"/>
  <c r="BD21" i="8"/>
  <c r="BR21" i="8" s="1"/>
  <c r="DE84" i="7"/>
  <c r="CV84" i="7"/>
  <c r="BB84" i="7"/>
  <c r="BK84" i="7" s="1"/>
  <c r="DE83" i="7"/>
  <c r="CV83" i="7" s="1"/>
  <c r="BK83" i="7"/>
  <c r="BB83" i="7"/>
  <c r="DE82" i="7"/>
  <c r="CV82" i="7" s="1"/>
  <c r="BB82" i="7"/>
  <c r="BK82" i="7" s="1"/>
  <c r="CH67" i="7"/>
  <c r="BB67" i="7"/>
  <c r="BK67" i="7" s="1"/>
  <c r="CH66" i="7"/>
  <c r="BK66" i="7"/>
  <c r="BB66" i="7"/>
  <c r="CH64" i="7"/>
  <c r="BB64" i="7"/>
  <c r="CO63" i="7"/>
  <c r="CA63" i="7"/>
  <c r="BB63" i="7" s="1"/>
  <c r="BK63" i="7" s="1"/>
  <c r="BT63" i="7"/>
  <c r="CH63" i="7" s="1"/>
  <c r="CH61" i="7"/>
  <c r="BB61" i="7"/>
  <c r="BK61" i="7" s="1"/>
  <c r="CH60" i="7"/>
  <c r="BK60" i="7"/>
  <c r="BB60" i="7"/>
  <c r="CO59" i="7"/>
  <c r="CA59" i="7"/>
  <c r="BT59" i="7"/>
  <c r="CH59" i="7" s="1"/>
  <c r="BB59" i="7"/>
  <c r="BK59" i="7" s="1"/>
  <c r="CH57" i="7"/>
  <c r="BB57" i="7"/>
  <c r="BK57" i="7" s="1"/>
  <c r="CO56" i="7"/>
  <c r="CA56" i="7"/>
  <c r="BT56" i="7"/>
  <c r="CH56" i="7" s="1"/>
  <c r="BB56" i="7" s="1"/>
  <c r="BK56" i="7" s="1"/>
  <c r="CH55" i="7"/>
  <c r="BK55" i="7"/>
  <c r="BB55" i="7"/>
  <c r="CH54" i="7"/>
  <c r="BB54" i="7"/>
  <c r="BK54" i="7" s="1"/>
  <c r="CH53" i="7"/>
  <c r="BK53" i="7"/>
  <c r="BB53" i="7"/>
  <c r="CH52" i="7"/>
  <c r="BB52" i="7"/>
  <c r="BK52" i="7" s="1"/>
  <c r="CO51" i="7"/>
  <c r="CA51" i="7"/>
  <c r="BT51" i="7"/>
  <c r="CH51" i="7" s="1"/>
  <c r="BB51" i="7" s="1"/>
  <c r="BK51" i="7" s="1"/>
  <c r="CH49" i="7"/>
  <c r="BB49" i="7"/>
  <c r="BK49" i="7" s="1"/>
  <c r="CO48" i="7"/>
  <c r="CA48" i="7"/>
  <c r="BT48" i="7"/>
  <c r="CH48" i="7" s="1"/>
  <c r="BB48" i="7" s="1"/>
  <c r="BK48" i="7" s="1"/>
  <c r="CO47" i="7"/>
  <c r="CH47" i="7"/>
  <c r="BB47" i="7" s="1"/>
  <c r="BK47" i="7" s="1"/>
  <c r="BT47" i="7"/>
  <c r="CO46" i="7"/>
  <c r="CA46" i="7"/>
  <c r="BT46" i="7"/>
  <c r="CH46" i="7" s="1"/>
  <c r="BB46" i="7" s="1"/>
  <c r="BK46" i="7" s="1"/>
  <c r="CO45" i="7"/>
  <c r="CA45" i="7"/>
  <c r="BT45" i="7"/>
  <c r="CH45" i="7" s="1"/>
  <c r="BB45" i="7" s="1"/>
  <c r="BK45" i="7" s="1"/>
  <c r="CO44" i="7"/>
  <c r="CA44" i="7"/>
  <c r="BT44" i="7"/>
  <c r="CH44" i="7" s="1"/>
  <c r="BB44" i="7" s="1"/>
  <c r="BK44" i="7" s="1"/>
  <c r="CO43" i="7"/>
  <c r="CA43" i="7"/>
  <c r="BT43" i="7"/>
  <c r="CH43" i="7" s="1"/>
  <c r="BB43" i="7" s="1"/>
  <c r="BK43" i="7" s="1"/>
  <c r="EB42" i="7"/>
  <c r="CH42" i="7"/>
  <c r="EB41" i="7"/>
  <c r="CH41" i="7"/>
  <c r="EB40" i="7"/>
  <c r="CH40" i="7"/>
  <c r="EB39" i="7"/>
  <c r="CH39" i="7"/>
  <c r="EB38" i="7"/>
  <c r="CV38" i="7"/>
  <c r="DE38" i="7" s="1"/>
  <c r="EB37" i="7"/>
  <c r="CV37" i="7"/>
  <c r="DE37" i="7" s="1"/>
  <c r="CH37" i="7"/>
  <c r="BB37" i="7"/>
  <c r="BK37" i="7" s="1"/>
  <c r="EB36" i="7"/>
  <c r="CV36" i="7"/>
  <c r="DE36" i="7" s="1"/>
  <c r="CH36" i="7"/>
  <c r="BB36" i="7"/>
  <c r="BK36" i="7" s="1"/>
  <c r="CO35" i="7"/>
  <c r="CO38" i="7" s="1"/>
  <c r="CA35" i="7"/>
  <c r="CA38" i="7" s="1"/>
  <c r="BT35" i="7"/>
  <c r="BT38" i="7" s="1"/>
  <c r="CH38" i="7" s="1"/>
  <c r="BB38" i="7" s="1"/>
  <c r="BK38" i="7" s="1"/>
  <c r="CO34" i="7"/>
  <c r="CO65" i="7" s="1"/>
  <c r="CO62" i="7" s="1"/>
  <c r="CA34" i="7"/>
  <c r="CA65" i="7" s="1"/>
  <c r="CA62" i="7" s="1"/>
  <c r="BT34" i="7"/>
  <c r="BT65" i="7" s="1"/>
  <c r="CH33" i="7"/>
  <c r="BK33" i="7"/>
  <c r="CH32" i="7"/>
  <c r="BK32" i="7"/>
  <c r="CO31" i="7"/>
  <c r="CA31" i="7"/>
  <c r="BT31" i="7"/>
  <c r="CH31" i="7" s="1"/>
  <c r="BB31" i="7" s="1"/>
  <c r="BK31" i="7" s="1"/>
  <c r="CO30" i="7"/>
  <c r="CA30" i="7"/>
  <c r="BT30" i="7"/>
  <c r="CH30" i="7" s="1"/>
  <c r="BB30" i="7" s="1"/>
  <c r="BK30" i="7" s="1"/>
  <c r="CO29" i="7"/>
  <c r="CA29" i="7"/>
  <c r="BT29" i="7"/>
  <c r="CH29" i="7" s="1"/>
  <c r="BB29" i="7" s="1"/>
  <c r="BK29" i="7" s="1"/>
  <c r="CH28" i="7"/>
  <c r="BK28" i="7"/>
  <c r="CH27" i="7"/>
  <c r="BK27" i="7"/>
  <c r="CH26" i="7"/>
  <c r="BK26" i="7"/>
  <c r="CH25" i="7"/>
  <c r="BK25" i="7"/>
  <c r="CH24" i="7"/>
  <c r="BB24" i="7"/>
  <c r="BK24" i="7" s="1"/>
  <c r="CO23" i="7"/>
  <c r="CA23" i="7"/>
  <c r="BT23" i="7"/>
  <c r="CH23" i="7" s="1"/>
  <c r="BB23" i="7" s="1"/>
  <c r="BK23" i="7" s="1"/>
  <c r="CO22" i="7"/>
  <c r="CO50" i="7" s="1"/>
  <c r="CA22" i="7"/>
  <c r="CA50" i="7" s="1"/>
  <c r="BT22" i="7"/>
  <c r="BT50" i="7" s="1"/>
  <c r="CH50" i="7" s="1"/>
  <c r="BB50" i="7" s="1"/>
  <c r="BK50" i="7" s="1"/>
  <c r="CH21" i="7"/>
  <c r="BK21" i="7"/>
  <c r="BB21" i="7"/>
  <c r="BM5" i="9" l="1"/>
  <c r="AV6" i="9"/>
  <c r="Z6" i="9" s="1"/>
  <c r="AE6" i="9" s="1"/>
  <c r="AV12" i="9"/>
  <c r="Z12" i="9" s="1"/>
  <c r="AE12" i="9" s="1"/>
  <c r="AV17" i="9"/>
  <c r="Z17" i="9" s="1"/>
  <c r="AE17" i="9" s="1"/>
  <c r="BH58" i="9"/>
  <c r="BK58" i="9" s="1"/>
  <c r="AV62" i="9"/>
  <c r="Z62" i="9" s="1"/>
  <c r="AF62" i="9" s="1"/>
  <c r="AV71" i="9"/>
  <c r="Z71" i="9" s="1"/>
  <c r="BC72" i="9"/>
  <c r="AV72" i="9" s="1"/>
  <c r="Z72" i="9" s="1"/>
  <c r="AF72" i="9" s="1"/>
  <c r="AV73" i="9"/>
  <c r="Z73" i="9" s="1"/>
  <c r="AF73" i="9" s="1"/>
  <c r="BM404" i="9"/>
  <c r="BH74" i="9"/>
  <c r="BK74" i="9" s="1"/>
  <c r="BC399" i="9"/>
  <c r="BR399" i="9"/>
  <c r="AV101" i="9"/>
  <c r="Z101" i="9" s="1"/>
  <c r="AE101" i="9" s="1"/>
  <c r="AV102" i="9"/>
  <c r="Z102" i="9" s="1"/>
  <c r="AE102" i="9" s="1"/>
  <c r="BH115" i="9"/>
  <c r="BK115" i="9" s="1"/>
  <c r="AV116" i="9"/>
  <c r="BP119" i="9"/>
  <c r="AV128" i="9"/>
  <c r="Z128" i="9" s="1"/>
  <c r="AE128" i="9" s="1"/>
  <c r="BP163" i="9"/>
  <c r="AV166" i="9"/>
  <c r="BH173" i="9"/>
  <c r="BK173" i="9" s="1"/>
  <c r="BP174" i="9"/>
  <c r="BH264" i="9"/>
  <c r="BK264" i="9" s="1"/>
  <c r="AV279" i="9"/>
  <c r="AV285" i="9"/>
  <c r="Z285" i="9" s="1"/>
  <c r="AE285" i="9" s="1"/>
  <c r="AV20" i="9"/>
  <c r="AV29" i="9"/>
  <c r="BQ34" i="9"/>
  <c r="BQ239" i="9" s="1"/>
  <c r="BM38" i="9"/>
  <c r="AV38" i="9" s="1"/>
  <c r="BR38" i="9"/>
  <c r="BC400" i="9"/>
  <c r="AV57" i="9"/>
  <c r="Z57" i="9" s="1"/>
  <c r="AF57" i="9" s="1"/>
  <c r="AW175" i="9"/>
  <c r="AW203" i="9"/>
  <c r="AV276" i="9"/>
  <c r="Z276" i="9" s="1"/>
  <c r="AE276" i="9" s="1"/>
  <c r="AW29" i="9"/>
  <c r="Z29" i="9"/>
  <c r="AE29" i="9" s="1"/>
  <c r="AV24" i="9"/>
  <c r="Z24" i="9" s="1"/>
  <c r="AC24" i="9" s="1"/>
  <c r="AW63" i="9"/>
  <c r="BH68" i="9"/>
  <c r="BH77" i="9"/>
  <c r="BK77" i="9" s="1"/>
  <c r="BH78" i="9"/>
  <c r="AV79" i="9"/>
  <c r="BH80" i="9"/>
  <c r="BK80" i="9" s="1"/>
  <c r="BP80" i="9"/>
  <c r="BP82" i="9"/>
  <c r="BH124" i="9"/>
  <c r="BK124" i="9" s="1"/>
  <c r="BH125" i="9"/>
  <c r="BK125" i="9" s="1"/>
  <c r="BH128" i="9"/>
  <c r="BH134" i="9"/>
  <c r="BK134" i="9" s="1"/>
  <c r="BH136" i="9"/>
  <c r="AV164" i="9"/>
  <c r="AW165" i="9"/>
  <c r="AW179" i="9"/>
  <c r="AW187" i="9"/>
  <c r="BA203" i="9"/>
  <c r="BH206" i="9"/>
  <c r="BK206" i="9" s="1"/>
  <c r="AW212" i="9"/>
  <c r="BH231" i="9"/>
  <c r="AW272" i="9"/>
  <c r="AW282" i="9"/>
  <c r="AW285" i="9"/>
  <c r="AV296" i="9"/>
  <c r="AA12" i="9"/>
  <c r="AV28" i="9"/>
  <c r="Z28" i="9" s="1"/>
  <c r="AF28" i="9" s="1"/>
  <c r="AV40" i="9"/>
  <c r="BH41" i="9"/>
  <c r="AV42" i="9"/>
  <c r="AW44" i="9"/>
  <c r="AA58" i="9"/>
  <c r="BF86" i="9"/>
  <c r="BH92" i="9"/>
  <c r="BH95" i="9"/>
  <c r="AV99" i="9"/>
  <c r="Z99" i="9" s="1"/>
  <c r="AE99" i="9" s="1"/>
  <c r="BH102" i="9"/>
  <c r="AV132" i="9"/>
  <c r="AV140" i="9"/>
  <c r="BH145" i="9"/>
  <c r="BK145" i="9" s="1"/>
  <c r="AW151" i="9"/>
  <c r="AV168" i="9"/>
  <c r="Z168" i="9" s="1"/>
  <c r="AF168" i="9" s="1"/>
  <c r="BH203" i="9"/>
  <c r="BK203" i="9" s="1"/>
  <c r="AV206" i="9"/>
  <c r="AA246" i="9"/>
  <c r="AW273" i="9"/>
  <c r="BH288" i="9"/>
  <c r="BK288" i="9" s="1"/>
  <c r="BH290" i="9"/>
  <c r="BK290" i="9" s="1"/>
  <c r="AV297" i="9"/>
  <c r="AV305" i="9"/>
  <c r="AV313" i="9"/>
  <c r="AE11" i="9"/>
  <c r="AA11" i="9"/>
  <c r="AF11" i="9"/>
  <c r="AF16" i="9"/>
  <c r="AA16" i="9"/>
  <c r="AW20" i="9"/>
  <c r="Z20" i="9"/>
  <c r="AF20" i="9" s="1"/>
  <c r="AF71" i="9"/>
  <c r="AA71" i="9"/>
  <c r="AZ79" i="9"/>
  <c r="Z79" i="9"/>
  <c r="AF104" i="9"/>
  <c r="AA104" i="9"/>
  <c r="AE104" i="9"/>
  <c r="AF10" i="9"/>
  <c r="AA18" i="9"/>
  <c r="AA19" i="9"/>
  <c r="AW37" i="9"/>
  <c r="AJ45" i="9"/>
  <c r="AW45" i="9"/>
  <c r="BA45" i="9"/>
  <c r="AW47" i="9"/>
  <c r="BH54" i="9"/>
  <c r="AE58" i="9"/>
  <c r="AW58" i="9"/>
  <c r="AA60" i="9"/>
  <c r="AF60" i="9"/>
  <c r="BF61" i="9"/>
  <c r="BK61" i="9"/>
  <c r="AE63" i="9"/>
  <c r="BP63" i="9"/>
  <c r="AV64" i="9"/>
  <c r="AW69" i="9"/>
  <c r="AV75" i="9"/>
  <c r="AC79" i="9"/>
  <c r="AK79" i="9"/>
  <c r="AW79" i="9"/>
  <c r="BA79" i="9"/>
  <c r="AE82" i="9"/>
  <c r="BK86" i="9"/>
  <c r="BH87" i="9"/>
  <c r="AV88" i="9"/>
  <c r="AE93" i="9"/>
  <c r="BK94" i="9"/>
  <c r="AV96" i="9"/>
  <c r="AA97" i="9"/>
  <c r="AJ97" i="9"/>
  <c r="AW97" i="9"/>
  <c r="BA97" i="9"/>
  <c r="AW101" i="9"/>
  <c r="AW104" i="9"/>
  <c r="BH104" i="9"/>
  <c r="BK104" i="9" s="1"/>
  <c r="AE106" i="9"/>
  <c r="AA107" i="9"/>
  <c r="AJ107" i="9"/>
  <c r="AW107" i="9"/>
  <c r="BA107" i="9"/>
  <c r="AA108" i="9"/>
  <c r="AJ108" i="9"/>
  <c r="AW108" i="9"/>
  <c r="BA108" i="9"/>
  <c r="AA110" i="9"/>
  <c r="AJ110" i="9"/>
  <c r="AW110" i="9"/>
  <c r="BA110" i="9"/>
  <c r="BH112" i="9"/>
  <c r="BK112" i="9" s="1"/>
  <c r="BK113" i="9"/>
  <c r="AA114" i="9"/>
  <c r="AJ114" i="9"/>
  <c r="AW114" i="9"/>
  <c r="BA114" i="9"/>
  <c r="AV117" i="9"/>
  <c r="AV119" i="9"/>
  <c r="AE122" i="9"/>
  <c r="BH126" i="9"/>
  <c r="BH127" i="9"/>
  <c r="BK127" i="9" s="1"/>
  <c r="AF159" i="9"/>
  <c r="AA159" i="9"/>
  <c r="AE159" i="9"/>
  <c r="AF190" i="9"/>
  <c r="AA190" i="9"/>
  <c r="AE190" i="9"/>
  <c r="AW7" i="9"/>
  <c r="AA10" i="9"/>
  <c r="AF12" i="9"/>
  <c r="AE19" i="9"/>
  <c r="AW19" i="9"/>
  <c r="AJ44" i="9"/>
  <c r="BA44" i="9"/>
  <c r="AV46" i="9"/>
  <c r="AV52" i="9"/>
  <c r="Z52" i="9" s="1"/>
  <c r="AE52" i="9" s="1"/>
  <c r="AD60" i="9"/>
  <c r="AV61" i="9"/>
  <c r="AA63" i="9"/>
  <c r="AK63" i="9"/>
  <c r="BA63" i="9"/>
  <c r="BF63" i="9"/>
  <c r="BF64" i="9"/>
  <c r="BK64" i="9"/>
  <c r="AC74" i="9"/>
  <c r="AA74" i="9"/>
  <c r="AW74" i="9"/>
  <c r="BF75" i="9"/>
  <c r="BP79" i="9"/>
  <c r="AA82" i="9"/>
  <c r="AK82" i="9"/>
  <c r="AW82" i="9"/>
  <c r="BA82" i="9"/>
  <c r="BF82" i="9"/>
  <c r="AV86" i="9"/>
  <c r="BF88" i="9"/>
  <c r="BK88" i="9"/>
  <c r="AV91" i="9"/>
  <c r="Z91" i="9" s="1"/>
  <c r="AE91" i="9" s="1"/>
  <c r="AA93" i="9"/>
  <c r="AJ93" i="9"/>
  <c r="AW93" i="9"/>
  <c r="BA93" i="9"/>
  <c r="AV94" i="9"/>
  <c r="BK96" i="9"/>
  <c r="AE97" i="9"/>
  <c r="AA106" i="9"/>
  <c r="AJ106" i="9"/>
  <c r="AW106" i="9"/>
  <c r="BA106" i="9"/>
  <c r="AE107" i="9"/>
  <c r="AE108" i="9"/>
  <c r="AE110" i="9"/>
  <c r="AV113" i="9"/>
  <c r="AE114" i="9"/>
  <c r="AW116" i="9"/>
  <c r="BK117" i="9"/>
  <c r="AW118" i="9"/>
  <c r="AA122" i="9"/>
  <c r="AJ122" i="9"/>
  <c r="AW122" i="9"/>
  <c r="BA122" i="9"/>
  <c r="AZ132" i="9"/>
  <c r="Z132" i="9"/>
  <c r="AB183" i="9"/>
  <c r="AF183" i="9"/>
  <c r="AF193" i="9"/>
  <c r="AA193" i="9"/>
  <c r="AE193" i="9"/>
  <c r="AA131" i="9"/>
  <c r="AJ131" i="9"/>
  <c r="AW131" i="9"/>
  <c r="BA131" i="9"/>
  <c r="AJ133" i="9"/>
  <c r="AW133" i="9"/>
  <c r="BA133" i="9"/>
  <c r="AW135" i="9"/>
  <c r="AE141" i="9"/>
  <c r="AV142" i="9"/>
  <c r="AA144" i="9"/>
  <c r="AJ144" i="9"/>
  <c r="AW144" i="9"/>
  <c r="BA144" i="9"/>
  <c r="AE147" i="9"/>
  <c r="BC146" i="9"/>
  <c r="BM146" i="9"/>
  <c r="AA149" i="9"/>
  <c r="AJ149" i="9"/>
  <c r="AW149" i="9"/>
  <c r="BA149" i="9"/>
  <c r="AA151" i="9"/>
  <c r="AJ151" i="9"/>
  <c r="BA151" i="9"/>
  <c r="AE152" i="9"/>
  <c r="AV153" i="9"/>
  <c r="AW159" i="9"/>
  <c r="BH159" i="9"/>
  <c r="BK159" i="9" s="1"/>
  <c r="BF163" i="9"/>
  <c r="BK163" i="9"/>
  <c r="BR160" i="9"/>
  <c r="AC165" i="9"/>
  <c r="BA165" i="9"/>
  <c r="BH165" i="9"/>
  <c r="BK165" i="9" s="1"/>
  <c r="AA168" i="9"/>
  <c r="AW169" i="9"/>
  <c r="BH169" i="9"/>
  <c r="BK169" i="9" s="1"/>
  <c r="BF174" i="9"/>
  <c r="BK174" i="9"/>
  <c r="BH177" i="9"/>
  <c r="BK177" i="9" s="1"/>
  <c r="BA179" i="9"/>
  <c r="BH179" i="9"/>
  <c r="BK179" i="9" s="1"/>
  <c r="AV180" i="9"/>
  <c r="AW180" i="9" s="1"/>
  <c r="AV185" i="9"/>
  <c r="Z185" i="9" s="1"/>
  <c r="AA187" i="9"/>
  <c r="AE187" i="9"/>
  <c r="BF187" i="9"/>
  <c r="AW190" i="9"/>
  <c r="BH190" i="9"/>
  <c r="BK190" i="9" s="1"/>
  <c r="AW192" i="9"/>
  <c r="AW193" i="9"/>
  <c r="BH193" i="9"/>
  <c r="BK193" i="9" s="1"/>
  <c r="AV194" i="9"/>
  <c r="AW194" i="9" s="1"/>
  <c r="AV196" i="9"/>
  <c r="AW196" i="9" s="1"/>
  <c r="AV197" i="9"/>
  <c r="AW197" i="9" s="1"/>
  <c r="AE225" i="9"/>
  <c r="AD225" i="9"/>
  <c r="AF225" i="9"/>
  <c r="AA225" i="9"/>
  <c r="AC235" i="9"/>
  <c r="AE235" i="9"/>
  <c r="AA235" i="9"/>
  <c r="AZ296" i="9"/>
  <c r="Z296" i="9"/>
  <c r="AF296" i="9" s="1"/>
  <c r="AE314" i="9"/>
  <c r="AF314" i="9"/>
  <c r="AA314" i="9"/>
  <c r="AD314" i="9"/>
  <c r="AE131" i="9"/>
  <c r="AJ132" i="9"/>
  <c r="AW132" i="9"/>
  <c r="BA132" i="9"/>
  <c r="AA141" i="9"/>
  <c r="AJ141" i="9"/>
  <c r="AW141" i="9"/>
  <c r="BA141" i="9"/>
  <c r="BR140" i="9"/>
  <c r="BR139" i="9" s="1"/>
  <c r="BR34" i="9" s="1"/>
  <c r="BR239" i="9" s="1"/>
  <c r="AE144" i="9"/>
  <c r="AA147" i="9"/>
  <c r="AJ147" i="9"/>
  <c r="AW147" i="9"/>
  <c r="BA147" i="9"/>
  <c r="BH148" i="9"/>
  <c r="AV148" i="9"/>
  <c r="AE149" i="9"/>
  <c r="AV150" i="9"/>
  <c r="AE151" i="9"/>
  <c r="AA152" i="9"/>
  <c r="AJ152" i="9"/>
  <c r="AW152" i="9"/>
  <c r="BA152" i="9"/>
  <c r="BK153" i="9"/>
  <c r="AV163" i="9"/>
  <c r="AA165" i="9"/>
  <c r="AE165" i="9"/>
  <c r="AE168" i="9"/>
  <c r="BS170" i="9"/>
  <c r="AV174" i="9"/>
  <c r="AC187" i="9"/>
  <c r="BA187" i="9"/>
  <c r="AV188" i="9"/>
  <c r="AW188" i="9" s="1"/>
  <c r="AV198" i="9"/>
  <c r="AW198" i="9" s="1"/>
  <c r="AZ206" i="9"/>
  <c r="Z206" i="9"/>
  <c r="AC206" i="9" s="1"/>
  <c r="AZ297" i="9"/>
  <c r="Z297" i="9"/>
  <c r="AF297" i="9" s="1"/>
  <c r="AA203" i="9"/>
  <c r="AE203" i="9"/>
  <c r="AV204" i="9"/>
  <c r="AV207" i="9"/>
  <c r="Z207" i="9" s="1"/>
  <c r="BF212" i="9"/>
  <c r="BF217" i="9"/>
  <c r="BK217" i="9"/>
  <c r="AV218" i="9"/>
  <c r="AW221" i="9"/>
  <c r="AF222" i="9"/>
  <c r="BH223" i="9"/>
  <c r="BK223" i="9" s="1"/>
  <c r="AA226" i="9"/>
  <c r="AF226" i="9"/>
  <c r="BH229" i="9"/>
  <c r="BK229" i="9" s="1"/>
  <c r="AA245" i="9"/>
  <c r="AJ245" i="9"/>
  <c r="AW245" i="9"/>
  <c r="BA245" i="9"/>
  <c r="AE246" i="9"/>
  <c r="AW252" i="9"/>
  <c r="BK261" i="9"/>
  <c r="AJ267" i="9"/>
  <c r="AW267" i="9"/>
  <c r="BA267" i="9"/>
  <c r="AW270" i="9"/>
  <c r="BH284" i="9"/>
  <c r="BK284" i="9" s="1"/>
  <c r="AA294" i="9"/>
  <c r="AJ294" i="9"/>
  <c r="AW294" i="9"/>
  <c r="BA294" i="9"/>
  <c r="BH305" i="9"/>
  <c r="AW314" i="9"/>
  <c r="BH314" i="9"/>
  <c r="BK314" i="9" s="1"/>
  <c r="AV199" i="9"/>
  <c r="AC203" i="9"/>
  <c r="AW206" i="9"/>
  <c r="BA206" i="9"/>
  <c r="AW207" i="9"/>
  <c r="BA212" i="9"/>
  <c r="AV217" i="9"/>
  <c r="Z217" i="9" s="1"/>
  <c r="BF218" i="9"/>
  <c r="BK218" i="9"/>
  <c r="AA222" i="9"/>
  <c r="AW225" i="9"/>
  <c r="AD226" i="9"/>
  <c r="AA227" i="9"/>
  <c r="BJ234" i="9"/>
  <c r="BJ242" i="9"/>
  <c r="AE245" i="9"/>
  <c r="AJ246" i="9"/>
  <c r="AW246" i="9"/>
  <c r="BA246" i="9"/>
  <c r="AV249" i="9"/>
  <c r="AW250" i="9"/>
  <c r="AW259" i="9"/>
  <c r="AW260" i="9"/>
  <c r="AV261" i="9"/>
  <c r="BH265" i="9"/>
  <c r="BK265" i="9" s="1"/>
  <c r="AA276" i="9"/>
  <c r="AJ280" i="9"/>
  <c r="AW280" i="9"/>
  <c r="BA280" i="9"/>
  <c r="AW293" i="9"/>
  <c r="BA293" i="9"/>
  <c r="AE294" i="9"/>
  <c r="BA295" i="9"/>
  <c r="AJ296" i="9"/>
  <c r="AW296" i="9"/>
  <c r="BA296" i="9"/>
  <c r="AJ297" i="9"/>
  <c r="AW297" i="9"/>
  <c r="BA297" i="9"/>
  <c r="AW312" i="9"/>
  <c r="BP10" i="9"/>
  <c r="BO10" i="9"/>
  <c r="BN9" i="9"/>
  <c r="DI10" i="9"/>
  <c r="BP11" i="9"/>
  <c r="BO11" i="9"/>
  <c r="DH14" i="9"/>
  <c r="CA13" i="9"/>
  <c r="CB14" i="9"/>
  <c r="BK22" i="9"/>
  <c r="BJ29" i="9"/>
  <c r="AJ32" i="9"/>
  <c r="AH32" i="9"/>
  <c r="AX41" i="9"/>
  <c r="AW41" i="9"/>
  <c r="Z41" i="9"/>
  <c r="AX46" i="9"/>
  <c r="AW46" i="9"/>
  <c r="Z46" i="9"/>
  <c r="BP49" i="9"/>
  <c r="BO49" i="9"/>
  <c r="AY49" i="9"/>
  <c r="AG49" i="9" s="1"/>
  <c r="BJ57" i="9"/>
  <c r="BO61" i="9"/>
  <c r="AY61" i="9"/>
  <c r="AG61" i="9" s="1"/>
  <c r="BP61" i="9"/>
  <c r="BA61" i="9"/>
  <c r="AW61" i="9"/>
  <c r="AZ61" i="9"/>
  <c r="AX61" i="9"/>
  <c r="Z61" i="9"/>
  <c r="BP62" i="9"/>
  <c r="BO62" i="9"/>
  <c r="BP66" i="9"/>
  <c r="BO66" i="9"/>
  <c r="BK69" i="9"/>
  <c r="BK70" i="9"/>
  <c r="BJ73" i="9"/>
  <c r="BK78" i="9"/>
  <c r="AW80" i="9"/>
  <c r="AX80" i="9"/>
  <c r="Z80" i="9"/>
  <c r="BO86" i="9"/>
  <c r="AY86" i="9"/>
  <c r="AG86" i="9" s="1"/>
  <c r="BP86" i="9"/>
  <c r="BA86" i="9"/>
  <c r="AW86" i="9"/>
  <c r="Z86" i="9"/>
  <c r="AZ86" i="9"/>
  <c r="AX86" i="9"/>
  <c r="BP94" i="9"/>
  <c r="BO94" i="9"/>
  <c r="AY94" i="9"/>
  <c r="AG94" i="9" s="1"/>
  <c r="AX94" i="9"/>
  <c r="Z94" i="9"/>
  <c r="BA94" i="9"/>
  <c r="AW94" i="9"/>
  <c r="BP98" i="9"/>
  <c r="BO98" i="9"/>
  <c r="Y98" i="9"/>
  <c r="W98" i="9"/>
  <c r="X98" i="9"/>
  <c r="V98" i="9"/>
  <c r="BP113" i="9"/>
  <c r="BO113" i="9"/>
  <c r="AY113" i="9"/>
  <c r="AG113" i="9" s="1"/>
  <c r="AX113" i="9"/>
  <c r="Z113" i="9"/>
  <c r="BA113" i="9"/>
  <c r="AW113" i="9"/>
  <c r="AM26" i="9"/>
  <c r="BK7" i="9"/>
  <c r="BK10" i="9"/>
  <c r="BH9" i="9"/>
  <c r="BK9" i="9" s="1"/>
  <c r="BP12" i="9"/>
  <c r="BO12" i="9"/>
  <c r="CC14" i="9"/>
  <c r="BK14" i="9"/>
  <c r="DH17" i="9"/>
  <c r="CB17" i="9"/>
  <c r="DI17" i="9" s="1"/>
  <c r="BY13" i="9"/>
  <c r="DF23" i="9"/>
  <c r="CB23" i="9"/>
  <c r="DI23" i="9" s="1"/>
  <c r="BJ38" i="9"/>
  <c r="BG400" i="9"/>
  <c r="DJ39" i="9"/>
  <c r="AX40" i="9"/>
  <c r="AW40" i="9"/>
  <c r="Z40" i="9"/>
  <c r="BJ41" i="9"/>
  <c r="AX42" i="9"/>
  <c r="AW42" i="9"/>
  <c r="Z42" i="9"/>
  <c r="BJ46" i="9"/>
  <c r="BJ51" i="9"/>
  <c r="BJ54" i="9"/>
  <c r="BO64" i="9"/>
  <c r="AY64" i="9"/>
  <c r="AG64" i="9" s="1"/>
  <c r="BP64" i="9"/>
  <c r="BA64" i="9"/>
  <c r="AW64" i="9"/>
  <c r="Z64" i="9"/>
  <c r="AZ64" i="9"/>
  <c r="AX64" i="9"/>
  <c r="AW75" i="9"/>
  <c r="AX75" i="9"/>
  <c r="Z75" i="9"/>
  <c r="BP83" i="9"/>
  <c r="BO83" i="9"/>
  <c r="BO87" i="9"/>
  <c r="AY87" i="9"/>
  <c r="AG87" i="9" s="1"/>
  <c r="BP87" i="9"/>
  <c r="AW88" i="9"/>
  <c r="AX88" i="9"/>
  <c r="Z88" i="9"/>
  <c r="DI93" i="9"/>
  <c r="CC93" i="9"/>
  <c r="BP96" i="9"/>
  <c r="BO96" i="9"/>
  <c r="AY96" i="9"/>
  <c r="AG96" i="9" s="1"/>
  <c r="AX96" i="9"/>
  <c r="AW96" i="9"/>
  <c r="Z96" i="9"/>
  <c r="BP117" i="9"/>
  <c r="BO117" i="9"/>
  <c r="AY117" i="9"/>
  <c r="AG117" i="9" s="1"/>
  <c r="AX117" i="9"/>
  <c r="AW117" i="9"/>
  <c r="Z117" i="9"/>
  <c r="AW121" i="9"/>
  <c r="AX121" i="9"/>
  <c r="F366" i="9"/>
  <c r="F381" i="9" s="1"/>
  <c r="F325" i="9"/>
  <c r="H366" i="9"/>
  <c r="H381" i="9" s="1"/>
  <c r="H325" i="9"/>
  <c r="J366" i="9"/>
  <c r="J336" i="9"/>
  <c r="J325" i="9"/>
  <c r="L366" i="9"/>
  <c r="L336" i="9"/>
  <c r="L325" i="9"/>
  <c r="N366" i="9"/>
  <c r="N381" i="9" s="1"/>
  <c r="N336" i="9"/>
  <c r="N328" i="9"/>
  <c r="N325" i="9"/>
  <c r="P336" i="9"/>
  <c r="R5" i="9"/>
  <c r="T329" i="9"/>
  <c r="T327" i="9"/>
  <c r="T325" i="9"/>
  <c r="V5" i="9"/>
  <c r="X5" i="9"/>
  <c r="AP5" i="9"/>
  <c r="BJ5" i="9"/>
  <c r="R6" i="9"/>
  <c r="V6" i="9"/>
  <c r="X6" i="9"/>
  <c r="AB6" i="9"/>
  <c r="AD6" i="9"/>
  <c r="AF6" i="9"/>
  <c r="AP6" i="9"/>
  <c r="AX6" i="9"/>
  <c r="BJ6" i="9"/>
  <c r="Q7" i="9"/>
  <c r="T490" i="9"/>
  <c r="T489" i="9" s="1"/>
  <c r="T488" i="9" s="1"/>
  <c r="T448" i="9"/>
  <c r="T447" i="9" s="1"/>
  <c r="V7" i="9"/>
  <c r="X7" i="9"/>
  <c r="AB7" i="9"/>
  <c r="AD7" i="9"/>
  <c r="AF7" i="9"/>
  <c r="AP7" i="9"/>
  <c r="AS490" i="9"/>
  <c r="AS489" i="9" s="1"/>
  <c r="AS488" i="9" s="1"/>
  <c r="AS448" i="9"/>
  <c r="AS447" i="9" s="1"/>
  <c r="AX7" i="9"/>
  <c r="BG7" i="9"/>
  <c r="BJ7" i="9" s="1"/>
  <c r="BL490" i="9"/>
  <c r="BL489" i="9" s="1"/>
  <c r="BL488" i="9" s="1"/>
  <c r="BL448" i="9"/>
  <c r="BL447" i="9" s="1"/>
  <c r="BN7" i="9"/>
  <c r="Q8" i="9"/>
  <c r="Q377" i="9" s="1"/>
  <c r="X8" i="9"/>
  <c r="Z8" i="9"/>
  <c r="AO8" i="9"/>
  <c r="AW8" i="9"/>
  <c r="BD8" i="9"/>
  <c r="BH8" i="9"/>
  <c r="BK8" i="9" s="1"/>
  <c r="BN8" i="9"/>
  <c r="CB8" i="9"/>
  <c r="CC8" i="9" s="1"/>
  <c r="CQ8" i="9"/>
  <c r="DG8" i="9"/>
  <c r="R9" i="9"/>
  <c r="V9" i="9"/>
  <c r="Y9" i="9"/>
  <c r="AA9" i="9"/>
  <c r="AD9" i="9"/>
  <c r="AF9" i="9"/>
  <c r="AX9" i="9"/>
  <c r="BJ9" i="9"/>
  <c r="DH306" i="9"/>
  <c r="CA304" i="9"/>
  <c r="R10" i="9"/>
  <c r="AD10" i="9"/>
  <c r="AP10" i="9"/>
  <c r="AX10" i="9"/>
  <c r="CC10" i="9"/>
  <c r="DH10" i="9"/>
  <c r="R11" i="9"/>
  <c r="AD11" i="9"/>
  <c r="AP11" i="9"/>
  <c r="AX11" i="9"/>
  <c r="CC11" i="9"/>
  <c r="DH11" i="9"/>
  <c r="R12" i="9"/>
  <c r="AD12" i="9"/>
  <c r="AP12" i="9"/>
  <c r="AX12" i="9"/>
  <c r="CR12" i="9"/>
  <c r="CR9" i="9" s="1"/>
  <c r="R13" i="9"/>
  <c r="V13" i="9"/>
  <c r="Y13" i="9"/>
  <c r="AA13" i="9"/>
  <c r="AD13" i="9"/>
  <c r="AF13" i="9"/>
  <c r="AP13" i="9"/>
  <c r="AX13" i="9"/>
  <c r="DD13" i="9"/>
  <c r="Q369" i="9"/>
  <c r="X14" i="9"/>
  <c r="AC14" i="9"/>
  <c r="AF14" i="9"/>
  <c r="AO14" i="9"/>
  <c r="CR14" i="9"/>
  <c r="X15" i="9"/>
  <c r="AC15" i="9"/>
  <c r="AE15" i="9"/>
  <c r="AO15" i="9"/>
  <c r="AW15" i="9"/>
  <c r="BD15" i="9"/>
  <c r="BH15" i="9"/>
  <c r="BK15" i="9" s="1"/>
  <c r="BN15" i="9"/>
  <c r="DF15" i="9"/>
  <c r="R16" i="9"/>
  <c r="V16" i="9"/>
  <c r="Y16" i="9"/>
  <c r="AE16" i="9"/>
  <c r="AW16" i="9"/>
  <c r="BD16" i="9"/>
  <c r="BH16" i="9"/>
  <c r="BK16" i="9" s="1"/>
  <c r="BN16" i="9"/>
  <c r="DH16" i="9"/>
  <c r="X17" i="9"/>
  <c r="AC17" i="9"/>
  <c r="AF17" i="9"/>
  <c r="AO17" i="9"/>
  <c r="CR17" i="9"/>
  <c r="R18" i="9"/>
  <c r="Y18" i="9"/>
  <c r="AE18" i="9"/>
  <c r="AO18" i="9"/>
  <c r="CR18" i="9"/>
  <c r="X19" i="9"/>
  <c r="BD19" i="9"/>
  <c r="BH19" i="9"/>
  <c r="BK19" i="9" s="1"/>
  <c r="BN19" i="9"/>
  <c r="X20" i="9"/>
  <c r="AC20" i="9"/>
  <c r="AE20" i="9"/>
  <c r="AO20" i="9"/>
  <c r="AX20" i="9"/>
  <c r="BD20" i="9"/>
  <c r="BH20" i="9"/>
  <c r="BK20" i="9" s="1"/>
  <c r="BN20" i="9"/>
  <c r="DC20" i="9"/>
  <c r="DG20" i="9"/>
  <c r="X21" i="9"/>
  <c r="AC21" i="9"/>
  <c r="AE21" i="9"/>
  <c r="AO21" i="9"/>
  <c r="AW21" i="9"/>
  <c r="BD21" i="9"/>
  <c r="BH21" i="9"/>
  <c r="BK21" i="9" s="1"/>
  <c r="BN21" i="9"/>
  <c r="Q22" i="9"/>
  <c r="X22" i="9"/>
  <c r="AC22" i="9"/>
  <c r="AF22" i="9"/>
  <c r="AO22" i="9"/>
  <c r="BN22" i="9"/>
  <c r="CQ22" i="9"/>
  <c r="DF22" i="9"/>
  <c r="V23" i="9"/>
  <c r="Y23" i="9"/>
  <c r="AA23" i="9"/>
  <c r="AD23" i="9"/>
  <c r="AF23" i="9"/>
  <c r="AP23" i="9"/>
  <c r="AW23" i="9"/>
  <c r="BN23" i="9"/>
  <c r="CP23" i="9"/>
  <c r="X24" i="9"/>
  <c r="AA24" i="9"/>
  <c r="AE24" i="9"/>
  <c r="AW24" i="9"/>
  <c r="BD24" i="9"/>
  <c r="BH24" i="9"/>
  <c r="BK24" i="9" s="1"/>
  <c r="BN24" i="9"/>
  <c r="V25" i="9"/>
  <c r="Y25" i="9"/>
  <c r="AA25" i="9"/>
  <c r="AE25" i="9"/>
  <c r="AO25" i="9"/>
  <c r="CR25" i="9"/>
  <c r="DB26" i="9"/>
  <c r="F27" i="9"/>
  <c r="G336" i="9"/>
  <c r="G321" i="9"/>
  <c r="K321" i="9"/>
  <c r="K337" i="9"/>
  <c r="S337" i="9"/>
  <c r="S321" i="9"/>
  <c r="U462" i="9"/>
  <c r="U503" i="9" s="1"/>
  <c r="W28" i="9"/>
  <c r="Y28" i="9"/>
  <c r="AA28" i="9"/>
  <c r="AC28" i="9"/>
  <c r="AE28" i="9"/>
  <c r="AO28" i="9"/>
  <c r="AQ462" i="9"/>
  <c r="AQ503" i="9" s="1"/>
  <c r="AS462" i="9"/>
  <c r="AS503" i="9" s="1"/>
  <c r="AW28" i="9"/>
  <c r="BB462" i="9"/>
  <c r="BB503" i="9" s="1"/>
  <c r="BB321" i="9"/>
  <c r="BJ28" i="9"/>
  <c r="BL462" i="9"/>
  <c r="BL503" i="9" s="1"/>
  <c r="BL321" i="9"/>
  <c r="CQ462" i="9"/>
  <c r="CQ503" i="9" s="1"/>
  <c r="DG28" i="9"/>
  <c r="R29" i="9"/>
  <c r="V29" i="9"/>
  <c r="X29" i="9"/>
  <c r="AB29" i="9"/>
  <c r="AD29" i="9"/>
  <c r="AF29" i="9"/>
  <c r="AP29" i="9"/>
  <c r="AX29" i="9"/>
  <c r="R30" i="9"/>
  <c r="W30" i="9"/>
  <c r="Y30" i="9"/>
  <c r="AA30" i="9"/>
  <c r="AC30" i="9"/>
  <c r="AE30" i="9"/>
  <c r="AO30" i="9"/>
  <c r="AW30" i="9"/>
  <c r="BD30" i="9"/>
  <c r="BH30" i="9"/>
  <c r="CB30" i="9"/>
  <c r="CP30" i="9"/>
  <c r="CP29" i="9" s="1"/>
  <c r="CP28" i="9" s="1"/>
  <c r="C31" i="9"/>
  <c r="E31" i="9"/>
  <c r="G31" i="9"/>
  <c r="I31" i="9"/>
  <c r="K31" i="9"/>
  <c r="M31" i="9"/>
  <c r="S31" i="9"/>
  <c r="U31" i="9"/>
  <c r="AQ31" i="9"/>
  <c r="AM31" i="9" s="1"/>
  <c r="AS31" i="9"/>
  <c r="BB31" i="9"/>
  <c r="AU31" i="9" s="1"/>
  <c r="BL31" i="9"/>
  <c r="BR31" i="9"/>
  <c r="BU31" i="9"/>
  <c r="BZ31" i="9"/>
  <c r="DG31" i="9" s="1"/>
  <c r="AC32" i="9"/>
  <c r="AO32" i="9"/>
  <c r="T328" i="9"/>
  <c r="T239" i="9"/>
  <c r="DH34" i="9"/>
  <c r="Q35" i="9"/>
  <c r="W35" i="9"/>
  <c r="Y35" i="9"/>
  <c r="AA35" i="9"/>
  <c r="AC35" i="9"/>
  <c r="AE35" i="9"/>
  <c r="AO35" i="9"/>
  <c r="AU35" i="9"/>
  <c r="AW35" i="9"/>
  <c r="I425" i="9"/>
  <c r="I407" i="9"/>
  <c r="I403" i="9"/>
  <c r="O403" i="9"/>
  <c r="R36" i="9"/>
  <c r="AB36" i="9"/>
  <c r="AD36" i="9"/>
  <c r="AF36" i="9"/>
  <c r="AP36" i="9"/>
  <c r="AX36" i="9"/>
  <c r="BC407" i="9"/>
  <c r="BC403" i="9"/>
  <c r="BG403" i="9"/>
  <c r="BI407" i="9"/>
  <c r="BI403" i="9"/>
  <c r="BK36" i="9"/>
  <c r="BN36" i="9"/>
  <c r="CB36" i="9"/>
  <c r="W37" i="9"/>
  <c r="Y37" i="9"/>
  <c r="BD37" i="9"/>
  <c r="BH37" i="9"/>
  <c r="BK37" i="9" s="1"/>
  <c r="BN37" i="9"/>
  <c r="W38" i="9"/>
  <c r="Y38" i="9"/>
  <c r="AO38" i="9"/>
  <c r="P376" i="9"/>
  <c r="P425" i="9"/>
  <c r="P407" i="9"/>
  <c r="P400" i="9"/>
  <c r="R39" i="9"/>
  <c r="W39" i="9"/>
  <c r="Y39" i="9"/>
  <c r="AO39" i="9"/>
  <c r="AQ407" i="9"/>
  <c r="AQ400" i="9"/>
  <c r="BK39" i="9"/>
  <c r="BQ407" i="9"/>
  <c r="BQ400" i="9"/>
  <c r="X40" i="9"/>
  <c r="AO40" i="9"/>
  <c r="BK40" i="9"/>
  <c r="X41" i="9"/>
  <c r="AO41" i="9"/>
  <c r="BK41" i="9"/>
  <c r="X42" i="9"/>
  <c r="AO42" i="9"/>
  <c r="BK42" i="9"/>
  <c r="R43" i="9"/>
  <c r="AP43" i="9"/>
  <c r="AX43" i="9"/>
  <c r="X44" i="9"/>
  <c r="AC44" i="9"/>
  <c r="AE44" i="9"/>
  <c r="AI44" i="9"/>
  <c r="AK44" i="9"/>
  <c r="AO44" i="9"/>
  <c r="BF44" i="9"/>
  <c r="BP44" i="9"/>
  <c r="X45" i="9"/>
  <c r="AC45" i="9"/>
  <c r="AE45" i="9"/>
  <c r="AI45" i="9"/>
  <c r="AK45" i="9"/>
  <c r="AO45" i="9"/>
  <c r="BF45" i="9"/>
  <c r="BP45" i="9"/>
  <c r="X46" i="9"/>
  <c r="AO46" i="9"/>
  <c r="BK46" i="9"/>
  <c r="X47" i="9"/>
  <c r="AC47" i="9"/>
  <c r="AF47" i="9"/>
  <c r="BD47" i="9"/>
  <c r="BH47" i="9"/>
  <c r="BK47" i="9" s="1"/>
  <c r="BN47" i="9"/>
  <c r="R48" i="9"/>
  <c r="AP48" i="9"/>
  <c r="AX48" i="9"/>
  <c r="X49" i="9"/>
  <c r="AC49" i="9"/>
  <c r="AE49" i="9"/>
  <c r="AO49" i="9"/>
  <c r="BF49" i="9"/>
  <c r="CC49" i="9"/>
  <c r="X50" i="9"/>
  <c r="AC50" i="9"/>
  <c r="AE50" i="9"/>
  <c r="AO50" i="9"/>
  <c r="BN50" i="9"/>
  <c r="Q51" i="9"/>
  <c r="Q368" i="9" s="1"/>
  <c r="X51" i="9"/>
  <c r="AC51" i="9"/>
  <c r="AF51" i="9"/>
  <c r="AO51" i="9"/>
  <c r="BK51" i="9"/>
  <c r="BN51" i="9"/>
  <c r="Q52" i="9"/>
  <c r="Q401" i="9" s="1"/>
  <c r="AB52" i="9"/>
  <c r="AD52" i="9"/>
  <c r="AF52" i="9"/>
  <c r="AS457" i="9"/>
  <c r="AS498" i="9" s="1"/>
  <c r="AS401" i="9"/>
  <c r="BB457" i="9"/>
  <c r="BB498" i="9" s="1"/>
  <c r="BB401" i="9"/>
  <c r="BD52" i="9"/>
  <c r="BH52" i="9"/>
  <c r="BH401" i="9" s="1"/>
  <c r="BL457" i="9"/>
  <c r="BL498" i="9" s="1"/>
  <c r="BL401" i="9"/>
  <c r="BN52" i="9"/>
  <c r="W53" i="9"/>
  <c r="Y53" i="9"/>
  <c r="AC53" i="9"/>
  <c r="AO53" i="9"/>
  <c r="BN53" i="9"/>
  <c r="X54" i="9"/>
  <c r="AC54" i="9"/>
  <c r="AF54" i="9"/>
  <c r="AO54" i="9"/>
  <c r="BK54" i="9"/>
  <c r="BN54" i="9"/>
  <c r="R55" i="9"/>
  <c r="AB55" i="9"/>
  <c r="AD55" i="9"/>
  <c r="AF55" i="9"/>
  <c r="AP55" i="9"/>
  <c r="AX55" i="9"/>
  <c r="BD55" i="9"/>
  <c r="BH55" i="9"/>
  <c r="BK55" i="9" s="1"/>
  <c r="R56" i="9"/>
  <c r="V56" i="9"/>
  <c r="X56" i="9"/>
  <c r="AB56" i="9"/>
  <c r="AD56" i="9"/>
  <c r="AF56" i="9"/>
  <c r="AP56" i="9"/>
  <c r="AX56" i="9"/>
  <c r="BJ56" i="9"/>
  <c r="Q57" i="9"/>
  <c r="W57" i="9"/>
  <c r="Y57" i="9"/>
  <c r="AA57" i="9"/>
  <c r="AC57" i="9"/>
  <c r="AE57" i="9"/>
  <c r="AO57" i="9"/>
  <c r="AW57" i="9"/>
  <c r="BD57" i="9"/>
  <c r="BH57" i="9"/>
  <c r="CB57" i="9"/>
  <c r="CC57" i="9" s="1"/>
  <c r="V58" i="9"/>
  <c r="X58" i="9"/>
  <c r="AB58" i="9"/>
  <c r="AD58" i="9"/>
  <c r="AP58" i="9"/>
  <c r="AX58" i="9"/>
  <c r="BG58" i="9"/>
  <c r="BJ58" i="9" s="1"/>
  <c r="CB58" i="9"/>
  <c r="DI58" i="9" s="1"/>
  <c r="O59" i="9"/>
  <c r="Q59" i="9"/>
  <c r="W59" i="9"/>
  <c r="Y59" i="9"/>
  <c r="AA59" i="9"/>
  <c r="AC59" i="9"/>
  <c r="AE59" i="9"/>
  <c r="AO59" i="9"/>
  <c r="AW59" i="9"/>
  <c r="BD59" i="9"/>
  <c r="BH59" i="9"/>
  <c r="BK59" i="9" s="1"/>
  <c r="BJ59" i="9"/>
  <c r="CB59" i="9"/>
  <c r="DI59" i="9" s="1"/>
  <c r="Q60" i="9"/>
  <c r="X60" i="9"/>
  <c r="AC60" i="9"/>
  <c r="AO60" i="9"/>
  <c r="AW60" i="9"/>
  <c r="BD60" i="9"/>
  <c r="BH60" i="9"/>
  <c r="BK60" i="9" s="1"/>
  <c r="BN60" i="9"/>
  <c r="V61" i="9"/>
  <c r="X61" i="9"/>
  <c r="BE61" i="9"/>
  <c r="BG61" i="9"/>
  <c r="BJ61" i="9" s="1"/>
  <c r="CB61" i="9"/>
  <c r="Q62" i="9"/>
  <c r="W62" i="9"/>
  <c r="Y62" i="9"/>
  <c r="AA62" i="9"/>
  <c r="AC62" i="9"/>
  <c r="AE62" i="9"/>
  <c r="AO62" i="9"/>
  <c r="AW62" i="9"/>
  <c r="BD62" i="9"/>
  <c r="BH62" i="9"/>
  <c r="BK62" i="9" s="1"/>
  <c r="BJ62" i="9"/>
  <c r="CC62" i="9"/>
  <c r="V63" i="9"/>
  <c r="X63" i="9"/>
  <c r="AB63" i="9"/>
  <c r="AD63" i="9"/>
  <c r="AH63" i="9"/>
  <c r="AJ63" i="9"/>
  <c r="AX63" i="9"/>
  <c r="BE63" i="9"/>
  <c r="BG63" i="9"/>
  <c r="BJ63" i="9" s="1"/>
  <c r="BO63" i="9"/>
  <c r="V64" i="9"/>
  <c r="Y64" i="9"/>
  <c r="BE64" i="9"/>
  <c r="BG64" i="9"/>
  <c r="BJ64" i="9" s="1"/>
  <c r="CB64" i="9"/>
  <c r="Q65" i="9"/>
  <c r="X65" i="9"/>
  <c r="Z65" i="9"/>
  <c r="AO65" i="9"/>
  <c r="AW65" i="9"/>
  <c r="BD65" i="9"/>
  <c r="BH65" i="9"/>
  <c r="BK65" i="9" s="1"/>
  <c r="BN65" i="9"/>
  <c r="O66" i="9"/>
  <c r="Q66" i="9"/>
  <c r="X66" i="9"/>
  <c r="Z66" i="9"/>
  <c r="AO66" i="9"/>
  <c r="AW66" i="9"/>
  <c r="BD66" i="9"/>
  <c r="BH66" i="9"/>
  <c r="BK66" i="9" s="1"/>
  <c r="BJ66" i="9"/>
  <c r="CC66" i="9"/>
  <c r="O67" i="9"/>
  <c r="O405" i="9" s="1"/>
  <c r="Q67" i="9"/>
  <c r="W67" i="9"/>
  <c r="Y67" i="9"/>
  <c r="AA67" i="9"/>
  <c r="AC67" i="9"/>
  <c r="AE67" i="9"/>
  <c r="AO67" i="9"/>
  <c r="AW67" i="9"/>
  <c r="BD67" i="9"/>
  <c r="BH67" i="9"/>
  <c r="BK67" i="9" s="1"/>
  <c r="CB67" i="9"/>
  <c r="DI67" i="9" s="1"/>
  <c r="R68" i="9"/>
  <c r="X68" i="9"/>
  <c r="AB68" i="9"/>
  <c r="AD68" i="9"/>
  <c r="AF68" i="9"/>
  <c r="AP68" i="9"/>
  <c r="AX68" i="9"/>
  <c r="BK68" i="9"/>
  <c r="BN68" i="9"/>
  <c r="CB68" i="9"/>
  <c r="DI68" i="9" s="1"/>
  <c r="R69" i="9"/>
  <c r="V69" i="9"/>
  <c r="X69" i="9"/>
  <c r="AB69" i="9"/>
  <c r="AD69" i="9"/>
  <c r="AF69" i="9"/>
  <c r="AP69" i="9"/>
  <c r="AX69" i="9"/>
  <c r="BG69" i="9"/>
  <c r="BJ69" i="9" s="1"/>
  <c r="BN69" i="9"/>
  <c r="CB69" i="9"/>
  <c r="DI69" i="9" s="1"/>
  <c r="V70" i="9"/>
  <c r="X70" i="9"/>
  <c r="AB70" i="9"/>
  <c r="AD70" i="9"/>
  <c r="AF70" i="9"/>
  <c r="AP70" i="9"/>
  <c r="AX70" i="9"/>
  <c r="BN70" i="9"/>
  <c r="CB70" i="9"/>
  <c r="DI70" i="9" s="1"/>
  <c r="Q71" i="9"/>
  <c r="X71" i="9"/>
  <c r="AC71" i="9"/>
  <c r="AE71" i="9"/>
  <c r="AO71" i="9"/>
  <c r="AW71" i="9"/>
  <c r="BD71" i="9"/>
  <c r="BH71" i="9"/>
  <c r="BK71" i="9" s="1"/>
  <c r="BN71" i="9"/>
  <c r="Q72" i="9"/>
  <c r="AA72" i="9"/>
  <c r="AE72" i="9"/>
  <c r="AO72" i="9"/>
  <c r="AU72" i="9"/>
  <c r="AW72" i="9" s="1"/>
  <c r="Q73" i="9"/>
  <c r="W73" i="9"/>
  <c r="Y73" i="9"/>
  <c r="AA73" i="9"/>
  <c r="AC73" i="9"/>
  <c r="AE73" i="9"/>
  <c r="AO73" i="9"/>
  <c r="AW73" i="9"/>
  <c r="BD73" i="9"/>
  <c r="BH73" i="9"/>
  <c r="BN73" i="9"/>
  <c r="V74" i="9"/>
  <c r="X74" i="9"/>
  <c r="AB74" i="9"/>
  <c r="AD74" i="9"/>
  <c r="AF74" i="9"/>
  <c r="AP74" i="9"/>
  <c r="AX74" i="9"/>
  <c r="BG74" i="9"/>
  <c r="BJ74" i="9" s="1"/>
  <c r="CP74" i="9"/>
  <c r="R75" i="9"/>
  <c r="V75" i="9"/>
  <c r="X75" i="9"/>
  <c r="BE75" i="9"/>
  <c r="BG75" i="9"/>
  <c r="BJ75" i="9" s="1"/>
  <c r="BK75" i="9"/>
  <c r="BN75" i="9"/>
  <c r="CB75" i="9"/>
  <c r="Q76" i="9"/>
  <c r="W76" i="9"/>
  <c r="Y76" i="9"/>
  <c r="AA76" i="9"/>
  <c r="AC76" i="9"/>
  <c r="AE76" i="9"/>
  <c r="AO76" i="9"/>
  <c r="AW76" i="9"/>
  <c r="BD76" i="9"/>
  <c r="BH76" i="9"/>
  <c r="BK76" i="9" s="1"/>
  <c r="BN76" i="9"/>
  <c r="Q77" i="9"/>
  <c r="U77" i="9"/>
  <c r="AA77" i="9"/>
  <c r="AC77" i="9"/>
  <c r="AE77" i="9"/>
  <c r="AM77" i="9"/>
  <c r="BG77" i="9" s="1"/>
  <c r="BJ77" i="9" s="1"/>
  <c r="AO77" i="9"/>
  <c r="AU77" i="9"/>
  <c r="AW77" i="9"/>
  <c r="BN77" i="9"/>
  <c r="O78" i="9"/>
  <c r="Q78" i="9"/>
  <c r="U78" i="9"/>
  <c r="AA78" i="9"/>
  <c r="AC78" i="9"/>
  <c r="AE78" i="9"/>
  <c r="AO78" i="9"/>
  <c r="AW78" i="9"/>
  <c r="CB78" i="9"/>
  <c r="DI78" i="9" s="1"/>
  <c r="V79" i="9"/>
  <c r="X79" i="9"/>
  <c r="AB79" i="9"/>
  <c r="AD79" i="9"/>
  <c r="AH79" i="9"/>
  <c r="AJ79" i="9"/>
  <c r="AX79" i="9"/>
  <c r="BE79" i="9"/>
  <c r="BG79" i="9"/>
  <c r="BJ79" i="9" s="1"/>
  <c r="BO79" i="9"/>
  <c r="CP79" i="9"/>
  <c r="V80" i="9"/>
  <c r="X80" i="9"/>
  <c r="AP80" i="9"/>
  <c r="BD80" i="9"/>
  <c r="BO80" i="9"/>
  <c r="Q81" i="9"/>
  <c r="W81" i="9"/>
  <c r="Z81" i="9"/>
  <c r="AO81" i="9"/>
  <c r="AW81" i="9"/>
  <c r="BD81" i="9"/>
  <c r="BH81" i="9"/>
  <c r="BK81" i="9" s="1"/>
  <c r="BN81" i="9"/>
  <c r="V82" i="9"/>
  <c r="X82" i="9"/>
  <c r="AB82" i="9"/>
  <c r="AD82" i="9"/>
  <c r="AH82" i="9"/>
  <c r="AJ82" i="9"/>
  <c r="AX82" i="9"/>
  <c r="BE82" i="9"/>
  <c r="BG82" i="9"/>
  <c r="BJ82" i="9" s="1"/>
  <c r="BO82" i="9"/>
  <c r="O83" i="9"/>
  <c r="Q83" i="9"/>
  <c r="W83" i="9"/>
  <c r="AA83" i="9"/>
  <c r="AC83" i="9"/>
  <c r="AE83" i="9"/>
  <c r="AO83" i="9"/>
  <c r="AW83" i="9"/>
  <c r="BD83" i="9"/>
  <c r="BH83" i="9"/>
  <c r="BK83" i="9" s="1"/>
  <c r="BJ83" i="9"/>
  <c r="CC83" i="9"/>
  <c r="Q84" i="9"/>
  <c r="Z84" i="9"/>
  <c r="AO84" i="9"/>
  <c r="AW84" i="9"/>
  <c r="BD84" i="9"/>
  <c r="BH84" i="9"/>
  <c r="BK84" i="9" s="1"/>
  <c r="BN84" i="9"/>
  <c r="Q85" i="9"/>
  <c r="AA85" i="9"/>
  <c r="AE85" i="9"/>
  <c r="AO85" i="9"/>
  <c r="AQ496" i="9"/>
  <c r="AS496" i="9"/>
  <c r="AU85" i="9"/>
  <c r="AW85" i="9"/>
  <c r="BQ496" i="9"/>
  <c r="BY85" i="9"/>
  <c r="V86" i="9"/>
  <c r="Y86" i="9"/>
  <c r="BE86" i="9"/>
  <c r="BG86" i="9"/>
  <c r="BJ86" i="9" s="1"/>
  <c r="CB86" i="9"/>
  <c r="P413" i="9"/>
  <c r="R87" i="9"/>
  <c r="V87" i="9"/>
  <c r="X87" i="9"/>
  <c r="AV87" i="9"/>
  <c r="BG87" i="9"/>
  <c r="BI413" i="9"/>
  <c r="BK87" i="9"/>
  <c r="CB87" i="9"/>
  <c r="DC87" i="9"/>
  <c r="V88" i="9"/>
  <c r="X88" i="9"/>
  <c r="BE88" i="9"/>
  <c r="BG88" i="9"/>
  <c r="BJ88" i="9" s="1"/>
  <c r="BN88" i="9"/>
  <c r="BN85" i="9" s="1"/>
  <c r="CB88" i="9"/>
  <c r="DI88" i="9" s="1"/>
  <c r="O89" i="9"/>
  <c r="Q89" i="9"/>
  <c r="W89" i="9"/>
  <c r="Y89" i="9"/>
  <c r="AA89" i="9"/>
  <c r="AC89" i="9"/>
  <c r="AE89" i="9"/>
  <c r="AO89" i="9"/>
  <c r="AW89" i="9"/>
  <c r="BD89" i="9"/>
  <c r="BH89" i="9"/>
  <c r="BK89" i="9" s="1"/>
  <c r="BJ89" i="9"/>
  <c r="CB89" i="9"/>
  <c r="DI89" i="9" s="1"/>
  <c r="R90" i="9"/>
  <c r="X90" i="9"/>
  <c r="AB90" i="9"/>
  <c r="AD90" i="9"/>
  <c r="AF90" i="9"/>
  <c r="AP90" i="9"/>
  <c r="AX90" i="9"/>
  <c r="BK90" i="9"/>
  <c r="BN90" i="9"/>
  <c r="M426" i="9"/>
  <c r="M414" i="9"/>
  <c r="M421" i="9" s="1"/>
  <c r="P426" i="9"/>
  <c r="P414" i="9"/>
  <c r="R91" i="9"/>
  <c r="X91" i="9"/>
  <c r="AB91" i="9"/>
  <c r="AD91" i="9"/>
  <c r="AF91" i="9"/>
  <c r="AP91" i="9"/>
  <c r="AX91" i="9"/>
  <c r="BG414" i="9"/>
  <c r="BK91" i="9"/>
  <c r="BN91" i="9"/>
  <c r="M374" i="9"/>
  <c r="R92" i="9"/>
  <c r="X92" i="9"/>
  <c r="AB92" i="9"/>
  <c r="AD92" i="9"/>
  <c r="AF92" i="9"/>
  <c r="AP92" i="9"/>
  <c r="AX92" i="9"/>
  <c r="BK92" i="9"/>
  <c r="BN92" i="9"/>
  <c r="DC92" i="9"/>
  <c r="W93" i="9"/>
  <c r="Y93" i="9"/>
  <c r="AC93" i="9"/>
  <c r="AI93" i="9"/>
  <c r="AK93" i="9"/>
  <c r="AO93" i="9"/>
  <c r="BF93" i="9"/>
  <c r="BP93" i="9"/>
  <c r="DF93" i="9"/>
  <c r="W94" i="9"/>
  <c r="Y94" i="9"/>
  <c r="AO94" i="9"/>
  <c r="BF94" i="9"/>
  <c r="R95" i="9"/>
  <c r="X95" i="9"/>
  <c r="AB95" i="9"/>
  <c r="AD95" i="9"/>
  <c r="AF95" i="9"/>
  <c r="AP95" i="9"/>
  <c r="AX95" i="9"/>
  <c r="BK95" i="9"/>
  <c r="BN95" i="9"/>
  <c r="DC95" i="9"/>
  <c r="X96" i="9"/>
  <c r="AO96" i="9"/>
  <c r="BF96" i="9"/>
  <c r="W97" i="9"/>
  <c r="Y97" i="9"/>
  <c r="AC97" i="9"/>
  <c r="AI97" i="9"/>
  <c r="AK97" i="9"/>
  <c r="AO97" i="9"/>
  <c r="BF97" i="9"/>
  <c r="BP97" i="9"/>
  <c r="R98" i="9"/>
  <c r="AB98" i="9"/>
  <c r="AE98" i="9"/>
  <c r="AO98" i="9"/>
  <c r="R99" i="9"/>
  <c r="X99" i="9"/>
  <c r="AB99" i="9"/>
  <c r="AD99" i="9"/>
  <c r="AF99" i="9"/>
  <c r="AP99" i="9"/>
  <c r="AX99" i="9"/>
  <c r="BK99" i="9"/>
  <c r="BN99" i="9"/>
  <c r="R100" i="9"/>
  <c r="AB100" i="9"/>
  <c r="AF100" i="9"/>
  <c r="AP100" i="9"/>
  <c r="AX100" i="9"/>
  <c r="BD100" i="9"/>
  <c r="BH100" i="9"/>
  <c r="BK100" i="9" s="1"/>
  <c r="BN100" i="9"/>
  <c r="CB100" i="9"/>
  <c r="DI100" i="9" s="1"/>
  <c r="DC100" i="9"/>
  <c r="R101" i="9"/>
  <c r="X101" i="9"/>
  <c r="AB101" i="9"/>
  <c r="AD101" i="9"/>
  <c r="AF101" i="9"/>
  <c r="AP101" i="9"/>
  <c r="BD101" i="9"/>
  <c r="BH101" i="9"/>
  <c r="BK101" i="9" s="1"/>
  <c r="BN101" i="9"/>
  <c r="R102" i="9"/>
  <c r="X102" i="9"/>
  <c r="AB102" i="9"/>
  <c r="AD102" i="9"/>
  <c r="AF102" i="9"/>
  <c r="AP102" i="9"/>
  <c r="AX102" i="9"/>
  <c r="BK102" i="9"/>
  <c r="BN102" i="9"/>
  <c r="R103" i="9"/>
  <c r="Y103" i="9"/>
  <c r="AP103" i="9"/>
  <c r="AX103" i="9"/>
  <c r="DC103" i="9"/>
  <c r="W104" i="9"/>
  <c r="Y104" i="9"/>
  <c r="AC104" i="9"/>
  <c r="AO104" i="9"/>
  <c r="BF104" i="9"/>
  <c r="BP104" i="9"/>
  <c r="R105" i="9"/>
  <c r="AB105" i="9"/>
  <c r="AD105" i="9"/>
  <c r="AF105" i="9"/>
  <c r="AP105" i="9"/>
  <c r="AX105" i="9"/>
  <c r="W106" i="9"/>
  <c r="Y106" i="9"/>
  <c r="AC106" i="9"/>
  <c r="AI106" i="9"/>
  <c r="AK106" i="9"/>
  <c r="AO106" i="9"/>
  <c r="BF106" i="9"/>
  <c r="BP106" i="9"/>
  <c r="W107" i="9"/>
  <c r="Y107" i="9"/>
  <c r="AC107" i="9"/>
  <c r="AI107" i="9"/>
  <c r="AK107" i="9"/>
  <c r="AO107" i="9"/>
  <c r="BF107" i="9"/>
  <c r="BP107" i="9"/>
  <c r="W108" i="9"/>
  <c r="Y108" i="9"/>
  <c r="AC108" i="9"/>
  <c r="AI108" i="9"/>
  <c r="AK108" i="9"/>
  <c r="AO108" i="9"/>
  <c r="BF108" i="9"/>
  <c r="BP108" i="9"/>
  <c r="R109" i="9"/>
  <c r="AB109" i="9"/>
  <c r="AD109" i="9"/>
  <c r="AF109" i="9"/>
  <c r="AP109" i="9"/>
  <c r="AX109" i="9"/>
  <c r="W110" i="9"/>
  <c r="Y110" i="9"/>
  <c r="AC110" i="9"/>
  <c r="AI110" i="9"/>
  <c r="AK110" i="9"/>
  <c r="AO110" i="9"/>
  <c r="BF110" i="9"/>
  <c r="BP110" i="9"/>
  <c r="R111" i="9"/>
  <c r="AB111" i="9"/>
  <c r="AD111" i="9"/>
  <c r="AF111" i="9"/>
  <c r="AP111" i="9"/>
  <c r="AX111" i="9"/>
  <c r="BK111" i="9"/>
  <c r="BN111" i="9"/>
  <c r="R112" i="9"/>
  <c r="AB112" i="9"/>
  <c r="AD112" i="9"/>
  <c r="AF112" i="9"/>
  <c r="AP112" i="9"/>
  <c r="AX112" i="9"/>
  <c r="W113" i="9"/>
  <c r="Y113" i="9"/>
  <c r="AO113" i="9"/>
  <c r="BF113" i="9"/>
  <c r="W114" i="9"/>
  <c r="Y114" i="9"/>
  <c r="AC114" i="9"/>
  <c r="AI114" i="9"/>
  <c r="AK114" i="9"/>
  <c r="AO114" i="9"/>
  <c r="BF114" i="9"/>
  <c r="BP114" i="9"/>
  <c r="R115" i="9"/>
  <c r="X115" i="9"/>
  <c r="AB115" i="9"/>
  <c r="AD115" i="9"/>
  <c r="AF115" i="9"/>
  <c r="AP115" i="9"/>
  <c r="AX115" i="9"/>
  <c r="CP115" i="9"/>
  <c r="R116" i="9"/>
  <c r="BD116" i="9"/>
  <c r="BH116" i="9"/>
  <c r="BK116" i="9" s="1"/>
  <c r="BN116" i="9"/>
  <c r="X117" i="9"/>
  <c r="AO117" i="9"/>
  <c r="BF117" i="9"/>
  <c r="CC117" i="9"/>
  <c r="DF117" i="9"/>
  <c r="R118" i="9"/>
  <c r="AB118" i="9"/>
  <c r="AD118" i="9"/>
  <c r="AF118" i="9"/>
  <c r="AP118" i="9"/>
  <c r="BD118" i="9"/>
  <c r="BH118" i="9"/>
  <c r="BK118" i="9" s="1"/>
  <c r="BN118" i="9"/>
  <c r="R119" i="9"/>
  <c r="X119" i="9"/>
  <c r="AO119" i="9"/>
  <c r="AW120" i="9"/>
  <c r="CC121" i="9"/>
  <c r="BN121" i="9"/>
  <c r="BH121" i="9"/>
  <c r="BK121" i="9" s="1"/>
  <c r="BD121" i="9"/>
  <c r="AO121" i="9"/>
  <c r="Z121" i="9"/>
  <c r="AX140" i="9"/>
  <c r="Z140" i="9"/>
  <c r="AW140" i="9"/>
  <c r="BP142" i="9"/>
  <c r="BO142" i="9"/>
  <c r="AY142" i="9"/>
  <c r="AG142" i="9" s="1"/>
  <c r="AZ142" i="9"/>
  <c r="AX142" i="9"/>
  <c r="Z142" i="9"/>
  <c r="BA142" i="9"/>
  <c r="AW142" i="9"/>
  <c r="DI147" i="9"/>
  <c r="CC147" i="9"/>
  <c r="AV146" i="9"/>
  <c r="BN150" i="9"/>
  <c r="AL146" i="9"/>
  <c r="BP153" i="9"/>
  <c r="BO153" i="9"/>
  <c r="AY153" i="9"/>
  <c r="AG153" i="9" s="1"/>
  <c r="AX153" i="9"/>
  <c r="Z153" i="9"/>
  <c r="BA153" i="9"/>
  <c r="AW153" i="9"/>
  <c r="AO160" i="9"/>
  <c r="AP160" i="9"/>
  <c r="AW191" i="9"/>
  <c r="AX191" i="9"/>
  <c r="Z191" i="9"/>
  <c r="AW200" i="9"/>
  <c r="AX200" i="9"/>
  <c r="AW204" i="9"/>
  <c r="AX204" i="9"/>
  <c r="C366" i="9"/>
  <c r="C381" i="9" s="1"/>
  <c r="C325" i="9"/>
  <c r="E325" i="9"/>
  <c r="E366" i="9"/>
  <c r="E381" i="9" s="1"/>
  <c r="G366" i="9"/>
  <c r="G381" i="9" s="1"/>
  <c r="G325" i="9"/>
  <c r="I336" i="9"/>
  <c r="K366" i="9"/>
  <c r="K325" i="9"/>
  <c r="K336" i="9"/>
  <c r="M336" i="9"/>
  <c r="O336" i="9"/>
  <c r="Q5" i="9"/>
  <c r="S336" i="9"/>
  <c r="S329" i="9"/>
  <c r="S327" i="9"/>
  <c r="S325" i="9"/>
  <c r="S366" i="9"/>
  <c r="S381" i="9" s="1"/>
  <c r="W5" i="9"/>
  <c r="Y5" i="9"/>
  <c r="W6" i="9"/>
  <c r="AA6" i="9"/>
  <c r="AC6" i="9"/>
  <c r="AW6" i="9"/>
  <c r="R7" i="9"/>
  <c r="U490" i="9"/>
  <c r="U448" i="9"/>
  <c r="U447" i="9" s="1"/>
  <c r="W7" i="9"/>
  <c r="Y7" i="9"/>
  <c r="AA7" i="9"/>
  <c r="AC7" i="9"/>
  <c r="AQ490" i="9"/>
  <c r="AQ489" i="9" s="1"/>
  <c r="AQ488" i="9" s="1"/>
  <c r="AQ448" i="9"/>
  <c r="AQ447" i="9" s="1"/>
  <c r="BB490" i="9"/>
  <c r="BB489" i="9" s="1"/>
  <c r="BB488" i="9" s="1"/>
  <c r="BB448" i="9"/>
  <c r="BB447" i="9" s="1"/>
  <c r="BD7" i="9"/>
  <c r="BQ490" i="9"/>
  <c r="BQ489" i="9" s="1"/>
  <c r="BQ488" i="9" s="1"/>
  <c r="BQ448" i="9"/>
  <c r="BQ447" i="9" s="1"/>
  <c r="CP7" i="9"/>
  <c r="R8" i="9"/>
  <c r="AX8" i="9"/>
  <c r="DG306" i="9"/>
  <c r="BZ304" i="9"/>
  <c r="CT8" i="9"/>
  <c r="X9" i="9"/>
  <c r="AC9" i="9"/>
  <c r="AO9" i="9"/>
  <c r="AW9" i="9"/>
  <c r="CT9" i="9"/>
  <c r="DG9" i="9"/>
  <c r="Q10" i="9"/>
  <c r="X10" i="9"/>
  <c r="AC10" i="9"/>
  <c r="AO10" i="9"/>
  <c r="AW10" i="9"/>
  <c r="BD10" i="9"/>
  <c r="Q11" i="9"/>
  <c r="X11" i="9"/>
  <c r="AC11" i="9"/>
  <c r="AO11" i="9"/>
  <c r="AW11" i="9"/>
  <c r="BD11" i="9"/>
  <c r="AC12" i="9"/>
  <c r="AO12" i="9"/>
  <c r="AW12" i="9"/>
  <c r="BD12" i="9"/>
  <c r="CB12" i="9"/>
  <c r="DI12" i="9" s="1"/>
  <c r="X13" i="9"/>
  <c r="AC13" i="9"/>
  <c r="AW13" i="9"/>
  <c r="R14" i="9"/>
  <c r="V14" i="9"/>
  <c r="Y14" i="9"/>
  <c r="AA14" i="9"/>
  <c r="AW14" i="9"/>
  <c r="BD14" i="9"/>
  <c r="BN14" i="9"/>
  <c r="V15" i="9"/>
  <c r="Y15" i="9"/>
  <c r="AA15" i="9"/>
  <c r="AD15" i="9"/>
  <c r="AX15" i="9"/>
  <c r="Q16" i="9"/>
  <c r="Q372" i="9" s="1"/>
  <c r="X16" i="9"/>
  <c r="AC16" i="9"/>
  <c r="V17" i="9"/>
  <c r="AA17" i="9"/>
  <c r="AW17" i="9"/>
  <c r="BD17" i="9"/>
  <c r="BN17" i="9"/>
  <c r="Q18" i="9"/>
  <c r="AC18" i="9"/>
  <c r="AW18" i="9"/>
  <c r="BD18" i="9"/>
  <c r="BN18" i="9"/>
  <c r="V19" i="9"/>
  <c r="V20" i="9"/>
  <c r="Y20" i="9"/>
  <c r="AA20" i="9"/>
  <c r="AD20" i="9"/>
  <c r="V21" i="9"/>
  <c r="Y21" i="9"/>
  <c r="AA21" i="9"/>
  <c r="AD21" i="9"/>
  <c r="AX21" i="9"/>
  <c r="CB21" i="9"/>
  <c r="DI21" i="9" s="1"/>
  <c r="V22" i="9"/>
  <c r="Y22" i="9"/>
  <c r="AA22" i="9"/>
  <c r="AW22" i="9"/>
  <c r="BD22" i="9"/>
  <c r="CP22" i="9"/>
  <c r="AC23" i="9"/>
  <c r="AO23" i="9"/>
  <c r="AX23" i="9"/>
  <c r="BD23" i="9"/>
  <c r="V24" i="9"/>
  <c r="AC25" i="9"/>
  <c r="AW25" i="9"/>
  <c r="BD25" i="9"/>
  <c r="BN25" i="9"/>
  <c r="D26" i="9"/>
  <c r="D344" i="9" s="1"/>
  <c r="F26" i="9"/>
  <c r="H26" i="9"/>
  <c r="J26" i="9"/>
  <c r="L26" i="9"/>
  <c r="N26" i="9"/>
  <c r="P26" i="9"/>
  <c r="T26" i="9"/>
  <c r="V26" i="9" s="1"/>
  <c r="AL26" i="9"/>
  <c r="AR26" i="9"/>
  <c r="AN26" i="9" s="1"/>
  <c r="AT26" i="9"/>
  <c r="BB26" i="9"/>
  <c r="BL26" i="9"/>
  <c r="BR26" i="9"/>
  <c r="BR311" i="9" s="1"/>
  <c r="BR310" i="9" s="1"/>
  <c r="BR309" i="9" s="1"/>
  <c r="BR319" i="9" s="1"/>
  <c r="BR323" i="9" s="1"/>
  <c r="BZ26" i="9"/>
  <c r="DG26" i="9" s="1"/>
  <c r="E27" i="9"/>
  <c r="J337" i="9"/>
  <c r="J321" i="9"/>
  <c r="L337" i="9"/>
  <c r="L321" i="9"/>
  <c r="N337" i="9"/>
  <c r="N321" i="9"/>
  <c r="R28" i="9"/>
  <c r="T462" i="9"/>
  <c r="T503" i="9" s="1"/>
  <c r="T321" i="9"/>
  <c r="V28" i="9"/>
  <c r="X28" i="9"/>
  <c r="AB28" i="9"/>
  <c r="AD28" i="9"/>
  <c r="AX28" i="9"/>
  <c r="BQ462" i="9"/>
  <c r="BQ503" i="9" s="1"/>
  <c r="BQ321" i="9"/>
  <c r="BX28" i="9"/>
  <c r="CR462" i="9"/>
  <c r="CR503" i="9" s="1"/>
  <c r="DF28" i="9"/>
  <c r="DH28" i="9"/>
  <c r="W29" i="9"/>
  <c r="AA29" i="9"/>
  <c r="AC29" i="9"/>
  <c r="O30" i="9"/>
  <c r="O29" i="9" s="1"/>
  <c r="O28" i="9" s="1"/>
  <c r="V30" i="9"/>
  <c r="AB30" i="9"/>
  <c r="AD30" i="9"/>
  <c r="AX30" i="9"/>
  <c r="BN30" i="9"/>
  <c r="D31" i="9"/>
  <c r="F31" i="9"/>
  <c r="H31" i="9"/>
  <c r="J31" i="9"/>
  <c r="L31" i="9"/>
  <c r="N31" i="9"/>
  <c r="N32" i="9" s="1"/>
  <c r="P31" i="9"/>
  <c r="T31" i="9"/>
  <c r="AL31" i="9"/>
  <c r="AR31" i="9"/>
  <c r="AN31" i="9" s="1"/>
  <c r="AT31" i="9"/>
  <c r="BC31" i="9"/>
  <c r="BI31" i="9"/>
  <c r="BM31" i="9"/>
  <c r="BQ31" i="9"/>
  <c r="BQ311" i="9" s="1"/>
  <c r="BS31" i="9"/>
  <c r="BV31" i="9"/>
  <c r="BY31" i="9"/>
  <c r="DF31" i="9" s="1"/>
  <c r="CA31" i="9"/>
  <c r="DH31" i="9" s="1"/>
  <c r="CQ31" i="9"/>
  <c r="DB31" i="9"/>
  <c r="AA32" i="9"/>
  <c r="AW32" i="9"/>
  <c r="R33" i="9"/>
  <c r="Z33" i="9"/>
  <c r="C347" i="9"/>
  <c r="C239" i="9"/>
  <c r="C344" i="9" s="1"/>
  <c r="S328" i="9"/>
  <c r="S239" i="9"/>
  <c r="DG34" i="9"/>
  <c r="R35" i="9"/>
  <c r="V35" i="9"/>
  <c r="AB35" i="9"/>
  <c r="AD35" i="9"/>
  <c r="AX35" i="9"/>
  <c r="M425" i="9"/>
  <c r="M407" i="9"/>
  <c r="M403" i="9"/>
  <c r="M413" i="9" s="1"/>
  <c r="Q36" i="9"/>
  <c r="U403" i="9"/>
  <c r="W36" i="9"/>
  <c r="Y36" i="9"/>
  <c r="AA36" i="9"/>
  <c r="AC36" i="9"/>
  <c r="AO36" i="9"/>
  <c r="AW36" i="9"/>
  <c r="BD36" i="9"/>
  <c r="BJ36" i="9"/>
  <c r="BM407" i="9"/>
  <c r="BM403" i="9"/>
  <c r="BR407" i="9"/>
  <c r="BR403" i="9"/>
  <c r="DB407" i="9"/>
  <c r="DB403" i="9"/>
  <c r="V37" i="9"/>
  <c r="X37" i="9"/>
  <c r="Z37" i="9"/>
  <c r="V38" i="9"/>
  <c r="X38" i="9"/>
  <c r="O39" i="9"/>
  <c r="Q39" i="9"/>
  <c r="Q400" i="9" s="1"/>
  <c r="S376" i="9"/>
  <c r="S425" i="9"/>
  <c r="S407" i="9"/>
  <c r="S400" i="9"/>
  <c r="V39" i="9"/>
  <c r="X39" i="9"/>
  <c r="AP39" i="9"/>
  <c r="AS407" i="9"/>
  <c r="AS400" i="9"/>
  <c r="AV39" i="9"/>
  <c r="BB407" i="9"/>
  <c r="BB400" i="9"/>
  <c r="BD39" i="9"/>
  <c r="BJ39" i="9"/>
  <c r="BL407" i="9"/>
  <c r="BL400" i="9"/>
  <c r="BN39" i="9"/>
  <c r="V40" i="9"/>
  <c r="Y40" i="9"/>
  <c r="AP40" i="9"/>
  <c r="BD40" i="9"/>
  <c r="BN40" i="9"/>
  <c r="V41" i="9"/>
  <c r="Y41" i="9"/>
  <c r="AP41" i="9"/>
  <c r="BD41" i="9"/>
  <c r="BN41" i="9"/>
  <c r="V42" i="9"/>
  <c r="Y42" i="9"/>
  <c r="AP42" i="9"/>
  <c r="BD42" i="9"/>
  <c r="BN42" i="9"/>
  <c r="X43" i="9"/>
  <c r="Z43" i="9"/>
  <c r="AO43" i="9"/>
  <c r="AW43" i="9"/>
  <c r="BD43" i="9"/>
  <c r="BN43" i="9"/>
  <c r="V44" i="9"/>
  <c r="Y44" i="9"/>
  <c r="AA44" i="9"/>
  <c r="AD44" i="9"/>
  <c r="AH44" i="9"/>
  <c r="AX44" i="9"/>
  <c r="V45" i="9"/>
  <c r="Y45" i="9"/>
  <c r="AA45" i="9"/>
  <c r="AD45" i="9"/>
  <c r="AH45" i="9"/>
  <c r="AX45" i="9"/>
  <c r="V46" i="9"/>
  <c r="Y46" i="9"/>
  <c r="AP46" i="9"/>
  <c r="BD46" i="9"/>
  <c r="BN46" i="9"/>
  <c r="V47" i="9"/>
  <c r="Y47" i="9"/>
  <c r="AA47" i="9"/>
  <c r="X48" i="9"/>
  <c r="Z48" i="9"/>
  <c r="AO48" i="9"/>
  <c r="AW48" i="9"/>
  <c r="BD48" i="9"/>
  <c r="BN48" i="9"/>
  <c r="V49" i="9"/>
  <c r="Y49" i="9"/>
  <c r="AA49" i="9"/>
  <c r="AD49" i="9"/>
  <c r="AW49" i="9"/>
  <c r="V50" i="9"/>
  <c r="Y50" i="9"/>
  <c r="AA50" i="9"/>
  <c r="AD50" i="9"/>
  <c r="AP50" i="9"/>
  <c r="AX50" i="9"/>
  <c r="BD50" i="9"/>
  <c r="V51" i="9"/>
  <c r="Y51" i="9"/>
  <c r="AA51" i="9"/>
  <c r="AW51" i="9"/>
  <c r="BD51" i="9"/>
  <c r="R52" i="9"/>
  <c r="U457" i="9"/>
  <c r="U498" i="9" s="1"/>
  <c r="U401" i="9"/>
  <c r="W52" i="9"/>
  <c r="Y52" i="9"/>
  <c r="AA52" i="9"/>
  <c r="AC52" i="9"/>
  <c r="AM52" i="9"/>
  <c r="BG52" i="9" s="1"/>
  <c r="AQ457" i="9"/>
  <c r="AQ498" i="9" s="1"/>
  <c r="AQ401" i="9"/>
  <c r="AU52" i="9"/>
  <c r="AX52" i="9" s="1"/>
  <c r="AW52" i="9"/>
  <c r="BK52" i="9"/>
  <c r="BQ457" i="9"/>
  <c r="BQ498" i="9" s="1"/>
  <c r="BQ401" i="9"/>
  <c r="CB52" i="9"/>
  <c r="V53" i="9"/>
  <c r="X53" i="9"/>
  <c r="AB53" i="9"/>
  <c r="AD53" i="9"/>
  <c r="AP53" i="9"/>
  <c r="AX53" i="9"/>
  <c r="BD53" i="9"/>
  <c r="V54" i="9"/>
  <c r="Y54" i="9"/>
  <c r="AA54" i="9"/>
  <c r="AW54" i="9"/>
  <c r="BD54" i="9"/>
  <c r="W55" i="9"/>
  <c r="Y55" i="9"/>
  <c r="AA55" i="9"/>
  <c r="AC55" i="9"/>
  <c r="AW55" i="9"/>
  <c r="BN55" i="9"/>
  <c r="W56" i="9"/>
  <c r="Y56" i="9"/>
  <c r="AA56" i="9"/>
  <c r="AC56" i="9"/>
  <c r="AW56" i="9"/>
  <c r="R57" i="9"/>
  <c r="V57" i="9"/>
  <c r="X57" i="9"/>
  <c r="AB57" i="9"/>
  <c r="AD57" i="9"/>
  <c r="AX57" i="9"/>
  <c r="BK57" i="9"/>
  <c r="BN57" i="9"/>
  <c r="W58" i="9"/>
  <c r="Y58" i="9"/>
  <c r="AC58" i="9"/>
  <c r="BD58" i="9"/>
  <c r="BN58" i="9"/>
  <c r="X59" i="9"/>
  <c r="AB59" i="9"/>
  <c r="AD59" i="9"/>
  <c r="AX59" i="9"/>
  <c r="BN59" i="9"/>
  <c r="AX60" i="9"/>
  <c r="CB60" i="9"/>
  <c r="DI60" i="9" s="1"/>
  <c r="W61" i="9"/>
  <c r="Y61" i="9"/>
  <c r="AB62" i="9"/>
  <c r="AD62" i="9"/>
  <c r="AX62" i="9"/>
  <c r="W63" i="9"/>
  <c r="Y63" i="9"/>
  <c r="AC63" i="9"/>
  <c r="AI63" i="9"/>
  <c r="X64" i="9"/>
  <c r="AX65" i="9"/>
  <c r="R66" i="9"/>
  <c r="AX66" i="9"/>
  <c r="R67" i="9"/>
  <c r="V67" i="9"/>
  <c r="X67" i="9"/>
  <c r="AB67" i="9"/>
  <c r="AD67" i="9"/>
  <c r="AX67" i="9"/>
  <c r="BN67" i="9"/>
  <c r="O68" i="9"/>
  <c r="W68" i="9"/>
  <c r="Y68" i="9"/>
  <c r="AA68" i="9"/>
  <c r="AC68" i="9"/>
  <c r="AO68" i="9"/>
  <c r="AW68" i="9"/>
  <c r="BD68" i="9"/>
  <c r="W69" i="9"/>
  <c r="Y69" i="9"/>
  <c r="AA69" i="9"/>
  <c r="AC69" i="9"/>
  <c r="BD69" i="9"/>
  <c r="W70" i="9"/>
  <c r="Y70" i="9"/>
  <c r="AA70" i="9"/>
  <c r="AC70" i="9"/>
  <c r="AO70" i="9"/>
  <c r="AW70" i="9"/>
  <c r="BD70" i="9"/>
  <c r="V71" i="9"/>
  <c r="Y71" i="9"/>
  <c r="AD71" i="9"/>
  <c r="AX71" i="9"/>
  <c r="AB72" i="9"/>
  <c r="AX72" i="9"/>
  <c r="O404" i="9"/>
  <c r="R73" i="9"/>
  <c r="AB73" i="9"/>
  <c r="AD73" i="9"/>
  <c r="AX73" i="9"/>
  <c r="CP73" i="9"/>
  <c r="W74" i="9"/>
  <c r="Y74" i="9"/>
  <c r="BD74" i="9"/>
  <c r="BN74" i="9"/>
  <c r="W75" i="9"/>
  <c r="Y75" i="9"/>
  <c r="AB76" i="9"/>
  <c r="AD76" i="9"/>
  <c r="AX76" i="9"/>
  <c r="AB77" i="9"/>
  <c r="AD77" i="9"/>
  <c r="AP77" i="9"/>
  <c r="AX77" i="9"/>
  <c r="BD77" i="9"/>
  <c r="AB78" i="9"/>
  <c r="AD78" i="9"/>
  <c r="AP78" i="9"/>
  <c r="AX78" i="9"/>
  <c r="BD78" i="9"/>
  <c r="BN78" i="9"/>
  <c r="W79" i="9"/>
  <c r="Y79" i="9"/>
  <c r="AI79" i="9"/>
  <c r="W80" i="9"/>
  <c r="Y80" i="9"/>
  <c r="AO80" i="9"/>
  <c r="AX81" i="9"/>
  <c r="W82" i="9"/>
  <c r="Y82" i="9"/>
  <c r="AC82" i="9"/>
  <c r="AI82" i="9"/>
  <c r="R83" i="9"/>
  <c r="AB83" i="9"/>
  <c r="AD83" i="9"/>
  <c r="AX83" i="9"/>
  <c r="AX84" i="9"/>
  <c r="R85" i="9"/>
  <c r="T496" i="9"/>
  <c r="T454" i="9"/>
  <c r="AB85" i="9"/>
  <c r="AX85" i="9"/>
  <c r="BB496" i="9"/>
  <c r="BB454" i="9"/>
  <c r="BL496" i="9"/>
  <c r="BL454" i="9"/>
  <c r="X86" i="9"/>
  <c r="I413" i="9"/>
  <c r="Q87" i="9"/>
  <c r="W87" i="9"/>
  <c r="Y87" i="9"/>
  <c r="BF87" i="9"/>
  <c r="DB413" i="9"/>
  <c r="W88" i="9"/>
  <c r="Y88" i="9"/>
  <c r="R89" i="9"/>
  <c r="X89" i="9"/>
  <c r="AB89" i="9"/>
  <c r="AD89" i="9"/>
  <c r="AX89" i="9"/>
  <c r="BN89" i="9"/>
  <c r="O90" i="9"/>
  <c r="Q90" i="9"/>
  <c r="W90" i="9"/>
  <c r="Y90" i="9"/>
  <c r="AA90" i="9"/>
  <c r="AC90" i="9"/>
  <c r="AO90" i="9"/>
  <c r="AW90" i="9"/>
  <c r="BD90" i="9"/>
  <c r="CB90" i="9"/>
  <c r="DI90" i="9" s="1"/>
  <c r="I426" i="9"/>
  <c r="I414" i="9"/>
  <c r="O91" i="9"/>
  <c r="Q91" i="9"/>
  <c r="U426" i="9"/>
  <c r="U414" i="9"/>
  <c r="U421" i="9" s="1"/>
  <c r="W91" i="9"/>
  <c r="Y91" i="9"/>
  <c r="AA91" i="9"/>
  <c r="AC91" i="9"/>
  <c r="AO91" i="9"/>
  <c r="AW91" i="9"/>
  <c r="BD91" i="9"/>
  <c r="BJ91" i="9"/>
  <c r="CB91" i="9"/>
  <c r="DI91" i="9" s="1"/>
  <c r="DC91" i="9"/>
  <c r="I374" i="9"/>
  <c r="O92" i="9"/>
  <c r="W92" i="9"/>
  <c r="Y92" i="9"/>
  <c r="AA92" i="9"/>
  <c r="AC92" i="9"/>
  <c r="AO92" i="9"/>
  <c r="AW92" i="9"/>
  <c r="BD92" i="9"/>
  <c r="R93" i="9"/>
  <c r="V93" i="9"/>
  <c r="X93" i="9"/>
  <c r="AB93" i="9"/>
  <c r="AD93" i="9"/>
  <c r="AH93" i="9"/>
  <c r="AX93" i="9"/>
  <c r="R94" i="9"/>
  <c r="V94" i="9"/>
  <c r="X94" i="9"/>
  <c r="CB94" i="9"/>
  <c r="O95" i="9"/>
  <c r="W95" i="9"/>
  <c r="Y95" i="9"/>
  <c r="AA95" i="9"/>
  <c r="AC95" i="9"/>
  <c r="AO95" i="9"/>
  <c r="AW95" i="9"/>
  <c r="BD95" i="9"/>
  <c r="R96" i="9"/>
  <c r="V96" i="9"/>
  <c r="Y96" i="9"/>
  <c r="CB96" i="9"/>
  <c r="V97" i="9"/>
  <c r="X97" i="9"/>
  <c r="AB97" i="9"/>
  <c r="AD97" i="9"/>
  <c r="AH97" i="9"/>
  <c r="AX97" i="9"/>
  <c r="AA98" i="9"/>
  <c r="AC98" i="9"/>
  <c r="BD98" i="9"/>
  <c r="O99" i="9"/>
  <c r="Q99" i="9"/>
  <c r="Q374" i="9" s="1"/>
  <c r="W99" i="9"/>
  <c r="Y99" i="9"/>
  <c r="AA99" i="9"/>
  <c r="AC99" i="9"/>
  <c r="AO99" i="9"/>
  <c r="AW99" i="9"/>
  <c r="BD99" i="9"/>
  <c r="CB99" i="9"/>
  <c r="DI99" i="9" s="1"/>
  <c r="O100" i="9"/>
  <c r="U100" i="9"/>
  <c r="AA100" i="9"/>
  <c r="AC100" i="9"/>
  <c r="AW100" i="9"/>
  <c r="O101" i="9"/>
  <c r="Q101" i="9"/>
  <c r="W101" i="9"/>
  <c r="Y101" i="9"/>
  <c r="AA101" i="9"/>
  <c r="AC101" i="9"/>
  <c r="AX101" i="9"/>
  <c r="CB101" i="9"/>
  <c r="DI101" i="9" s="1"/>
  <c r="O102" i="9"/>
  <c r="Q102" i="9"/>
  <c r="W102" i="9"/>
  <c r="Y102" i="9"/>
  <c r="AA102" i="9"/>
  <c r="AC102" i="9"/>
  <c r="AO102" i="9"/>
  <c r="AW102" i="9"/>
  <c r="BD102" i="9"/>
  <c r="CB102" i="9"/>
  <c r="DI102" i="9" s="1"/>
  <c r="O103" i="9"/>
  <c r="X103" i="9"/>
  <c r="Z103" i="9"/>
  <c r="AO103" i="9"/>
  <c r="AW103" i="9"/>
  <c r="BD103" i="9"/>
  <c r="BN103" i="9"/>
  <c r="V104" i="9"/>
  <c r="X104" i="9"/>
  <c r="AB104" i="9"/>
  <c r="AD104" i="9"/>
  <c r="AY104" i="9"/>
  <c r="W105" i="9"/>
  <c r="Y105" i="9"/>
  <c r="AA105" i="9"/>
  <c r="AC105" i="9"/>
  <c r="AO105" i="9"/>
  <c r="AW105" i="9"/>
  <c r="BD105" i="9"/>
  <c r="BN105" i="9"/>
  <c r="V106" i="9"/>
  <c r="X106" i="9"/>
  <c r="AB106" i="9"/>
  <c r="AD106" i="9"/>
  <c r="AH106" i="9"/>
  <c r="AX106" i="9"/>
  <c r="R107" i="9"/>
  <c r="V107" i="9"/>
  <c r="X107" i="9"/>
  <c r="AB107" i="9"/>
  <c r="AD107" i="9"/>
  <c r="AH107" i="9"/>
  <c r="AX107" i="9"/>
  <c r="R108" i="9"/>
  <c r="V108" i="9"/>
  <c r="X108" i="9"/>
  <c r="AB108" i="9"/>
  <c r="AD108" i="9"/>
  <c r="AH108" i="9"/>
  <c r="AX108" i="9"/>
  <c r="W109" i="9"/>
  <c r="Y109" i="9"/>
  <c r="AA109" i="9"/>
  <c r="AC109" i="9"/>
  <c r="AO109" i="9"/>
  <c r="AW109" i="9"/>
  <c r="BD109" i="9"/>
  <c r="BN109" i="9"/>
  <c r="R110" i="9"/>
  <c r="V110" i="9"/>
  <c r="X110" i="9"/>
  <c r="AB110" i="9"/>
  <c r="AD110" i="9"/>
  <c r="AH110" i="9"/>
  <c r="AX110" i="9"/>
  <c r="W111" i="9"/>
  <c r="Y111" i="9"/>
  <c r="AA111" i="9"/>
  <c r="AC111" i="9"/>
  <c r="AO111" i="9"/>
  <c r="AW111" i="9"/>
  <c r="BD111" i="9"/>
  <c r="W112" i="9"/>
  <c r="Y112" i="9"/>
  <c r="AA112" i="9"/>
  <c r="AC112" i="9"/>
  <c r="AO112" i="9"/>
  <c r="AW112" i="9"/>
  <c r="BD112" i="9"/>
  <c r="BN112" i="9"/>
  <c r="V113" i="9"/>
  <c r="X113" i="9"/>
  <c r="CB113" i="9"/>
  <c r="DI113" i="9" s="1"/>
  <c r="V114" i="9"/>
  <c r="X114" i="9"/>
  <c r="AB114" i="9"/>
  <c r="AD114" i="9"/>
  <c r="AH114" i="9"/>
  <c r="AX114" i="9"/>
  <c r="O115" i="9"/>
  <c r="Q115" i="9"/>
  <c r="W115" i="9"/>
  <c r="AA115" i="9"/>
  <c r="AC115" i="9"/>
  <c r="AO115" i="9"/>
  <c r="AW115" i="9"/>
  <c r="BD115" i="9"/>
  <c r="BN115" i="9"/>
  <c r="X116" i="9"/>
  <c r="Z116" i="9"/>
  <c r="AX116" i="9"/>
  <c r="V117" i="9"/>
  <c r="Y117" i="9"/>
  <c r="W118" i="9"/>
  <c r="Y118" i="9"/>
  <c r="AA118" i="9"/>
  <c r="AC118" i="9"/>
  <c r="AX118" i="9"/>
  <c r="O119" i="9"/>
  <c r="Q119" i="9"/>
  <c r="W119" i="9"/>
  <c r="Y119" i="9"/>
  <c r="AP119" i="9"/>
  <c r="AY119" i="9"/>
  <c r="BF119" i="9"/>
  <c r="BK119" i="9"/>
  <c r="AX119" i="9"/>
  <c r="DF119" i="9"/>
  <c r="R120" i="9"/>
  <c r="Z120" i="9"/>
  <c r="CC120" i="9"/>
  <c r="BN120" i="9"/>
  <c r="BH120" i="9"/>
  <c r="BK120" i="9" s="1"/>
  <c r="BD120" i="9"/>
  <c r="AO120" i="9"/>
  <c r="AX120" i="9"/>
  <c r="R121" i="9"/>
  <c r="AP121" i="9"/>
  <c r="BP129" i="9"/>
  <c r="BO129" i="9"/>
  <c r="BJ136" i="9"/>
  <c r="AK138" i="9"/>
  <c r="AI138" i="9"/>
  <c r="AJ138" i="9"/>
  <c r="AH138" i="9"/>
  <c r="BJ140" i="9"/>
  <c r="BJ141" i="9"/>
  <c r="DI142" i="9"/>
  <c r="CB140" i="9"/>
  <c r="CC142" i="9"/>
  <c r="BG417" i="9"/>
  <c r="BJ147" i="9"/>
  <c r="BK148" i="9"/>
  <c r="AX150" i="9"/>
  <c r="Z150" i="9"/>
  <c r="AW150" i="9"/>
  <c r="DI153" i="9"/>
  <c r="CC153" i="9"/>
  <c r="AW164" i="9"/>
  <c r="AX164" i="9"/>
  <c r="Z164" i="9"/>
  <c r="BO169" i="9"/>
  <c r="BP169" i="9"/>
  <c r="AW178" i="9"/>
  <c r="AX178" i="9"/>
  <c r="Z178" i="9"/>
  <c r="BO180" i="9"/>
  <c r="BP180" i="9"/>
  <c r="AW182" i="9"/>
  <c r="AX182" i="9"/>
  <c r="BN183" i="9"/>
  <c r="AL170" i="9"/>
  <c r="AW186" i="9"/>
  <c r="AX186" i="9"/>
  <c r="Z186" i="9"/>
  <c r="AW208" i="9"/>
  <c r="AX208" i="9"/>
  <c r="Z208" i="9"/>
  <c r="AW214" i="9"/>
  <c r="AX214" i="9"/>
  <c r="Z214" i="9"/>
  <c r="AW215" i="9"/>
  <c r="AX215" i="9"/>
  <c r="Z215" i="9"/>
  <c r="BO216" i="9"/>
  <c r="BP216" i="9"/>
  <c r="W122" i="9"/>
  <c r="Y122" i="9"/>
  <c r="AC122" i="9"/>
  <c r="AI122" i="9"/>
  <c r="AK122" i="9"/>
  <c r="AO122" i="9"/>
  <c r="BF122" i="9"/>
  <c r="BP122" i="9"/>
  <c r="R123" i="9"/>
  <c r="AB123" i="9"/>
  <c r="AD123" i="9"/>
  <c r="AF123" i="9"/>
  <c r="AP123" i="9"/>
  <c r="AX123" i="9"/>
  <c r="X124" i="9"/>
  <c r="AC124" i="9"/>
  <c r="AE124" i="9"/>
  <c r="AO124" i="9"/>
  <c r="AX124" i="9"/>
  <c r="R125" i="9"/>
  <c r="AB125" i="9"/>
  <c r="AD125" i="9"/>
  <c r="AF125" i="9"/>
  <c r="AP125" i="9"/>
  <c r="AX125" i="9"/>
  <c r="R126" i="9"/>
  <c r="X126" i="9"/>
  <c r="AB126" i="9"/>
  <c r="AD126" i="9"/>
  <c r="AF126" i="9"/>
  <c r="AP126" i="9"/>
  <c r="BK126" i="9"/>
  <c r="BN126" i="9"/>
  <c r="DC126" i="9"/>
  <c r="R127" i="9"/>
  <c r="X127" i="9"/>
  <c r="AB127" i="9"/>
  <c r="AD127" i="9"/>
  <c r="AF127" i="9"/>
  <c r="AP127" i="9"/>
  <c r="AX127" i="9"/>
  <c r="CB127" i="9"/>
  <c r="DI127" i="9" s="1"/>
  <c r="DC127" i="9"/>
  <c r="R128" i="9"/>
  <c r="X128" i="9"/>
  <c r="AB128" i="9"/>
  <c r="AD128" i="9"/>
  <c r="AF128" i="9"/>
  <c r="AP128" i="9"/>
  <c r="AX128" i="9"/>
  <c r="BK128" i="9"/>
  <c r="BN128" i="9"/>
  <c r="DF128" i="9"/>
  <c r="R129" i="9"/>
  <c r="AB129" i="9"/>
  <c r="AD129" i="9"/>
  <c r="AF129" i="9"/>
  <c r="AP129" i="9"/>
  <c r="AX129" i="9"/>
  <c r="BK129" i="9"/>
  <c r="BQ413" i="9"/>
  <c r="CC129" i="9"/>
  <c r="DF129" i="9"/>
  <c r="R130" i="9"/>
  <c r="AB130" i="9"/>
  <c r="AD130" i="9"/>
  <c r="AF130" i="9"/>
  <c r="AP130" i="9"/>
  <c r="AX130" i="9"/>
  <c r="BK130" i="9"/>
  <c r="BN130" i="9"/>
  <c r="W131" i="9"/>
  <c r="Y131" i="9"/>
  <c r="AC131" i="9"/>
  <c r="AI131" i="9"/>
  <c r="AK131" i="9"/>
  <c r="AO131" i="9"/>
  <c r="BF131" i="9"/>
  <c r="BP131" i="9"/>
  <c r="W132" i="9"/>
  <c r="Y132" i="9"/>
  <c r="AC132" i="9"/>
  <c r="AI132" i="9"/>
  <c r="AK132" i="9"/>
  <c r="AO132" i="9"/>
  <c r="BF132" i="9"/>
  <c r="BP132" i="9"/>
  <c r="X133" i="9"/>
  <c r="AC133" i="9"/>
  <c r="AE133" i="9"/>
  <c r="AI133" i="9"/>
  <c r="AK133" i="9"/>
  <c r="AO133" i="9"/>
  <c r="BF133" i="9"/>
  <c r="BP133" i="9"/>
  <c r="R134" i="9"/>
  <c r="AP134" i="9"/>
  <c r="AX134" i="9"/>
  <c r="R135" i="9"/>
  <c r="BD135" i="9"/>
  <c r="BH135" i="9"/>
  <c r="BK135" i="9" s="1"/>
  <c r="BN135" i="9"/>
  <c r="Q375" i="9"/>
  <c r="X136" i="9"/>
  <c r="AC136" i="9"/>
  <c r="AE136" i="9"/>
  <c r="AO136" i="9"/>
  <c r="AX136" i="9"/>
  <c r="BK136" i="9"/>
  <c r="BN136" i="9"/>
  <c r="X137" i="9"/>
  <c r="AC137" i="9"/>
  <c r="AE137" i="9"/>
  <c r="AO137" i="9"/>
  <c r="AX137" i="9"/>
  <c r="AB138" i="9"/>
  <c r="AD138" i="9"/>
  <c r="AF138" i="9"/>
  <c r="AO138" i="9"/>
  <c r="BA138" i="9"/>
  <c r="W140" i="9"/>
  <c r="Y140" i="9"/>
  <c r="AO140" i="9"/>
  <c r="Q141" i="9"/>
  <c r="W141" i="9"/>
  <c r="Y141" i="9"/>
  <c r="AC141" i="9"/>
  <c r="AI141" i="9"/>
  <c r="AK141" i="9"/>
  <c r="AO141" i="9"/>
  <c r="BF141" i="9"/>
  <c r="BK141" i="9"/>
  <c r="BP141" i="9"/>
  <c r="W142" i="9"/>
  <c r="Y142" i="9"/>
  <c r="AO142" i="9"/>
  <c r="BF142" i="9"/>
  <c r="DF142" i="9"/>
  <c r="R143" i="9"/>
  <c r="AB143" i="9"/>
  <c r="AD143" i="9"/>
  <c r="AF143" i="9"/>
  <c r="AP143" i="9"/>
  <c r="AX143" i="9"/>
  <c r="W144" i="9"/>
  <c r="Y144" i="9"/>
  <c r="AC144" i="9"/>
  <c r="AI144" i="9"/>
  <c r="AK144" i="9"/>
  <c r="AO144" i="9"/>
  <c r="BF144" i="9"/>
  <c r="BP144" i="9"/>
  <c r="R145" i="9"/>
  <c r="AB145" i="9"/>
  <c r="AD145" i="9"/>
  <c r="AF145" i="9"/>
  <c r="AP145" i="9"/>
  <c r="AX145" i="9"/>
  <c r="AP146" i="9"/>
  <c r="DC146" i="9"/>
  <c r="W147" i="9"/>
  <c r="Y147" i="9"/>
  <c r="AC147" i="9"/>
  <c r="AI147" i="9"/>
  <c r="AK147" i="9"/>
  <c r="AO147" i="9"/>
  <c r="BF147" i="9"/>
  <c r="BH417" i="9"/>
  <c r="BK147" i="9"/>
  <c r="BP147" i="9"/>
  <c r="DF147" i="9"/>
  <c r="R148" i="9"/>
  <c r="AP148" i="9"/>
  <c r="AX148" i="9"/>
  <c r="W149" i="9"/>
  <c r="Y149" i="9"/>
  <c r="AC149" i="9"/>
  <c r="AI149" i="9"/>
  <c r="AK149" i="9"/>
  <c r="AO149" i="9"/>
  <c r="BF149" i="9"/>
  <c r="BP149" i="9"/>
  <c r="W150" i="9"/>
  <c r="Y150" i="9"/>
  <c r="AO150" i="9"/>
  <c r="BF150" i="9"/>
  <c r="CB150" i="9"/>
  <c r="DI150" i="9" s="1"/>
  <c r="CP150" i="9"/>
  <c r="W151" i="9"/>
  <c r="Y151" i="9"/>
  <c r="AC151" i="9"/>
  <c r="AI151" i="9"/>
  <c r="AK151" i="9"/>
  <c r="AO151" i="9"/>
  <c r="BF151" i="9"/>
  <c r="BP151" i="9"/>
  <c r="W152" i="9"/>
  <c r="Y152" i="9"/>
  <c r="AC152" i="9"/>
  <c r="AI152" i="9"/>
  <c r="AK152" i="9"/>
  <c r="AO152" i="9"/>
  <c r="BF152" i="9"/>
  <c r="BP152" i="9"/>
  <c r="W153" i="9"/>
  <c r="Y153" i="9"/>
  <c r="AO153" i="9"/>
  <c r="BF153" i="9"/>
  <c r="DF153" i="9"/>
  <c r="R154" i="9"/>
  <c r="AB154" i="9"/>
  <c r="AD154" i="9"/>
  <c r="AF154" i="9"/>
  <c r="AP154" i="9"/>
  <c r="AX154" i="9"/>
  <c r="R155" i="9"/>
  <c r="X155" i="9"/>
  <c r="AB155" i="9"/>
  <c r="AD155" i="9"/>
  <c r="AF155" i="9"/>
  <c r="AP155" i="9"/>
  <c r="AX155" i="9"/>
  <c r="BK155" i="9"/>
  <c r="BO155" i="9"/>
  <c r="CC155" i="9"/>
  <c r="AW156" i="9"/>
  <c r="Q157" i="9"/>
  <c r="O157" i="9"/>
  <c r="X157" i="9"/>
  <c r="AW157" i="9"/>
  <c r="BJ157" i="9"/>
  <c r="BD157" i="9"/>
  <c r="DC157" i="9"/>
  <c r="Q158" i="9"/>
  <c r="O158" i="9"/>
  <c r="X158" i="9"/>
  <c r="AW158" i="9"/>
  <c r="X159" i="9"/>
  <c r="V159" i="9"/>
  <c r="Y159" i="9"/>
  <c r="BH161" i="9"/>
  <c r="AO161" i="9"/>
  <c r="BN161" i="9"/>
  <c r="CC161" i="9"/>
  <c r="X162" i="9"/>
  <c r="V162" i="9"/>
  <c r="U160" i="9"/>
  <c r="Y162" i="9"/>
  <c r="AO162" i="9"/>
  <c r="AY163" i="9"/>
  <c r="AG163" i="9" s="1"/>
  <c r="AZ163" i="9"/>
  <c r="AX163" i="9"/>
  <c r="Z163" i="9"/>
  <c r="DF163" i="9"/>
  <c r="BH164" i="9"/>
  <c r="BK164" i="9" s="1"/>
  <c r="AO164" i="9"/>
  <c r="BN164" i="9"/>
  <c r="AJ165" i="9"/>
  <c r="AH165" i="9"/>
  <c r="AK165" i="9"/>
  <c r="AO165" i="9"/>
  <c r="AW166" i="9"/>
  <c r="AW167" i="9"/>
  <c r="X168" i="9"/>
  <c r="V168" i="9"/>
  <c r="Y168" i="9"/>
  <c r="Q172" i="9"/>
  <c r="O172" i="9"/>
  <c r="X172" i="9"/>
  <c r="AW172" i="9"/>
  <c r="BJ172" i="9"/>
  <c r="BD172" i="9"/>
  <c r="BI170" i="9"/>
  <c r="DC172" i="9"/>
  <c r="AE173" i="9"/>
  <c r="AA173" i="9"/>
  <c r="Q174" i="9"/>
  <c r="AY174" i="9"/>
  <c r="AG174" i="9" s="1"/>
  <c r="AX174" i="9"/>
  <c r="Z174" i="9"/>
  <c r="CB174" i="9"/>
  <c r="BY170" i="9"/>
  <c r="DF170" i="9" s="1"/>
  <c r="DF174" i="9"/>
  <c r="V175" i="9"/>
  <c r="AE176" i="9"/>
  <c r="AA176" i="9"/>
  <c r="AQ402" i="9"/>
  <c r="AQ170" i="9"/>
  <c r="CC178" i="9"/>
  <c r="BN178" i="9"/>
  <c r="BH178" i="9"/>
  <c r="BK178" i="9" s="1"/>
  <c r="BD178" i="9"/>
  <c r="AO178" i="9"/>
  <c r="AJ179" i="9"/>
  <c r="AH179" i="9"/>
  <c r="AK179" i="9"/>
  <c r="AO179" i="9"/>
  <c r="BE180" i="9"/>
  <c r="AY180" i="9"/>
  <c r="AZ180" i="9" s="1"/>
  <c r="CC182" i="9"/>
  <c r="BN182" i="9"/>
  <c r="BH182" i="9"/>
  <c r="BK182" i="9" s="1"/>
  <c r="BD182" i="9"/>
  <c r="AO182" i="9"/>
  <c r="Z182" i="9"/>
  <c r="CB183" i="9"/>
  <c r="DI183" i="9" s="1"/>
  <c r="AW184" i="9"/>
  <c r="X185" i="9"/>
  <c r="V185" i="9"/>
  <c r="Y185" i="9"/>
  <c r="BH186" i="9"/>
  <c r="BK186" i="9" s="1"/>
  <c r="AO186" i="9"/>
  <c r="BN186" i="9"/>
  <c r="AJ187" i="9"/>
  <c r="AH187" i="9"/>
  <c r="AK187" i="9"/>
  <c r="AO187" i="9"/>
  <c r="X188" i="9"/>
  <c r="V188" i="9"/>
  <c r="Y188" i="9"/>
  <c r="AO188" i="9"/>
  <c r="Q189" i="9"/>
  <c r="O189" i="9"/>
  <c r="X189" i="9"/>
  <c r="AW189" i="9"/>
  <c r="BJ189" i="9"/>
  <c r="BD189" i="9"/>
  <c r="DC189" i="9"/>
  <c r="X190" i="9"/>
  <c r="V190" i="9"/>
  <c r="Y190" i="9"/>
  <c r="CC191" i="9"/>
  <c r="BN191" i="9"/>
  <c r="BH191" i="9"/>
  <c r="BK191" i="9" s="1"/>
  <c r="BD191" i="9"/>
  <c r="AO191" i="9"/>
  <c r="X193" i="9"/>
  <c r="V193" i="9"/>
  <c r="Y193" i="9"/>
  <c r="DH193" i="9"/>
  <c r="X194" i="9"/>
  <c r="V194" i="9"/>
  <c r="Y194" i="9"/>
  <c r="AO194" i="9"/>
  <c r="AW195" i="9"/>
  <c r="AO196" i="9"/>
  <c r="X197" i="9"/>
  <c r="V197" i="9"/>
  <c r="Y197" i="9"/>
  <c r="AO197" i="9"/>
  <c r="X198" i="9"/>
  <c r="V198" i="9"/>
  <c r="Y198" i="9"/>
  <c r="AO198" i="9"/>
  <c r="AO199" i="9"/>
  <c r="DC200" i="9"/>
  <c r="Q200" i="9"/>
  <c r="O200" i="9"/>
  <c r="Y200" i="9"/>
  <c r="BH200" i="9"/>
  <c r="BK200" i="9" s="1"/>
  <c r="BD200" i="9"/>
  <c r="AO200" i="9"/>
  <c r="Z200" i="9"/>
  <c r="DF200" i="9"/>
  <c r="AW201" i="9"/>
  <c r="Y202" i="9"/>
  <c r="V202" i="9"/>
  <c r="AE202" i="9"/>
  <c r="AA202" i="9"/>
  <c r="AF202" i="9"/>
  <c r="AO202" i="9"/>
  <c r="AW202" i="9"/>
  <c r="AJ203" i="9"/>
  <c r="AH203" i="9"/>
  <c r="AK203" i="9"/>
  <c r="AO203" i="9"/>
  <c r="BH204" i="9"/>
  <c r="BK204" i="9" s="1"/>
  <c r="AO204" i="9"/>
  <c r="Z204" i="9"/>
  <c r="BN204" i="9"/>
  <c r="Y205" i="9"/>
  <c r="V205" i="9"/>
  <c r="AE205" i="9"/>
  <c r="AA205" i="9"/>
  <c r="AF205" i="9"/>
  <c r="AO205" i="9"/>
  <c r="AW205" i="9"/>
  <c r="DF205" i="9"/>
  <c r="CB205" i="9"/>
  <c r="AJ206" i="9"/>
  <c r="AH206" i="9"/>
  <c r="AK206" i="9"/>
  <c r="AO206" i="9"/>
  <c r="Y207" i="9"/>
  <c r="V207" i="9"/>
  <c r="AF207" i="9"/>
  <c r="AD207" i="9"/>
  <c r="AA207" i="9"/>
  <c r="AE207" i="9"/>
  <c r="CC208" i="9"/>
  <c r="BN208" i="9"/>
  <c r="BH208" i="9"/>
  <c r="BK208" i="9" s="1"/>
  <c r="BD208" i="9"/>
  <c r="AO208" i="9"/>
  <c r="AO209" i="9"/>
  <c r="AW209" i="9"/>
  <c r="AW210" i="9"/>
  <c r="BJ210" i="9"/>
  <c r="BD210" i="9"/>
  <c r="CB210" i="9"/>
  <c r="DI210" i="9" s="1"/>
  <c r="AO211" i="9"/>
  <c r="AW211" i="9"/>
  <c r="AJ212" i="9"/>
  <c r="AH212" i="9"/>
  <c r="AK212" i="9"/>
  <c r="AO212" i="9"/>
  <c r="AW213" i="9"/>
  <c r="BH214" i="9"/>
  <c r="BK214" i="9" s="1"/>
  <c r="AO214" i="9"/>
  <c r="BN214" i="9"/>
  <c r="CC215" i="9"/>
  <c r="BN215" i="9"/>
  <c r="BH215" i="9"/>
  <c r="BK215" i="9" s="1"/>
  <c r="BD215" i="9"/>
  <c r="AO215" i="9"/>
  <c r="AB216" i="9"/>
  <c r="AW216" i="9"/>
  <c r="Y217" i="9"/>
  <c r="V217" i="9"/>
  <c r="AF217" i="9"/>
  <c r="AD217" i="9"/>
  <c r="AA217" i="9"/>
  <c r="AE217" i="9"/>
  <c r="AY217" i="9"/>
  <c r="AG217" i="9" s="1"/>
  <c r="AZ217" i="9"/>
  <c r="AX217" i="9"/>
  <c r="DF217" i="9"/>
  <c r="CB217" i="9"/>
  <c r="BO218" i="9"/>
  <c r="AY218" i="9"/>
  <c r="AG218" i="9" s="1"/>
  <c r="BP218" i="9"/>
  <c r="BA218" i="9"/>
  <c r="AW218" i="9"/>
  <c r="AZ218" i="9"/>
  <c r="AX218" i="9"/>
  <c r="Z218" i="9"/>
  <c r="W120" i="9"/>
  <c r="Y120" i="9"/>
  <c r="X121" i="9"/>
  <c r="V122" i="9"/>
  <c r="X122" i="9"/>
  <c r="AB122" i="9"/>
  <c r="AD122" i="9"/>
  <c r="AH122" i="9"/>
  <c r="AX122" i="9"/>
  <c r="W123" i="9"/>
  <c r="Y123" i="9"/>
  <c r="AA123" i="9"/>
  <c r="AC123" i="9"/>
  <c r="AO123" i="9"/>
  <c r="AW123" i="9"/>
  <c r="BD123" i="9"/>
  <c r="BN123" i="9"/>
  <c r="O124" i="9"/>
  <c r="Q124" i="9"/>
  <c r="V124" i="9"/>
  <c r="Y124" i="9"/>
  <c r="AA124" i="9"/>
  <c r="AD124" i="9"/>
  <c r="AW124" i="9"/>
  <c r="BD124" i="9"/>
  <c r="BN124" i="9"/>
  <c r="W125" i="9"/>
  <c r="Y125" i="9"/>
  <c r="AA125" i="9"/>
  <c r="AC125" i="9"/>
  <c r="AO125" i="9"/>
  <c r="AW125" i="9"/>
  <c r="BD125" i="9"/>
  <c r="BN125" i="9"/>
  <c r="O126" i="9"/>
  <c r="W126" i="9"/>
  <c r="Y126" i="9"/>
  <c r="AA126" i="9"/>
  <c r="AC126" i="9"/>
  <c r="AO126" i="9"/>
  <c r="AW126" i="9"/>
  <c r="BD126" i="9"/>
  <c r="O127" i="9"/>
  <c r="W127" i="9"/>
  <c r="Y127" i="9"/>
  <c r="AA127" i="9"/>
  <c r="AC127" i="9"/>
  <c r="AO127" i="9"/>
  <c r="AW127" i="9"/>
  <c r="BD127" i="9"/>
  <c r="BN127" i="9"/>
  <c r="O128" i="9"/>
  <c r="Q128" i="9"/>
  <c r="W128" i="9"/>
  <c r="Y128" i="9"/>
  <c r="AA128" i="9"/>
  <c r="AC128" i="9"/>
  <c r="AO128" i="9"/>
  <c r="AW128" i="9"/>
  <c r="BD128" i="9"/>
  <c r="W129" i="9"/>
  <c r="Y129" i="9"/>
  <c r="AA129" i="9"/>
  <c r="AC129" i="9"/>
  <c r="AO129" i="9"/>
  <c r="AW129" i="9"/>
  <c r="BD129" i="9"/>
  <c r="BL413" i="9"/>
  <c r="W130" i="9"/>
  <c r="Y130" i="9"/>
  <c r="AA130" i="9"/>
  <c r="AC130" i="9"/>
  <c r="AO130" i="9"/>
  <c r="AW130" i="9"/>
  <c r="BD130" i="9"/>
  <c r="V131" i="9"/>
  <c r="X131" i="9"/>
  <c r="AB131" i="9"/>
  <c r="AD131" i="9"/>
  <c r="AH131" i="9"/>
  <c r="AX131" i="9"/>
  <c r="V132" i="9"/>
  <c r="X132" i="9"/>
  <c r="AB132" i="9"/>
  <c r="AD132" i="9"/>
  <c r="AH132" i="9"/>
  <c r="AX132" i="9"/>
  <c r="V133" i="9"/>
  <c r="Y133" i="9"/>
  <c r="AA133" i="9"/>
  <c r="AD133" i="9"/>
  <c r="AH133" i="9"/>
  <c r="AX133" i="9"/>
  <c r="Z134" i="9"/>
  <c r="AO134" i="9"/>
  <c r="AW134" i="9"/>
  <c r="BD134" i="9"/>
  <c r="BN134" i="9"/>
  <c r="X135" i="9"/>
  <c r="Z135" i="9"/>
  <c r="R136" i="9"/>
  <c r="V136" i="9"/>
  <c r="Y136" i="9"/>
  <c r="AA136" i="9"/>
  <c r="AD136" i="9"/>
  <c r="AP136" i="9"/>
  <c r="AW136" i="9"/>
  <c r="BD136" i="9"/>
  <c r="V137" i="9"/>
  <c r="Y137" i="9"/>
  <c r="AA137" i="9"/>
  <c r="AD137" i="9"/>
  <c r="AW137" i="9"/>
  <c r="BD137" i="9"/>
  <c r="BN137" i="9"/>
  <c r="AA138" i="9"/>
  <c r="AC138" i="9"/>
  <c r="AX138" i="9"/>
  <c r="R140" i="9"/>
  <c r="V140" i="9"/>
  <c r="BH140" i="9"/>
  <c r="R141" i="9"/>
  <c r="V141" i="9"/>
  <c r="X141" i="9"/>
  <c r="AB141" i="9"/>
  <c r="AD141" i="9"/>
  <c r="AH141" i="9"/>
  <c r="AX141" i="9"/>
  <c r="BC402" i="9"/>
  <c r="BC413" i="9" s="1"/>
  <c r="BE141" i="9"/>
  <c r="BM402" i="9"/>
  <c r="BM413" i="9" s="1"/>
  <c r="BR402" i="9"/>
  <c r="BR413" i="9" s="1"/>
  <c r="DC141" i="9"/>
  <c r="R142" i="9"/>
  <c r="V142" i="9"/>
  <c r="X142" i="9"/>
  <c r="BK142" i="9"/>
  <c r="W143" i="9"/>
  <c r="Y143" i="9"/>
  <c r="AA143" i="9"/>
  <c r="AC143" i="9"/>
  <c r="AO143" i="9"/>
  <c r="AW143" i="9"/>
  <c r="BD143" i="9"/>
  <c r="BN143" i="9"/>
  <c r="V144" i="9"/>
  <c r="X144" i="9"/>
  <c r="AB144" i="9"/>
  <c r="AD144" i="9"/>
  <c r="AH144" i="9"/>
  <c r="AX144" i="9"/>
  <c r="W145" i="9"/>
  <c r="Y145" i="9"/>
  <c r="AA145" i="9"/>
  <c r="AC145" i="9"/>
  <c r="AO145" i="9"/>
  <c r="AW145" i="9"/>
  <c r="BD145" i="9"/>
  <c r="BN145" i="9"/>
  <c r="I146" i="9"/>
  <c r="M146" i="9"/>
  <c r="M139" i="9" s="1"/>
  <c r="M34" i="9" s="1"/>
  <c r="M239" i="9" s="1"/>
  <c r="U146" i="9"/>
  <c r="BY146" i="9"/>
  <c r="DB146" i="9"/>
  <c r="I417" i="9"/>
  <c r="R147" i="9"/>
  <c r="V147" i="9"/>
  <c r="X147" i="9"/>
  <c r="AB147" i="9"/>
  <c r="AD147" i="9"/>
  <c r="AH147" i="9"/>
  <c r="AX147" i="9"/>
  <c r="BC417" i="9"/>
  <c r="BC421" i="9" s="1"/>
  <c r="BE147" i="9"/>
  <c r="BM417" i="9"/>
  <c r="BM421" i="9" s="1"/>
  <c r="BR417" i="9"/>
  <c r="BR421" i="9" s="1"/>
  <c r="CP147" i="9"/>
  <c r="Z148" i="9"/>
  <c r="AO148" i="9"/>
  <c r="AW148" i="9"/>
  <c r="BD148" i="9"/>
  <c r="BN148" i="9"/>
  <c r="V149" i="9"/>
  <c r="X149" i="9"/>
  <c r="AB149" i="9"/>
  <c r="AD149" i="9"/>
  <c r="AH149" i="9"/>
  <c r="AX149" i="9"/>
  <c r="P417" i="9"/>
  <c r="R150" i="9"/>
  <c r="V150" i="9"/>
  <c r="BI417" i="9"/>
  <c r="BI421" i="9" s="1"/>
  <c r="BK150" i="9"/>
  <c r="V151" i="9"/>
  <c r="X151" i="9"/>
  <c r="AB151" i="9"/>
  <c r="AD151" i="9"/>
  <c r="AH151" i="9"/>
  <c r="AX151" i="9"/>
  <c r="V152" i="9"/>
  <c r="X152" i="9"/>
  <c r="AB152" i="9"/>
  <c r="AD152" i="9"/>
  <c r="AH152" i="9"/>
  <c r="AX152" i="9"/>
  <c r="R153" i="9"/>
  <c r="V153" i="9"/>
  <c r="X153" i="9"/>
  <c r="W154" i="9"/>
  <c r="Y154" i="9"/>
  <c r="AA154" i="9"/>
  <c r="AC154" i="9"/>
  <c r="AO154" i="9"/>
  <c r="AW154" i="9"/>
  <c r="BD154" i="9"/>
  <c r="BN154" i="9"/>
  <c r="O155" i="9"/>
  <c r="O146" i="9" s="1"/>
  <c r="Q155" i="9"/>
  <c r="Q417" i="9" s="1"/>
  <c r="W155" i="9"/>
  <c r="Y155" i="9"/>
  <c r="AA155" i="9"/>
  <c r="AC155" i="9"/>
  <c r="AO155" i="9"/>
  <c r="AW155" i="9"/>
  <c r="BD155" i="9"/>
  <c r="DF155" i="9"/>
  <c r="R156" i="9"/>
  <c r="Z156" i="9"/>
  <c r="CC156" i="9"/>
  <c r="BN156" i="9"/>
  <c r="BH156" i="9"/>
  <c r="BK156" i="9" s="1"/>
  <c r="BD156" i="9"/>
  <c r="AO156" i="9"/>
  <c r="AX156" i="9"/>
  <c r="R157" i="9"/>
  <c r="Z157" i="9"/>
  <c r="CC157" i="9"/>
  <c r="BH157" i="9"/>
  <c r="BK157" i="9" s="1"/>
  <c r="AO157" i="9"/>
  <c r="AX157" i="9"/>
  <c r="BN157" i="9"/>
  <c r="R158" i="9"/>
  <c r="Z158" i="9"/>
  <c r="CC158" i="9"/>
  <c r="BN158" i="9"/>
  <c r="BH158" i="9"/>
  <c r="BK158" i="9" s="1"/>
  <c r="BD158" i="9"/>
  <c r="AO158" i="9"/>
  <c r="AX158" i="9"/>
  <c r="DC158" i="9"/>
  <c r="W159" i="9"/>
  <c r="AC159" i="9"/>
  <c r="AO159" i="9"/>
  <c r="AY159" i="9"/>
  <c r="BF159" i="9"/>
  <c r="CB160" i="9"/>
  <c r="DI160" i="9" s="1"/>
  <c r="DC161" i="9"/>
  <c r="Q161" i="9"/>
  <c r="O161" i="9"/>
  <c r="O160" i="9" s="1"/>
  <c r="X161" i="9"/>
  <c r="AP161" i="9"/>
  <c r="AV161" i="9"/>
  <c r="BJ161" i="9"/>
  <c r="BD161" i="9"/>
  <c r="BI160" i="9"/>
  <c r="BS160" i="9"/>
  <c r="BS139" i="9" s="1"/>
  <c r="BS34" i="9" s="1"/>
  <c r="I160" i="9"/>
  <c r="R160" i="9" s="1"/>
  <c r="Q162" i="9"/>
  <c r="W162" i="9"/>
  <c r="AP162" i="9"/>
  <c r="AY162" i="9"/>
  <c r="AG162" i="9" s="1"/>
  <c r="BF162" i="9"/>
  <c r="BK162" i="9"/>
  <c r="AV162" i="9"/>
  <c r="BM160" i="9"/>
  <c r="CB162" i="9"/>
  <c r="BY160" i="9"/>
  <c r="DF160" i="9" s="1"/>
  <c r="DF162" i="9"/>
  <c r="X163" i="9"/>
  <c r="V163" i="9"/>
  <c r="Y163" i="9"/>
  <c r="AO163" i="9"/>
  <c r="AW163" i="9"/>
  <c r="BA163" i="9"/>
  <c r="BO163" i="9"/>
  <c r="CC163" i="9"/>
  <c r="AP164" i="9"/>
  <c r="BJ164" i="9"/>
  <c r="BD164" i="9"/>
  <c r="X165" i="9"/>
  <c r="V165" i="9"/>
  <c r="Y165" i="9"/>
  <c r="AI165" i="9"/>
  <c r="AP165" i="9"/>
  <c r="BP165" i="9"/>
  <c r="R166" i="9"/>
  <c r="Z166" i="9"/>
  <c r="CC166" i="9"/>
  <c r="BN166" i="9"/>
  <c r="BH166" i="9"/>
  <c r="BK166" i="9" s="1"/>
  <c r="BD166" i="9"/>
  <c r="AO166" i="9"/>
  <c r="AX166" i="9"/>
  <c r="R167" i="9"/>
  <c r="Z167" i="9"/>
  <c r="CC167" i="9"/>
  <c r="BN167" i="9"/>
  <c r="BH167" i="9"/>
  <c r="BK167" i="9" s="1"/>
  <c r="BD167" i="9"/>
  <c r="AO167" i="9"/>
  <c r="AX167" i="9"/>
  <c r="W168" i="9"/>
  <c r="AC168" i="9"/>
  <c r="AO168" i="9"/>
  <c r="AZ168" i="9"/>
  <c r="AY168" i="9"/>
  <c r="BF168" i="9"/>
  <c r="AO169" i="9"/>
  <c r="AG169" i="9"/>
  <c r="Z169" i="9"/>
  <c r="AZ169" i="9"/>
  <c r="AY169" i="9"/>
  <c r="BA169" i="9" s="1"/>
  <c r="BF169" i="9"/>
  <c r="P170" i="9"/>
  <c r="AU170" i="9"/>
  <c r="Y171" i="9"/>
  <c r="V171" i="9"/>
  <c r="AE171" i="9"/>
  <c r="AA171" i="9"/>
  <c r="AF171" i="9"/>
  <c r="AO171" i="9"/>
  <c r="AW171" i="9"/>
  <c r="BC170" i="9"/>
  <c r="BM170" i="9"/>
  <c r="R172" i="9"/>
  <c r="Z172" i="9"/>
  <c r="CC172" i="9"/>
  <c r="BH172" i="9"/>
  <c r="BK172" i="9" s="1"/>
  <c r="AO172" i="9"/>
  <c r="AX172" i="9"/>
  <c r="BN172" i="9"/>
  <c r="AC173" i="9"/>
  <c r="AO173" i="9"/>
  <c r="AW173" i="9"/>
  <c r="X174" i="9"/>
  <c r="V174" i="9"/>
  <c r="Y174" i="9"/>
  <c r="AO174" i="9"/>
  <c r="AW174" i="9"/>
  <c r="BA174" i="9"/>
  <c r="BO174" i="9"/>
  <c r="DB170" i="9"/>
  <c r="X175" i="9"/>
  <c r="AO175" i="9"/>
  <c r="Z175" i="9"/>
  <c r="BD175" i="9"/>
  <c r="BH175" i="9"/>
  <c r="BK175" i="9" s="1"/>
  <c r="BP175" i="9"/>
  <c r="AC176" i="9"/>
  <c r="AO176" i="9"/>
  <c r="AW176" i="9"/>
  <c r="U177" i="9"/>
  <c r="U425" i="9" s="1"/>
  <c r="AM177" i="9"/>
  <c r="AX177" i="9"/>
  <c r="Z177" i="9"/>
  <c r="BO177" i="9"/>
  <c r="Q178" i="9"/>
  <c r="O178" i="9"/>
  <c r="X178" i="9"/>
  <c r="AP178" i="9"/>
  <c r="Y179" i="9"/>
  <c r="V179" i="9"/>
  <c r="AF179" i="9"/>
  <c r="AD179" i="9"/>
  <c r="AA179" i="9"/>
  <c r="AE179" i="9"/>
  <c r="AI179" i="9"/>
  <c r="AP179" i="9"/>
  <c r="BP179" i="9"/>
  <c r="R180" i="9"/>
  <c r="Z180" i="9"/>
  <c r="AO180" i="9"/>
  <c r="AG180" i="9"/>
  <c r="AX180" i="9"/>
  <c r="BF180" i="9"/>
  <c r="AO181" i="9"/>
  <c r="AW181" i="9"/>
  <c r="Z181" i="9"/>
  <c r="R182" i="9"/>
  <c r="AP182" i="9"/>
  <c r="Q183" i="9"/>
  <c r="O183" i="9"/>
  <c r="AE183" i="9"/>
  <c r="AC183" i="9"/>
  <c r="AA183" i="9"/>
  <c r="AD183" i="9"/>
  <c r="BH183" i="9"/>
  <c r="BK183" i="9" s="1"/>
  <c r="BD183" i="9"/>
  <c r="AO183" i="9"/>
  <c r="AX183" i="9"/>
  <c r="Y183" i="9"/>
  <c r="W183" i="9"/>
  <c r="R184" i="9"/>
  <c r="Z184" i="9"/>
  <c r="CC184" i="9"/>
  <c r="BN184" i="9"/>
  <c r="BH184" i="9"/>
  <c r="BK184" i="9" s="1"/>
  <c r="BD184" i="9"/>
  <c r="AO184" i="9"/>
  <c r="AX184" i="9"/>
  <c r="W185" i="9"/>
  <c r="AC185" i="9"/>
  <c r="AO185" i="9"/>
  <c r="AZ185" i="9"/>
  <c r="AY185" i="9"/>
  <c r="BF185" i="9"/>
  <c r="AP186" i="9"/>
  <c r="BJ186" i="9"/>
  <c r="BD186" i="9"/>
  <c r="X187" i="9"/>
  <c r="V187" i="9"/>
  <c r="Y187" i="9"/>
  <c r="AI187" i="9"/>
  <c r="AP187" i="9"/>
  <c r="BP187" i="9"/>
  <c r="W188" i="9"/>
  <c r="AP188" i="9"/>
  <c r="AY188" i="9"/>
  <c r="BF188" i="9"/>
  <c r="BK188" i="9"/>
  <c r="AX188" i="9"/>
  <c r="Z188" i="9"/>
  <c r="DF188" i="9"/>
  <c r="CB188" i="9"/>
  <c r="R189" i="9"/>
  <c r="Z189" i="9"/>
  <c r="CC189" i="9"/>
  <c r="BH189" i="9"/>
  <c r="BK189" i="9" s="1"/>
  <c r="AO189" i="9"/>
  <c r="AX189" i="9"/>
  <c r="BN189" i="9"/>
  <c r="W190" i="9"/>
  <c r="AC190" i="9"/>
  <c r="AO190" i="9"/>
  <c r="AY190" i="9"/>
  <c r="BF190" i="9"/>
  <c r="AP191" i="9"/>
  <c r="Y192" i="9"/>
  <c r="V192" i="9"/>
  <c r="AE192" i="9"/>
  <c r="AA192" i="9"/>
  <c r="AF192" i="9"/>
  <c r="AO192" i="9"/>
  <c r="BD192" i="9"/>
  <c r="BH192" i="9"/>
  <c r="BK192" i="9" s="1"/>
  <c r="BP192" i="9"/>
  <c r="W193" i="9"/>
  <c r="AC193" i="9"/>
  <c r="AO193" i="9"/>
  <c r="AZ193" i="9"/>
  <c r="AY193" i="9"/>
  <c r="BF193" i="9"/>
  <c r="CC193" i="9"/>
  <c r="DF193" i="9"/>
  <c r="W194" i="9"/>
  <c r="AP194" i="9"/>
  <c r="AY194" i="9"/>
  <c r="BF194" i="9"/>
  <c r="BK194" i="9"/>
  <c r="AZ194" i="9"/>
  <c r="AX194" i="9"/>
  <c r="Z194" i="9"/>
  <c r="DF194" i="9"/>
  <c r="R195" i="9"/>
  <c r="Z195" i="9"/>
  <c r="CC195" i="9"/>
  <c r="BN195" i="9"/>
  <c r="BH195" i="9"/>
  <c r="BK195" i="9" s="1"/>
  <c r="BD195" i="9"/>
  <c r="AO195" i="9"/>
  <c r="AX195" i="9"/>
  <c r="R196" i="9"/>
  <c r="X196" i="9"/>
  <c r="V196" i="9"/>
  <c r="Y196" i="9"/>
  <c r="AP196" i="9"/>
  <c r="AY196" i="9"/>
  <c r="BF196" i="9"/>
  <c r="BK196" i="9"/>
  <c r="AX196" i="9"/>
  <c r="Z196" i="9"/>
  <c r="CC196" i="9"/>
  <c r="BN196" i="9"/>
  <c r="W197" i="9"/>
  <c r="AP197" i="9"/>
  <c r="AY197" i="9"/>
  <c r="BF197" i="9"/>
  <c r="BK197" i="9"/>
  <c r="AZ197" i="9"/>
  <c r="AX197" i="9"/>
  <c r="Z197" i="9"/>
  <c r="W198" i="9"/>
  <c r="AP198" i="9"/>
  <c r="AY198" i="9"/>
  <c r="BF198" i="9"/>
  <c r="BK198" i="9"/>
  <c r="AX198" i="9"/>
  <c r="Z198" i="9"/>
  <c r="DF198" i="9"/>
  <c r="R199" i="9"/>
  <c r="Y199" i="9"/>
  <c r="V199" i="9"/>
  <c r="AP199" i="9"/>
  <c r="AY199" i="9"/>
  <c r="BF199" i="9"/>
  <c r="BK199" i="9"/>
  <c r="AX199" i="9"/>
  <c r="DF199" i="9"/>
  <c r="CB199" i="9"/>
  <c r="R200" i="9"/>
  <c r="AP200" i="9"/>
  <c r="BO200" i="9"/>
  <c r="CC200" i="9"/>
  <c r="Q201" i="9"/>
  <c r="O201" i="9"/>
  <c r="Y201" i="9"/>
  <c r="CC201" i="9"/>
  <c r="BN201" i="9"/>
  <c r="BH201" i="9"/>
  <c r="BK201" i="9" s="1"/>
  <c r="BD201" i="9"/>
  <c r="AO201" i="9"/>
  <c r="Z201" i="9"/>
  <c r="AX201" i="9"/>
  <c r="DC201" i="9"/>
  <c r="X202" i="9"/>
  <c r="AC202" i="9"/>
  <c r="CC202" i="9"/>
  <c r="BH202" i="9"/>
  <c r="BK202" i="9" s="1"/>
  <c r="X203" i="9"/>
  <c r="V203" i="9"/>
  <c r="Y203" i="9"/>
  <c r="AI203" i="9"/>
  <c r="AP203" i="9"/>
  <c r="BP203" i="9"/>
  <c r="R204" i="9"/>
  <c r="AP204" i="9"/>
  <c r="BJ204" i="9"/>
  <c r="BD204" i="9"/>
  <c r="X205" i="9"/>
  <c r="AC205" i="9"/>
  <c r="BP205" i="9"/>
  <c r="BH205" i="9"/>
  <c r="BK205" i="9" s="1"/>
  <c r="BO205" i="9"/>
  <c r="Y206" i="9"/>
  <c r="V206" i="9"/>
  <c r="AF206" i="9"/>
  <c r="AD206" i="9"/>
  <c r="AA206" i="9"/>
  <c r="AE206" i="9"/>
  <c r="AI206" i="9"/>
  <c r="AP206" i="9"/>
  <c r="BP206" i="9"/>
  <c r="X207" i="9"/>
  <c r="AC207" i="9"/>
  <c r="AO207" i="9"/>
  <c r="AY207" i="9"/>
  <c r="BF207" i="9"/>
  <c r="AP208" i="9"/>
  <c r="Z209" i="9"/>
  <c r="CC209" i="9"/>
  <c r="BH209" i="9"/>
  <c r="BK209" i="9" s="1"/>
  <c r="CC210" i="9"/>
  <c r="BH210" i="9"/>
  <c r="BK210" i="9" s="1"/>
  <c r="AO210" i="9"/>
  <c r="Z210" i="9"/>
  <c r="AX210" i="9"/>
  <c r="BN210" i="9"/>
  <c r="Z211" i="9"/>
  <c r="BF211" i="9"/>
  <c r="Y212" i="9"/>
  <c r="V212" i="9"/>
  <c r="AF212" i="9"/>
  <c r="AD212" i="9"/>
  <c r="AA212" i="9"/>
  <c r="AE212" i="9"/>
  <c r="AI212" i="9"/>
  <c r="AP212" i="9"/>
  <c r="BP212" i="9"/>
  <c r="DF212" i="9"/>
  <c r="CC213" i="9"/>
  <c r="BN213" i="9"/>
  <c r="BH213" i="9"/>
  <c r="BK213" i="9" s="1"/>
  <c r="BD213" i="9"/>
  <c r="AO213" i="9"/>
  <c r="Z213" i="9"/>
  <c r="AX213" i="9"/>
  <c r="DC214" i="9"/>
  <c r="Q214" i="9"/>
  <c r="O214" i="9"/>
  <c r="X214" i="9"/>
  <c r="AP214" i="9"/>
  <c r="BJ214" i="9"/>
  <c r="BD214" i="9"/>
  <c r="AP215" i="9"/>
  <c r="Q216" i="9"/>
  <c r="O216" i="9"/>
  <c r="AE216" i="9"/>
  <c r="AA216" i="9"/>
  <c r="CC216" i="9"/>
  <c r="AM216" i="9"/>
  <c r="BG216" i="9" s="1"/>
  <c r="BJ216" i="9" s="1"/>
  <c r="U216" i="9"/>
  <c r="AS170" i="9"/>
  <c r="AS139" i="9" s="1"/>
  <c r="AX216" i="9"/>
  <c r="BD216" i="9"/>
  <c r="BH216" i="9"/>
  <c r="BK216" i="9" s="1"/>
  <c r="DC216" i="9"/>
  <c r="X217" i="9"/>
  <c r="AC217" i="9"/>
  <c r="AO217" i="9"/>
  <c r="AW217" i="9"/>
  <c r="BA217" i="9"/>
  <c r="BO217" i="9"/>
  <c r="W156" i="9"/>
  <c r="Y156" i="9"/>
  <c r="W157" i="9"/>
  <c r="Y157" i="9"/>
  <c r="W158" i="9"/>
  <c r="Y158" i="9"/>
  <c r="AB159" i="9"/>
  <c r="AD159" i="9"/>
  <c r="AX159" i="9"/>
  <c r="W161" i="9"/>
  <c r="Y161" i="9"/>
  <c r="R162" i="9"/>
  <c r="R163" i="9"/>
  <c r="W164" i="9"/>
  <c r="Y164" i="9"/>
  <c r="AB165" i="9"/>
  <c r="AD165" i="9"/>
  <c r="AX165" i="9"/>
  <c r="W166" i="9"/>
  <c r="Y166" i="9"/>
  <c r="W167" i="9"/>
  <c r="Y167" i="9"/>
  <c r="AB168" i="9"/>
  <c r="AD168" i="9"/>
  <c r="AX168" i="9"/>
  <c r="X169" i="9"/>
  <c r="AX169" i="9"/>
  <c r="BD171" i="9"/>
  <c r="BN171" i="9"/>
  <c r="W172" i="9"/>
  <c r="Y172" i="9"/>
  <c r="X173" i="9"/>
  <c r="BD173" i="9"/>
  <c r="BN173" i="9"/>
  <c r="R174" i="9"/>
  <c r="X176" i="9"/>
  <c r="BD176" i="9"/>
  <c r="BN176" i="9"/>
  <c r="R177" i="9"/>
  <c r="AP177" i="9"/>
  <c r="BD177" i="9"/>
  <c r="W178" i="9"/>
  <c r="Y178" i="9"/>
  <c r="AX179" i="9"/>
  <c r="W180" i="9"/>
  <c r="Y180" i="9"/>
  <c r="X181" i="9"/>
  <c r="BD181" i="9"/>
  <c r="BN181" i="9"/>
  <c r="X182" i="9"/>
  <c r="W184" i="9"/>
  <c r="Y184" i="9"/>
  <c r="AB185" i="9"/>
  <c r="AD185" i="9"/>
  <c r="AX185" i="9"/>
  <c r="W186" i="9"/>
  <c r="Y186" i="9"/>
  <c r="R187" i="9"/>
  <c r="AB187" i="9"/>
  <c r="AD187" i="9"/>
  <c r="AX187" i="9"/>
  <c r="W189" i="9"/>
  <c r="Y189" i="9"/>
  <c r="AB190" i="9"/>
  <c r="AD190" i="9"/>
  <c r="AX190" i="9"/>
  <c r="W191" i="9"/>
  <c r="Y191" i="9"/>
  <c r="AB193" i="9"/>
  <c r="AD193" i="9"/>
  <c r="AX193" i="9"/>
  <c r="R194" i="9"/>
  <c r="W195" i="9"/>
  <c r="Y195" i="9"/>
  <c r="R198" i="9"/>
  <c r="X200" i="9"/>
  <c r="X201" i="9"/>
  <c r="BD202" i="9"/>
  <c r="BN202" i="9"/>
  <c r="AB203" i="9"/>
  <c r="AD203" i="9"/>
  <c r="AX203" i="9"/>
  <c r="X204" i="9"/>
  <c r="BD205" i="9"/>
  <c r="AX206" i="9"/>
  <c r="AX207" i="9"/>
  <c r="W208" i="9"/>
  <c r="Y208" i="9"/>
  <c r="X209" i="9"/>
  <c r="BD209" i="9"/>
  <c r="BN209" i="9"/>
  <c r="X211" i="9"/>
  <c r="BN211" i="9"/>
  <c r="R212" i="9"/>
  <c r="AX212" i="9"/>
  <c r="W214" i="9"/>
  <c r="Y214" i="9"/>
  <c r="W215" i="9"/>
  <c r="Y215" i="9"/>
  <c r="R218" i="9"/>
  <c r="V218" i="9"/>
  <c r="X218" i="9"/>
  <c r="BE218" i="9"/>
  <c r="BG218" i="9"/>
  <c r="BJ218" i="9" s="1"/>
  <c r="CB218" i="9"/>
  <c r="Q219" i="9"/>
  <c r="X219" i="9"/>
  <c r="Z219" i="9"/>
  <c r="AO219" i="9"/>
  <c r="AW219" i="9"/>
  <c r="BD219" i="9"/>
  <c r="BH219" i="9"/>
  <c r="BK219" i="9" s="1"/>
  <c r="BJ219" i="9"/>
  <c r="AB220" i="9"/>
  <c r="AX220" i="9"/>
  <c r="AW220" i="9"/>
  <c r="BJ227" i="9"/>
  <c r="BJ230" i="9"/>
  <c r="BP231" i="9"/>
  <c r="BO231" i="9"/>
  <c r="BK231" i="9"/>
  <c r="BH230" i="9"/>
  <c r="BK230" i="9" s="1"/>
  <c r="BP236" i="9"/>
  <c r="BO236" i="9"/>
  <c r="AX242" i="9"/>
  <c r="Z242" i="9"/>
  <c r="AW242" i="9"/>
  <c r="AX243" i="9"/>
  <c r="Z243" i="9"/>
  <c r="AW243" i="9"/>
  <c r="DI245" i="9"/>
  <c r="CC245" i="9"/>
  <c r="BP247" i="9"/>
  <c r="BO247" i="9"/>
  <c r="CC248" i="9"/>
  <c r="BN248" i="9"/>
  <c r="AL242" i="9"/>
  <c r="W218" i="9"/>
  <c r="Y218" i="9"/>
  <c r="AX219" i="9"/>
  <c r="BN219" i="9"/>
  <c r="AE220" i="9"/>
  <c r="AC220" i="9"/>
  <c r="AA220" i="9"/>
  <c r="AD220" i="9"/>
  <c r="CC220" i="9"/>
  <c r="BN220" i="9"/>
  <c r="BH220" i="9"/>
  <c r="BK220" i="9" s="1"/>
  <c r="BD220" i="9"/>
  <c r="AO220" i="9"/>
  <c r="BP225" i="9"/>
  <c r="BO225" i="9"/>
  <c r="AX230" i="9"/>
  <c r="Z230" i="9"/>
  <c r="AW230" i="9"/>
  <c r="BP232" i="9"/>
  <c r="BO232" i="9"/>
  <c r="BP237" i="9"/>
  <c r="BO237" i="9"/>
  <c r="BP238" i="9"/>
  <c r="BO238" i="9"/>
  <c r="BK243" i="9"/>
  <c r="AW249" i="9"/>
  <c r="BP253" i="9"/>
  <c r="BO253" i="9"/>
  <c r="BN255" i="9"/>
  <c r="AX258" i="9"/>
  <c r="AW258" i="9"/>
  <c r="Z258" i="9"/>
  <c r="BN258" i="9"/>
  <c r="W220" i="9"/>
  <c r="Y220" i="9"/>
  <c r="R221" i="9"/>
  <c r="BD221" i="9"/>
  <c r="BH221" i="9"/>
  <c r="BK221" i="9" s="1"/>
  <c r="R222" i="9"/>
  <c r="AD222" i="9"/>
  <c r="AP222" i="9"/>
  <c r="AX222" i="9"/>
  <c r="X223" i="9"/>
  <c r="AC223" i="9"/>
  <c r="AF223" i="9"/>
  <c r="AO223" i="9"/>
  <c r="Q224" i="9"/>
  <c r="W224" i="9"/>
  <c r="Y224" i="9"/>
  <c r="AA224" i="9"/>
  <c r="AC224" i="9"/>
  <c r="AE224" i="9"/>
  <c r="AO224" i="9"/>
  <c r="AW224" i="9"/>
  <c r="BD224" i="9"/>
  <c r="BH224" i="9"/>
  <c r="BK224" i="9" s="1"/>
  <c r="BN224" i="9"/>
  <c r="R225" i="9"/>
  <c r="AP225" i="9"/>
  <c r="BD225" i="9"/>
  <c r="BH225" i="9"/>
  <c r="BK225" i="9" s="1"/>
  <c r="CC225" i="9"/>
  <c r="DF225" i="9"/>
  <c r="R226" i="9"/>
  <c r="AP226" i="9"/>
  <c r="AX226" i="9"/>
  <c r="R227" i="9"/>
  <c r="V227" i="9"/>
  <c r="Y227" i="9"/>
  <c r="AD227" i="9"/>
  <c r="AF227" i="9"/>
  <c r="AP227" i="9"/>
  <c r="AX227" i="9"/>
  <c r="BK227" i="9"/>
  <c r="BN227" i="9"/>
  <c r="DC227" i="9"/>
  <c r="X228" i="9"/>
  <c r="AC228" i="9"/>
  <c r="AE228" i="9"/>
  <c r="AO228" i="9"/>
  <c r="BD228" i="9"/>
  <c r="BH228" i="9"/>
  <c r="BK228" i="9" s="1"/>
  <c r="BN228" i="9"/>
  <c r="R229" i="9"/>
  <c r="AP229" i="9"/>
  <c r="AX229" i="9"/>
  <c r="W230" i="9"/>
  <c r="Y230" i="9"/>
  <c r="AO230" i="9"/>
  <c r="W231" i="9"/>
  <c r="Y231" i="9"/>
  <c r="AO231" i="9"/>
  <c r="AX231" i="9"/>
  <c r="DC231" i="9"/>
  <c r="W232" i="9"/>
  <c r="Y232" i="9"/>
  <c r="AO232" i="9"/>
  <c r="AX232" i="9"/>
  <c r="R233" i="9"/>
  <c r="X233" i="9"/>
  <c r="AB233" i="9"/>
  <c r="AD233" i="9"/>
  <c r="AF233" i="9"/>
  <c r="AP233" i="9"/>
  <c r="AX233" i="9"/>
  <c r="CB233" i="9"/>
  <c r="DI233" i="9" s="1"/>
  <c r="DC233" i="9"/>
  <c r="R234" i="9"/>
  <c r="AB234" i="9"/>
  <c r="AD234" i="9"/>
  <c r="AF234" i="9"/>
  <c r="AP234" i="9"/>
  <c r="AX234" i="9"/>
  <c r="BK234" i="9"/>
  <c r="BN234" i="9"/>
  <c r="X235" i="9"/>
  <c r="AO235" i="9"/>
  <c r="AC236" i="9"/>
  <c r="AO236" i="9"/>
  <c r="CC236" i="9"/>
  <c r="AC237" i="9"/>
  <c r="AO237" i="9"/>
  <c r="CC237" i="9"/>
  <c r="AC238" i="9"/>
  <c r="AO238" i="9"/>
  <c r="CC238" i="9"/>
  <c r="C361" i="9"/>
  <c r="C348" i="9"/>
  <c r="C301" i="9"/>
  <c r="E361" i="9"/>
  <c r="E301" i="9"/>
  <c r="G361" i="9"/>
  <c r="G301" i="9"/>
  <c r="K361" i="9"/>
  <c r="K301" i="9"/>
  <c r="Q241" i="9"/>
  <c r="AO241" i="9"/>
  <c r="AQ470" i="9"/>
  <c r="AQ511" i="9" s="1"/>
  <c r="AQ301" i="9"/>
  <c r="AS470" i="9"/>
  <c r="AS511" i="9" s="1"/>
  <c r="AS301" i="9"/>
  <c r="AS317" i="9" s="1"/>
  <c r="AS475" i="9" s="1"/>
  <c r="AS516" i="9" s="1"/>
  <c r="BC317" i="9"/>
  <c r="AV317" i="9" s="1"/>
  <c r="AV301" i="9"/>
  <c r="BQ470" i="9"/>
  <c r="BQ511" i="9" s="1"/>
  <c r="BQ301" i="9"/>
  <c r="BQ317" i="9" s="1"/>
  <c r="BQ475" i="9" s="1"/>
  <c r="BQ516" i="9" s="1"/>
  <c r="DF241" i="9"/>
  <c r="DH241" i="9"/>
  <c r="AO242" i="9"/>
  <c r="DD242" i="9"/>
  <c r="Q427" i="9"/>
  <c r="W243" i="9"/>
  <c r="Y243" i="9"/>
  <c r="AO243" i="9"/>
  <c r="AQ509" i="9"/>
  <c r="BL509" i="9"/>
  <c r="BP243" i="9"/>
  <c r="R244" i="9"/>
  <c r="AP244" i="9"/>
  <c r="AX244" i="9"/>
  <c r="BD244" i="9"/>
  <c r="BH244" i="9"/>
  <c r="BK244" i="9" s="1"/>
  <c r="W245" i="9"/>
  <c r="Y245" i="9"/>
  <c r="AC245" i="9"/>
  <c r="AI245" i="9"/>
  <c r="AK245" i="9"/>
  <c r="AO245" i="9"/>
  <c r="BF245" i="9"/>
  <c r="BP245" i="9"/>
  <c r="W246" i="9"/>
  <c r="Y246" i="9"/>
  <c r="AC246" i="9"/>
  <c r="AI246" i="9"/>
  <c r="AK246" i="9"/>
  <c r="AO246" i="9"/>
  <c r="BF246" i="9"/>
  <c r="BP246" i="9"/>
  <c r="R247" i="9"/>
  <c r="AP247" i="9"/>
  <c r="AX247" i="9"/>
  <c r="X248" i="9"/>
  <c r="AC248" i="9"/>
  <c r="AF248" i="9"/>
  <c r="AO248" i="9"/>
  <c r="CR248" i="9"/>
  <c r="BD249" i="9"/>
  <c r="BH249" i="9"/>
  <c r="BK249" i="9" s="1"/>
  <c r="X250" i="9"/>
  <c r="AC250" i="9"/>
  <c r="AF250" i="9"/>
  <c r="BD250" i="9"/>
  <c r="BH250" i="9"/>
  <c r="BK250" i="9" s="1"/>
  <c r="BN250" i="9"/>
  <c r="AC251" i="9"/>
  <c r="AO251" i="9"/>
  <c r="R252" i="9"/>
  <c r="BD252" i="9"/>
  <c r="BH252" i="9"/>
  <c r="BK252" i="9" s="1"/>
  <c r="BN252" i="9"/>
  <c r="R253" i="9"/>
  <c r="AP253" i="9"/>
  <c r="AX253" i="9"/>
  <c r="R254" i="9"/>
  <c r="AO254" i="9"/>
  <c r="X255" i="9"/>
  <c r="AC255" i="9"/>
  <c r="AE255" i="9"/>
  <c r="AO255" i="9"/>
  <c r="AX255" i="9"/>
  <c r="CB255" i="9"/>
  <c r="DI255" i="9" s="1"/>
  <c r="R256" i="9"/>
  <c r="BD256" i="9"/>
  <c r="BH256" i="9"/>
  <c r="BK256" i="9" s="1"/>
  <c r="BN256" i="9"/>
  <c r="R257" i="9"/>
  <c r="AP257" i="9"/>
  <c r="AX257" i="9"/>
  <c r="BD257" i="9"/>
  <c r="BH257" i="9"/>
  <c r="BK257" i="9" s="1"/>
  <c r="CB257" i="9"/>
  <c r="DI257" i="9" s="1"/>
  <c r="X258" i="9"/>
  <c r="AO258" i="9"/>
  <c r="AO259" i="9"/>
  <c r="Z259" i="9"/>
  <c r="BD259" i="9"/>
  <c r="BH259" i="9"/>
  <c r="BK259" i="9" s="1"/>
  <c r="BN261" i="9"/>
  <c r="BP262" i="9"/>
  <c r="BO262" i="9"/>
  <c r="DI266" i="9"/>
  <c r="CC266" i="9"/>
  <c r="BP268" i="9"/>
  <c r="BO268" i="9"/>
  <c r="BP279" i="9"/>
  <c r="BO279" i="9"/>
  <c r="BP281" i="9"/>
  <c r="BO281" i="9"/>
  <c r="BP292" i="9"/>
  <c r="BO292" i="9"/>
  <c r="X221" i="9"/>
  <c r="Z221" i="9"/>
  <c r="AX221" i="9"/>
  <c r="BN221" i="9"/>
  <c r="X222" i="9"/>
  <c r="AC222" i="9"/>
  <c r="AO222" i="9"/>
  <c r="AW222" i="9"/>
  <c r="BD222" i="9"/>
  <c r="BN222" i="9"/>
  <c r="V223" i="9"/>
  <c r="Y223" i="9"/>
  <c r="AA223" i="9"/>
  <c r="AW223" i="9"/>
  <c r="BD223" i="9"/>
  <c r="BN223" i="9"/>
  <c r="V224" i="9"/>
  <c r="X224" i="9"/>
  <c r="AB224" i="9"/>
  <c r="AD224" i="9"/>
  <c r="AX224" i="9"/>
  <c r="X225" i="9"/>
  <c r="AC225" i="9"/>
  <c r="AX225" i="9"/>
  <c r="X226" i="9"/>
  <c r="AC226" i="9"/>
  <c r="AO226" i="9"/>
  <c r="AW226" i="9"/>
  <c r="BD226" i="9"/>
  <c r="BN226" i="9"/>
  <c r="O227" i="9"/>
  <c r="X227" i="9"/>
  <c r="AC227" i="9"/>
  <c r="AO227" i="9"/>
  <c r="AW227" i="9"/>
  <c r="BD227" i="9"/>
  <c r="V228" i="9"/>
  <c r="Y228" i="9"/>
  <c r="AA228" i="9"/>
  <c r="AD228" i="9"/>
  <c r="AX228" i="9"/>
  <c r="X229" i="9"/>
  <c r="Z229" i="9"/>
  <c r="AO229" i="9"/>
  <c r="AW229" i="9"/>
  <c r="BD229" i="9"/>
  <c r="BN229" i="9"/>
  <c r="R230" i="9"/>
  <c r="V230" i="9"/>
  <c r="V231" i="9"/>
  <c r="X231" i="9"/>
  <c r="Z231" i="9"/>
  <c r="AW231" i="9"/>
  <c r="BD231" i="9"/>
  <c r="CB231" i="9"/>
  <c r="CC231" i="9" s="1"/>
  <c r="V232" i="9"/>
  <c r="X232" i="9"/>
  <c r="Z232" i="9"/>
  <c r="AW232" i="9"/>
  <c r="BD232" i="9"/>
  <c r="CB232" i="9"/>
  <c r="DI232" i="9" s="1"/>
  <c r="O233" i="9"/>
  <c r="O230" i="9" s="1"/>
  <c r="W233" i="9"/>
  <c r="Y233" i="9"/>
  <c r="AA233" i="9"/>
  <c r="AC233" i="9"/>
  <c r="AO233" i="9"/>
  <c r="AW233" i="9"/>
  <c r="BD233" i="9"/>
  <c r="BN233" i="9"/>
  <c r="W234" i="9"/>
  <c r="Y234" i="9"/>
  <c r="AA234" i="9"/>
  <c r="AC234" i="9"/>
  <c r="AO234" i="9"/>
  <c r="AW234" i="9"/>
  <c r="BD234" i="9"/>
  <c r="V235" i="9"/>
  <c r="AW235" i="9"/>
  <c r="BD235" i="9"/>
  <c r="BN235" i="9"/>
  <c r="X236" i="9"/>
  <c r="AA236" i="9"/>
  <c r="AW236" i="9"/>
  <c r="BD236" i="9"/>
  <c r="X237" i="9"/>
  <c r="AA237" i="9"/>
  <c r="AW237" i="9"/>
  <c r="BD237" i="9"/>
  <c r="AA238" i="9"/>
  <c r="AW238" i="9"/>
  <c r="BD238" i="9"/>
  <c r="D361" i="9"/>
  <c r="D301" i="9"/>
  <c r="F361" i="9"/>
  <c r="F301" i="9"/>
  <c r="J361" i="9"/>
  <c r="J301" i="9"/>
  <c r="L361" i="9"/>
  <c r="L301" i="9"/>
  <c r="Q301" i="9"/>
  <c r="R301" i="9"/>
  <c r="R241" i="9"/>
  <c r="T470" i="9"/>
  <c r="T511" i="9" s="1"/>
  <c r="T301" i="9"/>
  <c r="Z301" i="9"/>
  <c r="AV241" i="9"/>
  <c r="BB470" i="9"/>
  <c r="BB511" i="9" s="1"/>
  <c r="BB301" i="9"/>
  <c r="BJ241" i="9"/>
  <c r="BL470" i="9"/>
  <c r="BL511" i="9" s="1"/>
  <c r="BL301" i="9"/>
  <c r="BL317" i="9" s="1"/>
  <c r="BL475" i="9" s="1"/>
  <c r="BL516" i="9" s="1"/>
  <c r="DC241" i="9"/>
  <c r="DG241" i="9"/>
  <c r="R242" i="9"/>
  <c r="R243" i="9"/>
  <c r="V243" i="9"/>
  <c r="X243" i="9"/>
  <c r="AP243" i="9"/>
  <c r="AS509" i="9"/>
  <c r="BB509" i="9"/>
  <c r="BD243" i="9"/>
  <c r="BQ509" i="9"/>
  <c r="CB243" i="9"/>
  <c r="U244" i="9"/>
  <c r="Z244" i="9"/>
  <c r="AW244" i="9"/>
  <c r="BN244" i="9"/>
  <c r="V245" i="9"/>
  <c r="X245" i="9"/>
  <c r="AB245" i="9"/>
  <c r="AD245" i="9"/>
  <c r="AH245" i="9"/>
  <c r="AX245" i="9"/>
  <c r="V246" i="9"/>
  <c r="X246" i="9"/>
  <c r="AB246" i="9"/>
  <c r="AD246" i="9"/>
  <c r="AH246" i="9"/>
  <c r="AX246" i="9"/>
  <c r="X247" i="9"/>
  <c r="Z247" i="9"/>
  <c r="AO247" i="9"/>
  <c r="AW247" i="9"/>
  <c r="BD247" i="9"/>
  <c r="CB247" i="9"/>
  <c r="DI247" i="9" s="1"/>
  <c r="R248" i="9"/>
  <c r="V248" i="9"/>
  <c r="AA248" i="9"/>
  <c r="AW248" i="9"/>
  <c r="BD248" i="9"/>
  <c r="Z249" i="9"/>
  <c r="BN249" i="9"/>
  <c r="V250" i="9"/>
  <c r="Y250" i="9"/>
  <c r="AA250" i="9"/>
  <c r="AA251" i="9"/>
  <c r="AW251" i="9"/>
  <c r="BD251" i="9"/>
  <c r="BN251" i="9"/>
  <c r="Z252" i="9"/>
  <c r="X253" i="9"/>
  <c r="Z253" i="9"/>
  <c r="AO253" i="9"/>
  <c r="AW253" i="9"/>
  <c r="BD253" i="9"/>
  <c r="CB253" i="9"/>
  <c r="DI253" i="9" s="1"/>
  <c r="X254" i="9"/>
  <c r="Z254" i="9"/>
  <c r="AW254" i="9"/>
  <c r="BD254" i="9"/>
  <c r="BN254" i="9"/>
  <c r="V255" i="9"/>
  <c r="Y255" i="9"/>
  <c r="AA255" i="9"/>
  <c r="AD255" i="9"/>
  <c r="AW255" i="9"/>
  <c r="BD255" i="9"/>
  <c r="X256" i="9"/>
  <c r="Z256" i="9"/>
  <c r="CB256" i="9"/>
  <c r="DI256" i="9" s="1"/>
  <c r="U257" i="9"/>
  <c r="Z257" i="9"/>
  <c r="AW257" i="9"/>
  <c r="BN257" i="9"/>
  <c r="V258" i="9"/>
  <c r="Y258" i="9"/>
  <c r="BH258" i="9"/>
  <c r="BK258" i="9" s="1"/>
  <c r="BD258" i="9"/>
  <c r="AP258" i="9"/>
  <c r="BN259" i="9"/>
  <c r="AX261" i="9"/>
  <c r="AW261" i="9"/>
  <c r="Z261" i="9"/>
  <c r="DI262" i="9"/>
  <c r="CC262" i="9"/>
  <c r="BP265" i="9"/>
  <c r="BO265" i="9"/>
  <c r="BP266" i="9"/>
  <c r="BO266" i="9"/>
  <c r="BP272" i="9"/>
  <c r="BO272" i="9"/>
  <c r="BP278" i="9"/>
  <c r="BO278" i="9"/>
  <c r="X260" i="9"/>
  <c r="BD260" i="9"/>
  <c r="BH260" i="9"/>
  <c r="BK260" i="9" s="1"/>
  <c r="BN260" i="9"/>
  <c r="X261" i="9"/>
  <c r="AO261" i="9"/>
  <c r="BF261" i="9"/>
  <c r="CB261" i="9"/>
  <c r="DI261" i="9" s="1"/>
  <c r="X262" i="9"/>
  <c r="AC262" i="9"/>
  <c r="AF262" i="9"/>
  <c r="AO262" i="9"/>
  <c r="DG262" i="9"/>
  <c r="AC263" i="9"/>
  <c r="AO263" i="9"/>
  <c r="R264" i="9"/>
  <c r="AP264" i="9"/>
  <c r="AX264" i="9"/>
  <c r="CB264" i="9"/>
  <c r="DI264" i="9" s="1"/>
  <c r="R265" i="9"/>
  <c r="AP265" i="9"/>
  <c r="AX265" i="9"/>
  <c r="CC265" i="9"/>
  <c r="DG265" i="9"/>
  <c r="X266" i="9"/>
  <c r="AC266" i="9"/>
  <c r="AE266" i="9"/>
  <c r="AO266" i="9"/>
  <c r="AX266" i="9"/>
  <c r="DG266" i="9"/>
  <c r="X267" i="9"/>
  <c r="AC267" i="9"/>
  <c r="AE267" i="9"/>
  <c r="AI267" i="9"/>
  <c r="AK267" i="9"/>
  <c r="AO267" i="9"/>
  <c r="BF267" i="9"/>
  <c r="BP267" i="9"/>
  <c r="R268" i="9"/>
  <c r="AP268" i="9"/>
  <c r="AX268" i="9"/>
  <c r="BD268" i="9"/>
  <c r="BH268" i="9"/>
  <c r="BK268" i="9" s="1"/>
  <c r="CC268" i="9"/>
  <c r="BD269" i="9"/>
  <c r="BH269" i="9"/>
  <c r="BK269" i="9" s="1"/>
  <c r="BN269" i="9"/>
  <c r="X270" i="9"/>
  <c r="BD270" i="9"/>
  <c r="BH270" i="9"/>
  <c r="BK270" i="9" s="1"/>
  <c r="BN270" i="9"/>
  <c r="X271" i="9"/>
  <c r="AO271" i="9"/>
  <c r="AX271" i="9"/>
  <c r="R272" i="9"/>
  <c r="AP272" i="9"/>
  <c r="AX272" i="9"/>
  <c r="CC272" i="9"/>
  <c r="DG272" i="9"/>
  <c r="X273" i="9"/>
  <c r="BD273" i="9"/>
  <c r="BH273" i="9"/>
  <c r="BK273" i="9" s="1"/>
  <c r="BN273" i="9"/>
  <c r="AC274" i="9"/>
  <c r="AO274" i="9"/>
  <c r="R275" i="9"/>
  <c r="AO275" i="9"/>
  <c r="CB275" i="9"/>
  <c r="DI275" i="9" s="1"/>
  <c r="X276" i="9"/>
  <c r="AD276" i="9"/>
  <c r="AO276" i="9"/>
  <c r="BF276" i="9"/>
  <c r="BP276" i="9"/>
  <c r="R277" i="9"/>
  <c r="AP277" i="9"/>
  <c r="AX277" i="9"/>
  <c r="R278" i="9"/>
  <c r="AP278" i="9"/>
  <c r="AX278" i="9"/>
  <c r="CC278" i="9"/>
  <c r="DG278" i="9"/>
  <c r="AO279" i="9"/>
  <c r="X280" i="9"/>
  <c r="AC280" i="9"/>
  <c r="AE280" i="9"/>
  <c r="AI280" i="9"/>
  <c r="AK280" i="9"/>
  <c r="AO280" i="9"/>
  <c r="BF280" i="9"/>
  <c r="BP280" i="9"/>
  <c r="CR280" i="9"/>
  <c r="R281" i="9"/>
  <c r="AP281" i="9"/>
  <c r="AX281" i="9"/>
  <c r="CC281" i="9"/>
  <c r="DG281" i="9"/>
  <c r="X282" i="9"/>
  <c r="AC282" i="9"/>
  <c r="AF282" i="9"/>
  <c r="BD282" i="9"/>
  <c r="BH282" i="9"/>
  <c r="BK282" i="9" s="1"/>
  <c r="BN282" i="9"/>
  <c r="R283" i="9"/>
  <c r="AB283" i="9"/>
  <c r="AD283" i="9"/>
  <c r="AF283" i="9"/>
  <c r="AP283" i="9"/>
  <c r="AX283" i="9"/>
  <c r="CB283" i="9"/>
  <c r="DI283" i="9" s="1"/>
  <c r="R284" i="9"/>
  <c r="AB284" i="9"/>
  <c r="AD284" i="9"/>
  <c r="AF284" i="9"/>
  <c r="AP284" i="9"/>
  <c r="AX284" i="9"/>
  <c r="CB284" i="9"/>
  <c r="DI284" i="9" s="1"/>
  <c r="R285" i="9"/>
  <c r="AB285" i="9"/>
  <c r="AD285" i="9"/>
  <c r="AF285" i="9"/>
  <c r="BD285" i="9"/>
  <c r="BH285" i="9"/>
  <c r="BK285" i="9" s="1"/>
  <c r="BN285" i="9"/>
  <c r="X286" i="9"/>
  <c r="AC286" i="9"/>
  <c r="AE286" i="9"/>
  <c r="AO286" i="9"/>
  <c r="AX286" i="9"/>
  <c r="CB286" i="9"/>
  <c r="DI286" i="9" s="1"/>
  <c r="R287" i="9"/>
  <c r="AB287" i="9"/>
  <c r="AD287" i="9"/>
  <c r="AF287" i="9"/>
  <c r="AP287" i="9"/>
  <c r="AX287" i="9"/>
  <c r="CB287" i="9"/>
  <c r="DI287" i="9" s="1"/>
  <c r="R288" i="9"/>
  <c r="AB288" i="9"/>
  <c r="AD288" i="9"/>
  <c r="AF288" i="9"/>
  <c r="AP288" i="9"/>
  <c r="AX288" i="9"/>
  <c r="CB288" i="9"/>
  <c r="DI288" i="9" s="1"/>
  <c r="R289" i="9"/>
  <c r="AB289" i="9"/>
  <c r="AD289" i="9"/>
  <c r="AF289" i="9"/>
  <c r="AP289" i="9"/>
  <c r="AX289" i="9"/>
  <c r="CB289" i="9"/>
  <c r="DI289" i="9" s="1"/>
  <c r="R290" i="9"/>
  <c r="AB290" i="9"/>
  <c r="AD290" i="9"/>
  <c r="AF290" i="9"/>
  <c r="AP290" i="9"/>
  <c r="AX290" i="9"/>
  <c r="R291" i="9"/>
  <c r="AB291" i="9"/>
  <c r="AD291" i="9"/>
  <c r="AF291" i="9"/>
  <c r="AP291" i="9"/>
  <c r="AX291" i="9"/>
  <c r="CB291" i="9"/>
  <c r="DI291" i="9" s="1"/>
  <c r="R292" i="9"/>
  <c r="AB292" i="9"/>
  <c r="AD292" i="9"/>
  <c r="AF292" i="9"/>
  <c r="AP292" i="9"/>
  <c r="AX292" i="9"/>
  <c r="CC292" i="9"/>
  <c r="Y293" i="9"/>
  <c r="V293" i="9"/>
  <c r="AF293" i="9"/>
  <c r="AD293" i="9"/>
  <c r="AA293" i="9"/>
  <c r="AE293" i="9"/>
  <c r="DI294" i="9"/>
  <c r="CC294" i="9"/>
  <c r="AH300" i="9"/>
  <c r="BK305" i="9"/>
  <c r="BH304" i="9"/>
  <c r="BH303" i="9" s="1"/>
  <c r="BH307" i="9" s="1"/>
  <c r="CB258" i="9"/>
  <c r="DI258" i="9" s="1"/>
  <c r="X259" i="9"/>
  <c r="V260" i="9"/>
  <c r="Z260" i="9"/>
  <c r="V261" i="9"/>
  <c r="Y261" i="9"/>
  <c r="V262" i="9"/>
  <c r="Y262" i="9"/>
  <c r="AA262" i="9"/>
  <c r="AW262" i="9"/>
  <c r="BD262" i="9"/>
  <c r="X263" i="9"/>
  <c r="AA263" i="9"/>
  <c r="AW263" i="9"/>
  <c r="BD263" i="9"/>
  <c r="BN263" i="9"/>
  <c r="X264" i="9"/>
  <c r="Z264" i="9"/>
  <c r="AO264" i="9"/>
  <c r="AW264" i="9"/>
  <c r="BD264" i="9"/>
  <c r="BN264" i="9"/>
  <c r="X265" i="9"/>
  <c r="Z265" i="9"/>
  <c r="AO265" i="9"/>
  <c r="AW265" i="9"/>
  <c r="BD265" i="9"/>
  <c r="V266" i="9"/>
  <c r="Y266" i="9"/>
  <c r="AA266" i="9"/>
  <c r="AD266" i="9"/>
  <c r="AW266" i="9"/>
  <c r="BD266" i="9"/>
  <c r="V267" i="9"/>
  <c r="Y267" i="9"/>
  <c r="AA267" i="9"/>
  <c r="AD267" i="9"/>
  <c r="AH267" i="9"/>
  <c r="AX267" i="9"/>
  <c r="U268" i="9"/>
  <c r="Z268" i="9"/>
  <c r="AW268" i="9"/>
  <c r="X269" i="9"/>
  <c r="Z269" i="9"/>
  <c r="V270" i="9"/>
  <c r="Z270" i="9"/>
  <c r="V271" i="9"/>
  <c r="Z271" i="9"/>
  <c r="AW271" i="9"/>
  <c r="BD271" i="9"/>
  <c r="BN271" i="9"/>
  <c r="X272" i="9"/>
  <c r="Z272" i="9"/>
  <c r="AO272" i="9"/>
  <c r="BD272" i="9"/>
  <c r="V273" i="9"/>
  <c r="Z273" i="9"/>
  <c r="AA274" i="9"/>
  <c r="AW274" i="9"/>
  <c r="BD274" i="9"/>
  <c r="BN274" i="9"/>
  <c r="X275" i="9"/>
  <c r="Z275" i="9"/>
  <c r="AW275" i="9"/>
  <c r="BD275" i="9"/>
  <c r="BN275" i="9"/>
  <c r="V276" i="9"/>
  <c r="AC276" i="9"/>
  <c r="AY276" i="9"/>
  <c r="Z277" i="9"/>
  <c r="AO277" i="9"/>
  <c r="AW277" i="9"/>
  <c r="BD277" i="9"/>
  <c r="BN277" i="9"/>
  <c r="X278" i="9"/>
  <c r="Z278" i="9"/>
  <c r="AO278" i="9"/>
  <c r="AW278" i="9"/>
  <c r="BD278" i="9"/>
  <c r="X279" i="9"/>
  <c r="Z279" i="9"/>
  <c r="AW279" i="9"/>
  <c r="BD279" i="9"/>
  <c r="CB279" i="9"/>
  <c r="V280" i="9"/>
  <c r="AA280" i="9"/>
  <c r="AD280" i="9"/>
  <c r="AH280" i="9"/>
  <c r="AX280" i="9"/>
  <c r="X281" i="9"/>
  <c r="Z281" i="9"/>
  <c r="AO281" i="9"/>
  <c r="AW281" i="9"/>
  <c r="BD281" i="9"/>
  <c r="V282" i="9"/>
  <c r="Y282" i="9"/>
  <c r="AA282" i="9"/>
  <c r="W283" i="9"/>
  <c r="Y283" i="9"/>
  <c r="AA283" i="9"/>
  <c r="AC283" i="9"/>
  <c r="AO283" i="9"/>
  <c r="AW283" i="9"/>
  <c r="BD283" i="9"/>
  <c r="BN283" i="9"/>
  <c r="W284" i="9"/>
  <c r="Y284" i="9"/>
  <c r="AA284" i="9"/>
  <c r="AC284" i="9"/>
  <c r="AO284" i="9"/>
  <c r="AW284" i="9"/>
  <c r="BD284" i="9"/>
  <c r="BN284" i="9"/>
  <c r="W285" i="9"/>
  <c r="Y285" i="9"/>
  <c r="AA285" i="9"/>
  <c r="AC285" i="9"/>
  <c r="AX285" i="9"/>
  <c r="CB285" i="9"/>
  <c r="DI285" i="9" s="1"/>
  <c r="V286" i="9"/>
  <c r="Y286" i="9"/>
  <c r="AA286" i="9"/>
  <c r="AD286" i="9"/>
  <c r="AW286" i="9"/>
  <c r="BD286" i="9"/>
  <c r="BN286" i="9"/>
  <c r="W287" i="9"/>
  <c r="Y287" i="9"/>
  <c r="AA287" i="9"/>
  <c r="AC287" i="9"/>
  <c r="AO287" i="9"/>
  <c r="AW287" i="9"/>
  <c r="BD287" i="9"/>
  <c r="BN287" i="9"/>
  <c r="W288" i="9"/>
  <c r="Y288" i="9"/>
  <c r="AA288" i="9"/>
  <c r="AC288" i="9"/>
  <c r="AO288" i="9"/>
  <c r="AW288" i="9"/>
  <c r="BD288" i="9"/>
  <c r="BN288" i="9"/>
  <c r="W289" i="9"/>
  <c r="Y289" i="9"/>
  <c r="AA289" i="9"/>
  <c r="AC289" i="9"/>
  <c r="AO289" i="9"/>
  <c r="AW289" i="9"/>
  <c r="BD289" i="9"/>
  <c r="BN289" i="9"/>
  <c r="W290" i="9"/>
  <c r="Y290" i="9"/>
  <c r="AA290" i="9"/>
  <c r="AC290" i="9"/>
  <c r="AO290" i="9"/>
  <c r="AW290" i="9"/>
  <c r="BD290" i="9"/>
  <c r="BN290" i="9"/>
  <c r="W291" i="9"/>
  <c r="Y291" i="9"/>
  <c r="AA291" i="9"/>
  <c r="AC291" i="9"/>
  <c r="AO291" i="9"/>
  <c r="AW291" i="9"/>
  <c r="BD291" i="9"/>
  <c r="BN291" i="9"/>
  <c r="W292" i="9"/>
  <c r="Y292" i="9"/>
  <c r="AA292" i="9"/>
  <c r="AC292" i="9"/>
  <c r="AO292" i="9"/>
  <c r="AW292" i="9"/>
  <c r="BD292" i="9"/>
  <c r="X293" i="9"/>
  <c r="AC293" i="9"/>
  <c r="AJ293" i="9"/>
  <c r="AH293" i="9"/>
  <c r="AK293" i="9"/>
  <c r="AI293" i="9"/>
  <c r="BN299" i="9"/>
  <c r="V307" i="9"/>
  <c r="Z307" i="9"/>
  <c r="AO307" i="9"/>
  <c r="AU307" i="9"/>
  <c r="AW307" i="9" s="1"/>
  <c r="BK307" i="9"/>
  <c r="BJ307" i="9"/>
  <c r="BW321" i="9"/>
  <c r="Z304" i="9"/>
  <c r="AO304" i="9"/>
  <c r="BK304" i="9"/>
  <c r="AO293" i="9"/>
  <c r="BF293" i="9"/>
  <c r="BP293" i="9"/>
  <c r="W294" i="9"/>
  <c r="Y294" i="9"/>
  <c r="AC294" i="9"/>
  <c r="AI294" i="9"/>
  <c r="AK294" i="9"/>
  <c r="AO294" i="9"/>
  <c r="BF294" i="9"/>
  <c r="BP294" i="9"/>
  <c r="X295" i="9"/>
  <c r="AC295" i="9"/>
  <c r="AE295" i="9"/>
  <c r="AI295" i="9"/>
  <c r="AK295" i="9"/>
  <c r="AO295" i="9"/>
  <c r="BF295" i="9"/>
  <c r="BP295" i="9"/>
  <c r="X296" i="9"/>
  <c r="AC296" i="9"/>
  <c r="AE296" i="9"/>
  <c r="AI296" i="9"/>
  <c r="AK296" i="9"/>
  <c r="AO296" i="9"/>
  <c r="BF296" i="9"/>
  <c r="BP296" i="9"/>
  <c r="X297" i="9"/>
  <c r="AC297" i="9"/>
  <c r="AE297" i="9"/>
  <c r="AI297" i="9"/>
  <c r="AK297" i="9"/>
  <c r="AO297" i="9"/>
  <c r="BF297" i="9"/>
  <c r="BP297" i="9"/>
  <c r="AE298" i="9"/>
  <c r="AP298" i="9"/>
  <c r="AX298" i="9"/>
  <c r="BD298" i="9"/>
  <c r="BH298" i="9"/>
  <c r="BK298" i="9" s="1"/>
  <c r="X299" i="9"/>
  <c r="AO299" i="9"/>
  <c r="CB299" i="9"/>
  <c r="DI299" i="9" s="1"/>
  <c r="AO300" i="9"/>
  <c r="BA300" i="9"/>
  <c r="BF300" i="9"/>
  <c r="BP300" i="9"/>
  <c r="DG300" i="9"/>
  <c r="Q303" i="9"/>
  <c r="X303" i="9"/>
  <c r="BK303" i="9"/>
  <c r="CC303" i="9"/>
  <c r="R304" i="9"/>
  <c r="Y304" i="9"/>
  <c r="R305" i="9"/>
  <c r="AO305" i="9"/>
  <c r="AC306" i="9"/>
  <c r="AO306" i="9"/>
  <c r="P307" i="9"/>
  <c r="BL307" i="9"/>
  <c r="CP307" i="9" s="1"/>
  <c r="CQ307" i="9" s="1"/>
  <c r="CR307" i="9" s="1"/>
  <c r="D323" i="9"/>
  <c r="F323" i="9"/>
  <c r="H323" i="9"/>
  <c r="J323" i="9"/>
  <c r="L323" i="9"/>
  <c r="N323" i="9"/>
  <c r="Q319" i="9"/>
  <c r="R319" i="9"/>
  <c r="R309" i="9"/>
  <c r="T323" i="9"/>
  <c r="CC319" i="9"/>
  <c r="AR323" i="9"/>
  <c r="AN319" i="9"/>
  <c r="AT323" i="9"/>
  <c r="DG319" i="9"/>
  <c r="DI319" i="9"/>
  <c r="BN311" i="9"/>
  <c r="BD311" i="9"/>
  <c r="AO313" i="9"/>
  <c r="AW313" i="9"/>
  <c r="Z313" i="9"/>
  <c r="BG314" i="9"/>
  <c r="BJ314" i="9" s="1"/>
  <c r="AO314" i="9"/>
  <c r="BH317" i="9"/>
  <c r="BK317" i="9" s="1"/>
  <c r="AX293" i="9"/>
  <c r="V294" i="9"/>
  <c r="X294" i="9"/>
  <c r="AB294" i="9"/>
  <c r="AD294" i="9"/>
  <c r="AH294" i="9"/>
  <c r="AX294" i="9"/>
  <c r="V295" i="9"/>
  <c r="Y295" i="9"/>
  <c r="AA295" i="9"/>
  <c r="AD295" i="9"/>
  <c r="AH295" i="9"/>
  <c r="AX295" i="9"/>
  <c r="V296" i="9"/>
  <c r="Y296" i="9"/>
  <c r="AA296" i="9"/>
  <c r="AD296" i="9"/>
  <c r="AH296" i="9"/>
  <c r="AX296" i="9"/>
  <c r="CB296" i="9"/>
  <c r="V297" i="9"/>
  <c r="Y297" i="9"/>
  <c r="AA297" i="9"/>
  <c r="AD297" i="9"/>
  <c r="AH297" i="9"/>
  <c r="AX297" i="9"/>
  <c r="U298" i="9"/>
  <c r="AD298" i="9" s="1"/>
  <c r="AA298" i="9"/>
  <c r="AW298" i="9"/>
  <c r="BN298" i="9"/>
  <c r="V299" i="9"/>
  <c r="Z299" i="9"/>
  <c r="AW299" i="9"/>
  <c r="BD299" i="9"/>
  <c r="Z300" i="9"/>
  <c r="AW300" i="9"/>
  <c r="V303" i="9"/>
  <c r="Y303" i="9"/>
  <c r="AM303" i="9"/>
  <c r="BG303" i="9" s="1"/>
  <c r="AV303" i="9"/>
  <c r="BJ303" i="9"/>
  <c r="AW304" i="9"/>
  <c r="BY304" i="9"/>
  <c r="Z305" i="9"/>
  <c r="AW305" i="9"/>
  <c r="BD305" i="9"/>
  <c r="BN305" i="9"/>
  <c r="X306" i="9"/>
  <c r="AA306" i="9"/>
  <c r="AW306" i="9"/>
  <c r="BD306" i="9"/>
  <c r="BN306" i="9"/>
  <c r="C323" i="9"/>
  <c r="E323" i="9"/>
  <c r="G323" i="9"/>
  <c r="G347" i="9" s="1"/>
  <c r="G351" i="9" s="1"/>
  <c r="K323" i="9"/>
  <c r="M323" i="9"/>
  <c r="Q309" i="9"/>
  <c r="S323" i="9"/>
  <c r="DF319" i="9"/>
  <c r="DH319" i="9"/>
  <c r="CC309" i="9"/>
  <c r="DG309" i="9"/>
  <c r="DI309" i="9"/>
  <c r="R312" i="9"/>
  <c r="AE312" i="9"/>
  <c r="AA312" i="9"/>
  <c r="AF312" i="9"/>
  <c r="AO312" i="9"/>
  <c r="BD312" i="9"/>
  <c r="BH312" i="9"/>
  <c r="BK312" i="9" s="1"/>
  <c r="BP312" i="9"/>
  <c r="BH313" i="9"/>
  <c r="BK313" i="9" s="1"/>
  <c r="BP313" i="9"/>
  <c r="AP314" i="9"/>
  <c r="BO317" i="9"/>
  <c r="G353" i="9"/>
  <c r="BF314" i="9"/>
  <c r="BP314" i="9"/>
  <c r="X315" i="9"/>
  <c r="AP315" i="9"/>
  <c r="BK315" i="9"/>
  <c r="BN315" i="9"/>
  <c r="AO316" i="9"/>
  <c r="R317" i="9"/>
  <c r="BP317" i="9"/>
  <c r="AC318" i="9"/>
  <c r="BP318" i="9"/>
  <c r="S413" i="9"/>
  <c r="AQ413" i="9"/>
  <c r="AS413" i="9"/>
  <c r="BB413" i="9"/>
  <c r="BD313" i="9"/>
  <c r="X314" i="9"/>
  <c r="AC314" i="9"/>
  <c r="AY314" i="9"/>
  <c r="V315" i="9"/>
  <c r="Z315" i="9"/>
  <c r="AO315" i="9"/>
  <c r="AW315" i="9"/>
  <c r="BD315" i="9"/>
  <c r="Z316" i="9"/>
  <c r="AW316" i="9"/>
  <c r="BD316" i="9"/>
  <c r="BD317" i="9"/>
  <c r="AA318" i="9"/>
  <c r="AO318" i="9"/>
  <c r="BD318" i="9"/>
  <c r="BB437" i="9"/>
  <c r="S471" i="9"/>
  <c r="S454" i="9"/>
  <c r="S461" i="9" s="1"/>
  <c r="S504" i="9"/>
  <c r="S507" i="9" s="1"/>
  <c r="V518" i="9"/>
  <c r="V504" i="9"/>
  <c r="V507" i="9" s="1"/>
  <c r="S512" i="9"/>
  <c r="V512" i="9"/>
  <c r="BD27" i="8"/>
  <c r="CH65" i="7"/>
  <c r="BB65" i="7"/>
  <c r="BK65" i="7" s="1"/>
  <c r="BT62" i="7"/>
  <c r="CH34" i="7"/>
  <c r="BB34" i="7" s="1"/>
  <c r="BK34" i="7" s="1"/>
  <c r="CH35" i="7"/>
  <c r="BB35" i="7" s="1"/>
  <c r="BK35" i="7" s="1"/>
  <c r="CH22" i="7"/>
  <c r="BB22" i="7" s="1"/>
  <c r="BK22" i="7" s="1"/>
  <c r="Z38" i="9" l="1"/>
  <c r="AX38" i="9"/>
  <c r="AW38" i="9"/>
  <c r="AW276" i="9"/>
  <c r="BM26" i="9"/>
  <c r="AV26" i="9" s="1"/>
  <c r="AV5" i="9"/>
  <c r="AV170" i="9"/>
  <c r="BM139" i="9"/>
  <c r="BM34" i="9" s="1"/>
  <c r="AW168" i="9"/>
  <c r="AF185" i="9"/>
  <c r="AE185" i="9"/>
  <c r="AA185" i="9"/>
  <c r="AW119" i="9"/>
  <c r="Z119" i="9"/>
  <c r="BR321" i="9"/>
  <c r="AW199" i="9"/>
  <c r="Z199" i="9"/>
  <c r="AW185" i="9"/>
  <c r="AF132" i="9"/>
  <c r="AA132" i="9"/>
  <c r="AE132" i="9"/>
  <c r="AF79" i="9"/>
  <c r="AE79" i="9"/>
  <c r="AA79" i="9"/>
  <c r="BM239" i="9"/>
  <c r="BM321" i="9"/>
  <c r="BQ474" i="9"/>
  <c r="BQ515" i="9" s="1"/>
  <c r="BQ310" i="9"/>
  <c r="BQ309" i="9" s="1"/>
  <c r="BS239" i="9"/>
  <c r="BS321" i="9"/>
  <c r="BS311" i="9"/>
  <c r="BS310" i="9" s="1"/>
  <c r="BS309" i="9" s="1"/>
  <c r="BS319" i="9" s="1"/>
  <c r="BS323" i="9" s="1"/>
  <c r="BM311" i="9"/>
  <c r="BM310" i="9" s="1"/>
  <c r="BM309" i="9" s="1"/>
  <c r="BM319" i="9" s="1"/>
  <c r="BM323" i="9" s="1"/>
  <c r="BP85" i="9"/>
  <c r="BO85" i="9"/>
  <c r="CR451" i="9"/>
  <c r="CR6" i="9"/>
  <c r="BF316" i="9"/>
  <c r="BE316" i="9"/>
  <c r="AY316" i="9"/>
  <c r="BE312" i="9"/>
  <c r="AY312" i="9"/>
  <c r="BF312" i="9"/>
  <c r="BP306" i="9"/>
  <c r="BO306" i="9"/>
  <c r="BF305" i="9"/>
  <c r="BE305" i="9"/>
  <c r="AY305" i="9"/>
  <c r="BD304" i="9"/>
  <c r="AF305" i="9"/>
  <c r="AC305" i="9"/>
  <c r="AE305" i="9"/>
  <c r="AA305" i="9"/>
  <c r="AW303" i="9"/>
  <c r="Z303" i="9"/>
  <c r="AC300" i="9"/>
  <c r="AE300" i="9"/>
  <c r="AA300" i="9"/>
  <c r="AN323" i="9"/>
  <c r="Q307" i="9"/>
  <c r="R307" i="9"/>
  <c r="BE298" i="9"/>
  <c r="AY298" i="9"/>
  <c r="BF298" i="9"/>
  <c r="AF304" i="9"/>
  <c r="AC304" i="9"/>
  <c r="AE304" i="9"/>
  <c r="AA304" i="9"/>
  <c r="AO303" i="9"/>
  <c r="Y307" i="9"/>
  <c r="BP299" i="9"/>
  <c r="BO299" i="9"/>
  <c r="BF291" i="9"/>
  <c r="AY291" i="9"/>
  <c r="BE291" i="9"/>
  <c r="BP290" i="9"/>
  <c r="BO290" i="9"/>
  <c r="BF289" i="9"/>
  <c r="AY289" i="9"/>
  <c r="BE289" i="9"/>
  <c r="BP288" i="9"/>
  <c r="BO288" i="9"/>
  <c r="BF287" i="9"/>
  <c r="AY287" i="9"/>
  <c r="BE287" i="9"/>
  <c r="BP286" i="9"/>
  <c r="BO286" i="9"/>
  <c r="BF284" i="9"/>
  <c r="AY284" i="9"/>
  <c r="BE284" i="9"/>
  <c r="BP283" i="9"/>
  <c r="BO283" i="9"/>
  <c r="BF281" i="9"/>
  <c r="AY281" i="9"/>
  <c r="BE281" i="9"/>
  <c r="AE281" i="9"/>
  <c r="AC281" i="9"/>
  <c r="AF281" i="9"/>
  <c r="AD281" i="9"/>
  <c r="AA281" i="9"/>
  <c r="DI279" i="9"/>
  <c r="CC279" i="9"/>
  <c r="BF278" i="9"/>
  <c r="AY278" i="9"/>
  <c r="BE278" i="9"/>
  <c r="AE278" i="9"/>
  <c r="AC278" i="9"/>
  <c r="AF278" i="9"/>
  <c r="AD278" i="9"/>
  <c r="AA278" i="9"/>
  <c r="BP277" i="9"/>
  <c r="BO277" i="9"/>
  <c r="AZ276" i="9"/>
  <c r="AG276" i="9"/>
  <c r="BF275" i="9"/>
  <c r="BE275" i="9"/>
  <c r="AY275" i="9"/>
  <c r="AF275" i="9"/>
  <c r="AC275" i="9"/>
  <c r="AE275" i="9"/>
  <c r="AA275" i="9"/>
  <c r="BP274" i="9"/>
  <c r="BO274" i="9"/>
  <c r="AC273" i="9"/>
  <c r="AE273" i="9"/>
  <c r="AA273" i="9"/>
  <c r="BF272" i="9"/>
  <c r="AY272" i="9"/>
  <c r="BE272" i="9"/>
  <c r="BF271" i="9"/>
  <c r="AY271" i="9"/>
  <c r="BE271" i="9"/>
  <c r="AE271" i="9"/>
  <c r="AC271" i="9"/>
  <c r="AD271" i="9"/>
  <c r="AA271" i="9"/>
  <c r="AC270" i="9"/>
  <c r="AE270" i="9"/>
  <c r="AA270" i="9"/>
  <c r="AF269" i="9"/>
  <c r="AC269" i="9"/>
  <c r="AE269" i="9"/>
  <c r="AA269" i="9"/>
  <c r="AE268" i="9"/>
  <c r="AC268" i="9"/>
  <c r="AF268" i="9"/>
  <c r="AD268" i="9"/>
  <c r="AA268" i="9"/>
  <c r="BF265" i="9"/>
  <c r="AY265" i="9"/>
  <c r="BE265" i="9"/>
  <c r="AE265" i="9"/>
  <c r="AC265" i="9"/>
  <c r="AF265" i="9"/>
  <c r="AD265" i="9"/>
  <c r="AA265" i="9"/>
  <c r="BP264" i="9"/>
  <c r="BO264" i="9"/>
  <c r="BF263" i="9"/>
  <c r="BE263" i="9"/>
  <c r="AY263" i="9"/>
  <c r="AC260" i="9"/>
  <c r="AE260" i="9"/>
  <c r="AA260" i="9"/>
  <c r="AK300" i="9"/>
  <c r="BO282" i="9"/>
  <c r="BP282" i="9"/>
  <c r="BE282" i="9"/>
  <c r="AY282" i="9"/>
  <c r="BF282" i="9"/>
  <c r="BO270" i="9"/>
  <c r="BP270" i="9"/>
  <c r="BE270" i="9"/>
  <c r="AY270" i="9"/>
  <c r="BF270" i="9"/>
  <c r="BO269" i="9"/>
  <c r="BP269" i="9"/>
  <c r="BE269" i="9"/>
  <c r="AY269" i="9"/>
  <c r="BF269" i="9"/>
  <c r="BO260" i="9"/>
  <c r="BP260" i="9"/>
  <c r="BE260" i="9"/>
  <c r="AY260" i="9"/>
  <c r="BF260" i="9"/>
  <c r="AF261" i="9"/>
  <c r="AD261" i="9"/>
  <c r="AA261" i="9"/>
  <c r="AE261" i="9"/>
  <c r="AC261" i="9"/>
  <c r="BF258" i="9"/>
  <c r="BE258" i="9"/>
  <c r="AY258" i="9"/>
  <c r="BP257" i="9"/>
  <c r="BO257" i="9"/>
  <c r="X257" i="9"/>
  <c r="Y257" i="9"/>
  <c r="V257" i="9"/>
  <c r="AF256" i="9"/>
  <c r="AC256" i="9"/>
  <c r="AE256" i="9"/>
  <c r="AA256" i="9"/>
  <c r="BF255" i="9"/>
  <c r="AY255" i="9"/>
  <c r="BE255" i="9"/>
  <c r="BP254" i="9"/>
  <c r="BO254" i="9"/>
  <c r="BF253" i="9"/>
  <c r="AY253" i="9"/>
  <c r="BE253" i="9"/>
  <c r="AE253" i="9"/>
  <c r="AC253" i="9"/>
  <c r="AF253" i="9"/>
  <c r="AD253" i="9"/>
  <c r="AA253" i="9"/>
  <c r="AF252" i="9"/>
  <c r="AC252" i="9"/>
  <c r="AE252" i="9"/>
  <c r="AA252" i="9"/>
  <c r="BF251" i="9"/>
  <c r="BE251" i="9"/>
  <c r="AY251" i="9"/>
  <c r="AF249" i="9"/>
  <c r="AC249" i="9"/>
  <c r="AE249" i="9"/>
  <c r="AA249" i="9"/>
  <c r="BP244" i="9"/>
  <c r="BN242" i="9"/>
  <c r="BO244" i="9"/>
  <c r="X244" i="9"/>
  <c r="Y244" i="9"/>
  <c r="V244" i="9"/>
  <c r="U242" i="9"/>
  <c r="DI243" i="9"/>
  <c r="CB242" i="9"/>
  <c r="BB317" i="9"/>
  <c r="AU301" i="9"/>
  <c r="AW301" i="9" s="1"/>
  <c r="AX241" i="9"/>
  <c r="Z241" i="9"/>
  <c r="AW241" i="9"/>
  <c r="BF238" i="9"/>
  <c r="BE238" i="9"/>
  <c r="AY238" i="9"/>
  <c r="BF237" i="9"/>
  <c r="BE237" i="9"/>
  <c r="AY237" i="9"/>
  <c r="BF235" i="9"/>
  <c r="BE235" i="9"/>
  <c r="AY235" i="9"/>
  <c r="BF233" i="9"/>
  <c r="AY233" i="9"/>
  <c r="BE233" i="9"/>
  <c r="BF231" i="9"/>
  <c r="AY231" i="9"/>
  <c r="BD230" i="9"/>
  <c r="BE231" i="9"/>
  <c r="AF231" i="9"/>
  <c r="AD231" i="9"/>
  <c r="AB231" i="9"/>
  <c r="AE231" i="9"/>
  <c r="AC231" i="9"/>
  <c r="AA231" i="9"/>
  <c r="BF229" i="9"/>
  <c r="AY229" i="9"/>
  <c r="BE229" i="9"/>
  <c r="AE229" i="9"/>
  <c r="AC229" i="9"/>
  <c r="AF229" i="9"/>
  <c r="AD229" i="9"/>
  <c r="AA229" i="9"/>
  <c r="BF227" i="9"/>
  <c r="AY227" i="9"/>
  <c r="BE227" i="9"/>
  <c r="BP226" i="9"/>
  <c r="BO226" i="9"/>
  <c r="BP223" i="9"/>
  <c r="BO223" i="9"/>
  <c r="BP222" i="9"/>
  <c r="BO222" i="9"/>
  <c r="AE221" i="9"/>
  <c r="AC221" i="9"/>
  <c r="AF221" i="9"/>
  <c r="AD221" i="9"/>
  <c r="AA221" i="9"/>
  <c r="CC289" i="9"/>
  <c r="CC287" i="9"/>
  <c r="CC284" i="9"/>
  <c r="CC275" i="9"/>
  <c r="CC261" i="9"/>
  <c r="BE259" i="9"/>
  <c r="AY259" i="9"/>
  <c r="BF259" i="9"/>
  <c r="BE257" i="9"/>
  <c r="AY257" i="9"/>
  <c r="BF257" i="9"/>
  <c r="CC253" i="9"/>
  <c r="BE249" i="9"/>
  <c r="AY249" i="9"/>
  <c r="BF249" i="9"/>
  <c r="CC247" i="9"/>
  <c r="U468" i="9"/>
  <c r="AQ317" i="9"/>
  <c r="AM301" i="9"/>
  <c r="BO234" i="9"/>
  <c r="BP234" i="9"/>
  <c r="CC232" i="9"/>
  <c r="CC258" i="9"/>
  <c r="AF258" i="9"/>
  <c r="AD258" i="9"/>
  <c r="AA258" i="9"/>
  <c r="AE258" i="9"/>
  <c r="AC258" i="9"/>
  <c r="CC255" i="9"/>
  <c r="BH242" i="9"/>
  <c r="CC243" i="9"/>
  <c r="CC256" i="9"/>
  <c r="AL241" i="9"/>
  <c r="CC242" i="9"/>
  <c r="AF243" i="9"/>
  <c r="AD243" i="9"/>
  <c r="AB243" i="9"/>
  <c r="AE243" i="9"/>
  <c r="AC243" i="9"/>
  <c r="AA243" i="9"/>
  <c r="AF219" i="9"/>
  <c r="AD219" i="9"/>
  <c r="AA219" i="9"/>
  <c r="AE219" i="9"/>
  <c r="AC219" i="9"/>
  <c r="BP211" i="9"/>
  <c r="BO211" i="9"/>
  <c r="BP209" i="9"/>
  <c r="BO209" i="9"/>
  <c r="BF202" i="9"/>
  <c r="BE202" i="9"/>
  <c r="AY202" i="9"/>
  <c r="BP181" i="9"/>
  <c r="BO181" i="9"/>
  <c r="BP176" i="9"/>
  <c r="BO176" i="9"/>
  <c r="BP173" i="9"/>
  <c r="BO173" i="9"/>
  <c r="BF171" i="9"/>
  <c r="BE171" i="9"/>
  <c r="AY171" i="9"/>
  <c r="BD170" i="9"/>
  <c r="BE216" i="9"/>
  <c r="AY216" i="9"/>
  <c r="BF216" i="9"/>
  <c r="AS458" i="9"/>
  <c r="AS34" i="9"/>
  <c r="AE213" i="9"/>
  <c r="AC213" i="9"/>
  <c r="AD213" i="9"/>
  <c r="AF213" i="9"/>
  <c r="AA213" i="9"/>
  <c r="AE211" i="9"/>
  <c r="AA211" i="9"/>
  <c r="AC211" i="9"/>
  <c r="BO210" i="9"/>
  <c r="BP210" i="9"/>
  <c r="AE209" i="9"/>
  <c r="AA209" i="9"/>
  <c r="AC209" i="9"/>
  <c r="AG207" i="9"/>
  <c r="BA207" i="9"/>
  <c r="AE201" i="9"/>
  <c r="AC201" i="9"/>
  <c r="AD201" i="9"/>
  <c r="AF201" i="9"/>
  <c r="AA201" i="9"/>
  <c r="DI199" i="9"/>
  <c r="CC199" i="9"/>
  <c r="BA199" i="9"/>
  <c r="AG199" i="9"/>
  <c r="BA198" i="9"/>
  <c r="AG198" i="9"/>
  <c r="AF197" i="9"/>
  <c r="AD197" i="9"/>
  <c r="AB197" i="9"/>
  <c r="AE197" i="9"/>
  <c r="AA197" i="9"/>
  <c r="AC197" i="9"/>
  <c r="AG196" i="9"/>
  <c r="BA196" i="9"/>
  <c r="BF195" i="9"/>
  <c r="AY195" i="9"/>
  <c r="BE195" i="9"/>
  <c r="BP195" i="9"/>
  <c r="BO195" i="9"/>
  <c r="AE195" i="9"/>
  <c r="AC195" i="9"/>
  <c r="AA195" i="9"/>
  <c r="AD195" i="9"/>
  <c r="AF195" i="9"/>
  <c r="AB195" i="9"/>
  <c r="AF194" i="9"/>
  <c r="AD194" i="9"/>
  <c r="AB194" i="9"/>
  <c r="AE194" i="9"/>
  <c r="AA194" i="9"/>
  <c r="AC194" i="9"/>
  <c r="BE192" i="9"/>
  <c r="AY192" i="9"/>
  <c r="BF192" i="9"/>
  <c r="AG190" i="9"/>
  <c r="BA190" i="9"/>
  <c r="AE189" i="9"/>
  <c r="AC189" i="9"/>
  <c r="AA189" i="9"/>
  <c r="AD189" i="9"/>
  <c r="AF189" i="9"/>
  <c r="AB189" i="9"/>
  <c r="BA188" i="9"/>
  <c r="AG188" i="9"/>
  <c r="AK180" i="9"/>
  <c r="AI180" i="9"/>
  <c r="AH180" i="9"/>
  <c r="AJ180" i="9"/>
  <c r="AE180" i="9"/>
  <c r="AC180" i="9"/>
  <c r="AA180" i="9"/>
  <c r="AD180" i="9"/>
  <c r="AF180" i="9"/>
  <c r="AB180" i="9"/>
  <c r="BG177" i="9"/>
  <c r="AO177" i="9"/>
  <c r="BE175" i="9"/>
  <c r="AY175" i="9"/>
  <c r="BF175" i="9"/>
  <c r="BH170" i="9"/>
  <c r="AE172" i="9"/>
  <c r="AC172" i="9"/>
  <c r="AA172" i="9"/>
  <c r="AD172" i="9"/>
  <c r="AF172" i="9"/>
  <c r="AB172" i="9"/>
  <c r="AW170" i="9"/>
  <c r="AX170" i="9"/>
  <c r="Z170" i="9"/>
  <c r="AK169" i="9"/>
  <c r="AI169" i="9"/>
  <c r="AH169" i="9"/>
  <c r="AJ169" i="9"/>
  <c r="BF166" i="9"/>
  <c r="AY166" i="9"/>
  <c r="BE166" i="9"/>
  <c r="BP166" i="9"/>
  <c r="BO166" i="9"/>
  <c r="AE166" i="9"/>
  <c r="AC166" i="9"/>
  <c r="AA166" i="9"/>
  <c r="AD166" i="9"/>
  <c r="AF166" i="9"/>
  <c r="AB166" i="9"/>
  <c r="BF164" i="9"/>
  <c r="AY164" i="9"/>
  <c r="BE164" i="9"/>
  <c r="AH162" i="9"/>
  <c r="AI162" i="9"/>
  <c r="BJ160" i="9"/>
  <c r="BI139" i="9"/>
  <c r="AG159" i="9"/>
  <c r="BA159" i="9"/>
  <c r="AE157" i="9"/>
  <c r="AC157" i="9"/>
  <c r="AA157" i="9"/>
  <c r="AD157" i="9"/>
  <c r="AF157" i="9"/>
  <c r="AB157" i="9"/>
  <c r="BF154" i="9"/>
  <c r="AY154" i="9"/>
  <c r="BE154" i="9"/>
  <c r="BF148" i="9"/>
  <c r="AY148" i="9"/>
  <c r="BE148" i="9"/>
  <c r="BD146" i="9"/>
  <c r="AE148" i="9"/>
  <c r="AC148" i="9"/>
  <c r="AF148" i="9"/>
  <c r="AD148" i="9"/>
  <c r="AA148" i="9"/>
  <c r="DF146" i="9"/>
  <c r="BY139" i="9"/>
  <c r="DF139" i="9" s="1"/>
  <c r="Y146" i="9"/>
  <c r="W146" i="9"/>
  <c r="X146" i="9"/>
  <c r="V146" i="9"/>
  <c r="I139" i="9"/>
  <c r="I34" i="9" s="1"/>
  <c r="BF145" i="9"/>
  <c r="AY145" i="9"/>
  <c r="BE145" i="9"/>
  <c r="BF143" i="9"/>
  <c r="AY143" i="9"/>
  <c r="BE143" i="9"/>
  <c r="BF137" i="9"/>
  <c r="AY137" i="9"/>
  <c r="BE137" i="9"/>
  <c r="BF136" i="9"/>
  <c r="AY136" i="9"/>
  <c r="BE136" i="9"/>
  <c r="AF135" i="9"/>
  <c r="AC135" i="9"/>
  <c r="AE135" i="9"/>
  <c r="AA135" i="9"/>
  <c r="BP134" i="9"/>
  <c r="BO134" i="9"/>
  <c r="BF130" i="9"/>
  <c r="AY130" i="9"/>
  <c r="BE130" i="9"/>
  <c r="BF129" i="9"/>
  <c r="AY129" i="9"/>
  <c r="BE129" i="9"/>
  <c r="BF127" i="9"/>
  <c r="AY127" i="9"/>
  <c r="BE127" i="9"/>
  <c r="BP125" i="9"/>
  <c r="BO125" i="9"/>
  <c r="BF124" i="9"/>
  <c r="AY124" i="9"/>
  <c r="BE124" i="9"/>
  <c r="BP123" i="9"/>
  <c r="BO123" i="9"/>
  <c r="AE218" i="9"/>
  <c r="AC218" i="9"/>
  <c r="AA218" i="9"/>
  <c r="AF218" i="9"/>
  <c r="AD218" i="9"/>
  <c r="AB218" i="9"/>
  <c r="AK218" i="9"/>
  <c r="AI218" i="9"/>
  <c r="AJ218" i="9"/>
  <c r="AH218" i="9"/>
  <c r="BF210" i="9"/>
  <c r="AY210" i="9"/>
  <c r="BE210" i="9"/>
  <c r="BF208" i="9"/>
  <c r="AY208" i="9"/>
  <c r="BE208" i="9"/>
  <c r="BP208" i="9"/>
  <c r="BO208" i="9"/>
  <c r="AE204" i="9"/>
  <c r="AC204" i="9"/>
  <c r="AF204" i="9"/>
  <c r="AA204" i="9"/>
  <c r="AD204" i="9"/>
  <c r="BF200" i="9"/>
  <c r="AY200" i="9"/>
  <c r="BE200" i="9"/>
  <c r="BF191" i="9"/>
  <c r="AY191" i="9"/>
  <c r="BE191" i="9"/>
  <c r="BP191" i="9"/>
  <c r="BO191" i="9"/>
  <c r="BF189" i="9"/>
  <c r="AY189" i="9"/>
  <c r="BE189" i="9"/>
  <c r="BF182" i="9"/>
  <c r="AY182" i="9"/>
  <c r="BE182" i="9"/>
  <c r="BP182" i="9"/>
  <c r="BO182" i="9"/>
  <c r="DI174" i="9"/>
  <c r="CC174" i="9"/>
  <c r="AJ174" i="9"/>
  <c r="AH174" i="9"/>
  <c r="AK174" i="9"/>
  <c r="AI174" i="9"/>
  <c r="BK170" i="9"/>
  <c r="O170" i="9"/>
  <c r="O139" i="9" s="1"/>
  <c r="AF163" i="9"/>
  <c r="AD163" i="9"/>
  <c r="AB163" i="9"/>
  <c r="AC163" i="9"/>
  <c r="AE163" i="9"/>
  <c r="AA163" i="9"/>
  <c r="Y160" i="9"/>
  <c r="W160" i="9"/>
  <c r="V160" i="9"/>
  <c r="X160" i="9"/>
  <c r="BO161" i="9"/>
  <c r="BP161" i="9"/>
  <c r="BN160" i="9"/>
  <c r="BH402" i="9"/>
  <c r="BD402" i="9"/>
  <c r="Q402" i="9"/>
  <c r="BK140" i="9"/>
  <c r="BO135" i="9"/>
  <c r="BP135" i="9"/>
  <c r="BE135" i="9"/>
  <c r="AY135" i="9"/>
  <c r="BF135" i="9"/>
  <c r="BO130" i="9"/>
  <c r="BP130" i="9"/>
  <c r="BO126" i="9"/>
  <c r="BP126" i="9"/>
  <c r="AE214" i="9"/>
  <c r="AC214" i="9"/>
  <c r="AA214" i="9"/>
  <c r="AF214" i="9"/>
  <c r="AB214" i="9"/>
  <c r="AD214" i="9"/>
  <c r="AE186" i="9"/>
  <c r="AC186" i="9"/>
  <c r="AA186" i="9"/>
  <c r="AF186" i="9"/>
  <c r="AB186" i="9"/>
  <c r="AD186" i="9"/>
  <c r="BO183" i="9"/>
  <c r="BP183" i="9"/>
  <c r="AE178" i="9"/>
  <c r="AC178" i="9"/>
  <c r="AA178" i="9"/>
  <c r="AF178" i="9"/>
  <c r="AB178" i="9"/>
  <c r="AD178" i="9"/>
  <c r="BF120" i="9"/>
  <c r="AY120" i="9"/>
  <c r="BE120" i="9"/>
  <c r="BP120" i="9"/>
  <c r="BO120" i="9"/>
  <c r="AE120" i="9"/>
  <c r="AC120" i="9"/>
  <c r="AA120" i="9"/>
  <c r="AD120" i="9"/>
  <c r="AF120" i="9"/>
  <c r="AB120" i="9"/>
  <c r="AG119" i="9"/>
  <c r="BA119" i="9"/>
  <c r="AE116" i="9"/>
  <c r="AC116" i="9"/>
  <c r="AF116" i="9"/>
  <c r="AD116" i="9"/>
  <c r="AA116" i="9"/>
  <c r="BP115" i="9"/>
  <c r="BO115" i="9"/>
  <c r="BF112" i="9"/>
  <c r="AY112" i="9"/>
  <c r="BE112" i="9"/>
  <c r="BF111" i="9"/>
  <c r="AY111" i="9"/>
  <c r="BE111" i="9"/>
  <c r="BP109" i="9"/>
  <c r="BO109" i="9"/>
  <c r="BP105" i="9"/>
  <c r="BO105" i="9"/>
  <c r="AZ104" i="9"/>
  <c r="AG104" i="9"/>
  <c r="BF103" i="9"/>
  <c r="AY103" i="9"/>
  <c r="BE103" i="9"/>
  <c r="AE103" i="9"/>
  <c r="AC103" i="9"/>
  <c r="AF103" i="9"/>
  <c r="AD103" i="9"/>
  <c r="AA103" i="9"/>
  <c r="DI96" i="9"/>
  <c r="CC96" i="9"/>
  <c r="BF95" i="9"/>
  <c r="AY95" i="9"/>
  <c r="BE95" i="9"/>
  <c r="DI94" i="9"/>
  <c r="CC94" i="9"/>
  <c r="BF92" i="9"/>
  <c r="AY92" i="9"/>
  <c r="BE92" i="9"/>
  <c r="O426" i="9"/>
  <c r="O414" i="9"/>
  <c r="O399" i="9"/>
  <c r="T495" i="9"/>
  <c r="T494" i="9" s="1"/>
  <c r="T504" i="9" s="1"/>
  <c r="T507" i="9" s="1"/>
  <c r="T512" i="9" s="1"/>
  <c r="T453" i="9"/>
  <c r="T463" i="9" s="1"/>
  <c r="T466" i="9" s="1"/>
  <c r="T471" i="9" s="1"/>
  <c r="BF78" i="9"/>
  <c r="BE78" i="9"/>
  <c r="AY78" i="9"/>
  <c r="BF74" i="9"/>
  <c r="AY74" i="9"/>
  <c r="BE74" i="9"/>
  <c r="BF70" i="9"/>
  <c r="AY70" i="9"/>
  <c r="BE70" i="9"/>
  <c r="BF68" i="9"/>
  <c r="AY68" i="9"/>
  <c r="BE68" i="9"/>
  <c r="BP67" i="9"/>
  <c r="BO67" i="9"/>
  <c r="BP59" i="9"/>
  <c r="BO59" i="9"/>
  <c r="BF58" i="9"/>
  <c r="AY58" i="9"/>
  <c r="BE58" i="9"/>
  <c r="BP55" i="9"/>
  <c r="BO55" i="9"/>
  <c r="CB38" i="9"/>
  <c r="DI52" i="9"/>
  <c r="BG401" i="9"/>
  <c r="BJ52" i="9"/>
  <c r="BP48" i="9"/>
  <c r="BO48" i="9"/>
  <c r="BP46" i="9"/>
  <c r="BO46" i="9"/>
  <c r="BF43" i="9"/>
  <c r="AY43" i="9"/>
  <c r="BE43" i="9"/>
  <c r="AE43" i="9"/>
  <c r="AC43" i="9"/>
  <c r="AF43" i="9"/>
  <c r="AD43" i="9"/>
  <c r="AA43" i="9"/>
  <c r="BP42" i="9"/>
  <c r="BO42" i="9"/>
  <c r="BF41" i="9"/>
  <c r="BE41" i="9"/>
  <c r="AY41" i="9"/>
  <c r="BP40" i="9"/>
  <c r="BO40" i="9"/>
  <c r="BP39" i="9"/>
  <c r="BN38" i="9"/>
  <c r="BO39" i="9"/>
  <c r="BD400" i="9"/>
  <c r="BF39" i="9"/>
  <c r="BD38" i="9"/>
  <c r="BE39" i="9"/>
  <c r="AY39" i="9"/>
  <c r="AG39" i="9" s="1"/>
  <c r="O400" i="9"/>
  <c r="O38" i="9"/>
  <c r="BD407" i="9"/>
  <c r="BD403" i="9"/>
  <c r="BF36" i="9"/>
  <c r="AY36" i="9"/>
  <c r="BD35" i="9"/>
  <c r="BE36" i="9"/>
  <c r="AF33" i="9"/>
  <c r="AC33" i="9"/>
  <c r="AE33" i="9"/>
  <c r="AA33" i="9"/>
  <c r="R31" i="9"/>
  <c r="Q31" i="9"/>
  <c r="L32" i="9"/>
  <c r="O31" i="9"/>
  <c r="BL311" i="9"/>
  <c r="R26" i="9"/>
  <c r="Q26" i="9"/>
  <c r="BF25" i="9"/>
  <c r="BE25" i="9"/>
  <c r="AY25" i="9"/>
  <c r="BF23" i="9"/>
  <c r="BE23" i="9"/>
  <c r="AY23" i="9"/>
  <c r="BP18" i="9"/>
  <c r="BO18" i="9"/>
  <c r="Q370" i="9"/>
  <c r="BF17" i="9"/>
  <c r="BE17" i="9"/>
  <c r="AY17" i="9"/>
  <c r="BP14" i="9"/>
  <c r="BO14" i="9"/>
  <c r="BN13" i="9"/>
  <c r="BF10" i="9"/>
  <c r="AY10" i="9"/>
  <c r="BE10" i="9"/>
  <c r="BD9" i="9"/>
  <c r="Q376" i="9"/>
  <c r="DG304" i="9"/>
  <c r="BZ303" i="9"/>
  <c r="CP449" i="9"/>
  <c r="CP448" i="9" s="1"/>
  <c r="CP447" i="9" s="1"/>
  <c r="CP6" i="9"/>
  <c r="Q336" i="9"/>
  <c r="M325" i="9"/>
  <c r="AV160" i="9"/>
  <c r="AF153" i="9"/>
  <c r="AD153" i="9"/>
  <c r="AB153" i="9"/>
  <c r="AE153" i="9"/>
  <c r="AC153" i="9"/>
  <c r="AA153" i="9"/>
  <c r="AZ153" i="9"/>
  <c r="AL139" i="9"/>
  <c r="CC150" i="9"/>
  <c r="BC139" i="9"/>
  <c r="CB146" i="9"/>
  <c r="DI146" i="9" s="1"/>
  <c r="AJ142" i="9"/>
  <c r="AH142" i="9"/>
  <c r="AK142" i="9"/>
  <c r="AI142" i="9"/>
  <c r="BF121" i="9"/>
  <c r="AY121" i="9"/>
  <c r="BE121" i="9"/>
  <c r="BP121" i="9"/>
  <c r="BO121" i="9"/>
  <c r="BO116" i="9"/>
  <c r="BP116" i="9"/>
  <c r="BE116" i="9"/>
  <c r="BF116" i="9"/>
  <c r="AY116" i="9"/>
  <c r="BO100" i="9"/>
  <c r="BP100" i="9"/>
  <c r="BE100" i="9"/>
  <c r="AY100" i="9"/>
  <c r="BF100" i="9"/>
  <c r="BO99" i="9"/>
  <c r="BP99" i="9"/>
  <c r="BO95" i="9"/>
  <c r="BP95" i="9"/>
  <c r="BO92" i="9"/>
  <c r="BP92" i="9"/>
  <c r="BG421" i="9"/>
  <c r="P421" i="9"/>
  <c r="BE89" i="9"/>
  <c r="BD85" i="9"/>
  <c r="BF89" i="9"/>
  <c r="AY89" i="9"/>
  <c r="BG399" i="9"/>
  <c r="BJ87" i="9"/>
  <c r="BA87" i="9"/>
  <c r="AW87" i="9"/>
  <c r="AZ87" i="9"/>
  <c r="AX87" i="9"/>
  <c r="Z87" i="9"/>
  <c r="CC86" i="9"/>
  <c r="CB85" i="9"/>
  <c r="DI86" i="9"/>
  <c r="BQ454" i="9"/>
  <c r="AF84" i="9"/>
  <c r="AD84" i="9"/>
  <c r="AA84" i="9"/>
  <c r="AE84" i="9"/>
  <c r="AC84" i="9"/>
  <c r="BO81" i="9"/>
  <c r="BP81" i="9"/>
  <c r="BE81" i="9"/>
  <c r="BF81" i="9"/>
  <c r="AY81" i="9"/>
  <c r="X78" i="9"/>
  <c r="V78" i="9"/>
  <c r="Y78" i="9"/>
  <c r="W78" i="9"/>
  <c r="O72" i="9"/>
  <c r="CB72" i="9"/>
  <c r="DI75" i="9"/>
  <c r="BH404" i="9"/>
  <c r="BH72" i="9"/>
  <c r="BK72" i="9" s="1"/>
  <c r="BK73" i="9"/>
  <c r="Q404" i="9"/>
  <c r="BO71" i="9"/>
  <c r="BP71" i="9"/>
  <c r="BE71" i="9"/>
  <c r="BF71" i="9"/>
  <c r="AY71" i="9"/>
  <c r="BO70" i="9"/>
  <c r="BP70" i="9"/>
  <c r="BO68" i="9"/>
  <c r="BP68" i="9"/>
  <c r="AF66" i="9"/>
  <c r="AD66" i="9"/>
  <c r="AA66" i="9"/>
  <c r="AE66" i="9"/>
  <c r="AC66" i="9"/>
  <c r="BO65" i="9"/>
  <c r="BP65" i="9"/>
  <c r="BE65" i="9"/>
  <c r="BF65" i="9"/>
  <c r="AY65" i="9"/>
  <c r="BE62" i="9"/>
  <c r="BF62" i="9"/>
  <c r="AY62" i="9"/>
  <c r="CC61" i="9"/>
  <c r="DI61" i="9"/>
  <c r="BO60" i="9"/>
  <c r="BP60" i="9"/>
  <c r="BE60" i="9"/>
  <c r="BF60" i="9"/>
  <c r="AY60" i="9"/>
  <c r="BE59" i="9"/>
  <c r="BF59" i="9"/>
  <c r="AY59" i="9"/>
  <c r="O56" i="9"/>
  <c r="BH405" i="9"/>
  <c r="BH56" i="9"/>
  <c r="BK56" i="9" s="1"/>
  <c r="Q405" i="9"/>
  <c r="BE55" i="9"/>
  <c r="AY55" i="9"/>
  <c r="BF55" i="9"/>
  <c r="BO54" i="9"/>
  <c r="BP54" i="9"/>
  <c r="BO52" i="9"/>
  <c r="BP52" i="9"/>
  <c r="BD401" i="9"/>
  <c r="BE52" i="9"/>
  <c r="AY52" i="9"/>
  <c r="BF52" i="9"/>
  <c r="BO51" i="9"/>
  <c r="BP51" i="9"/>
  <c r="BO50" i="9"/>
  <c r="BP50" i="9"/>
  <c r="BO36" i="9"/>
  <c r="BN35" i="9"/>
  <c r="BP36" i="9"/>
  <c r="O407" i="9"/>
  <c r="AJ33" i="9"/>
  <c r="BG31" i="9"/>
  <c r="BJ31" i="9" s="1"/>
  <c r="K32" i="9"/>
  <c r="DI30" i="9"/>
  <c r="CB29" i="9"/>
  <c r="BE30" i="9"/>
  <c r="BD29" i="9"/>
  <c r="BF30" i="9"/>
  <c r="AY30" i="9"/>
  <c r="M321" i="9"/>
  <c r="BO22" i="9"/>
  <c r="BP22" i="9"/>
  <c r="BO21" i="9"/>
  <c r="BP21" i="9"/>
  <c r="BE21" i="9"/>
  <c r="BF21" i="9"/>
  <c r="AY21" i="9"/>
  <c r="BO20" i="9"/>
  <c r="BP20" i="9"/>
  <c r="BE20" i="9"/>
  <c r="AY20" i="9"/>
  <c r="BF20" i="9"/>
  <c r="BO16" i="9"/>
  <c r="BP16" i="9"/>
  <c r="BE16" i="9"/>
  <c r="AY16" i="9"/>
  <c r="BF16" i="9"/>
  <c r="CR467" i="9"/>
  <c r="CR508" i="9" s="1"/>
  <c r="CQ450" i="9"/>
  <c r="CQ6" i="9"/>
  <c r="BO8" i="9"/>
  <c r="BP8" i="9"/>
  <c r="BE8" i="9"/>
  <c r="BF8" i="9"/>
  <c r="AY8" i="9"/>
  <c r="BO7" i="9"/>
  <c r="BP7" i="9"/>
  <c r="BN6" i="9"/>
  <c r="T518" i="9"/>
  <c r="N360" i="9"/>
  <c r="N338" i="9"/>
  <c r="L381" i="9"/>
  <c r="L394" i="9"/>
  <c r="J360" i="9"/>
  <c r="J393" i="9" s="1"/>
  <c r="J338" i="9"/>
  <c r="AJ117" i="9"/>
  <c r="AH117" i="9"/>
  <c r="AK117" i="9"/>
  <c r="AI117" i="9"/>
  <c r="AJ96" i="9"/>
  <c r="AH96" i="9"/>
  <c r="AK96" i="9"/>
  <c r="AI96" i="9"/>
  <c r="CC90" i="9"/>
  <c r="CC89" i="9"/>
  <c r="CC88" i="9"/>
  <c r="AK87" i="9"/>
  <c r="AI87" i="9"/>
  <c r="AJ87" i="9"/>
  <c r="AH87" i="9"/>
  <c r="CC78" i="9"/>
  <c r="AE75" i="9"/>
  <c r="AC75" i="9"/>
  <c r="AA75" i="9"/>
  <c r="AF75" i="9"/>
  <c r="AD75" i="9"/>
  <c r="AB75" i="9"/>
  <c r="CC59" i="9"/>
  <c r="AF40" i="9"/>
  <c r="AD40" i="9"/>
  <c r="AA40" i="9"/>
  <c r="AE40" i="9"/>
  <c r="AC40" i="9"/>
  <c r="BH35" i="9"/>
  <c r="BH407" i="9"/>
  <c r="DF13" i="9"/>
  <c r="DF5" i="9" s="1"/>
  <c r="BY5" i="9"/>
  <c r="Y26" i="9"/>
  <c r="X26" i="9"/>
  <c r="BG26" i="9"/>
  <c r="BJ26" i="9" s="1"/>
  <c r="AJ113" i="9"/>
  <c r="AH113" i="9"/>
  <c r="AK113" i="9"/>
  <c r="AI113" i="9"/>
  <c r="CC102" i="9"/>
  <c r="AJ94" i="9"/>
  <c r="AH94" i="9"/>
  <c r="AK94" i="9"/>
  <c r="AI94" i="9"/>
  <c r="CC91" i="9"/>
  <c r="AE86" i="9"/>
  <c r="AC86" i="9"/>
  <c r="AF86" i="9"/>
  <c r="AD86" i="9"/>
  <c r="AA86" i="9"/>
  <c r="AE80" i="9"/>
  <c r="AC80" i="9"/>
  <c r="AA80" i="9"/>
  <c r="AF80" i="9"/>
  <c r="AD80" i="9"/>
  <c r="AB80" i="9"/>
  <c r="CC68" i="9"/>
  <c r="AE61" i="9"/>
  <c r="AC61" i="9"/>
  <c r="AA61" i="9"/>
  <c r="AF61" i="9"/>
  <c r="AD61" i="9"/>
  <c r="AB61" i="9"/>
  <c r="AK61" i="9"/>
  <c r="AI61" i="9"/>
  <c r="AJ61" i="9"/>
  <c r="AH61" i="9"/>
  <c r="CC58" i="9"/>
  <c r="AJ49" i="9"/>
  <c r="AH49" i="9"/>
  <c r="AK49" i="9"/>
  <c r="AI49" i="9"/>
  <c r="AF46" i="9"/>
  <c r="AD46" i="9"/>
  <c r="AA46" i="9"/>
  <c r="AE46" i="9"/>
  <c r="AC46" i="9"/>
  <c r="AF41" i="9"/>
  <c r="AD41" i="9"/>
  <c r="AA41" i="9"/>
  <c r="AE41" i="9"/>
  <c r="AC41" i="9"/>
  <c r="BH38" i="9"/>
  <c r="BK38" i="9" s="1"/>
  <c r="AF38" i="9"/>
  <c r="AD38" i="9"/>
  <c r="AB38" i="9"/>
  <c r="AE38" i="9"/>
  <c r="AC38" i="9"/>
  <c r="AA38" i="9"/>
  <c r="CC17" i="9"/>
  <c r="DH13" i="9"/>
  <c r="DH5" i="9" s="1"/>
  <c r="CA5" i="9"/>
  <c r="CB9" i="9"/>
  <c r="BO9" i="9"/>
  <c r="BP9" i="9"/>
  <c r="BF317" i="9"/>
  <c r="BE317" i="9"/>
  <c r="AY317" i="9"/>
  <c r="AG317" i="9" s="1"/>
  <c r="AC316" i="9"/>
  <c r="AE316" i="9"/>
  <c r="AA316" i="9"/>
  <c r="AE315" i="9"/>
  <c r="AC315" i="9"/>
  <c r="AD315" i="9"/>
  <c r="AA315" i="9"/>
  <c r="BO315" i="9"/>
  <c r="BP315" i="9"/>
  <c r="BF318" i="9"/>
  <c r="AY318" i="9"/>
  <c r="BE318" i="9"/>
  <c r="BF315" i="9"/>
  <c r="BE315" i="9"/>
  <c r="AY315" i="9"/>
  <c r="AG314" i="9"/>
  <c r="AZ314" i="9"/>
  <c r="BF313" i="9"/>
  <c r="BE313" i="9"/>
  <c r="AY313" i="9"/>
  <c r="BF306" i="9"/>
  <c r="BE306" i="9"/>
  <c r="AY306" i="9"/>
  <c r="BP305" i="9"/>
  <c r="BO305" i="9"/>
  <c r="BN304" i="9"/>
  <c r="DF304" i="9"/>
  <c r="BY303" i="9"/>
  <c r="BF299" i="9"/>
  <c r="BE299" i="9"/>
  <c r="AY299" i="9"/>
  <c r="AC299" i="9"/>
  <c r="AE299" i="9"/>
  <c r="AA299" i="9"/>
  <c r="BP298" i="9"/>
  <c r="BO298" i="9"/>
  <c r="X298" i="9"/>
  <c r="V298" i="9"/>
  <c r="DI296" i="9"/>
  <c r="CC296" i="9"/>
  <c r="AF313" i="9"/>
  <c r="AC313" i="9"/>
  <c r="AE313" i="9"/>
  <c r="AA313" i="9"/>
  <c r="AY311" i="9"/>
  <c r="AG311" i="9" s="1"/>
  <c r="BD310" i="9"/>
  <c r="BP311" i="9"/>
  <c r="BO311" i="9"/>
  <c r="BN310" i="9"/>
  <c r="AC298" i="9"/>
  <c r="AF307" i="9"/>
  <c r="AC307" i="9"/>
  <c r="AE307" i="9"/>
  <c r="AA307" i="9"/>
  <c r="X307" i="9"/>
  <c r="CC299" i="9"/>
  <c r="BF292" i="9"/>
  <c r="AY292" i="9"/>
  <c r="BE292" i="9"/>
  <c r="BP291" i="9"/>
  <c r="BO291" i="9"/>
  <c r="BF290" i="9"/>
  <c r="AY290" i="9"/>
  <c r="BE290" i="9"/>
  <c r="BP289" i="9"/>
  <c r="BO289" i="9"/>
  <c r="BF288" i="9"/>
  <c r="AY288" i="9"/>
  <c r="BE288" i="9"/>
  <c r="BP287" i="9"/>
  <c r="BO287" i="9"/>
  <c r="BF286" i="9"/>
  <c r="AY286" i="9"/>
  <c r="BE286" i="9"/>
  <c r="BP284" i="9"/>
  <c r="BO284" i="9"/>
  <c r="BF283" i="9"/>
  <c r="AY283" i="9"/>
  <c r="BE283" i="9"/>
  <c r="BF279" i="9"/>
  <c r="BE279" i="9"/>
  <c r="AY279" i="9"/>
  <c r="AF279" i="9"/>
  <c r="AC279" i="9"/>
  <c r="AE279" i="9"/>
  <c r="AA279" i="9"/>
  <c r="BF277" i="9"/>
  <c r="AY277" i="9"/>
  <c r="BE277" i="9"/>
  <c r="AE277" i="9"/>
  <c r="AC277" i="9"/>
  <c r="AF277" i="9"/>
  <c r="AD277" i="9"/>
  <c r="AA277" i="9"/>
  <c r="BP275" i="9"/>
  <c r="BO275" i="9"/>
  <c r="BF274" i="9"/>
  <c r="BE274" i="9"/>
  <c r="AY274" i="9"/>
  <c r="AE272" i="9"/>
  <c r="AC272" i="9"/>
  <c r="AF272" i="9"/>
  <c r="AD272" i="9"/>
  <c r="AA272" i="9"/>
  <c r="BP271" i="9"/>
  <c r="BO271" i="9"/>
  <c r="X268" i="9"/>
  <c r="Y268" i="9"/>
  <c r="V268" i="9"/>
  <c r="BF266" i="9"/>
  <c r="AY266" i="9"/>
  <c r="BE266" i="9"/>
  <c r="BF264" i="9"/>
  <c r="AY264" i="9"/>
  <c r="BE264" i="9"/>
  <c r="AE264" i="9"/>
  <c r="AC264" i="9"/>
  <c r="AF264" i="9"/>
  <c r="AD264" i="9"/>
  <c r="AA264" i="9"/>
  <c r="BP263" i="9"/>
  <c r="BO263" i="9"/>
  <c r="BF262" i="9"/>
  <c r="BE262" i="9"/>
  <c r="AY262" i="9"/>
  <c r="AJ300" i="9"/>
  <c r="BO285" i="9"/>
  <c r="BP285" i="9"/>
  <c r="BE285" i="9"/>
  <c r="BF285" i="9"/>
  <c r="AY285" i="9"/>
  <c r="BO273" i="9"/>
  <c r="BP273" i="9"/>
  <c r="BE273" i="9"/>
  <c r="AY273" i="9"/>
  <c r="BF273" i="9"/>
  <c r="BE268" i="9"/>
  <c r="AY268" i="9"/>
  <c r="BF268" i="9"/>
  <c r="CC286" i="9"/>
  <c r="BO259" i="9"/>
  <c r="BP259" i="9"/>
  <c r="AE257" i="9"/>
  <c r="AC257" i="9"/>
  <c r="AF257" i="9"/>
  <c r="AD257" i="9"/>
  <c r="AA257" i="9"/>
  <c r="BF254" i="9"/>
  <c r="BE254" i="9"/>
  <c r="AY254" i="9"/>
  <c r="AF254" i="9"/>
  <c r="AC254" i="9"/>
  <c r="AE254" i="9"/>
  <c r="AA254" i="9"/>
  <c r="BP251" i="9"/>
  <c r="BO251" i="9"/>
  <c r="BP249" i="9"/>
  <c r="BO249" i="9"/>
  <c r="BF248" i="9"/>
  <c r="BE248" i="9"/>
  <c r="AY248" i="9"/>
  <c r="BF247" i="9"/>
  <c r="AY247" i="9"/>
  <c r="BE247" i="9"/>
  <c r="AE247" i="9"/>
  <c r="AC247" i="9"/>
  <c r="AF247" i="9"/>
  <c r="AD247" i="9"/>
  <c r="AA247" i="9"/>
  <c r="AE244" i="9"/>
  <c r="AC244" i="9"/>
  <c r="AF244" i="9"/>
  <c r="AD244" i="9"/>
  <c r="AA244" i="9"/>
  <c r="BF243" i="9"/>
  <c r="BD242" i="9"/>
  <c r="BE243" i="9"/>
  <c r="AY243" i="9"/>
  <c r="AE301" i="9"/>
  <c r="AA301" i="9"/>
  <c r="AF301" i="9"/>
  <c r="AB301" i="9"/>
  <c r="BF236" i="9"/>
  <c r="BE236" i="9"/>
  <c r="AY236" i="9"/>
  <c r="BP235" i="9"/>
  <c r="BO235" i="9"/>
  <c r="BF234" i="9"/>
  <c r="AY234" i="9"/>
  <c r="BE234" i="9"/>
  <c r="BP233" i="9"/>
  <c r="BO233" i="9"/>
  <c r="BF232" i="9"/>
  <c r="AY232" i="9"/>
  <c r="BE232" i="9"/>
  <c r="AF232" i="9"/>
  <c r="AD232" i="9"/>
  <c r="AB232" i="9"/>
  <c r="AE232" i="9"/>
  <c r="AC232" i="9"/>
  <c r="AA232" i="9"/>
  <c r="CB230" i="9"/>
  <c r="DI231" i="9"/>
  <c r="BP229" i="9"/>
  <c r="BO229" i="9"/>
  <c r="BF226" i="9"/>
  <c r="AY226" i="9"/>
  <c r="BE226" i="9"/>
  <c r="BF223" i="9"/>
  <c r="BE223" i="9"/>
  <c r="AY223" i="9"/>
  <c r="BF222" i="9"/>
  <c r="AY222" i="9"/>
  <c r="BE222" i="9"/>
  <c r="BP221" i="9"/>
  <c r="BO221" i="9"/>
  <c r="CC291" i="9"/>
  <c r="CC288" i="9"/>
  <c r="CC285" i="9"/>
  <c r="CC283" i="9"/>
  <c r="CC264" i="9"/>
  <c r="BP261" i="9"/>
  <c r="BO261" i="9"/>
  <c r="AY261" i="9"/>
  <c r="AF259" i="9"/>
  <c r="AC259" i="9"/>
  <c r="AE259" i="9"/>
  <c r="AA259" i="9"/>
  <c r="BO256" i="9"/>
  <c r="BP256" i="9"/>
  <c r="BE256" i="9"/>
  <c r="AY256" i="9"/>
  <c r="BF256" i="9"/>
  <c r="BO252" i="9"/>
  <c r="BP252" i="9"/>
  <c r="BE252" i="9"/>
  <c r="AY252" i="9"/>
  <c r="BF252" i="9"/>
  <c r="BO250" i="9"/>
  <c r="BP250" i="9"/>
  <c r="BE250" i="9"/>
  <c r="AY250" i="9"/>
  <c r="BF250" i="9"/>
  <c r="BE244" i="9"/>
  <c r="AY244" i="9"/>
  <c r="BF244" i="9"/>
  <c r="U427" i="9"/>
  <c r="AZ317" i="9"/>
  <c r="BA317" i="9"/>
  <c r="Z317" i="9"/>
  <c r="BO228" i="9"/>
  <c r="BP228" i="9"/>
  <c r="BE228" i="9"/>
  <c r="BF228" i="9"/>
  <c r="AY228" i="9"/>
  <c r="BO227" i="9"/>
  <c r="BP227" i="9"/>
  <c r="BE225" i="9"/>
  <c r="BF225" i="9"/>
  <c r="AY225" i="9"/>
  <c r="BO224" i="9"/>
  <c r="BP224" i="9"/>
  <c r="BE224" i="9"/>
  <c r="BF224" i="9"/>
  <c r="AY224" i="9"/>
  <c r="BE221" i="9"/>
  <c r="BF221" i="9"/>
  <c r="AY221" i="9"/>
  <c r="BP258" i="9"/>
  <c r="BO258" i="9"/>
  <c r="BP255" i="9"/>
  <c r="BO255" i="9"/>
  <c r="AF230" i="9"/>
  <c r="AD230" i="9"/>
  <c r="AB230" i="9"/>
  <c r="AE230" i="9"/>
  <c r="AC230" i="9"/>
  <c r="AA230" i="9"/>
  <c r="BE220" i="9"/>
  <c r="BF220" i="9"/>
  <c r="AY220" i="9"/>
  <c r="BO220" i="9"/>
  <c r="BP220" i="9"/>
  <c r="BP219" i="9"/>
  <c r="BO219" i="9"/>
  <c r="CC257" i="9"/>
  <c r="BP248" i="9"/>
  <c r="BO248" i="9"/>
  <c r="AF242" i="9"/>
  <c r="AD242" i="9"/>
  <c r="AB242" i="9"/>
  <c r="AE242" i="9"/>
  <c r="AC242" i="9"/>
  <c r="AA242" i="9"/>
  <c r="CC233" i="9"/>
  <c r="BN230" i="9"/>
  <c r="BE219" i="9"/>
  <c r="BF219" i="9"/>
  <c r="AY219" i="9"/>
  <c r="CC218" i="9"/>
  <c r="DI218" i="9"/>
  <c r="BF209" i="9"/>
  <c r="BE209" i="9"/>
  <c r="AY209" i="9"/>
  <c r="BF205" i="9"/>
  <c r="BE205" i="9"/>
  <c r="AY205" i="9"/>
  <c r="BP202" i="9"/>
  <c r="BO202" i="9"/>
  <c r="BF181" i="9"/>
  <c r="BE181" i="9"/>
  <c r="AY181" i="9"/>
  <c r="BF177" i="9"/>
  <c r="BE177" i="9"/>
  <c r="AY177" i="9"/>
  <c r="BF176" i="9"/>
  <c r="BE176" i="9"/>
  <c r="AY176" i="9"/>
  <c r="BF173" i="9"/>
  <c r="BE173" i="9"/>
  <c r="AY173" i="9"/>
  <c r="BP171" i="9"/>
  <c r="BN170" i="9"/>
  <c r="BO171" i="9"/>
  <c r="Y216" i="9"/>
  <c r="W216" i="9"/>
  <c r="V216" i="9"/>
  <c r="X216" i="9"/>
  <c r="AP216" i="9"/>
  <c r="AD216" i="9"/>
  <c r="AC216" i="9"/>
  <c r="BF214" i="9"/>
  <c r="AY214" i="9"/>
  <c r="BE214" i="9"/>
  <c r="BF213" i="9"/>
  <c r="AY213" i="9"/>
  <c r="BE213" i="9"/>
  <c r="BP213" i="9"/>
  <c r="BO213" i="9"/>
  <c r="AY211" i="9"/>
  <c r="AD210" i="9"/>
  <c r="AB210" i="9"/>
  <c r="AC210" i="9"/>
  <c r="AE210" i="9"/>
  <c r="AA210" i="9"/>
  <c r="AZ207" i="9"/>
  <c r="BF204" i="9"/>
  <c r="AY204" i="9"/>
  <c r="BE204" i="9"/>
  <c r="BF201" i="9"/>
  <c r="AY201" i="9"/>
  <c r="BE201" i="9"/>
  <c r="BP201" i="9"/>
  <c r="BO201" i="9"/>
  <c r="AZ199" i="9"/>
  <c r="AF198" i="9"/>
  <c r="AD198" i="9"/>
  <c r="AB198" i="9"/>
  <c r="AE198" i="9"/>
  <c r="AA198" i="9"/>
  <c r="AC198" i="9"/>
  <c r="AZ198" i="9"/>
  <c r="BA197" i="9"/>
  <c r="AG197" i="9"/>
  <c r="BP196" i="9"/>
  <c r="BO196" i="9"/>
  <c r="AF196" i="9"/>
  <c r="AD196" i="9"/>
  <c r="AB196" i="9"/>
  <c r="AC196" i="9"/>
  <c r="AE196" i="9"/>
  <c r="AA196" i="9"/>
  <c r="AZ196" i="9"/>
  <c r="BA194" i="9"/>
  <c r="AG194" i="9"/>
  <c r="AG193" i="9"/>
  <c r="BA193" i="9"/>
  <c r="AZ190" i="9"/>
  <c r="BO189" i="9"/>
  <c r="BP189" i="9"/>
  <c r="DI188" i="9"/>
  <c r="CC188" i="9"/>
  <c r="AF188" i="9"/>
  <c r="AD188" i="9"/>
  <c r="AB188" i="9"/>
  <c r="AE188" i="9"/>
  <c r="AA188" i="9"/>
  <c r="AC188" i="9"/>
  <c r="AZ188" i="9"/>
  <c r="BF186" i="9"/>
  <c r="AY186" i="9"/>
  <c r="BE186" i="9"/>
  <c r="AG185" i="9"/>
  <c r="BA185" i="9"/>
  <c r="BF184" i="9"/>
  <c r="AY184" i="9"/>
  <c r="BE184" i="9"/>
  <c r="BP184" i="9"/>
  <c r="BO184" i="9"/>
  <c r="AE184" i="9"/>
  <c r="AC184" i="9"/>
  <c r="AA184" i="9"/>
  <c r="AD184" i="9"/>
  <c r="AF184" i="9"/>
  <c r="AB184" i="9"/>
  <c r="BF183" i="9"/>
  <c r="BE183" i="9"/>
  <c r="AY183" i="9"/>
  <c r="AF181" i="9"/>
  <c r="AC181" i="9"/>
  <c r="AE181" i="9"/>
  <c r="AA181" i="9"/>
  <c r="AF177" i="9"/>
  <c r="AD177" i="9"/>
  <c r="AB177" i="9"/>
  <c r="AC177" i="9"/>
  <c r="AE177" i="9"/>
  <c r="AA177" i="9"/>
  <c r="X177" i="9"/>
  <c r="V177" i="9"/>
  <c r="Y177" i="9"/>
  <c r="W177" i="9"/>
  <c r="AC175" i="9"/>
  <c r="AE175" i="9"/>
  <c r="AA175" i="9"/>
  <c r="BO172" i="9"/>
  <c r="BP172" i="9"/>
  <c r="U170" i="9"/>
  <c r="CB170" i="9"/>
  <c r="DI170" i="9" s="1"/>
  <c r="Q170" i="9"/>
  <c r="P139" i="9"/>
  <c r="DC170" i="9"/>
  <c r="R170" i="9"/>
  <c r="AE169" i="9"/>
  <c r="AC169" i="9"/>
  <c r="AD169" i="9"/>
  <c r="AF169" i="9"/>
  <c r="AA169" i="9"/>
  <c r="AG168" i="9"/>
  <c r="BA168" i="9"/>
  <c r="BF167" i="9"/>
  <c r="AY167" i="9"/>
  <c r="BE167" i="9"/>
  <c r="BP167" i="9"/>
  <c r="BO167" i="9"/>
  <c r="AE167" i="9"/>
  <c r="AC167" i="9"/>
  <c r="AA167" i="9"/>
  <c r="AD167" i="9"/>
  <c r="AF167" i="9"/>
  <c r="AB167" i="9"/>
  <c r="DI162" i="9"/>
  <c r="CC162" i="9"/>
  <c r="AZ162" i="9"/>
  <c r="AX162" i="9"/>
  <c r="Z162" i="9"/>
  <c r="BA162" i="9"/>
  <c r="AW162" i="9"/>
  <c r="BF161" i="9"/>
  <c r="AY161" i="9"/>
  <c r="AG161" i="9" s="1"/>
  <c r="BE161" i="9"/>
  <c r="BD160" i="9"/>
  <c r="BA161" i="9"/>
  <c r="AW161" i="9"/>
  <c r="AZ161" i="9"/>
  <c r="AX161" i="9"/>
  <c r="Z161" i="9"/>
  <c r="Q160" i="9"/>
  <c r="AZ159" i="9"/>
  <c r="BF158" i="9"/>
  <c r="AY158" i="9"/>
  <c r="BE158" i="9"/>
  <c r="BP158" i="9"/>
  <c r="BO158" i="9"/>
  <c r="AE158" i="9"/>
  <c r="AC158" i="9"/>
  <c r="AA158" i="9"/>
  <c r="AD158" i="9"/>
  <c r="AF158" i="9"/>
  <c r="AB158" i="9"/>
  <c r="BO157" i="9"/>
  <c r="BP157" i="9"/>
  <c r="BF156" i="9"/>
  <c r="AY156" i="9"/>
  <c r="BE156" i="9"/>
  <c r="BP156" i="9"/>
  <c r="BO156" i="9"/>
  <c r="AE156" i="9"/>
  <c r="AC156" i="9"/>
  <c r="AA156" i="9"/>
  <c r="AD156" i="9"/>
  <c r="AF156" i="9"/>
  <c r="AB156" i="9"/>
  <c r="BF155" i="9"/>
  <c r="AY155" i="9"/>
  <c r="BE155" i="9"/>
  <c r="BP154" i="9"/>
  <c r="BO154" i="9"/>
  <c r="BP148" i="9"/>
  <c r="BO148" i="9"/>
  <c r="BN146" i="9"/>
  <c r="O417" i="9"/>
  <c r="DB139" i="9"/>
  <c r="DB34" i="9" s="1"/>
  <c r="BP145" i="9"/>
  <c r="BO145" i="9"/>
  <c r="BP143" i="9"/>
  <c r="BO143" i="9"/>
  <c r="BN140" i="9"/>
  <c r="BD140" i="9"/>
  <c r="BP137" i="9"/>
  <c r="BO137" i="9"/>
  <c r="BF134" i="9"/>
  <c r="AY134" i="9"/>
  <c r="BE134" i="9"/>
  <c r="AE134" i="9"/>
  <c r="AC134" i="9"/>
  <c r="AF134" i="9"/>
  <c r="AD134" i="9"/>
  <c r="AA134" i="9"/>
  <c r="BF128" i="9"/>
  <c r="AY128" i="9"/>
  <c r="BE128" i="9"/>
  <c r="BP127" i="9"/>
  <c r="BO127" i="9"/>
  <c r="BF126" i="9"/>
  <c r="BE126" i="9"/>
  <c r="AY126" i="9"/>
  <c r="BF125" i="9"/>
  <c r="AY125" i="9"/>
  <c r="BE125" i="9"/>
  <c r="BP124" i="9"/>
  <c r="BO124" i="9"/>
  <c r="BF123" i="9"/>
  <c r="AY123" i="9"/>
  <c r="BE123" i="9"/>
  <c r="DI217" i="9"/>
  <c r="CC217" i="9"/>
  <c r="AJ217" i="9"/>
  <c r="AH217" i="9"/>
  <c r="AK217" i="9"/>
  <c r="AI217" i="9"/>
  <c r="AO216" i="9"/>
  <c r="BF215" i="9"/>
  <c r="AY215" i="9"/>
  <c r="BE215" i="9"/>
  <c r="BP215" i="9"/>
  <c r="BO215" i="9"/>
  <c r="BO214" i="9"/>
  <c r="BP214" i="9"/>
  <c r="CC205" i="9"/>
  <c r="DI205" i="9"/>
  <c r="BO204" i="9"/>
  <c r="BP204" i="9"/>
  <c r="AE200" i="9"/>
  <c r="AC200" i="9"/>
  <c r="AF200" i="9"/>
  <c r="AA200" i="9"/>
  <c r="AD200" i="9"/>
  <c r="BO186" i="9"/>
  <c r="BP186" i="9"/>
  <c r="AE182" i="9"/>
  <c r="AC182" i="9"/>
  <c r="AF182" i="9"/>
  <c r="AA182" i="9"/>
  <c r="AD182" i="9"/>
  <c r="BF178" i="9"/>
  <c r="AY178" i="9"/>
  <c r="BE178" i="9"/>
  <c r="BP178" i="9"/>
  <c r="BO178" i="9"/>
  <c r="AM170" i="9"/>
  <c r="AQ139" i="9"/>
  <c r="AF174" i="9"/>
  <c r="AD174" i="9"/>
  <c r="AB174" i="9"/>
  <c r="AC174" i="9"/>
  <c r="AE174" i="9"/>
  <c r="AA174" i="9"/>
  <c r="AZ174" i="9"/>
  <c r="BF172" i="9"/>
  <c r="AY172" i="9"/>
  <c r="BE172" i="9"/>
  <c r="BO164" i="9"/>
  <c r="BP164" i="9"/>
  <c r="AJ163" i="9"/>
  <c r="AH163" i="9"/>
  <c r="AK163" i="9"/>
  <c r="AI163" i="9"/>
  <c r="BH160" i="9"/>
  <c r="BK160" i="9" s="1"/>
  <c r="BK161" i="9"/>
  <c r="BF157" i="9"/>
  <c r="AY157" i="9"/>
  <c r="BE157" i="9"/>
  <c r="BD417" i="9"/>
  <c r="R146" i="9"/>
  <c r="U402" i="9"/>
  <c r="O402" i="9"/>
  <c r="BO136" i="9"/>
  <c r="BP136" i="9"/>
  <c r="BO128" i="9"/>
  <c r="BP128" i="9"/>
  <c r="AE215" i="9"/>
  <c r="AC215" i="9"/>
  <c r="AA215" i="9"/>
  <c r="AF215" i="9"/>
  <c r="AB215" i="9"/>
  <c r="AD215" i="9"/>
  <c r="AE208" i="9"/>
  <c r="AC208" i="9"/>
  <c r="AA208" i="9"/>
  <c r="AF208" i="9"/>
  <c r="AB208" i="9"/>
  <c r="AD208" i="9"/>
  <c r="CC170" i="9"/>
  <c r="CC183" i="9"/>
  <c r="AE164" i="9"/>
  <c r="AC164" i="9"/>
  <c r="AA164" i="9"/>
  <c r="AF164" i="9"/>
  <c r="AB164" i="9"/>
  <c r="AD164" i="9"/>
  <c r="AF150" i="9"/>
  <c r="AD150" i="9"/>
  <c r="AB150" i="9"/>
  <c r="AE150" i="9"/>
  <c r="AC150" i="9"/>
  <c r="AA150" i="9"/>
  <c r="BH146" i="9"/>
  <c r="BK146" i="9" s="1"/>
  <c r="DI140" i="9"/>
  <c r="CB139" i="9"/>
  <c r="DI139" i="9" s="1"/>
  <c r="CC140" i="9"/>
  <c r="CC127" i="9"/>
  <c r="AZ119" i="9"/>
  <c r="BF115" i="9"/>
  <c r="AY115" i="9"/>
  <c r="BE115" i="9"/>
  <c r="BP112" i="9"/>
  <c r="BO112" i="9"/>
  <c r="BF109" i="9"/>
  <c r="AY109" i="9"/>
  <c r="BE109" i="9"/>
  <c r="BF105" i="9"/>
  <c r="AY105" i="9"/>
  <c r="BE105" i="9"/>
  <c r="BP103" i="9"/>
  <c r="BO103" i="9"/>
  <c r="BF102" i="9"/>
  <c r="AY102" i="9"/>
  <c r="BE102" i="9"/>
  <c r="Y100" i="9"/>
  <c r="W100" i="9"/>
  <c r="X100" i="9"/>
  <c r="V100" i="9"/>
  <c r="BF99" i="9"/>
  <c r="AY99" i="9"/>
  <c r="BE99" i="9"/>
  <c r="BF98" i="9"/>
  <c r="AY98" i="9"/>
  <c r="BE98" i="9"/>
  <c r="BD414" i="9"/>
  <c r="BF91" i="9"/>
  <c r="AY91" i="9"/>
  <c r="BE91" i="9"/>
  <c r="Q426" i="9"/>
  <c r="Q414" i="9"/>
  <c r="Q421" i="9" s="1"/>
  <c r="I421" i="9"/>
  <c r="BF90" i="9"/>
  <c r="AY90" i="9"/>
  <c r="BE90" i="9"/>
  <c r="BP89" i="9"/>
  <c r="BO89" i="9"/>
  <c r="BH399" i="9"/>
  <c r="BD399" i="9"/>
  <c r="Q429" i="9"/>
  <c r="Q399" i="9"/>
  <c r="BL495" i="9"/>
  <c r="BL494" i="9" s="1"/>
  <c r="BL504" i="9" s="1"/>
  <c r="BL507" i="9" s="1"/>
  <c r="BL512" i="9" s="1"/>
  <c r="BL453" i="9"/>
  <c r="BL463" i="9" s="1"/>
  <c r="BL466" i="9" s="1"/>
  <c r="BL471" i="9" s="1"/>
  <c r="BB495" i="9"/>
  <c r="BB494" i="9" s="1"/>
  <c r="BB504" i="9" s="1"/>
  <c r="BB507" i="9" s="1"/>
  <c r="BB512" i="9" s="1"/>
  <c r="BB453" i="9"/>
  <c r="BB463" i="9" s="1"/>
  <c r="BB466" i="9" s="1"/>
  <c r="BB471" i="9" s="1"/>
  <c r="BP78" i="9"/>
  <c r="BO78" i="9"/>
  <c r="BF77" i="9"/>
  <c r="BE77" i="9"/>
  <c r="AY77" i="9"/>
  <c r="BP74" i="9"/>
  <c r="BO74" i="9"/>
  <c r="BF69" i="9"/>
  <c r="AY69" i="9"/>
  <c r="BE69" i="9"/>
  <c r="BP58" i="9"/>
  <c r="BO58" i="9"/>
  <c r="BP57" i="9"/>
  <c r="BO57" i="9"/>
  <c r="BN56" i="9"/>
  <c r="BF54" i="9"/>
  <c r="BE54" i="9"/>
  <c r="AY54" i="9"/>
  <c r="BF53" i="9"/>
  <c r="BE53" i="9"/>
  <c r="AY53" i="9"/>
  <c r="BF51" i="9"/>
  <c r="BE51" i="9"/>
  <c r="AY51" i="9"/>
  <c r="BF50" i="9"/>
  <c r="BE50" i="9"/>
  <c r="AY50" i="9"/>
  <c r="BF48" i="9"/>
  <c r="AY48" i="9"/>
  <c r="BE48" i="9"/>
  <c r="AE48" i="9"/>
  <c r="AC48" i="9"/>
  <c r="AF48" i="9"/>
  <c r="AD48" i="9"/>
  <c r="AA48" i="9"/>
  <c r="BF46" i="9"/>
  <c r="BE46" i="9"/>
  <c r="AY46" i="9"/>
  <c r="BP43" i="9"/>
  <c r="BO43" i="9"/>
  <c r="BF42" i="9"/>
  <c r="BE42" i="9"/>
  <c r="AY42" i="9"/>
  <c r="BP41" i="9"/>
  <c r="BO41" i="9"/>
  <c r="BF40" i="9"/>
  <c r="BE40" i="9"/>
  <c r="AY40" i="9"/>
  <c r="AZ39" i="9"/>
  <c r="AX39" i="9"/>
  <c r="Z39" i="9"/>
  <c r="BA39" i="9"/>
  <c r="AW39" i="9"/>
  <c r="AE37" i="9"/>
  <c r="AB37" i="9"/>
  <c r="AF37" i="9"/>
  <c r="AC37" i="9"/>
  <c r="AA37" i="9"/>
  <c r="U407" i="9"/>
  <c r="Q425" i="9"/>
  <c r="Q407" i="9"/>
  <c r="Q403" i="9"/>
  <c r="C352" i="9"/>
  <c r="AV31" i="9"/>
  <c r="AP31" i="9"/>
  <c r="Z31" i="9"/>
  <c r="AO31" i="9"/>
  <c r="J32" i="9"/>
  <c r="F32" i="9"/>
  <c r="BP30" i="9"/>
  <c r="BN29" i="9"/>
  <c r="BO30" i="9"/>
  <c r="BB311" i="9"/>
  <c r="AU26" i="9"/>
  <c r="AX26" i="9" s="1"/>
  <c r="AP26" i="9"/>
  <c r="Z26" i="9"/>
  <c r="AO26" i="9"/>
  <c r="BP25" i="9"/>
  <c r="BO25" i="9"/>
  <c r="BF22" i="9"/>
  <c r="BE22" i="9"/>
  <c r="AY22" i="9"/>
  <c r="BF18" i="9"/>
  <c r="BE18" i="9"/>
  <c r="AY18" i="9"/>
  <c r="BP17" i="9"/>
  <c r="BO17" i="9"/>
  <c r="BF14" i="9"/>
  <c r="BE14" i="9"/>
  <c r="AY14" i="9"/>
  <c r="BD13" i="9"/>
  <c r="BF12" i="9"/>
  <c r="AY12" i="9"/>
  <c r="BE12" i="9"/>
  <c r="BF11" i="9"/>
  <c r="AY11" i="9"/>
  <c r="BE11" i="9"/>
  <c r="Q373" i="9"/>
  <c r="CV8" i="9"/>
  <c r="CT6" i="9"/>
  <c r="CU7" i="9" s="1"/>
  <c r="CP216" i="9" s="1"/>
  <c r="BF7" i="9"/>
  <c r="AY7" i="9"/>
  <c r="BE7" i="9"/>
  <c r="BD6" i="9"/>
  <c r="CP490" i="9"/>
  <c r="CP489" i="9" s="1"/>
  <c r="CP488" i="9" s="1"/>
  <c r="U489" i="9"/>
  <c r="U488" i="9" s="1"/>
  <c r="S360" i="9"/>
  <c r="S338" i="9"/>
  <c r="M366" i="9"/>
  <c r="M381" i="9" s="1"/>
  <c r="K360" i="9"/>
  <c r="K393" i="9" s="1"/>
  <c r="K338" i="9"/>
  <c r="K394" i="9"/>
  <c r="K381" i="9"/>
  <c r="AE191" i="9"/>
  <c r="AC191" i="9"/>
  <c r="AA191" i="9"/>
  <c r="AF191" i="9"/>
  <c r="AB191" i="9"/>
  <c r="AD191" i="9"/>
  <c r="CC160" i="9"/>
  <c r="AJ153" i="9"/>
  <c r="AH153" i="9"/>
  <c r="AK153" i="9"/>
  <c r="AI153" i="9"/>
  <c r="BP150" i="9"/>
  <c r="BO150" i="9"/>
  <c r="AY150" i="9"/>
  <c r="AW146" i="9"/>
  <c r="AX146" i="9"/>
  <c r="Z146" i="9"/>
  <c r="Q146" i="9"/>
  <c r="AF142" i="9"/>
  <c r="AD142" i="9"/>
  <c r="AB142" i="9"/>
  <c r="AE142" i="9"/>
  <c r="AC142" i="9"/>
  <c r="AA142" i="9"/>
  <c r="AF140" i="9"/>
  <c r="AD140" i="9"/>
  <c r="AB140" i="9"/>
  <c r="AE140" i="9"/>
  <c r="AC140" i="9"/>
  <c r="AA140" i="9"/>
  <c r="AE121" i="9"/>
  <c r="AC121" i="9"/>
  <c r="AF121" i="9"/>
  <c r="AA121" i="9"/>
  <c r="AD121" i="9"/>
  <c r="BO118" i="9"/>
  <c r="BP118" i="9"/>
  <c r="BE118" i="9"/>
  <c r="BF118" i="9"/>
  <c r="AY118" i="9"/>
  <c r="CC113" i="9"/>
  <c r="BO111" i="9"/>
  <c r="BP111" i="9"/>
  <c r="BO102" i="9"/>
  <c r="BP102" i="9"/>
  <c r="BO101" i="9"/>
  <c r="BP101" i="9"/>
  <c r="BE101" i="9"/>
  <c r="BF101" i="9"/>
  <c r="AY101" i="9"/>
  <c r="AD100" i="9"/>
  <c r="BO91" i="9"/>
  <c r="BP91" i="9"/>
  <c r="BO90" i="9"/>
  <c r="BP90" i="9"/>
  <c r="BH85" i="9"/>
  <c r="BK85" i="9" s="1"/>
  <c r="O85" i="9"/>
  <c r="BO88" i="9"/>
  <c r="AY88" i="9"/>
  <c r="BP88" i="9"/>
  <c r="DI87" i="9"/>
  <c r="CC87" i="9"/>
  <c r="BY34" i="9"/>
  <c r="DF85" i="9"/>
  <c r="BO84" i="9"/>
  <c r="BP84" i="9"/>
  <c r="BE84" i="9"/>
  <c r="BF84" i="9"/>
  <c r="AY84" i="9"/>
  <c r="BE83" i="9"/>
  <c r="BF83" i="9"/>
  <c r="AY83" i="9"/>
  <c r="AE81" i="9"/>
  <c r="AC81" i="9"/>
  <c r="AA81" i="9"/>
  <c r="AD81" i="9"/>
  <c r="AB81" i="9"/>
  <c r="BE80" i="9"/>
  <c r="AY80" i="9"/>
  <c r="BF80" i="9"/>
  <c r="BO77" i="9"/>
  <c r="BP77" i="9"/>
  <c r="X77" i="9"/>
  <c r="V77" i="9"/>
  <c r="CP77" i="9"/>
  <c r="Y77" i="9"/>
  <c r="W77" i="9"/>
  <c r="U72" i="9"/>
  <c r="BO76" i="9"/>
  <c r="BP76" i="9"/>
  <c r="BE76" i="9"/>
  <c r="BF76" i="9"/>
  <c r="AY76" i="9"/>
  <c r="BO75" i="9"/>
  <c r="AY75" i="9"/>
  <c r="BP75" i="9"/>
  <c r="BO73" i="9"/>
  <c r="BN72" i="9"/>
  <c r="BP73" i="9"/>
  <c r="BD404" i="9"/>
  <c r="BE73" i="9"/>
  <c r="BD72" i="9"/>
  <c r="BF73" i="9"/>
  <c r="AY73" i="9"/>
  <c r="U404" i="9"/>
  <c r="BO69" i="9"/>
  <c r="BP69" i="9"/>
  <c r="BE67" i="9"/>
  <c r="BF67" i="9"/>
  <c r="AY67" i="9"/>
  <c r="BE66" i="9"/>
  <c r="BF66" i="9"/>
  <c r="AY66" i="9"/>
  <c r="AF65" i="9"/>
  <c r="AD65" i="9"/>
  <c r="AA65" i="9"/>
  <c r="AE65" i="9"/>
  <c r="AC65" i="9"/>
  <c r="CC64" i="9"/>
  <c r="DI64" i="9"/>
  <c r="DI57" i="9"/>
  <c r="CB56" i="9"/>
  <c r="BD405" i="9"/>
  <c r="BE57" i="9"/>
  <c r="BF57" i="9"/>
  <c r="AY57" i="9"/>
  <c r="BD56" i="9"/>
  <c r="BO53" i="9"/>
  <c r="BP53" i="9"/>
  <c r="AP52" i="9"/>
  <c r="BO47" i="9"/>
  <c r="BP47" i="9"/>
  <c r="BE47" i="9"/>
  <c r="AY47" i="9"/>
  <c r="BF47" i="9"/>
  <c r="BO37" i="9"/>
  <c r="BP37" i="9"/>
  <c r="BE37" i="9"/>
  <c r="AY37" i="9"/>
  <c r="BF37" i="9"/>
  <c r="CB35" i="9"/>
  <c r="DI36" i="9"/>
  <c r="BG407" i="9"/>
  <c r="O425" i="9"/>
  <c r="X31" i="9"/>
  <c r="V31" i="9"/>
  <c r="Y31" i="9"/>
  <c r="W31" i="9"/>
  <c r="M32" i="9"/>
  <c r="I32" i="9"/>
  <c r="E32" i="9"/>
  <c r="E344" i="9" s="1"/>
  <c r="CP462" i="9"/>
  <c r="CP503" i="9" s="1"/>
  <c r="CP31" i="9"/>
  <c r="BH29" i="9"/>
  <c r="BK30" i="9"/>
  <c r="AU321" i="9"/>
  <c r="M337" i="9"/>
  <c r="M360" i="9" s="1"/>
  <c r="BO24" i="9"/>
  <c r="BP24" i="9"/>
  <c r="BE24" i="9"/>
  <c r="AY24" i="9"/>
  <c r="BF24" i="9"/>
  <c r="BO23" i="9"/>
  <c r="BP23" i="9"/>
  <c r="BO19" i="9"/>
  <c r="BP19" i="9"/>
  <c r="BE19" i="9"/>
  <c r="AY19" i="9"/>
  <c r="BF19" i="9"/>
  <c r="BO15" i="9"/>
  <c r="BP15" i="9"/>
  <c r="BE15" i="9"/>
  <c r="BF15" i="9"/>
  <c r="AY15" i="9"/>
  <c r="CC12" i="9"/>
  <c r="DH304" i="9"/>
  <c r="CA303" i="9"/>
  <c r="DG6" i="9"/>
  <c r="DG5" i="9" s="1"/>
  <c r="CB6" i="9"/>
  <c r="DI8" i="9"/>
  <c r="AF8" i="9"/>
  <c r="AD8" i="9"/>
  <c r="AA8" i="9"/>
  <c r="AE8" i="9"/>
  <c r="AC8" i="9"/>
  <c r="T477" i="9"/>
  <c r="Q371" i="9"/>
  <c r="BR325" i="9"/>
  <c r="L360" i="9"/>
  <c r="L338" i="9"/>
  <c r="J381" i="9"/>
  <c r="J394" i="9"/>
  <c r="AF117" i="9"/>
  <c r="AD117" i="9"/>
  <c r="AA117" i="9"/>
  <c r="AE117" i="9"/>
  <c r="AC117" i="9"/>
  <c r="BA117" i="9"/>
  <c r="AZ117" i="9"/>
  <c r="CC101" i="9"/>
  <c r="CC100" i="9"/>
  <c r="CC99" i="9"/>
  <c r="AF96" i="9"/>
  <c r="AD96" i="9"/>
  <c r="AA96" i="9"/>
  <c r="AE96" i="9"/>
  <c r="AC96" i="9"/>
  <c r="BA96" i="9"/>
  <c r="AZ96" i="9"/>
  <c r="AE88" i="9"/>
  <c r="AC88" i="9"/>
  <c r="AA88" i="9"/>
  <c r="AF88" i="9"/>
  <c r="AD88" i="9"/>
  <c r="AB88" i="9"/>
  <c r="CC75" i="9"/>
  <c r="CC67" i="9"/>
  <c r="AE64" i="9"/>
  <c r="AC64" i="9"/>
  <c r="AF64" i="9"/>
  <c r="AD64" i="9"/>
  <c r="AA64" i="9"/>
  <c r="AK64" i="9"/>
  <c r="AI64" i="9"/>
  <c r="AJ64" i="9"/>
  <c r="AH64" i="9"/>
  <c r="AO52" i="9"/>
  <c r="AF42" i="9"/>
  <c r="AD42" i="9"/>
  <c r="AA42" i="9"/>
  <c r="AE42" i="9"/>
  <c r="AC42" i="9"/>
  <c r="BH403" i="9"/>
  <c r="CC36" i="9"/>
  <c r="CC30" i="9"/>
  <c r="CC21" i="9"/>
  <c r="BH13" i="9"/>
  <c r="BK13" i="9" s="1"/>
  <c r="BH6" i="9"/>
  <c r="W26" i="9"/>
  <c r="AF113" i="9"/>
  <c r="AD113" i="9"/>
  <c r="AB113" i="9"/>
  <c r="AE113" i="9"/>
  <c r="AC113" i="9"/>
  <c r="AA113" i="9"/>
  <c r="AZ113" i="9"/>
  <c r="U85" i="9"/>
  <c r="AF94" i="9"/>
  <c r="AD94" i="9"/>
  <c r="AB94" i="9"/>
  <c r="AE94" i="9"/>
  <c r="AC94" i="9"/>
  <c r="AA94" i="9"/>
  <c r="AZ94" i="9"/>
  <c r="BH414" i="9"/>
  <c r="BH421" i="9" s="1"/>
  <c r="AK86" i="9"/>
  <c r="AI86" i="9"/>
  <c r="AJ86" i="9"/>
  <c r="AH86" i="9"/>
  <c r="BG404" i="9"/>
  <c r="CC70" i="9"/>
  <c r="CC69" i="9"/>
  <c r="CC60" i="9"/>
  <c r="BG405" i="9"/>
  <c r="CC52" i="9"/>
  <c r="AZ49" i="9"/>
  <c r="BH400" i="9"/>
  <c r="CC23" i="9"/>
  <c r="DI14" i="9"/>
  <c r="CB13" i="9"/>
  <c r="BD30" i="8"/>
  <c r="BR27" i="8"/>
  <c r="CH62" i="7"/>
  <c r="BB62" i="7"/>
  <c r="BK62" i="7" s="1"/>
  <c r="Z5" i="9" l="1"/>
  <c r="AX5" i="9"/>
  <c r="AW5" i="9"/>
  <c r="AC199" i="9"/>
  <c r="AD199" i="9"/>
  <c r="AE199" i="9"/>
  <c r="AF199" i="9"/>
  <c r="AA199" i="9"/>
  <c r="AE119" i="9"/>
  <c r="AB119" i="9"/>
  <c r="AF119" i="9"/>
  <c r="AA119" i="9"/>
  <c r="AD119" i="9"/>
  <c r="AC119" i="9"/>
  <c r="AG15" i="9"/>
  <c r="AZ15" i="9"/>
  <c r="BA15" i="9"/>
  <c r="AZ19" i="9"/>
  <c r="AG19" i="9"/>
  <c r="BH28" i="9"/>
  <c r="BK29" i="9"/>
  <c r="DI35" i="9"/>
  <c r="CB34" i="9"/>
  <c r="CC35" i="9"/>
  <c r="BE56" i="9"/>
  <c r="AY56" i="9"/>
  <c r="BF56" i="9"/>
  <c r="DI13" i="9"/>
  <c r="CC13" i="9"/>
  <c r="CB5" i="9"/>
  <c r="CC6" i="9"/>
  <c r="CA307" i="9"/>
  <c r="DH303" i="9"/>
  <c r="AG24" i="9"/>
  <c r="AZ24" i="9"/>
  <c r="AZ47" i="9"/>
  <c r="AG47" i="9"/>
  <c r="AG57" i="9"/>
  <c r="AZ57" i="9"/>
  <c r="BA57" i="9"/>
  <c r="DI56" i="9"/>
  <c r="CC56" i="9"/>
  <c r="AG67" i="9"/>
  <c r="AZ67" i="9"/>
  <c r="BA67" i="9"/>
  <c r="AZ73" i="9"/>
  <c r="AG73" i="9"/>
  <c r="BA73" i="9"/>
  <c r="BF72" i="9"/>
  <c r="BE72" i="9"/>
  <c r="AY72" i="9"/>
  <c r="BP72" i="9"/>
  <c r="BO72" i="9"/>
  <c r="U460" i="9"/>
  <c r="U501" i="9" s="1"/>
  <c r="X72" i="9"/>
  <c r="V72" i="9"/>
  <c r="Y72" i="9"/>
  <c r="W72" i="9"/>
  <c r="AC72" i="9"/>
  <c r="AD72" i="9"/>
  <c r="AZ83" i="9"/>
  <c r="AG83" i="9"/>
  <c r="BA83" i="9"/>
  <c r="BY239" i="9"/>
  <c r="DF239" i="9" s="1"/>
  <c r="DF34" i="9"/>
  <c r="BY321" i="9"/>
  <c r="DF321" i="9" s="1"/>
  <c r="AG88" i="9"/>
  <c r="BA88" i="9"/>
  <c r="AZ88" i="9"/>
  <c r="AE146" i="9"/>
  <c r="AC146" i="9"/>
  <c r="AA146" i="9"/>
  <c r="AF146" i="9"/>
  <c r="AD146" i="9"/>
  <c r="AB146" i="9"/>
  <c r="BE6" i="9"/>
  <c r="AY6" i="9"/>
  <c r="BF6" i="9"/>
  <c r="BD5" i="9"/>
  <c r="AG7" i="9"/>
  <c r="AZ7" i="9"/>
  <c r="CU8" i="9"/>
  <c r="BA11" i="9"/>
  <c r="AZ11" i="9"/>
  <c r="AG11" i="9"/>
  <c r="AG14" i="9"/>
  <c r="AZ14" i="9"/>
  <c r="AG22" i="9"/>
  <c r="AZ22" i="9"/>
  <c r="BB474" i="9"/>
  <c r="BB515" i="9" s="1"/>
  <c r="AU311" i="9"/>
  <c r="BB310" i="9"/>
  <c r="BP29" i="9"/>
  <c r="BO29" i="9"/>
  <c r="BN28" i="9"/>
  <c r="AF31" i="9"/>
  <c r="AD31" i="9"/>
  <c r="AB31" i="9"/>
  <c r="AE31" i="9"/>
  <c r="AC31" i="9"/>
  <c r="AA31" i="9"/>
  <c r="AX31" i="9"/>
  <c r="AW31" i="9"/>
  <c r="AG40" i="9"/>
  <c r="AZ40" i="9"/>
  <c r="BA40" i="9"/>
  <c r="AG46" i="9"/>
  <c r="AZ46" i="9"/>
  <c r="BA46" i="9"/>
  <c r="AG51" i="9"/>
  <c r="AZ51" i="9"/>
  <c r="AG54" i="9"/>
  <c r="AZ54" i="9"/>
  <c r="AZ77" i="9"/>
  <c r="AG77" i="9"/>
  <c r="BA77" i="9"/>
  <c r="BH413" i="9"/>
  <c r="BA90" i="9"/>
  <c r="AZ90" i="9"/>
  <c r="AG90" i="9"/>
  <c r="BA91" i="9"/>
  <c r="AZ91" i="9"/>
  <c r="AG91" i="9"/>
  <c r="BD421" i="9"/>
  <c r="AZ98" i="9"/>
  <c r="AG98" i="9"/>
  <c r="AZ105" i="9"/>
  <c r="BA105" i="9"/>
  <c r="AG105" i="9"/>
  <c r="AZ115" i="9"/>
  <c r="BA115" i="9"/>
  <c r="AG115" i="9"/>
  <c r="BA172" i="9"/>
  <c r="AZ172" i="9"/>
  <c r="AG172" i="9"/>
  <c r="BG170" i="9"/>
  <c r="BJ170" i="9" s="1"/>
  <c r="AO170" i="9"/>
  <c r="AP170" i="9"/>
  <c r="AG178" i="9"/>
  <c r="BA178" i="9"/>
  <c r="AZ178" i="9"/>
  <c r="BA125" i="9"/>
  <c r="AZ125" i="9"/>
  <c r="AG125" i="9"/>
  <c r="AZ126" i="9"/>
  <c r="AG126" i="9"/>
  <c r="BA128" i="9"/>
  <c r="AZ128" i="9"/>
  <c r="AG128" i="9"/>
  <c r="BA134" i="9"/>
  <c r="AZ134" i="9"/>
  <c r="AG134" i="9"/>
  <c r="BF140" i="9"/>
  <c r="BD139" i="9"/>
  <c r="BE140" i="9"/>
  <c r="AY140" i="9"/>
  <c r="DB239" i="9"/>
  <c r="DB323" i="9" s="1"/>
  <c r="DB325" i="9"/>
  <c r="DB321" i="9"/>
  <c r="AG156" i="9"/>
  <c r="BA156" i="9"/>
  <c r="AZ156" i="9"/>
  <c r="BE160" i="9"/>
  <c r="AY160" i="9"/>
  <c r="AG160" i="9" s="1"/>
  <c r="BF160" i="9"/>
  <c r="AK161" i="9"/>
  <c r="AI161" i="9"/>
  <c r="AJ161" i="9"/>
  <c r="AH161" i="9"/>
  <c r="AF162" i="9"/>
  <c r="AD162" i="9"/>
  <c r="AB162" i="9"/>
  <c r="AE162" i="9"/>
  <c r="AA162" i="9"/>
  <c r="AC162" i="9"/>
  <c r="BA167" i="9"/>
  <c r="AZ167" i="9"/>
  <c r="AG167" i="9"/>
  <c r="Y170" i="9"/>
  <c r="W170" i="9"/>
  <c r="V170" i="9"/>
  <c r="X170" i="9"/>
  <c r="AJ185" i="9"/>
  <c r="AH185" i="9"/>
  <c r="AK185" i="9"/>
  <c r="AI185" i="9"/>
  <c r="BA186" i="9"/>
  <c r="AZ186" i="9"/>
  <c r="AG186" i="9"/>
  <c r="AJ194" i="9"/>
  <c r="AH194" i="9"/>
  <c r="AI194" i="9"/>
  <c r="AK194" i="9"/>
  <c r="BA201" i="9"/>
  <c r="AZ201" i="9"/>
  <c r="AG201" i="9"/>
  <c r="BA214" i="9"/>
  <c r="AZ214" i="9"/>
  <c r="AG214" i="9"/>
  <c r="AG176" i="9"/>
  <c r="AZ176" i="9"/>
  <c r="AG181" i="9"/>
  <c r="AZ181" i="9"/>
  <c r="AG209" i="9"/>
  <c r="AZ209" i="9"/>
  <c r="BP230" i="9"/>
  <c r="BO230" i="9"/>
  <c r="BA221" i="9"/>
  <c r="AG221" i="9"/>
  <c r="AZ221" i="9"/>
  <c r="BA225" i="9"/>
  <c r="AZ225" i="9"/>
  <c r="AG225" i="9"/>
  <c r="AA317" i="9"/>
  <c r="AE317" i="9"/>
  <c r="AZ250" i="9"/>
  <c r="AG250" i="9"/>
  <c r="AZ256" i="9"/>
  <c r="AG256" i="9"/>
  <c r="AG261" i="9"/>
  <c r="AZ261" i="9"/>
  <c r="BA261" i="9"/>
  <c r="DI230" i="9"/>
  <c r="CC230" i="9"/>
  <c r="AG232" i="9"/>
  <c r="BA232" i="9"/>
  <c r="AZ232" i="9"/>
  <c r="AG243" i="9"/>
  <c r="BA243" i="9"/>
  <c r="AZ243" i="9"/>
  <c r="BF242" i="9"/>
  <c r="BD241" i="9"/>
  <c r="BE242" i="9"/>
  <c r="AY242" i="9"/>
  <c r="AG254" i="9"/>
  <c r="AZ254" i="9"/>
  <c r="BA268" i="9"/>
  <c r="AG268" i="9"/>
  <c r="AZ268" i="9"/>
  <c r="AZ264" i="9"/>
  <c r="BA264" i="9"/>
  <c r="AG264" i="9"/>
  <c r="AG274" i="9"/>
  <c r="AZ274" i="9"/>
  <c r="AG286" i="9"/>
  <c r="AZ286" i="9"/>
  <c r="BA286" i="9"/>
  <c r="BA290" i="9"/>
  <c r="AZ290" i="9"/>
  <c r="AG290" i="9"/>
  <c r="BE311" i="9"/>
  <c r="AG299" i="9"/>
  <c r="AZ299" i="9"/>
  <c r="AG306" i="9"/>
  <c r="AZ306" i="9"/>
  <c r="AG315" i="9"/>
  <c r="AZ315" i="9"/>
  <c r="AZ318" i="9"/>
  <c r="AG318" i="9"/>
  <c r="DI9" i="9"/>
  <c r="DI6" i="9" s="1"/>
  <c r="DI5" i="9" s="1"/>
  <c r="CC9" i="9"/>
  <c r="BK35" i="9"/>
  <c r="BO6" i="9"/>
  <c r="BP6" i="9"/>
  <c r="BN5" i="9"/>
  <c r="AG20" i="9"/>
  <c r="AZ20" i="9"/>
  <c r="AG21" i="9"/>
  <c r="BA21" i="9"/>
  <c r="AZ21" i="9"/>
  <c r="AG30" i="9"/>
  <c r="AZ30" i="9"/>
  <c r="BF29" i="9"/>
  <c r="AY29" i="9"/>
  <c r="BE29" i="9"/>
  <c r="BD28" i="9"/>
  <c r="CB28" i="9"/>
  <c r="DI29" i="9"/>
  <c r="CC29" i="9"/>
  <c r="AZ52" i="9"/>
  <c r="AG52" i="9"/>
  <c r="BA52" i="9"/>
  <c r="AZ55" i="9"/>
  <c r="BA55" i="9"/>
  <c r="AG55" i="9"/>
  <c r="AG59" i="9"/>
  <c r="AZ59" i="9"/>
  <c r="BA59" i="9"/>
  <c r="BA62" i="9"/>
  <c r="AZ62" i="9"/>
  <c r="AG62" i="9"/>
  <c r="AZ81" i="9"/>
  <c r="BA81" i="9"/>
  <c r="AG81" i="9"/>
  <c r="BQ495" i="9"/>
  <c r="BQ494" i="9" s="1"/>
  <c r="BQ453" i="9"/>
  <c r="DI85" i="9"/>
  <c r="CC85" i="9"/>
  <c r="AE87" i="9"/>
  <c r="AC87" i="9"/>
  <c r="AA87" i="9"/>
  <c r="AF87" i="9"/>
  <c r="AD87" i="9"/>
  <c r="AB87" i="9"/>
  <c r="AZ100" i="9"/>
  <c r="BA100" i="9"/>
  <c r="AG100" i="9"/>
  <c r="BA116" i="9"/>
  <c r="AZ116" i="9"/>
  <c r="AG116" i="9"/>
  <c r="BA121" i="9"/>
  <c r="AZ121" i="9"/>
  <c r="AG121" i="9"/>
  <c r="CC146" i="9"/>
  <c r="BA160" i="9"/>
  <c r="AW160" i="9"/>
  <c r="AZ160" i="9"/>
  <c r="AX160" i="9"/>
  <c r="Z160" i="9"/>
  <c r="M338" i="9"/>
  <c r="AG17" i="9"/>
  <c r="AZ17" i="9"/>
  <c r="AG23" i="9"/>
  <c r="AZ23" i="9"/>
  <c r="BA23" i="9"/>
  <c r="BA36" i="9"/>
  <c r="AG36" i="9"/>
  <c r="AZ36" i="9"/>
  <c r="O34" i="9"/>
  <c r="O33" i="9"/>
  <c r="AJ39" i="9"/>
  <c r="AH39" i="9"/>
  <c r="AK39" i="9"/>
  <c r="AI39" i="9"/>
  <c r="BF38" i="9"/>
  <c r="BE38" i="9"/>
  <c r="AY38" i="9"/>
  <c r="BP38" i="9"/>
  <c r="BO38" i="9"/>
  <c r="AG41" i="9"/>
  <c r="AZ41" i="9"/>
  <c r="BA41" i="9"/>
  <c r="DI38" i="9"/>
  <c r="CC38" i="9"/>
  <c r="BA58" i="9"/>
  <c r="AG58" i="9"/>
  <c r="AZ58" i="9"/>
  <c r="AG70" i="9"/>
  <c r="AZ70" i="9"/>
  <c r="BA70" i="9"/>
  <c r="O413" i="9"/>
  <c r="AG92" i="9"/>
  <c r="BA92" i="9"/>
  <c r="AZ92" i="9"/>
  <c r="BA111" i="9"/>
  <c r="AZ111" i="9"/>
  <c r="AG111" i="9"/>
  <c r="AZ135" i="9"/>
  <c r="AG135" i="9"/>
  <c r="BO160" i="9"/>
  <c r="BP160" i="9"/>
  <c r="BA189" i="9"/>
  <c r="AZ189" i="9"/>
  <c r="AG189" i="9"/>
  <c r="BA200" i="9"/>
  <c r="AZ200" i="9"/>
  <c r="AG200" i="9"/>
  <c r="BA208" i="9"/>
  <c r="AZ208" i="9"/>
  <c r="AG208" i="9"/>
  <c r="AG124" i="9"/>
  <c r="BA124" i="9"/>
  <c r="AZ124" i="9"/>
  <c r="BA129" i="9"/>
  <c r="AZ129" i="9"/>
  <c r="AG129" i="9"/>
  <c r="AG136" i="9"/>
  <c r="AZ136" i="9"/>
  <c r="BA136" i="9"/>
  <c r="AG145" i="9"/>
  <c r="BA145" i="9"/>
  <c r="AZ145" i="9"/>
  <c r="I239" i="9"/>
  <c r="I323" i="9" s="1"/>
  <c r="I337" i="9"/>
  <c r="I338" i="9" s="1"/>
  <c r="I366" i="9"/>
  <c r="I381" i="9" s="1"/>
  <c r="I321" i="9"/>
  <c r="I325" i="9"/>
  <c r="AZ154" i="9"/>
  <c r="AG154" i="9"/>
  <c r="BA154" i="9"/>
  <c r="BI34" i="9"/>
  <c r="AJ162" i="9"/>
  <c r="BA164" i="9"/>
  <c r="AZ164" i="9"/>
  <c r="AG164" i="9"/>
  <c r="AZ175" i="9"/>
  <c r="AG175" i="9"/>
  <c r="AJ188" i="9"/>
  <c r="AH188" i="9"/>
  <c r="AI188" i="9"/>
  <c r="AK188" i="9"/>
  <c r="BA195" i="9"/>
  <c r="AZ195" i="9"/>
  <c r="AG195" i="9"/>
  <c r="AJ198" i="9"/>
  <c r="AH198" i="9"/>
  <c r="AI198" i="9"/>
  <c r="AK198" i="9"/>
  <c r="AJ199" i="9"/>
  <c r="AH199" i="9"/>
  <c r="AI199" i="9"/>
  <c r="AK199" i="9"/>
  <c r="AJ207" i="9"/>
  <c r="AH207" i="9"/>
  <c r="AK207" i="9"/>
  <c r="AI207" i="9"/>
  <c r="AS239" i="9"/>
  <c r="AS311" i="9" s="1"/>
  <c r="AS321" i="9"/>
  <c r="AG171" i="9"/>
  <c r="AZ171" i="9"/>
  <c r="AL301" i="9"/>
  <c r="BG301" i="9"/>
  <c r="BJ301" i="9" s="1"/>
  <c r="AO301" i="9"/>
  <c r="AP301" i="9"/>
  <c r="AX301" i="9"/>
  <c r="U509" i="9"/>
  <c r="AG249" i="9"/>
  <c r="AZ249" i="9"/>
  <c r="AZ257" i="9"/>
  <c r="BA257" i="9"/>
  <c r="AG257" i="9"/>
  <c r="AG227" i="9"/>
  <c r="BA227" i="9"/>
  <c r="AZ227" i="9"/>
  <c r="BA229" i="9"/>
  <c r="AG229" i="9"/>
  <c r="AZ229" i="9"/>
  <c r="AG231" i="9"/>
  <c r="BA231" i="9"/>
  <c r="AZ231" i="9"/>
  <c r="AG237" i="9"/>
  <c r="AZ237" i="9"/>
  <c r="AF241" i="9"/>
  <c r="AB241" i="9"/>
  <c r="AE241" i="9"/>
  <c r="AA241" i="9"/>
  <c r="BB475" i="9"/>
  <c r="BB516" i="9" s="1"/>
  <c r="AU317" i="9"/>
  <c r="CB241" i="9"/>
  <c r="DI242" i="9"/>
  <c r="X242" i="9"/>
  <c r="V242" i="9"/>
  <c r="Y242" i="9"/>
  <c r="W242" i="9"/>
  <c r="U241" i="9"/>
  <c r="BA253" i="9"/>
  <c r="AZ253" i="9"/>
  <c r="AG253" i="9"/>
  <c r="AZ260" i="9"/>
  <c r="AG260" i="9"/>
  <c r="AZ270" i="9"/>
  <c r="AG270" i="9"/>
  <c r="BA265" i="9"/>
  <c r="AG265" i="9"/>
  <c r="AZ265" i="9"/>
  <c r="AZ272" i="9"/>
  <c r="AG272" i="9"/>
  <c r="AJ276" i="9"/>
  <c r="AH276" i="9"/>
  <c r="AK276" i="9"/>
  <c r="AI276" i="9"/>
  <c r="BA278" i="9"/>
  <c r="AG278" i="9"/>
  <c r="AZ278" i="9"/>
  <c r="AG281" i="9"/>
  <c r="BA281" i="9"/>
  <c r="AZ281" i="9"/>
  <c r="BA287" i="9"/>
  <c r="AZ287" i="9"/>
  <c r="AG287" i="9"/>
  <c r="AG291" i="9"/>
  <c r="BA291" i="9"/>
  <c r="AZ291" i="9"/>
  <c r="BE304" i="9"/>
  <c r="BD303" i="9"/>
  <c r="BF304" i="9"/>
  <c r="AY304" i="9"/>
  <c r="BS325" i="9"/>
  <c r="BQ319" i="9"/>
  <c r="BQ323" i="9" s="1"/>
  <c r="BQ325" i="9"/>
  <c r="DB308" i="9"/>
  <c r="BM325" i="9"/>
  <c r="U455" i="9"/>
  <c r="X85" i="9"/>
  <c r="V85" i="9"/>
  <c r="Y85" i="9"/>
  <c r="W85" i="9"/>
  <c r="AC85" i="9"/>
  <c r="AD85" i="9"/>
  <c r="BH5" i="9"/>
  <c r="BK6" i="9"/>
  <c r="AZ37" i="9"/>
  <c r="AG37" i="9"/>
  <c r="AZ66" i="9"/>
  <c r="AG66" i="9"/>
  <c r="BA66" i="9"/>
  <c r="AG75" i="9"/>
  <c r="BA75" i="9"/>
  <c r="AZ75" i="9"/>
  <c r="AG76" i="9"/>
  <c r="AZ76" i="9"/>
  <c r="BA76" i="9"/>
  <c r="AG80" i="9"/>
  <c r="BA80" i="9"/>
  <c r="AZ80" i="9"/>
  <c r="AG84" i="9"/>
  <c r="AZ84" i="9"/>
  <c r="BA84" i="9"/>
  <c r="BA101" i="9"/>
  <c r="AZ101" i="9"/>
  <c r="AG101" i="9"/>
  <c r="BA118" i="9"/>
  <c r="AG118" i="9"/>
  <c r="AZ118" i="9"/>
  <c r="AG150" i="9"/>
  <c r="AZ150" i="9"/>
  <c r="BA150" i="9"/>
  <c r="CP316" i="9"/>
  <c r="CP313" i="9"/>
  <c r="CP472" i="9" s="1"/>
  <c r="CP513" i="9" s="1"/>
  <c r="CP318" i="9"/>
  <c r="CP314" i="9"/>
  <c r="CP312" i="9"/>
  <c r="CP473" i="9" s="1"/>
  <c r="CP514" i="9" s="1"/>
  <c r="CP306" i="9"/>
  <c r="CP291" i="9"/>
  <c r="CP290" i="9"/>
  <c r="CP289" i="9"/>
  <c r="CP288" i="9"/>
  <c r="CP287" i="9"/>
  <c r="CP284" i="9"/>
  <c r="CP283" i="9"/>
  <c r="CP275" i="9"/>
  <c r="CP269" i="9"/>
  <c r="CP264" i="9"/>
  <c r="CP263" i="9"/>
  <c r="CP259" i="9"/>
  <c r="CP215" i="9"/>
  <c r="CP209" i="9"/>
  <c r="CP208" i="9"/>
  <c r="CP191" i="9"/>
  <c r="CP189" i="9"/>
  <c r="CP182" i="9"/>
  <c r="CP178" i="9"/>
  <c r="CP172" i="9"/>
  <c r="CP157" i="9"/>
  <c r="CP211" i="9"/>
  <c r="CP201" i="9"/>
  <c r="CP196" i="9"/>
  <c r="CP195" i="9"/>
  <c r="CP186" i="9"/>
  <c r="CP184" i="9"/>
  <c r="CP181" i="9"/>
  <c r="CP176" i="9"/>
  <c r="CP173" i="9"/>
  <c r="CP171" i="9"/>
  <c r="CP167" i="9"/>
  <c r="CP166" i="9"/>
  <c r="CP164" i="9"/>
  <c r="CP158" i="9"/>
  <c r="CP156" i="9"/>
  <c r="CP154" i="9"/>
  <c r="CP145" i="9"/>
  <c r="CP143" i="9"/>
  <c r="CP130" i="9"/>
  <c r="CP127" i="9"/>
  <c r="CP126" i="9"/>
  <c r="CP125" i="9"/>
  <c r="CP123" i="9"/>
  <c r="CP121" i="9"/>
  <c r="CP81" i="9"/>
  <c r="CP120" i="9"/>
  <c r="CP111" i="9"/>
  <c r="CP109" i="9"/>
  <c r="CP105" i="9"/>
  <c r="CP103" i="9"/>
  <c r="CP95" i="9"/>
  <c r="CP92" i="9"/>
  <c r="CP43" i="9"/>
  <c r="CP98" i="9"/>
  <c r="CP40" i="9"/>
  <c r="CP42" i="9"/>
  <c r="CP48" i="9"/>
  <c r="CP51" i="9"/>
  <c r="CP54" i="9"/>
  <c r="CP75" i="9"/>
  <c r="CP82" i="9"/>
  <c r="CP86" i="9"/>
  <c r="CP88" i="9"/>
  <c r="CP112" i="9"/>
  <c r="CP20" i="9"/>
  <c r="CP37" i="9"/>
  <c r="CP45" i="9"/>
  <c r="CP47" i="9"/>
  <c r="CP52" i="9"/>
  <c r="CP457" i="9" s="1"/>
  <c r="CP498" i="9" s="1"/>
  <c r="CP90" i="9"/>
  <c r="CP94" i="9"/>
  <c r="CP96" i="9"/>
  <c r="CP99" i="9"/>
  <c r="CP101" i="9"/>
  <c r="CP102" i="9"/>
  <c r="CP104" i="9"/>
  <c r="CP106" i="9"/>
  <c r="CP107" i="9"/>
  <c r="CP108" i="9"/>
  <c r="CP152" i="9"/>
  <c r="CP159" i="9"/>
  <c r="CP162" i="9"/>
  <c r="CP168" i="9"/>
  <c r="CP188" i="9"/>
  <c r="CP190" i="9"/>
  <c r="CP194" i="9"/>
  <c r="CP205" i="9"/>
  <c r="CP122" i="9"/>
  <c r="CP131" i="9"/>
  <c r="CP141" i="9"/>
  <c r="CP155" i="9"/>
  <c r="CP174" i="9"/>
  <c r="CP179" i="9"/>
  <c r="CP183" i="9"/>
  <c r="CP187" i="9"/>
  <c r="CP202" i="9"/>
  <c r="CP203" i="9"/>
  <c r="CP169" i="9"/>
  <c r="CP180" i="9"/>
  <c r="CP214" i="9"/>
  <c r="CP221" i="9"/>
  <c r="CP229" i="9"/>
  <c r="CP233" i="9"/>
  <c r="CP234" i="9"/>
  <c r="CP235" i="9"/>
  <c r="CP225" i="9"/>
  <c r="CP232" i="9"/>
  <c r="CP237" i="9"/>
  <c r="CP245" i="9"/>
  <c r="CP267" i="9"/>
  <c r="CP276" i="9"/>
  <c r="CP282" i="9"/>
  <c r="CP286" i="9"/>
  <c r="CP293" i="9"/>
  <c r="CP265" i="9"/>
  <c r="CP272" i="9"/>
  <c r="CP436" i="9" s="1"/>
  <c r="CP278" i="9"/>
  <c r="CP279" i="9"/>
  <c r="CP281" i="9"/>
  <c r="CP285" i="9"/>
  <c r="CP292" i="9"/>
  <c r="CP297" i="9"/>
  <c r="CP299" i="9"/>
  <c r="CP315" i="9"/>
  <c r="CP36" i="9"/>
  <c r="CP35" i="9" s="1"/>
  <c r="CP39" i="9"/>
  <c r="CP41" i="9"/>
  <c r="CP46" i="9"/>
  <c r="CP55" i="9"/>
  <c r="CP87" i="9"/>
  <c r="CP89" i="9"/>
  <c r="CP118" i="9"/>
  <c r="CP44" i="9"/>
  <c r="CP49" i="9"/>
  <c r="CP50" i="9"/>
  <c r="CP53" i="9"/>
  <c r="CP91" i="9"/>
  <c r="CP93" i="9"/>
  <c r="CP97" i="9"/>
  <c r="CP110" i="9"/>
  <c r="CP119" i="9"/>
  <c r="CP124" i="9"/>
  <c r="CP136" i="9"/>
  <c r="CP137" i="9"/>
  <c r="CP175" i="9"/>
  <c r="CP185" i="9"/>
  <c r="CP193" i="9"/>
  <c r="CP197" i="9"/>
  <c r="CP198" i="9"/>
  <c r="CP207" i="9"/>
  <c r="CP217" i="9"/>
  <c r="CP128" i="9"/>
  <c r="CP129" i="9"/>
  <c r="CP132" i="9"/>
  <c r="CP142" i="9"/>
  <c r="CP144" i="9"/>
  <c r="CP153" i="9"/>
  <c r="CP163" i="9"/>
  <c r="CP165" i="9"/>
  <c r="CP192" i="9"/>
  <c r="CP199" i="9"/>
  <c r="CP206" i="9"/>
  <c r="CP212" i="9"/>
  <c r="CP161" i="9"/>
  <c r="CP160" i="9" s="1"/>
  <c r="CP200" i="9"/>
  <c r="CP204" i="9"/>
  <c r="CP218" i="9"/>
  <c r="CP219" i="9"/>
  <c r="CP222" i="9"/>
  <c r="CP223" i="9"/>
  <c r="CP226" i="9"/>
  <c r="CP227" i="9"/>
  <c r="CP246" i="9"/>
  <c r="CP255" i="9"/>
  <c r="CP258" i="9"/>
  <c r="CP220" i="9"/>
  <c r="CP224" i="9"/>
  <c r="CP228" i="9"/>
  <c r="CP231" i="9"/>
  <c r="CP236" i="9"/>
  <c r="CP261" i="9"/>
  <c r="CP271" i="9"/>
  <c r="CP260" i="9"/>
  <c r="CP262" i="9"/>
  <c r="CP266" i="9"/>
  <c r="CP270" i="9"/>
  <c r="CP273" i="9"/>
  <c r="CP295" i="9"/>
  <c r="CP294" i="9"/>
  <c r="CP296" i="9"/>
  <c r="CV6" i="9"/>
  <c r="CW7" i="9" s="1"/>
  <c r="AG12" i="9"/>
  <c r="BA12" i="9"/>
  <c r="AZ12" i="9"/>
  <c r="BE13" i="9"/>
  <c r="AY13" i="9"/>
  <c r="BF13" i="9"/>
  <c r="AG18" i="9"/>
  <c r="AZ18" i="9"/>
  <c r="AF26" i="9"/>
  <c r="AD26" i="9"/>
  <c r="AB26" i="9"/>
  <c r="AE26" i="9"/>
  <c r="AC26" i="9"/>
  <c r="AA26" i="9"/>
  <c r="AF39" i="9"/>
  <c r="AD39" i="9"/>
  <c r="AB39" i="9"/>
  <c r="AE39" i="9"/>
  <c r="AC39" i="9"/>
  <c r="AA39" i="9"/>
  <c r="AG42" i="9"/>
  <c r="AZ42" i="9"/>
  <c r="BA42" i="9"/>
  <c r="BA48" i="9"/>
  <c r="AZ48" i="9"/>
  <c r="AG48" i="9"/>
  <c r="BA50" i="9"/>
  <c r="AG50" i="9"/>
  <c r="AZ50" i="9"/>
  <c r="BA53" i="9"/>
  <c r="AG53" i="9"/>
  <c r="AZ53" i="9"/>
  <c r="BO56" i="9"/>
  <c r="BP56" i="9"/>
  <c r="AG69" i="9"/>
  <c r="AZ69" i="9"/>
  <c r="BA69" i="9"/>
  <c r="Q413" i="9"/>
  <c r="BD413" i="9"/>
  <c r="BA99" i="9"/>
  <c r="AZ99" i="9"/>
  <c r="AG99" i="9"/>
  <c r="CP100" i="9"/>
  <c r="BA102" i="9"/>
  <c r="AZ102" i="9"/>
  <c r="AG102" i="9"/>
  <c r="BA109" i="9"/>
  <c r="AZ109" i="9"/>
  <c r="AG109" i="9"/>
  <c r="U413" i="9"/>
  <c r="BA157" i="9"/>
  <c r="AZ157" i="9"/>
  <c r="AG157" i="9"/>
  <c r="AQ458" i="9"/>
  <c r="AM139" i="9"/>
  <c r="AQ34" i="9"/>
  <c r="BA215" i="9"/>
  <c r="AZ215" i="9"/>
  <c r="AG215" i="9"/>
  <c r="AZ123" i="9"/>
  <c r="BA123" i="9"/>
  <c r="AG123" i="9"/>
  <c r="BP140" i="9"/>
  <c r="BN139" i="9"/>
  <c r="BO140" i="9"/>
  <c r="BO146" i="9"/>
  <c r="BP146" i="9"/>
  <c r="AZ155" i="9"/>
  <c r="BA155" i="9"/>
  <c r="AG155" i="9"/>
  <c r="BA158" i="9"/>
  <c r="AZ158" i="9"/>
  <c r="AG158" i="9"/>
  <c r="AE161" i="9"/>
  <c r="AC161" i="9"/>
  <c r="AA161" i="9"/>
  <c r="AF161" i="9"/>
  <c r="AB161" i="9"/>
  <c r="AD161" i="9"/>
  <c r="AJ168" i="9"/>
  <c r="AH168" i="9"/>
  <c r="AK168" i="9"/>
  <c r="AI168" i="9"/>
  <c r="DC139" i="9"/>
  <c r="R139" i="9"/>
  <c r="Q139" i="9"/>
  <c r="P34" i="9"/>
  <c r="CP177" i="9"/>
  <c r="BA183" i="9"/>
  <c r="AG183" i="9"/>
  <c r="AZ183" i="9"/>
  <c r="AG184" i="9"/>
  <c r="BA184" i="9"/>
  <c r="AZ184" i="9"/>
  <c r="AJ193" i="9"/>
  <c r="AH193" i="9"/>
  <c r="AK193" i="9"/>
  <c r="AI193" i="9"/>
  <c r="AJ197" i="9"/>
  <c r="AH197" i="9"/>
  <c r="AI197" i="9"/>
  <c r="AK197" i="9"/>
  <c r="AG204" i="9"/>
  <c r="BA204" i="9"/>
  <c r="AZ204" i="9"/>
  <c r="AG211" i="9"/>
  <c r="AZ211" i="9"/>
  <c r="BA213" i="9"/>
  <c r="AZ213" i="9"/>
  <c r="AG213" i="9"/>
  <c r="BO170" i="9"/>
  <c r="BP170" i="9"/>
  <c r="AG173" i="9"/>
  <c r="AZ173" i="9"/>
  <c r="BA177" i="9"/>
  <c r="AG177" i="9"/>
  <c r="AZ177" i="9"/>
  <c r="AG205" i="9"/>
  <c r="AZ205" i="9"/>
  <c r="AG219" i="9"/>
  <c r="AZ219" i="9"/>
  <c r="BA219" i="9"/>
  <c r="AZ220" i="9"/>
  <c r="BA220" i="9"/>
  <c r="AG220" i="9"/>
  <c r="AG224" i="9"/>
  <c r="AZ224" i="9"/>
  <c r="BA224" i="9"/>
  <c r="BA228" i="9"/>
  <c r="AG228" i="9"/>
  <c r="AZ228" i="9"/>
  <c r="BA244" i="9"/>
  <c r="AZ244" i="9"/>
  <c r="AG244" i="9"/>
  <c r="AZ252" i="9"/>
  <c r="AG252" i="9"/>
  <c r="BA222" i="9"/>
  <c r="AZ222" i="9"/>
  <c r="AG222" i="9"/>
  <c r="AG223" i="9"/>
  <c r="AZ223" i="9"/>
  <c r="AZ226" i="9"/>
  <c r="BA226" i="9"/>
  <c r="AG226" i="9"/>
  <c r="BA234" i="9"/>
  <c r="AZ234" i="9"/>
  <c r="AG234" i="9"/>
  <c r="AG236" i="9"/>
  <c r="AZ236" i="9"/>
  <c r="BA247" i="9"/>
  <c r="AZ247" i="9"/>
  <c r="AG247" i="9"/>
  <c r="AG248" i="9"/>
  <c r="AZ248" i="9"/>
  <c r="AZ273" i="9"/>
  <c r="AG273" i="9"/>
  <c r="BA285" i="9"/>
  <c r="AZ285" i="9"/>
  <c r="AG285" i="9"/>
  <c r="AG262" i="9"/>
  <c r="AZ262" i="9"/>
  <c r="AG266" i="9"/>
  <c r="BA266" i="9"/>
  <c r="AZ266" i="9"/>
  <c r="CP268" i="9"/>
  <c r="BA277" i="9"/>
  <c r="AZ277" i="9"/>
  <c r="AG277" i="9"/>
  <c r="AG279" i="9"/>
  <c r="AZ279" i="9"/>
  <c r="AZ283" i="9"/>
  <c r="BA283" i="9"/>
  <c r="AG283" i="9"/>
  <c r="AZ288" i="9"/>
  <c r="BA288" i="9"/>
  <c r="AG288" i="9"/>
  <c r="BA292" i="9"/>
  <c r="AZ292" i="9"/>
  <c r="AG292" i="9"/>
  <c r="BP310" i="9"/>
  <c r="BN309" i="9"/>
  <c r="BE310" i="9"/>
  <c r="AY310" i="9"/>
  <c r="AG310" i="9" s="1"/>
  <c r="BD309" i="9"/>
  <c r="CP298" i="9"/>
  <c r="BY307" i="9"/>
  <c r="DF303" i="9"/>
  <c r="BO304" i="9"/>
  <c r="BN303" i="9"/>
  <c r="BP304" i="9"/>
  <c r="AG313" i="9"/>
  <c r="AZ313" i="9"/>
  <c r="AK314" i="9"/>
  <c r="AI314" i="9"/>
  <c r="AJ314" i="9"/>
  <c r="AH314" i="9"/>
  <c r="AK317" i="9"/>
  <c r="AJ317" i="9"/>
  <c r="CA325" i="9"/>
  <c r="DH325" i="9" s="1"/>
  <c r="CA26" i="9"/>
  <c r="DH26" i="9" s="1"/>
  <c r="AW26" i="9"/>
  <c r="BY325" i="9"/>
  <c r="DF325" i="9" s="1"/>
  <c r="BY26" i="9"/>
  <c r="DF26" i="9" s="1"/>
  <c r="AZ8" i="9"/>
  <c r="BA8" i="9"/>
  <c r="AG8" i="9"/>
  <c r="CQ491" i="9"/>
  <c r="CQ489" i="9" s="1"/>
  <c r="CQ488" i="9" s="1"/>
  <c r="CQ448" i="9"/>
  <c r="CQ447" i="9" s="1"/>
  <c r="AG16" i="9"/>
  <c r="AZ16" i="9"/>
  <c r="BP35" i="9"/>
  <c r="BO35" i="9"/>
  <c r="BN34" i="9"/>
  <c r="BA60" i="9"/>
  <c r="AZ60" i="9"/>
  <c r="AG60" i="9"/>
  <c r="AZ65" i="9"/>
  <c r="BA65" i="9"/>
  <c r="AG65" i="9"/>
  <c r="AG71" i="9"/>
  <c r="BA71" i="9"/>
  <c r="AZ71" i="9"/>
  <c r="DI72" i="9"/>
  <c r="CC72" i="9"/>
  <c r="CP78" i="9"/>
  <c r="AZ89" i="9"/>
  <c r="BA89" i="9"/>
  <c r="AG89" i="9"/>
  <c r="BF85" i="9"/>
  <c r="BE85" i="9"/>
  <c r="AY85" i="9"/>
  <c r="AV139" i="9"/>
  <c r="BC34" i="9"/>
  <c r="CC139" i="9"/>
  <c r="AL34" i="9"/>
  <c r="BB477" i="9"/>
  <c r="BZ307" i="9"/>
  <c r="DG303" i="9"/>
  <c r="BZ325" i="9"/>
  <c r="DG325" i="9" s="1"/>
  <c r="CU9" i="9"/>
  <c r="BE9" i="9"/>
  <c r="AY9" i="9"/>
  <c r="BF9" i="9"/>
  <c r="BA10" i="9"/>
  <c r="AG10" i="9"/>
  <c r="AZ10" i="9"/>
  <c r="BO13" i="9"/>
  <c r="BP13" i="9"/>
  <c r="AG25" i="9"/>
  <c r="AZ25" i="9"/>
  <c r="BL474" i="9"/>
  <c r="BL310" i="9"/>
  <c r="BL309" i="9" s="1"/>
  <c r="BF35" i="9"/>
  <c r="BE35" i="9"/>
  <c r="AY35" i="9"/>
  <c r="BD34" i="9"/>
  <c r="BA43" i="9"/>
  <c r="AG43" i="9"/>
  <c r="AZ43" i="9"/>
  <c r="AG68" i="9"/>
  <c r="BA68" i="9"/>
  <c r="AZ68" i="9"/>
  <c r="BA74" i="9"/>
  <c r="AG74" i="9"/>
  <c r="AZ74" i="9"/>
  <c r="AZ78" i="9"/>
  <c r="BA78" i="9"/>
  <c r="AG78" i="9"/>
  <c r="O421" i="9"/>
  <c r="AG95" i="9"/>
  <c r="BA95" i="9"/>
  <c r="AZ95" i="9"/>
  <c r="AG103" i="9"/>
  <c r="BA103" i="9"/>
  <c r="AZ103" i="9"/>
  <c r="AJ104" i="9"/>
  <c r="AH104" i="9"/>
  <c r="AK104" i="9"/>
  <c r="AI104" i="9"/>
  <c r="BA112" i="9"/>
  <c r="AG112" i="9"/>
  <c r="AZ112" i="9"/>
  <c r="AJ119" i="9"/>
  <c r="AI119" i="9"/>
  <c r="AK119" i="9"/>
  <c r="AH119" i="9"/>
  <c r="BA120" i="9"/>
  <c r="AZ120" i="9"/>
  <c r="AG120" i="9"/>
  <c r="BA182" i="9"/>
  <c r="AZ182" i="9"/>
  <c r="AG182" i="9"/>
  <c r="BA191" i="9"/>
  <c r="AZ191" i="9"/>
  <c r="AG191" i="9"/>
  <c r="BA210" i="9"/>
  <c r="AZ210" i="9"/>
  <c r="AG210" i="9"/>
  <c r="AZ127" i="9"/>
  <c r="AG127" i="9"/>
  <c r="BA127" i="9"/>
  <c r="BA130" i="9"/>
  <c r="AG130" i="9"/>
  <c r="AZ130" i="9"/>
  <c r="AG137" i="9"/>
  <c r="BA137" i="9"/>
  <c r="AZ137" i="9"/>
  <c r="BH139" i="9"/>
  <c r="BH34" i="9" s="1"/>
  <c r="BH239" i="9" s="1"/>
  <c r="BA143" i="9"/>
  <c r="AG143" i="9"/>
  <c r="AZ143" i="9"/>
  <c r="U139" i="9"/>
  <c r="BE146" i="9"/>
  <c r="AY146" i="9"/>
  <c r="BF146" i="9"/>
  <c r="AG148" i="9"/>
  <c r="BA148" i="9"/>
  <c r="AZ148" i="9"/>
  <c r="AJ159" i="9"/>
  <c r="AH159" i="9"/>
  <c r="AK159" i="9"/>
  <c r="AI159" i="9"/>
  <c r="AK162" i="9"/>
  <c r="BA166" i="9"/>
  <c r="AZ166" i="9"/>
  <c r="AG166" i="9"/>
  <c r="AE170" i="9"/>
  <c r="AC170" i="9"/>
  <c r="AA170" i="9"/>
  <c r="AD170" i="9"/>
  <c r="AF170" i="9"/>
  <c r="AB170" i="9"/>
  <c r="BJ177" i="9"/>
  <c r="BG402" i="9"/>
  <c r="BG413" i="9" s="1"/>
  <c r="AJ190" i="9"/>
  <c r="AH190" i="9"/>
  <c r="AK190" i="9"/>
  <c r="AI190" i="9"/>
  <c r="AZ192" i="9"/>
  <c r="AG192" i="9"/>
  <c r="AJ196" i="9"/>
  <c r="AH196" i="9"/>
  <c r="AK196" i="9"/>
  <c r="AI196" i="9"/>
  <c r="AS499" i="9"/>
  <c r="AS454" i="9"/>
  <c r="BA216" i="9"/>
  <c r="AZ216" i="9"/>
  <c r="AG216" i="9"/>
  <c r="BE170" i="9"/>
  <c r="AY170" i="9"/>
  <c r="BF170" i="9"/>
  <c r="AG202" i="9"/>
  <c r="AZ202" i="9"/>
  <c r="BH241" i="9"/>
  <c r="BK242" i="9"/>
  <c r="AQ475" i="9"/>
  <c r="AQ516" i="9" s="1"/>
  <c r="AM317" i="9"/>
  <c r="AZ259" i="9"/>
  <c r="AG259" i="9"/>
  <c r="BF230" i="9"/>
  <c r="BE230" i="9"/>
  <c r="AY230" i="9"/>
  <c r="AZ233" i="9"/>
  <c r="AG233" i="9"/>
  <c r="BA233" i="9"/>
  <c r="AG235" i="9"/>
  <c r="AZ235" i="9"/>
  <c r="AG238" i="9"/>
  <c r="AZ238" i="9"/>
  <c r="BP242" i="9"/>
  <c r="BN241" i="9"/>
  <c r="BO242" i="9"/>
  <c r="AG251" i="9"/>
  <c r="AZ251" i="9"/>
  <c r="AG255" i="9"/>
  <c r="BA255" i="9"/>
  <c r="AZ255" i="9"/>
  <c r="CP257" i="9"/>
  <c r="AG258" i="9"/>
  <c r="AZ258" i="9"/>
  <c r="AZ269" i="9"/>
  <c r="AG269" i="9"/>
  <c r="AZ282" i="9"/>
  <c r="AG282" i="9"/>
  <c r="AG263" i="9"/>
  <c r="AZ263" i="9"/>
  <c r="AG271" i="9"/>
  <c r="AZ271" i="9"/>
  <c r="BA271" i="9"/>
  <c r="AG275" i="9"/>
  <c r="AZ275" i="9"/>
  <c r="BA284" i="9"/>
  <c r="AZ284" i="9"/>
  <c r="AG284" i="9"/>
  <c r="BA289" i="9"/>
  <c r="AZ289" i="9"/>
  <c r="AG289" i="9"/>
  <c r="AZ298" i="9"/>
  <c r="AG298" i="9"/>
  <c r="BA298" i="9"/>
  <c r="AE303" i="9"/>
  <c r="AA303" i="9"/>
  <c r="AF303" i="9"/>
  <c r="AC303" i="9"/>
  <c r="AG305" i="9"/>
  <c r="AZ305" i="9"/>
  <c r="AZ312" i="9"/>
  <c r="AG312" i="9"/>
  <c r="AG316" i="9"/>
  <c r="AZ316" i="9"/>
  <c r="CR448" i="9"/>
  <c r="CR447" i="9" s="1"/>
  <c r="CR492" i="9"/>
  <c r="CR489" i="9" s="1"/>
  <c r="CR488" i="9" s="1"/>
  <c r="BD36" i="8"/>
  <c r="BR30" i="8"/>
  <c r="CP52" i="5"/>
  <c r="CO52" i="5"/>
  <c r="CN52" i="5"/>
  <c r="CM52" i="5"/>
  <c r="CL52" i="5"/>
  <c r="CK52" i="5"/>
  <c r="CJ52" i="5"/>
  <c r="CI52" i="5"/>
  <c r="CH52" i="5"/>
  <c r="AB5" i="9" l="1"/>
  <c r="AF5" i="9"/>
  <c r="AA5" i="9"/>
  <c r="AE5" i="9"/>
  <c r="AD5" i="9"/>
  <c r="AC5" i="9"/>
  <c r="AJ282" i="9"/>
  <c r="AH282" i="9"/>
  <c r="AK269" i="9"/>
  <c r="AH269" i="9"/>
  <c r="AJ269" i="9"/>
  <c r="AH238" i="9"/>
  <c r="AJ238" i="9"/>
  <c r="AJ235" i="9"/>
  <c r="AK235" i="9"/>
  <c r="AH235" i="9"/>
  <c r="AK233" i="9"/>
  <c r="AI233" i="9"/>
  <c r="AJ233" i="9"/>
  <c r="AH233" i="9"/>
  <c r="AG230" i="9"/>
  <c r="AZ230" i="9"/>
  <c r="BA230" i="9"/>
  <c r="BH301" i="9"/>
  <c r="BK301" i="9" s="1"/>
  <c r="BK241" i="9"/>
  <c r="AJ202" i="9"/>
  <c r="AH202" i="9"/>
  <c r="AK202" i="9"/>
  <c r="AG170" i="9"/>
  <c r="BA170" i="9"/>
  <c r="AZ170" i="9"/>
  <c r="AK216" i="9"/>
  <c r="AI216" i="9"/>
  <c r="AH216" i="9"/>
  <c r="AJ216" i="9"/>
  <c r="AJ137" i="9"/>
  <c r="AH137" i="9"/>
  <c r="AK137" i="9"/>
  <c r="AI137" i="9"/>
  <c r="AK130" i="9"/>
  <c r="AI130" i="9"/>
  <c r="AJ130" i="9"/>
  <c r="AH130" i="9"/>
  <c r="AK191" i="9"/>
  <c r="AI191" i="9"/>
  <c r="AJ191" i="9"/>
  <c r="AH191" i="9"/>
  <c r="AK120" i="9"/>
  <c r="AI120" i="9"/>
  <c r="AH120" i="9"/>
  <c r="AJ120" i="9"/>
  <c r="AK112" i="9"/>
  <c r="AI112" i="9"/>
  <c r="AJ112" i="9"/>
  <c r="AH112" i="9"/>
  <c r="AK103" i="9"/>
  <c r="AI103" i="9"/>
  <c r="AJ103" i="9"/>
  <c r="AH103" i="9"/>
  <c r="AZ35" i="9"/>
  <c r="AG35" i="9"/>
  <c r="BA35" i="9"/>
  <c r="BL515" i="9"/>
  <c r="BL518" i="9" s="1"/>
  <c r="BL477" i="9"/>
  <c r="AH25" i="9"/>
  <c r="AJ25" i="9"/>
  <c r="AK10" i="9"/>
  <c r="AI10" i="9"/>
  <c r="AJ10" i="9"/>
  <c r="AH10" i="9"/>
  <c r="DG307" i="9"/>
  <c r="BZ323" i="9"/>
  <c r="DG323" i="9" s="1"/>
  <c r="AX139" i="9"/>
  <c r="Z139" i="9"/>
  <c r="AW139" i="9"/>
  <c r="AJ89" i="9"/>
  <c r="AH89" i="9"/>
  <c r="AK89" i="9"/>
  <c r="AI89" i="9"/>
  <c r="AJ71" i="9"/>
  <c r="AH71" i="9"/>
  <c r="AK71" i="9"/>
  <c r="AI71" i="9"/>
  <c r="AJ60" i="9"/>
  <c r="AH60" i="9"/>
  <c r="AK60" i="9"/>
  <c r="AI60" i="9"/>
  <c r="AJ8" i="9"/>
  <c r="AH8" i="9"/>
  <c r="AK8" i="9"/>
  <c r="AI8" i="9"/>
  <c r="DF307" i="9"/>
  <c r="BY323" i="9"/>
  <c r="DF323" i="9" s="1"/>
  <c r="BD319" i="9"/>
  <c r="AY309" i="9"/>
  <c r="AG309" i="9" s="1"/>
  <c r="BN319" i="9"/>
  <c r="BO309" i="9"/>
  <c r="BP309" i="9"/>
  <c r="AK288" i="9"/>
  <c r="AI288" i="9"/>
  <c r="AJ288" i="9"/>
  <c r="AH288" i="9"/>
  <c r="AK277" i="9"/>
  <c r="AI277" i="9"/>
  <c r="AJ277" i="9"/>
  <c r="AH277" i="9"/>
  <c r="AJ266" i="9"/>
  <c r="AH266" i="9"/>
  <c r="AK266" i="9"/>
  <c r="AI266" i="9"/>
  <c r="AJ262" i="9"/>
  <c r="AK262" i="9"/>
  <c r="AH262" i="9"/>
  <c r="AJ273" i="9"/>
  <c r="AH273" i="9"/>
  <c r="AK247" i="9"/>
  <c r="AI247" i="9"/>
  <c r="AJ247" i="9"/>
  <c r="AH247" i="9"/>
  <c r="AH236" i="9"/>
  <c r="AJ236" i="9"/>
  <c r="AK226" i="9"/>
  <c r="AI226" i="9"/>
  <c r="AJ226" i="9"/>
  <c r="AH226" i="9"/>
  <c r="AJ223" i="9"/>
  <c r="AK223" i="9"/>
  <c r="AH223" i="9"/>
  <c r="AK252" i="9"/>
  <c r="AH252" i="9"/>
  <c r="AJ252" i="9"/>
  <c r="AK244" i="9"/>
  <c r="AI244" i="9"/>
  <c r="AJ244" i="9"/>
  <c r="AH244" i="9"/>
  <c r="AJ228" i="9"/>
  <c r="AH228" i="9"/>
  <c r="AK228" i="9"/>
  <c r="AI228" i="9"/>
  <c r="AJ224" i="9"/>
  <c r="AH224" i="9"/>
  <c r="AK224" i="9"/>
  <c r="AI224" i="9"/>
  <c r="AJ219" i="9"/>
  <c r="AH219" i="9"/>
  <c r="AK219" i="9"/>
  <c r="AI219" i="9"/>
  <c r="AJ205" i="9"/>
  <c r="AH205" i="9"/>
  <c r="AK205" i="9"/>
  <c r="AJ177" i="9"/>
  <c r="AH177" i="9"/>
  <c r="AK177" i="9"/>
  <c r="AI177" i="9"/>
  <c r="AK213" i="9"/>
  <c r="AI213" i="9"/>
  <c r="AH213" i="9"/>
  <c r="AJ213" i="9"/>
  <c r="AH211" i="9"/>
  <c r="AJ211" i="9"/>
  <c r="AK184" i="9"/>
  <c r="AI184" i="9"/>
  <c r="AH184" i="9"/>
  <c r="AJ184" i="9"/>
  <c r="AK183" i="9"/>
  <c r="AI183" i="9"/>
  <c r="AH183" i="9"/>
  <c r="AJ183" i="9"/>
  <c r="AK155" i="9"/>
  <c r="AI155" i="9"/>
  <c r="AJ155" i="9"/>
  <c r="AH155" i="9"/>
  <c r="BP139" i="9"/>
  <c r="BO139" i="9"/>
  <c r="AK123" i="9"/>
  <c r="AI123" i="9"/>
  <c r="AJ123" i="9"/>
  <c r="AH123" i="9"/>
  <c r="AQ239" i="9"/>
  <c r="AM34" i="9"/>
  <c r="AQ321" i="9"/>
  <c r="AM321" i="9" s="1"/>
  <c r="AQ499" i="9"/>
  <c r="AQ454" i="9"/>
  <c r="AK102" i="9"/>
  <c r="AI102" i="9"/>
  <c r="AJ102" i="9"/>
  <c r="AH102" i="9"/>
  <c r="AK99" i="9"/>
  <c r="AI99" i="9"/>
  <c r="AJ99" i="9"/>
  <c r="AH99" i="9"/>
  <c r="AJ50" i="9"/>
  <c r="AH50" i="9"/>
  <c r="AK50" i="9"/>
  <c r="AI50" i="9"/>
  <c r="AK48" i="9"/>
  <c r="AI48" i="9"/>
  <c r="AJ48" i="9"/>
  <c r="AH48" i="9"/>
  <c r="CP254" i="9"/>
  <c r="CP66" i="9"/>
  <c r="CP65" i="9"/>
  <c r="CP62" i="9"/>
  <c r="CP60" i="9"/>
  <c r="CP71" i="9"/>
  <c r="CP58" i="9"/>
  <c r="CP61" i="9"/>
  <c r="CP69" i="9"/>
  <c r="CP253" i="9"/>
  <c r="CP243" i="9"/>
  <c r="CP57" i="9"/>
  <c r="CP59" i="9"/>
  <c r="CP63" i="9"/>
  <c r="CP64" i="9"/>
  <c r="CP67" i="9"/>
  <c r="CP68" i="9"/>
  <c r="CP70" i="9"/>
  <c r="CP244" i="9"/>
  <c r="CP38" i="9"/>
  <c r="CP456" i="9" s="1"/>
  <c r="CP497" i="9" s="1"/>
  <c r="CP140" i="9"/>
  <c r="CP146" i="9"/>
  <c r="CP85" i="9"/>
  <c r="CP455" i="9" s="1"/>
  <c r="CP72" i="9"/>
  <c r="CP460" i="9" s="1"/>
  <c r="CP501" i="9" s="1"/>
  <c r="AJ84" i="9"/>
  <c r="AH84" i="9"/>
  <c r="AK84" i="9"/>
  <c r="AI84" i="9"/>
  <c r="AJ76" i="9"/>
  <c r="AH76" i="9"/>
  <c r="AK76" i="9"/>
  <c r="AI76" i="9"/>
  <c r="BH26" i="9"/>
  <c r="BK26" i="9" s="1"/>
  <c r="BK5" i="9"/>
  <c r="AZ304" i="9"/>
  <c r="AG304" i="9"/>
  <c r="BF303" i="9"/>
  <c r="AY303" i="9"/>
  <c r="BD307" i="9"/>
  <c r="BE303" i="9"/>
  <c r="AK291" i="9"/>
  <c r="AI291" i="9"/>
  <c r="AJ291" i="9"/>
  <c r="AH291" i="9"/>
  <c r="AK281" i="9"/>
  <c r="AI281" i="9"/>
  <c r="AJ281" i="9"/>
  <c r="AH281" i="9"/>
  <c r="AK278" i="9"/>
  <c r="AI278" i="9"/>
  <c r="AJ278" i="9"/>
  <c r="AH278" i="9"/>
  <c r="AK272" i="9"/>
  <c r="AI272" i="9"/>
  <c r="AJ272" i="9"/>
  <c r="AH272" i="9"/>
  <c r="U470" i="9"/>
  <c r="U301" i="9"/>
  <c r="X241" i="9"/>
  <c r="V241" i="9"/>
  <c r="Y241" i="9"/>
  <c r="W241" i="9"/>
  <c r="CB301" i="9"/>
  <c r="DI241" i="9"/>
  <c r="AC241" i="9"/>
  <c r="AH237" i="9"/>
  <c r="AJ237" i="9"/>
  <c r="AK257" i="9"/>
  <c r="AI257" i="9"/>
  <c r="AJ257" i="9"/>
  <c r="AH257" i="9"/>
  <c r="AK249" i="9"/>
  <c r="AH249" i="9"/>
  <c r="AJ249" i="9"/>
  <c r="CC301" i="9"/>
  <c r="AJ171" i="9"/>
  <c r="AK171" i="9"/>
  <c r="AH171" i="9"/>
  <c r="AK195" i="9"/>
  <c r="AI195" i="9"/>
  <c r="AH195" i="9"/>
  <c r="AJ195" i="9"/>
  <c r="BK139" i="9"/>
  <c r="AK145" i="9"/>
  <c r="AI145" i="9"/>
  <c r="AJ145" i="9"/>
  <c r="AH145" i="9"/>
  <c r="AK129" i="9"/>
  <c r="AI129" i="9"/>
  <c r="AJ129" i="9"/>
  <c r="AH129" i="9"/>
  <c r="AK208" i="9"/>
  <c r="AI208" i="9"/>
  <c r="AJ208" i="9"/>
  <c r="AH208" i="9"/>
  <c r="AK189" i="9"/>
  <c r="AI189" i="9"/>
  <c r="AH189" i="9"/>
  <c r="AJ189" i="9"/>
  <c r="AK92" i="9"/>
  <c r="AI92" i="9"/>
  <c r="AJ92" i="9"/>
  <c r="AH92" i="9"/>
  <c r="AK70" i="9"/>
  <c r="AI70" i="9"/>
  <c r="AJ70" i="9"/>
  <c r="AH70" i="9"/>
  <c r="AK58" i="9"/>
  <c r="AI58" i="9"/>
  <c r="AJ58" i="9"/>
  <c r="AH58" i="9"/>
  <c r="AJ41" i="9"/>
  <c r="AH41" i="9"/>
  <c r="AK41" i="9"/>
  <c r="AI41" i="9"/>
  <c r="AK23" i="9"/>
  <c r="AI23" i="9"/>
  <c r="AJ23" i="9"/>
  <c r="AH23" i="9"/>
  <c r="AJ17" i="9"/>
  <c r="AK17" i="9"/>
  <c r="AH17" i="9"/>
  <c r="AK116" i="9"/>
  <c r="AI116" i="9"/>
  <c r="AJ116" i="9"/>
  <c r="AH116" i="9"/>
  <c r="BQ504" i="9"/>
  <c r="BQ507" i="9" s="1"/>
  <c r="BQ512" i="9" s="1"/>
  <c r="BQ518" i="9"/>
  <c r="AJ62" i="9"/>
  <c r="AH62" i="9"/>
  <c r="AK62" i="9"/>
  <c r="AI62" i="9"/>
  <c r="AK55" i="9"/>
  <c r="AI55" i="9"/>
  <c r="AJ55" i="9"/>
  <c r="AH55" i="9"/>
  <c r="AK52" i="9"/>
  <c r="AI52" i="9"/>
  <c r="AJ52" i="9"/>
  <c r="AH52" i="9"/>
  <c r="CB321" i="9"/>
  <c r="DI321" i="9" s="1"/>
  <c r="CB31" i="9"/>
  <c r="DI28" i="9"/>
  <c r="CC28" i="9"/>
  <c r="AJ30" i="9"/>
  <c r="AH30" i="9"/>
  <c r="AK30" i="9"/>
  <c r="AI30" i="9"/>
  <c r="AH318" i="9"/>
  <c r="AJ318" i="9"/>
  <c r="AJ286" i="9"/>
  <c r="AH286" i="9"/>
  <c r="AK286" i="9"/>
  <c r="AI286" i="9"/>
  <c r="AH274" i="9"/>
  <c r="AJ274" i="9"/>
  <c r="AH254" i="9"/>
  <c r="AJ254" i="9"/>
  <c r="AJ232" i="9"/>
  <c r="AH232" i="9"/>
  <c r="AK232" i="9"/>
  <c r="AI232" i="9"/>
  <c r="AK256" i="9"/>
  <c r="AH256" i="9"/>
  <c r="AJ256" i="9"/>
  <c r="AJ250" i="9"/>
  <c r="AH250" i="9"/>
  <c r="AK225" i="9"/>
  <c r="AI225" i="9"/>
  <c r="AJ225" i="9"/>
  <c r="AH225" i="9"/>
  <c r="AK221" i="9"/>
  <c r="AI221" i="9"/>
  <c r="AJ221" i="9"/>
  <c r="AH221" i="9"/>
  <c r="AK214" i="9"/>
  <c r="AI214" i="9"/>
  <c r="AJ214" i="9"/>
  <c r="AH214" i="9"/>
  <c r="AK186" i="9"/>
  <c r="AI186" i="9"/>
  <c r="AJ186" i="9"/>
  <c r="AH186" i="9"/>
  <c r="AK128" i="9"/>
  <c r="AI128" i="9"/>
  <c r="AJ128" i="9"/>
  <c r="AH128" i="9"/>
  <c r="AK178" i="9"/>
  <c r="AI178" i="9"/>
  <c r="AJ178" i="9"/>
  <c r="AH178" i="9"/>
  <c r="AK172" i="9"/>
  <c r="AI172" i="9"/>
  <c r="AH172" i="9"/>
  <c r="AJ172" i="9"/>
  <c r="AK105" i="9"/>
  <c r="AI105" i="9"/>
  <c r="AJ105" i="9"/>
  <c r="AH105" i="9"/>
  <c r="AK91" i="9"/>
  <c r="AI91" i="9"/>
  <c r="AJ91" i="9"/>
  <c r="AH91" i="9"/>
  <c r="AJ77" i="9"/>
  <c r="AH77" i="9"/>
  <c r="AK77" i="9"/>
  <c r="AI77" i="9"/>
  <c r="AJ46" i="9"/>
  <c r="AH46" i="9"/>
  <c r="AK46" i="9"/>
  <c r="AI46" i="9"/>
  <c r="AU310" i="9"/>
  <c r="BB309" i="9"/>
  <c r="BE309" i="9" s="1"/>
  <c r="BB518" i="9"/>
  <c r="AJ22" i="9"/>
  <c r="AK22" i="9"/>
  <c r="AH22" i="9"/>
  <c r="AJ14" i="9"/>
  <c r="AK14" i="9"/>
  <c r="AH14" i="9"/>
  <c r="CQ318" i="9"/>
  <c r="CQ312" i="9"/>
  <c r="CQ473" i="9" s="1"/>
  <c r="CQ514" i="9" s="1"/>
  <c r="CQ316" i="9"/>
  <c r="CQ313" i="9"/>
  <c r="CQ472" i="9" s="1"/>
  <c r="CQ513" i="9" s="1"/>
  <c r="CQ285" i="9"/>
  <c r="CQ281" i="9"/>
  <c r="CQ279" i="9"/>
  <c r="CQ278" i="9"/>
  <c r="CQ272" i="9"/>
  <c r="CQ436" i="9" s="1"/>
  <c r="CQ265" i="9"/>
  <c r="CQ214" i="9"/>
  <c r="CQ204" i="9"/>
  <c r="CQ180" i="9"/>
  <c r="CQ169" i="9"/>
  <c r="CQ161" i="9"/>
  <c r="CQ206" i="9"/>
  <c r="CQ203" i="9"/>
  <c r="CQ200" i="9"/>
  <c r="CQ192" i="9"/>
  <c r="CQ187" i="9"/>
  <c r="CQ179" i="9"/>
  <c r="CQ174" i="9"/>
  <c r="CQ165" i="9"/>
  <c r="CQ163" i="9"/>
  <c r="CQ129" i="9"/>
  <c r="CQ128" i="9"/>
  <c r="CQ102" i="9"/>
  <c r="CQ101" i="9"/>
  <c r="CQ99" i="9"/>
  <c r="CQ41" i="9"/>
  <c r="CQ46" i="9"/>
  <c r="CQ55" i="9"/>
  <c r="CQ75" i="9"/>
  <c r="CQ89" i="9"/>
  <c r="CQ105" i="9"/>
  <c r="CQ40" i="9"/>
  <c r="CQ92" i="9"/>
  <c r="CQ95" i="9"/>
  <c r="CQ103" i="9"/>
  <c r="CQ20" i="9"/>
  <c r="CQ44" i="9"/>
  <c r="CQ49" i="9"/>
  <c r="CQ50" i="9"/>
  <c r="CQ96" i="9"/>
  <c r="CQ107" i="9"/>
  <c r="CQ123" i="9"/>
  <c r="CQ126" i="9"/>
  <c r="CQ136" i="9"/>
  <c r="CQ145" i="9"/>
  <c r="CQ154" i="9"/>
  <c r="CQ39" i="9"/>
  <c r="CQ119" i="9"/>
  <c r="CQ131" i="9"/>
  <c r="CQ141" i="9"/>
  <c r="CQ144" i="9"/>
  <c r="CQ153" i="9"/>
  <c r="CQ156" i="9"/>
  <c r="CQ157" i="9"/>
  <c r="CQ158" i="9"/>
  <c r="CQ172" i="9"/>
  <c r="CQ176" i="9"/>
  <c r="CQ184" i="9"/>
  <c r="CQ162" i="9"/>
  <c r="CQ164" i="9"/>
  <c r="CQ168" i="9"/>
  <c r="CQ178" i="9"/>
  <c r="CQ181" i="9"/>
  <c r="CQ185" i="9"/>
  <c r="CQ191" i="9"/>
  <c r="CQ194" i="9"/>
  <c r="CQ196" i="9"/>
  <c r="CQ197" i="9"/>
  <c r="CQ199" i="9"/>
  <c r="CQ208" i="9"/>
  <c r="CQ209" i="9"/>
  <c r="CQ211" i="9"/>
  <c r="CQ218" i="9"/>
  <c r="CQ221" i="9"/>
  <c r="CQ235" i="9"/>
  <c r="CQ227" i="9"/>
  <c r="CQ234" i="9"/>
  <c r="CQ246" i="9"/>
  <c r="CQ255" i="9"/>
  <c r="CQ220" i="9"/>
  <c r="CQ231" i="9"/>
  <c r="CQ232" i="9"/>
  <c r="CQ245" i="9"/>
  <c r="CQ258" i="9"/>
  <c r="CQ282" i="9"/>
  <c r="CQ284" i="9"/>
  <c r="CQ287" i="9"/>
  <c r="CQ289" i="9"/>
  <c r="CQ261" i="9"/>
  <c r="CQ263" i="9"/>
  <c r="CQ276" i="9"/>
  <c r="CQ260" i="9"/>
  <c r="CQ266" i="9"/>
  <c r="CQ270" i="9"/>
  <c r="CQ299" i="9"/>
  <c r="CQ295" i="9"/>
  <c r="CQ297" i="9"/>
  <c r="CQ294" i="9"/>
  <c r="CQ314" i="9"/>
  <c r="CQ48" i="9"/>
  <c r="CQ52" i="9"/>
  <c r="CQ457" i="9" s="1"/>
  <c r="CQ498" i="9" s="1"/>
  <c r="CQ82" i="9"/>
  <c r="CQ88" i="9"/>
  <c r="CQ98" i="9"/>
  <c r="CQ109" i="9"/>
  <c r="CQ111" i="9"/>
  <c r="CQ118" i="9"/>
  <c r="CQ42" i="9"/>
  <c r="CQ43" i="9"/>
  <c r="CQ51" i="9"/>
  <c r="CQ54" i="9"/>
  <c r="CQ81" i="9"/>
  <c r="CQ86" i="9"/>
  <c r="CQ91" i="9"/>
  <c r="CQ112" i="9"/>
  <c r="CQ37" i="9"/>
  <c r="CQ45" i="9"/>
  <c r="CQ47" i="9"/>
  <c r="CQ53" i="9"/>
  <c r="CQ90" i="9"/>
  <c r="CQ93" i="9"/>
  <c r="CQ94" i="9"/>
  <c r="CQ97" i="9"/>
  <c r="CQ104" i="9"/>
  <c r="CQ106" i="9"/>
  <c r="CQ108" i="9"/>
  <c r="CQ110" i="9"/>
  <c r="CQ120" i="9"/>
  <c r="CQ121" i="9"/>
  <c r="CQ127" i="9"/>
  <c r="CQ143" i="9"/>
  <c r="CQ36" i="9"/>
  <c r="CQ35" i="9" s="1"/>
  <c r="CQ87" i="9"/>
  <c r="CQ124" i="9"/>
  <c r="CQ125" i="9"/>
  <c r="CQ130" i="9"/>
  <c r="CQ137" i="9"/>
  <c r="CQ152" i="9"/>
  <c r="CQ122" i="9"/>
  <c r="CQ132" i="9"/>
  <c r="CQ142" i="9"/>
  <c r="CQ166" i="9"/>
  <c r="CQ167" i="9"/>
  <c r="CQ173" i="9"/>
  <c r="CQ175" i="9"/>
  <c r="CQ182" i="9"/>
  <c r="CQ189" i="9"/>
  <c r="CQ193" i="9"/>
  <c r="CQ195" i="9"/>
  <c r="CQ202" i="9"/>
  <c r="CQ205" i="9"/>
  <c r="CQ217" i="9"/>
  <c r="CQ155" i="9"/>
  <c r="CQ159" i="9"/>
  <c r="CQ171" i="9"/>
  <c r="CQ183" i="9"/>
  <c r="CQ186" i="9"/>
  <c r="CQ188" i="9"/>
  <c r="CQ190" i="9"/>
  <c r="CQ198" i="9"/>
  <c r="CQ201" i="9"/>
  <c r="CQ207" i="9"/>
  <c r="CQ212" i="9"/>
  <c r="CQ215" i="9"/>
  <c r="CQ219" i="9"/>
  <c r="CQ223" i="9"/>
  <c r="CQ226" i="9"/>
  <c r="CQ222" i="9"/>
  <c r="CQ229" i="9"/>
  <c r="CQ233" i="9"/>
  <c r="CQ224" i="9"/>
  <c r="CQ225" i="9"/>
  <c r="CQ228" i="9"/>
  <c r="CQ236" i="9"/>
  <c r="CQ237" i="9"/>
  <c r="CQ267" i="9"/>
  <c r="CQ269" i="9"/>
  <c r="CQ271" i="9"/>
  <c r="CQ283" i="9"/>
  <c r="CQ288" i="9"/>
  <c r="CQ290" i="9"/>
  <c r="CQ291" i="9"/>
  <c r="CQ259" i="9"/>
  <c r="CQ264" i="9"/>
  <c r="CQ275" i="9"/>
  <c r="CQ286" i="9"/>
  <c r="CQ262" i="9"/>
  <c r="CQ273" i="9"/>
  <c r="CQ293" i="9"/>
  <c r="CQ306" i="9"/>
  <c r="CQ292" i="9"/>
  <c r="CQ296" i="9"/>
  <c r="CQ315" i="9"/>
  <c r="CQ78" i="9"/>
  <c r="CQ298" i="9"/>
  <c r="CQ268" i="9"/>
  <c r="CQ216" i="9"/>
  <c r="CQ100" i="9"/>
  <c r="CQ257" i="9"/>
  <c r="CQ177" i="9"/>
  <c r="AK7" i="9"/>
  <c r="AI7" i="9"/>
  <c r="AJ7" i="9"/>
  <c r="AH7" i="9"/>
  <c r="AK88" i="9"/>
  <c r="AI88" i="9"/>
  <c r="AJ88" i="9"/>
  <c r="AH88" i="9"/>
  <c r="AJ57" i="9"/>
  <c r="AH57" i="9"/>
  <c r="AK57" i="9"/>
  <c r="AI57" i="9"/>
  <c r="AJ24" i="9"/>
  <c r="AH24" i="9"/>
  <c r="DH307" i="9"/>
  <c r="CA323" i="9"/>
  <c r="DH323" i="9" s="1"/>
  <c r="CB325" i="9"/>
  <c r="DI325" i="9" s="1"/>
  <c r="CB26" i="9"/>
  <c r="CC5" i="9"/>
  <c r="AG56" i="9"/>
  <c r="BA56" i="9"/>
  <c r="AZ56" i="9"/>
  <c r="BH321" i="9"/>
  <c r="BH31" i="9"/>
  <c r="BK31" i="9" s="1"/>
  <c r="BK28" i="9"/>
  <c r="AJ312" i="9"/>
  <c r="AK312" i="9"/>
  <c r="AH312" i="9"/>
  <c r="AK284" i="9"/>
  <c r="AI284" i="9"/>
  <c r="AJ284" i="9"/>
  <c r="AH284" i="9"/>
  <c r="AH275" i="9"/>
  <c r="AJ275" i="9"/>
  <c r="AJ316" i="9"/>
  <c r="AH316" i="9"/>
  <c r="AH305" i="9"/>
  <c r="AJ305" i="9"/>
  <c r="AK298" i="9"/>
  <c r="AI298" i="9"/>
  <c r="AJ298" i="9"/>
  <c r="AH298" i="9"/>
  <c r="AK289" i="9"/>
  <c r="AI289" i="9"/>
  <c r="AJ289" i="9"/>
  <c r="AH289" i="9"/>
  <c r="AJ271" i="9"/>
  <c r="AH271" i="9"/>
  <c r="AK271" i="9"/>
  <c r="AI271" i="9"/>
  <c r="AH263" i="9"/>
  <c r="AJ263" i="9"/>
  <c r="AJ258" i="9"/>
  <c r="AH258" i="9"/>
  <c r="AK258" i="9"/>
  <c r="AI258" i="9"/>
  <c r="AJ255" i="9"/>
  <c r="AH255" i="9"/>
  <c r="AK255" i="9"/>
  <c r="AI255" i="9"/>
  <c r="AH251" i="9"/>
  <c r="AJ251" i="9"/>
  <c r="BN301" i="9"/>
  <c r="BP241" i="9"/>
  <c r="BO241" i="9"/>
  <c r="AK259" i="9"/>
  <c r="AH259" i="9"/>
  <c r="AJ259" i="9"/>
  <c r="BG317" i="9"/>
  <c r="BJ317" i="9" s="1"/>
  <c r="AO317" i="9"/>
  <c r="AP317" i="9"/>
  <c r="AS495" i="9"/>
  <c r="AS494" i="9" s="1"/>
  <c r="AS453" i="9"/>
  <c r="AJ192" i="9"/>
  <c r="AH192" i="9"/>
  <c r="AK166" i="9"/>
  <c r="AI166" i="9"/>
  <c r="AH166" i="9"/>
  <c r="AJ166" i="9"/>
  <c r="AK148" i="9"/>
  <c r="AI148" i="9"/>
  <c r="AJ148" i="9"/>
  <c r="AH148" i="9"/>
  <c r="AG146" i="9"/>
  <c r="BA146" i="9"/>
  <c r="AZ146" i="9"/>
  <c r="U458" i="9"/>
  <c r="U499" i="9" s="1"/>
  <c r="X139" i="9"/>
  <c r="V139" i="9"/>
  <c r="Y139" i="9"/>
  <c r="W139" i="9"/>
  <c r="AK143" i="9"/>
  <c r="AI143" i="9"/>
  <c r="AJ143" i="9"/>
  <c r="AH143" i="9"/>
  <c r="AK127" i="9"/>
  <c r="AI127" i="9"/>
  <c r="AJ127" i="9"/>
  <c r="AH127" i="9"/>
  <c r="AK210" i="9"/>
  <c r="AI210" i="9"/>
  <c r="AH210" i="9"/>
  <c r="AJ210" i="9"/>
  <c r="AK182" i="9"/>
  <c r="AI182" i="9"/>
  <c r="AJ182" i="9"/>
  <c r="AH182" i="9"/>
  <c r="AK95" i="9"/>
  <c r="AI95" i="9"/>
  <c r="AJ95" i="9"/>
  <c r="AH95" i="9"/>
  <c r="AJ78" i="9"/>
  <c r="AH78" i="9"/>
  <c r="AK78" i="9"/>
  <c r="AI78" i="9"/>
  <c r="AK74" i="9"/>
  <c r="AI74" i="9"/>
  <c r="AJ74" i="9"/>
  <c r="AH74" i="9"/>
  <c r="AK68" i="9"/>
  <c r="AI68" i="9"/>
  <c r="AJ68" i="9"/>
  <c r="AH68" i="9"/>
  <c r="AK43" i="9"/>
  <c r="AI43" i="9"/>
  <c r="AJ43" i="9"/>
  <c r="AH43" i="9"/>
  <c r="BD239" i="9"/>
  <c r="BE34" i="9"/>
  <c r="AY34" i="9"/>
  <c r="AG34" i="9" s="1"/>
  <c r="BF34" i="9"/>
  <c r="BL319" i="9"/>
  <c r="BL323" i="9" s="1"/>
  <c r="BL325" i="9"/>
  <c r="AG9" i="9"/>
  <c r="BA9" i="9"/>
  <c r="AZ9" i="9"/>
  <c r="CR316" i="9"/>
  <c r="CR313" i="9"/>
  <c r="CR472" i="9" s="1"/>
  <c r="CR513" i="9" s="1"/>
  <c r="CR318" i="9"/>
  <c r="CR314" i="9"/>
  <c r="CR312" i="9"/>
  <c r="CR473" i="9" s="1"/>
  <c r="CR514" i="9" s="1"/>
  <c r="CR306" i="9"/>
  <c r="CR291" i="9"/>
  <c r="CR290" i="9"/>
  <c r="CR289" i="9"/>
  <c r="CR288" i="9"/>
  <c r="CR287" i="9"/>
  <c r="CR284" i="9"/>
  <c r="CR283" i="9"/>
  <c r="CR275" i="9"/>
  <c r="CR269" i="9"/>
  <c r="CR264" i="9"/>
  <c r="CR263" i="9"/>
  <c r="CR259" i="9"/>
  <c r="CR211" i="9"/>
  <c r="CR201" i="9"/>
  <c r="CR195" i="9"/>
  <c r="CR186" i="9"/>
  <c r="CR184" i="9"/>
  <c r="CR181" i="9"/>
  <c r="CR176" i="9"/>
  <c r="CR173" i="9"/>
  <c r="CR167" i="9"/>
  <c r="CR166" i="9"/>
  <c r="CR164" i="9"/>
  <c r="CR158" i="9"/>
  <c r="CR156" i="9"/>
  <c r="CR215" i="9"/>
  <c r="CR209" i="9"/>
  <c r="CR208" i="9"/>
  <c r="CR191" i="9"/>
  <c r="CR189" i="9"/>
  <c r="CR183" i="9"/>
  <c r="CR182" i="9"/>
  <c r="CR178" i="9"/>
  <c r="CR172" i="9"/>
  <c r="CR157" i="9"/>
  <c r="CR154" i="9"/>
  <c r="CR145" i="9"/>
  <c r="CR143" i="9"/>
  <c r="CR130" i="9"/>
  <c r="CR127" i="9"/>
  <c r="CR126" i="9"/>
  <c r="CR125" i="9"/>
  <c r="CR123" i="9"/>
  <c r="CR120" i="9"/>
  <c r="CR81" i="9"/>
  <c r="CR121" i="9"/>
  <c r="CR111" i="9"/>
  <c r="CR109" i="9"/>
  <c r="CR105" i="9"/>
  <c r="CR103" i="9"/>
  <c r="CR95" i="9"/>
  <c r="CR92" i="9"/>
  <c r="CR43" i="9"/>
  <c r="CR47" i="9"/>
  <c r="CR49" i="9"/>
  <c r="CR53" i="9"/>
  <c r="CR90" i="9"/>
  <c r="CR93" i="9"/>
  <c r="CR96" i="9"/>
  <c r="CR106" i="9"/>
  <c r="CR45" i="9"/>
  <c r="CR107" i="9"/>
  <c r="CR110" i="9"/>
  <c r="CR39" i="9"/>
  <c r="CR41" i="9"/>
  <c r="CR46" i="9"/>
  <c r="CR55" i="9"/>
  <c r="CR87" i="9"/>
  <c r="CR89" i="9"/>
  <c r="CR118" i="9"/>
  <c r="CR91" i="9"/>
  <c r="CR119" i="9"/>
  <c r="CR128" i="9"/>
  <c r="CR142" i="9"/>
  <c r="CR153" i="9"/>
  <c r="CR124" i="9"/>
  <c r="CR136" i="9"/>
  <c r="CR137" i="9"/>
  <c r="CR175" i="9"/>
  <c r="CR185" i="9"/>
  <c r="CR193" i="9"/>
  <c r="CR197" i="9"/>
  <c r="CR198" i="9"/>
  <c r="CR200" i="9"/>
  <c r="CR202" i="9"/>
  <c r="CR207" i="9"/>
  <c r="CR217" i="9"/>
  <c r="CR163" i="9"/>
  <c r="CR165" i="9"/>
  <c r="CR192" i="9"/>
  <c r="CR199" i="9"/>
  <c r="CR206" i="9"/>
  <c r="CR212" i="9"/>
  <c r="CR214" i="9"/>
  <c r="CR218" i="9"/>
  <c r="CR219" i="9"/>
  <c r="CR220" i="9"/>
  <c r="CR236" i="9"/>
  <c r="CR222" i="9"/>
  <c r="CR223" i="9"/>
  <c r="CR226" i="9"/>
  <c r="CR227" i="9"/>
  <c r="CR246" i="9"/>
  <c r="CR255" i="9"/>
  <c r="CR258" i="9"/>
  <c r="CR265" i="9"/>
  <c r="CR270" i="9"/>
  <c r="CR273" i="9"/>
  <c r="CR281" i="9"/>
  <c r="CR261" i="9"/>
  <c r="CR271" i="9"/>
  <c r="CR294" i="9"/>
  <c r="CR295" i="9"/>
  <c r="CR44" i="9"/>
  <c r="CR50" i="9"/>
  <c r="CR98" i="9"/>
  <c r="CR99" i="9"/>
  <c r="CR101" i="9"/>
  <c r="CR104" i="9"/>
  <c r="CR36" i="9"/>
  <c r="CR35" i="9" s="1"/>
  <c r="CR37" i="9"/>
  <c r="CR94" i="9"/>
  <c r="CR97" i="9"/>
  <c r="CR102" i="9"/>
  <c r="CR108" i="9"/>
  <c r="CR40" i="9"/>
  <c r="CR42" i="9"/>
  <c r="CR48" i="9"/>
  <c r="CR51" i="9"/>
  <c r="CR54" i="9"/>
  <c r="CR75" i="9"/>
  <c r="CR82" i="9"/>
  <c r="CR86" i="9"/>
  <c r="CR88" i="9"/>
  <c r="CR112" i="9"/>
  <c r="CR122" i="9"/>
  <c r="CR131" i="9"/>
  <c r="CR144" i="9"/>
  <c r="CR20" i="9"/>
  <c r="CR52" i="9"/>
  <c r="CR457" i="9" s="1"/>
  <c r="CR498" i="9" s="1"/>
  <c r="CR129" i="9"/>
  <c r="CR132" i="9"/>
  <c r="CR152" i="9"/>
  <c r="CR159" i="9"/>
  <c r="CR162" i="9"/>
  <c r="CR168" i="9"/>
  <c r="CR180" i="9"/>
  <c r="CR188" i="9"/>
  <c r="CR190" i="9"/>
  <c r="CR194" i="9"/>
  <c r="CR204" i="9"/>
  <c r="CR205" i="9"/>
  <c r="CR141" i="9"/>
  <c r="CR155" i="9"/>
  <c r="CR161" i="9"/>
  <c r="CR169" i="9"/>
  <c r="CR171" i="9"/>
  <c r="CR174" i="9"/>
  <c r="CR179" i="9"/>
  <c r="CR187" i="9"/>
  <c r="CR196" i="9"/>
  <c r="CR203" i="9"/>
  <c r="CR224" i="9"/>
  <c r="CR225" i="9"/>
  <c r="CR232" i="9"/>
  <c r="CR237" i="9"/>
  <c r="CR245" i="9"/>
  <c r="CR228" i="9"/>
  <c r="CR231" i="9"/>
  <c r="CR221" i="9"/>
  <c r="CR229" i="9"/>
  <c r="CR233" i="9"/>
  <c r="CR234" i="9"/>
  <c r="CR235" i="9"/>
  <c r="CR262" i="9"/>
  <c r="CR278" i="9"/>
  <c r="CR285" i="9"/>
  <c r="CR260" i="9"/>
  <c r="CR266" i="9"/>
  <c r="CR279" i="9"/>
  <c r="CR267" i="9"/>
  <c r="CR276" i="9"/>
  <c r="CR282" i="9"/>
  <c r="CR286" i="9"/>
  <c r="CR293" i="9"/>
  <c r="CR272" i="9"/>
  <c r="CR436" i="9" s="1"/>
  <c r="CR292" i="9"/>
  <c r="CR296" i="9"/>
  <c r="CR297" i="9"/>
  <c r="CR299" i="9"/>
  <c r="CR315" i="9"/>
  <c r="CR177" i="9"/>
  <c r="CR257" i="9"/>
  <c r="CR78" i="9"/>
  <c r="CR298" i="9"/>
  <c r="CR268" i="9"/>
  <c r="CR216" i="9"/>
  <c r="CR100" i="9"/>
  <c r="AL239" i="9"/>
  <c r="CC34" i="9"/>
  <c r="AL325" i="9"/>
  <c r="AL321" i="9"/>
  <c r="CC321" i="9" s="1"/>
  <c r="BC239" i="9"/>
  <c r="AV34" i="9"/>
  <c r="BC321" i="9"/>
  <c r="AV321" i="9" s="1"/>
  <c r="AZ85" i="9"/>
  <c r="AG85" i="9"/>
  <c r="BA85" i="9"/>
  <c r="AJ65" i="9"/>
  <c r="AH65" i="9"/>
  <c r="AK65" i="9"/>
  <c r="AI65" i="9"/>
  <c r="BN239" i="9"/>
  <c r="BO34" i="9"/>
  <c r="BP34" i="9"/>
  <c r="AK16" i="9"/>
  <c r="AH16" i="9"/>
  <c r="AJ16" i="9"/>
  <c r="AK313" i="9"/>
  <c r="AH313" i="9"/>
  <c r="AJ313" i="9"/>
  <c r="BP303" i="9"/>
  <c r="BN307" i="9"/>
  <c r="BO303" i="9"/>
  <c r="BO310" i="9"/>
  <c r="AK292" i="9"/>
  <c r="AI292" i="9"/>
  <c r="AJ292" i="9"/>
  <c r="AH292" i="9"/>
  <c r="AK283" i="9"/>
  <c r="AI283" i="9"/>
  <c r="AJ283" i="9"/>
  <c r="AH283" i="9"/>
  <c r="AH279" i="9"/>
  <c r="AJ279" i="9"/>
  <c r="AK285" i="9"/>
  <c r="AI285" i="9"/>
  <c r="AJ285" i="9"/>
  <c r="AH285" i="9"/>
  <c r="AJ248" i="9"/>
  <c r="AK248" i="9"/>
  <c r="AH248" i="9"/>
  <c r="AK234" i="9"/>
  <c r="AI234" i="9"/>
  <c r="AJ234" i="9"/>
  <c r="AH234" i="9"/>
  <c r="AK222" i="9"/>
  <c r="AI222" i="9"/>
  <c r="AJ222" i="9"/>
  <c r="AH222" i="9"/>
  <c r="AK220" i="9"/>
  <c r="AI220" i="9"/>
  <c r="AH220" i="9"/>
  <c r="AJ220" i="9"/>
  <c r="AH173" i="9"/>
  <c r="AJ173" i="9"/>
  <c r="AK204" i="9"/>
  <c r="AI204" i="9"/>
  <c r="AJ204" i="9"/>
  <c r="AH204" i="9"/>
  <c r="P328" i="9"/>
  <c r="P239" i="9"/>
  <c r="Q34" i="9"/>
  <c r="R34" i="9"/>
  <c r="P366" i="9"/>
  <c r="P381" i="9" s="1"/>
  <c r="P329" i="9"/>
  <c r="P325" i="9"/>
  <c r="P321" i="9"/>
  <c r="P327" i="9"/>
  <c r="P308" i="9"/>
  <c r="P337" i="9"/>
  <c r="P32" i="9"/>
  <c r="AK158" i="9"/>
  <c r="AI158" i="9"/>
  <c r="AH158" i="9"/>
  <c r="AJ158" i="9"/>
  <c r="AK215" i="9"/>
  <c r="AI215" i="9"/>
  <c r="AJ215" i="9"/>
  <c r="AH215" i="9"/>
  <c r="BG139" i="9"/>
  <c r="BJ139" i="9" s="1"/>
  <c r="AO139" i="9"/>
  <c r="AP139" i="9"/>
  <c r="AK157" i="9"/>
  <c r="AI157" i="9"/>
  <c r="AH157" i="9"/>
  <c r="AJ157" i="9"/>
  <c r="AK109" i="9"/>
  <c r="AI109" i="9"/>
  <c r="AJ109" i="9"/>
  <c r="AH109" i="9"/>
  <c r="AK69" i="9"/>
  <c r="AI69" i="9"/>
  <c r="AJ69" i="9"/>
  <c r="AH69" i="9"/>
  <c r="AJ53" i="9"/>
  <c r="AH53" i="9"/>
  <c r="AK53" i="9"/>
  <c r="AI53" i="9"/>
  <c r="AJ42" i="9"/>
  <c r="AH42" i="9"/>
  <c r="AK42" i="9"/>
  <c r="AI42" i="9"/>
  <c r="AH18" i="9"/>
  <c r="AJ18" i="9"/>
  <c r="AG13" i="9"/>
  <c r="AZ13" i="9"/>
  <c r="BA13" i="9"/>
  <c r="AK12" i="9"/>
  <c r="AI12" i="9"/>
  <c r="AJ12" i="9"/>
  <c r="AH12" i="9"/>
  <c r="CW8" i="9"/>
  <c r="CW6" i="9" s="1"/>
  <c r="CP230" i="9"/>
  <c r="CP459" i="9"/>
  <c r="CP500" i="9" s="1"/>
  <c r="CP435" i="9"/>
  <c r="CP437" i="9" s="1"/>
  <c r="CP13" i="9"/>
  <c r="CU6" i="9"/>
  <c r="CP170" i="9"/>
  <c r="AJ150" i="9"/>
  <c r="AH150" i="9"/>
  <c r="AK150" i="9"/>
  <c r="AI150" i="9"/>
  <c r="AK118" i="9"/>
  <c r="AI118" i="9"/>
  <c r="AJ118" i="9"/>
  <c r="AH118" i="9"/>
  <c r="AK101" i="9"/>
  <c r="AI101" i="9"/>
  <c r="AJ101" i="9"/>
  <c r="AH101" i="9"/>
  <c r="AK80" i="9"/>
  <c r="AI80" i="9"/>
  <c r="AJ80" i="9"/>
  <c r="AH80" i="9"/>
  <c r="AK75" i="9"/>
  <c r="AI75" i="9"/>
  <c r="AJ75" i="9"/>
  <c r="AH75" i="9"/>
  <c r="AJ66" i="9"/>
  <c r="AH66" i="9"/>
  <c r="AK66" i="9"/>
  <c r="AI66" i="9"/>
  <c r="AJ37" i="9"/>
  <c r="AH37" i="9"/>
  <c r="U496" i="9"/>
  <c r="U454" i="9"/>
  <c r="AK287" i="9"/>
  <c r="AI287" i="9"/>
  <c r="AJ287" i="9"/>
  <c r="AH287" i="9"/>
  <c r="AK265" i="9"/>
  <c r="AI265" i="9"/>
  <c r="AJ265" i="9"/>
  <c r="AH265" i="9"/>
  <c r="AJ270" i="9"/>
  <c r="AH270" i="9"/>
  <c r="AJ260" i="9"/>
  <c r="AH260" i="9"/>
  <c r="AK253" i="9"/>
  <c r="AI253" i="9"/>
  <c r="AJ253" i="9"/>
  <c r="AH253" i="9"/>
  <c r="AX317" i="9"/>
  <c r="AW317" i="9"/>
  <c r="AD241" i="9"/>
  <c r="AJ231" i="9"/>
  <c r="AH231" i="9"/>
  <c r="AK231" i="9"/>
  <c r="AI231" i="9"/>
  <c r="AK229" i="9"/>
  <c r="AI229" i="9"/>
  <c r="AJ229" i="9"/>
  <c r="AH229" i="9"/>
  <c r="AK227" i="9"/>
  <c r="AI227" i="9"/>
  <c r="AJ227" i="9"/>
  <c r="AH227" i="9"/>
  <c r="CC241" i="9"/>
  <c r="AS474" i="9"/>
  <c r="AS515" i="9" s="1"/>
  <c r="AS310" i="9"/>
  <c r="AS309" i="9" s="1"/>
  <c r="AJ175" i="9"/>
  <c r="AH175" i="9"/>
  <c r="AK164" i="9"/>
  <c r="AI164" i="9"/>
  <c r="AJ164" i="9"/>
  <c r="AH164" i="9"/>
  <c r="BI239" i="9"/>
  <c r="BK34" i="9"/>
  <c r="DD31" i="9"/>
  <c r="BI325" i="9"/>
  <c r="BI321" i="9"/>
  <c r="AK154" i="9"/>
  <c r="AI154" i="9"/>
  <c r="AJ154" i="9"/>
  <c r="AH154" i="9"/>
  <c r="AJ136" i="9"/>
  <c r="AH136" i="9"/>
  <c r="AK136" i="9"/>
  <c r="AI136" i="9"/>
  <c r="AJ124" i="9"/>
  <c r="AH124" i="9"/>
  <c r="AK124" i="9"/>
  <c r="AI124" i="9"/>
  <c r="AK200" i="9"/>
  <c r="AI200" i="9"/>
  <c r="AJ200" i="9"/>
  <c r="AH200" i="9"/>
  <c r="AK135" i="9"/>
  <c r="AH135" i="9"/>
  <c r="AJ135" i="9"/>
  <c r="AK111" i="9"/>
  <c r="AI111" i="9"/>
  <c r="AJ111" i="9"/>
  <c r="AH111" i="9"/>
  <c r="AG38" i="9"/>
  <c r="BA38" i="9"/>
  <c r="AZ38" i="9"/>
  <c r="O239" i="9"/>
  <c r="O323" i="9" s="1"/>
  <c r="O337" i="9"/>
  <c r="O308" i="9"/>
  <c r="O321" i="9"/>
  <c r="O325" i="9"/>
  <c r="AK36" i="9"/>
  <c r="AI36" i="9"/>
  <c r="AJ36" i="9"/>
  <c r="AH36" i="9"/>
  <c r="O32" i="9"/>
  <c r="AE160" i="9"/>
  <c r="AC160" i="9"/>
  <c r="AA160" i="9"/>
  <c r="AD160" i="9"/>
  <c r="AF160" i="9"/>
  <c r="AB160" i="9"/>
  <c r="AK121" i="9"/>
  <c r="AI121" i="9"/>
  <c r="AJ121" i="9"/>
  <c r="AH121" i="9"/>
  <c r="AK100" i="9"/>
  <c r="AI100" i="9"/>
  <c r="AJ100" i="9"/>
  <c r="AH100" i="9"/>
  <c r="BQ463" i="9"/>
  <c r="BQ466" i="9" s="1"/>
  <c r="BQ471" i="9" s="1"/>
  <c r="BQ477" i="9"/>
  <c r="AJ81" i="9"/>
  <c r="AH81" i="9"/>
  <c r="AK81" i="9"/>
  <c r="AI81" i="9"/>
  <c r="AJ59" i="9"/>
  <c r="AH59" i="9"/>
  <c r="AK59" i="9"/>
  <c r="AI59" i="9"/>
  <c r="BD321" i="9"/>
  <c r="BE28" i="9"/>
  <c r="BD31" i="9"/>
  <c r="BF28" i="9"/>
  <c r="AY28" i="9"/>
  <c r="AG29" i="9"/>
  <c r="AZ29" i="9"/>
  <c r="AJ21" i="9"/>
  <c r="AH21" i="9"/>
  <c r="AK21" i="9"/>
  <c r="AI21" i="9"/>
  <c r="AJ20" i="9"/>
  <c r="AH20" i="9"/>
  <c r="AK20" i="9"/>
  <c r="AI20" i="9"/>
  <c r="BN325" i="9"/>
  <c r="BN26" i="9"/>
  <c r="BO5" i="9"/>
  <c r="BP5" i="9"/>
  <c r="AJ315" i="9"/>
  <c r="AH315" i="9"/>
  <c r="AK315" i="9"/>
  <c r="AI315" i="9"/>
  <c r="AH306" i="9"/>
  <c r="AJ306" i="9"/>
  <c r="AJ299" i="9"/>
  <c r="AK299" i="9"/>
  <c r="AH299" i="9"/>
  <c r="AK290" i="9"/>
  <c r="AI290" i="9"/>
  <c r="AJ290" i="9"/>
  <c r="AH290" i="9"/>
  <c r="AK264" i="9"/>
  <c r="AI264" i="9"/>
  <c r="AJ264" i="9"/>
  <c r="AH264" i="9"/>
  <c r="AK268" i="9"/>
  <c r="AI268" i="9"/>
  <c r="AJ268" i="9"/>
  <c r="AH268" i="9"/>
  <c r="AG242" i="9"/>
  <c r="AZ242" i="9"/>
  <c r="BA242" i="9"/>
  <c r="BD301" i="9"/>
  <c r="BF241" i="9"/>
  <c r="BE241" i="9"/>
  <c r="AY241" i="9"/>
  <c r="AJ243" i="9"/>
  <c r="AH243" i="9"/>
  <c r="AK243" i="9"/>
  <c r="AI243" i="9"/>
  <c r="AJ261" i="9"/>
  <c r="AH261" i="9"/>
  <c r="AK261" i="9"/>
  <c r="AI261" i="9"/>
  <c r="AH209" i="9"/>
  <c r="AJ209" i="9"/>
  <c r="AH181" i="9"/>
  <c r="AJ181" i="9"/>
  <c r="AH176" i="9"/>
  <c r="AJ176" i="9"/>
  <c r="AK201" i="9"/>
  <c r="AI201" i="9"/>
  <c r="AH201" i="9"/>
  <c r="AJ201" i="9"/>
  <c r="AK167" i="9"/>
  <c r="AI167" i="9"/>
  <c r="AH167" i="9"/>
  <c r="AJ167" i="9"/>
  <c r="AK160" i="9"/>
  <c r="AI160" i="9"/>
  <c r="AH160" i="9"/>
  <c r="AJ160" i="9"/>
  <c r="AK156" i="9"/>
  <c r="AI156" i="9"/>
  <c r="AH156" i="9"/>
  <c r="AJ156" i="9"/>
  <c r="AG140" i="9"/>
  <c r="AZ140" i="9"/>
  <c r="BA140" i="9"/>
  <c r="BF139" i="9"/>
  <c r="BE139" i="9"/>
  <c r="AY139" i="9"/>
  <c r="AG139" i="9" s="1"/>
  <c r="AK134" i="9"/>
  <c r="AI134" i="9"/>
  <c r="AJ134" i="9"/>
  <c r="AH134" i="9"/>
  <c r="AK126" i="9"/>
  <c r="AI126" i="9"/>
  <c r="AJ126" i="9"/>
  <c r="AH126" i="9"/>
  <c r="AK125" i="9"/>
  <c r="AI125" i="9"/>
  <c r="AJ125" i="9"/>
  <c r="AH125" i="9"/>
  <c r="AK115" i="9"/>
  <c r="AI115" i="9"/>
  <c r="AJ115" i="9"/>
  <c r="AH115" i="9"/>
  <c r="AH98" i="9"/>
  <c r="AJ98" i="9"/>
  <c r="AK90" i="9"/>
  <c r="AI90" i="9"/>
  <c r="AJ90" i="9"/>
  <c r="AH90" i="9"/>
  <c r="AJ54" i="9"/>
  <c r="AK54" i="9"/>
  <c r="AH54" i="9"/>
  <c r="AJ51" i="9"/>
  <c r="AK51" i="9"/>
  <c r="AH51" i="9"/>
  <c r="AJ40" i="9"/>
  <c r="AH40" i="9"/>
  <c r="AK40" i="9"/>
  <c r="AI40" i="9"/>
  <c r="BN321" i="9"/>
  <c r="BO28" i="9"/>
  <c r="BN31" i="9"/>
  <c r="BP28" i="9"/>
  <c r="AK11" i="9"/>
  <c r="AI11" i="9"/>
  <c r="AJ11" i="9"/>
  <c r="AH11" i="9"/>
  <c r="BD325" i="9"/>
  <c r="BD26" i="9"/>
  <c r="BE5" i="9"/>
  <c r="AY5" i="9"/>
  <c r="BF5" i="9"/>
  <c r="AG6" i="9"/>
  <c r="BA6" i="9"/>
  <c r="AZ6" i="9"/>
  <c r="AJ83" i="9"/>
  <c r="AH83" i="9"/>
  <c r="AK83" i="9"/>
  <c r="AI83" i="9"/>
  <c r="U34" i="9"/>
  <c r="AG72" i="9"/>
  <c r="BA72" i="9"/>
  <c r="AZ72" i="9"/>
  <c r="AJ73" i="9"/>
  <c r="AH73" i="9"/>
  <c r="AK73" i="9"/>
  <c r="AI73" i="9"/>
  <c r="AJ67" i="9"/>
  <c r="AH67" i="9"/>
  <c r="AK67" i="9"/>
  <c r="AI67" i="9"/>
  <c r="AJ47" i="9"/>
  <c r="AH47" i="9"/>
  <c r="CB239" i="9"/>
  <c r="DI239" i="9" s="1"/>
  <c r="DI34" i="9"/>
  <c r="AJ19" i="9"/>
  <c r="AH19" i="9"/>
  <c r="AJ15" i="9"/>
  <c r="AH15" i="9"/>
  <c r="AK15" i="9"/>
  <c r="AI15" i="9"/>
  <c r="BD38" i="8"/>
  <c r="BR38" i="8" s="1"/>
  <c r="BR36" i="8"/>
  <c r="BO31" i="9" l="1"/>
  <c r="BP31" i="9"/>
  <c r="AJ140" i="9"/>
  <c r="AH140" i="9"/>
  <c r="AK140" i="9"/>
  <c r="AI140" i="9"/>
  <c r="BE301" i="9"/>
  <c r="AY301" i="9"/>
  <c r="BF301" i="9"/>
  <c r="BO325" i="9"/>
  <c r="BP325" i="9"/>
  <c r="AK29" i="9"/>
  <c r="AI29" i="9"/>
  <c r="AJ29" i="9"/>
  <c r="AH29" i="9"/>
  <c r="O338" i="9"/>
  <c r="O360" i="9"/>
  <c r="AJ38" i="9"/>
  <c r="AH38" i="9"/>
  <c r="AK38" i="9"/>
  <c r="AI38" i="9"/>
  <c r="BK321" i="9"/>
  <c r="AS319" i="9"/>
  <c r="AS323" i="9" s="1"/>
  <c r="AS325" i="9"/>
  <c r="U495" i="9"/>
  <c r="U494" i="9" s="1"/>
  <c r="U453" i="9"/>
  <c r="CP469" i="9"/>
  <c r="CP510" i="9" s="1"/>
  <c r="CP5" i="9"/>
  <c r="AK13" i="9"/>
  <c r="AI13" i="9"/>
  <c r="AJ13" i="9"/>
  <c r="AH13" i="9"/>
  <c r="Y32" i="9"/>
  <c r="Q32" i="9"/>
  <c r="X32" i="9"/>
  <c r="R32" i="9"/>
  <c r="AE32" i="9"/>
  <c r="AF32" i="9"/>
  <c r="Y308" i="9"/>
  <c r="X308" i="9"/>
  <c r="Q308" i="9"/>
  <c r="Q321" i="9"/>
  <c r="R321" i="9"/>
  <c r="DC239" i="9"/>
  <c r="R239" i="9"/>
  <c r="Q239" i="9"/>
  <c r="P323" i="9"/>
  <c r="BP239" i="9"/>
  <c r="BO239" i="9"/>
  <c r="AJ85" i="9"/>
  <c r="AH85" i="9"/>
  <c r="AK85" i="9"/>
  <c r="AI85" i="9"/>
  <c r="AW321" i="9"/>
  <c r="AX321" i="9"/>
  <c r="Z321" i="9"/>
  <c r="BA34" i="9"/>
  <c r="AW34" i="9"/>
  <c r="AZ34" i="9"/>
  <c r="AX34" i="9"/>
  <c r="Z34" i="9"/>
  <c r="CR459" i="9"/>
  <c r="CR500" i="9" s="1"/>
  <c r="CR38" i="9"/>
  <c r="CR456" i="9" s="1"/>
  <c r="CR497" i="9" s="1"/>
  <c r="AK9" i="9"/>
  <c r="AI9" i="9"/>
  <c r="AJ9" i="9"/>
  <c r="AH9" i="9"/>
  <c r="AI34" i="9"/>
  <c r="AH34" i="9"/>
  <c r="BF239" i="9"/>
  <c r="BE239" i="9"/>
  <c r="AY239" i="9"/>
  <c r="AG239" i="9" s="1"/>
  <c r="AK146" i="9"/>
  <c r="AI146" i="9"/>
  <c r="AJ146" i="9"/>
  <c r="AH146" i="9"/>
  <c r="AS504" i="9"/>
  <c r="AS507" i="9" s="1"/>
  <c r="AS512" i="9" s="1"/>
  <c r="AS518" i="9"/>
  <c r="AK56" i="9"/>
  <c r="AI56" i="9"/>
  <c r="AJ56" i="9"/>
  <c r="AH56" i="9"/>
  <c r="DI26" i="9"/>
  <c r="CC26" i="9"/>
  <c r="CQ146" i="9"/>
  <c r="CQ459" i="9"/>
  <c r="CQ500" i="9" s="1"/>
  <c r="CQ140" i="9"/>
  <c r="CQ435" i="9"/>
  <c r="CQ437" i="9" s="1"/>
  <c r="CQ13" i="9"/>
  <c r="DI31" i="9"/>
  <c r="CC31" i="9"/>
  <c r="U317" i="9"/>
  <c r="Y301" i="9"/>
  <c r="W301" i="9"/>
  <c r="X301" i="9"/>
  <c r="V301" i="9"/>
  <c r="AD301" i="9"/>
  <c r="AC301" i="9"/>
  <c r="AG303" i="9"/>
  <c r="AZ303" i="9"/>
  <c r="AH304" i="9"/>
  <c r="AJ304" i="9"/>
  <c r="CP56" i="9"/>
  <c r="BG321" i="9"/>
  <c r="BJ321" i="9" s="1"/>
  <c r="AO321" i="9"/>
  <c r="AP321" i="9"/>
  <c r="AM239" i="9"/>
  <c r="AQ311" i="9"/>
  <c r="BA139" i="9"/>
  <c r="U328" i="9"/>
  <c r="U239" i="9"/>
  <c r="Y34" i="9"/>
  <c r="W34" i="9"/>
  <c r="X34" i="9"/>
  <c r="V34" i="9"/>
  <c r="U321" i="9"/>
  <c r="U327" i="9"/>
  <c r="AY325" i="9"/>
  <c r="AG325" i="9" s="1"/>
  <c r="BO321" i="9"/>
  <c r="BP321" i="9"/>
  <c r="AJ72" i="9"/>
  <c r="AH72" i="9"/>
  <c r="AK72" i="9"/>
  <c r="AI72" i="9"/>
  <c r="AK6" i="9"/>
  <c r="AI6" i="9"/>
  <c r="AJ6" i="9"/>
  <c r="AH6" i="9"/>
  <c r="AZ5" i="9"/>
  <c r="AG5" i="9"/>
  <c r="BA5" i="9"/>
  <c r="BF26" i="9"/>
  <c r="BE26" i="9"/>
  <c r="AY26" i="9"/>
  <c r="AJ139" i="9"/>
  <c r="AH139" i="9"/>
  <c r="AK139" i="9"/>
  <c r="AI139" i="9"/>
  <c r="AG241" i="9"/>
  <c r="BA241" i="9"/>
  <c r="AZ241" i="9"/>
  <c r="AJ242" i="9"/>
  <c r="AH242" i="9"/>
  <c r="AK242" i="9"/>
  <c r="AI242" i="9"/>
  <c r="BP26" i="9"/>
  <c r="BO26" i="9"/>
  <c r="AG28" i="9"/>
  <c r="AZ28" i="9"/>
  <c r="BE31" i="9"/>
  <c r="BF31" i="9"/>
  <c r="AY31" i="9"/>
  <c r="BE321" i="9"/>
  <c r="AY321" i="9"/>
  <c r="AG321" i="9" s="1"/>
  <c r="BF321" i="9"/>
  <c r="BK239" i="9"/>
  <c r="BI323" i="9"/>
  <c r="CQ253" i="9"/>
  <c r="CQ58" i="9"/>
  <c r="CQ62" i="9"/>
  <c r="CQ63" i="9"/>
  <c r="CQ60" i="9"/>
  <c r="CQ71" i="9"/>
  <c r="CQ59" i="9"/>
  <c r="CQ64" i="9"/>
  <c r="CQ66" i="9"/>
  <c r="CQ69" i="9"/>
  <c r="CQ70" i="9"/>
  <c r="CQ61" i="9"/>
  <c r="CQ65" i="9"/>
  <c r="CQ67" i="9"/>
  <c r="CQ68" i="9"/>
  <c r="CQ57" i="9"/>
  <c r="CQ254" i="9"/>
  <c r="CQ243" i="9"/>
  <c r="CQ244" i="9"/>
  <c r="P338" i="9"/>
  <c r="P360" i="9"/>
  <c r="Q325" i="9"/>
  <c r="R325" i="9"/>
  <c r="Q328" i="9"/>
  <c r="Q337" i="9"/>
  <c r="Q327" i="9"/>
  <c r="Q366" i="9"/>
  <c r="Q381" i="9" s="1"/>
  <c r="Q329" i="9"/>
  <c r="BO307" i="9"/>
  <c r="BP307" i="9"/>
  <c r="AV239" i="9"/>
  <c r="BC311" i="9"/>
  <c r="CC239" i="9"/>
  <c r="CR230" i="9"/>
  <c r="CR461" i="9" s="1"/>
  <c r="CR502" i="9" s="1"/>
  <c r="CR242" i="9"/>
  <c r="CR241" i="9" s="1"/>
  <c r="CR170" i="9"/>
  <c r="CR160" i="9"/>
  <c r="CR140" i="9"/>
  <c r="CR146" i="9"/>
  <c r="CR435" i="9"/>
  <c r="CR437" i="9" s="1"/>
  <c r="CR13" i="9"/>
  <c r="CR85" i="9"/>
  <c r="CR455" i="9" s="1"/>
  <c r="CR72" i="9"/>
  <c r="CR460" i="9" s="1"/>
  <c r="CR501" i="9" s="1"/>
  <c r="AS463" i="9"/>
  <c r="AS466" i="9" s="1"/>
  <c r="AS471" i="9" s="1"/>
  <c r="AS477" i="9"/>
  <c r="BO301" i="9"/>
  <c r="BP301" i="9"/>
  <c r="CQ170" i="9"/>
  <c r="CQ85" i="9"/>
  <c r="CQ455" i="9" s="1"/>
  <c r="CQ230" i="9"/>
  <c r="CQ38" i="9"/>
  <c r="CQ456" i="9" s="1"/>
  <c r="CQ497" i="9" s="1"/>
  <c r="CQ72" i="9"/>
  <c r="CQ460" i="9" s="1"/>
  <c r="CQ501" i="9" s="1"/>
  <c r="CQ160" i="9"/>
  <c r="BB319" i="9"/>
  <c r="AU309" i="9"/>
  <c r="BB325" i="9"/>
  <c r="AU325" i="9" s="1"/>
  <c r="AL323" i="9"/>
  <c r="DI301" i="9"/>
  <c r="CB323" i="9"/>
  <c r="DI323" i="9" s="1"/>
  <c r="U511" i="9"/>
  <c r="BE307" i="9"/>
  <c r="BF307" i="9"/>
  <c r="AY307" i="9"/>
  <c r="CP496" i="9"/>
  <c r="CP139" i="9"/>
  <c r="CP458" i="9" s="1"/>
  <c r="CP499" i="9" s="1"/>
  <c r="CP468" i="9"/>
  <c r="CP242" i="9"/>
  <c r="CP241" i="9" s="1"/>
  <c r="AQ495" i="9"/>
  <c r="AQ494" i="9" s="1"/>
  <c r="AQ453" i="9"/>
  <c r="BG34" i="9"/>
  <c r="BJ34" i="9" s="1"/>
  <c r="AP34" i="9"/>
  <c r="AO34" i="9"/>
  <c r="BO319" i="9"/>
  <c r="BN323" i="9"/>
  <c r="BP319" i="9"/>
  <c r="BE319" i="9"/>
  <c r="AY319" i="9"/>
  <c r="AG319" i="9" s="1"/>
  <c r="BD323" i="9"/>
  <c r="AF139" i="9"/>
  <c r="AD139" i="9"/>
  <c r="AB139" i="9"/>
  <c r="AE139" i="9"/>
  <c r="AC139" i="9"/>
  <c r="AA139" i="9"/>
  <c r="AZ139" i="9"/>
  <c r="AJ35" i="9"/>
  <c r="AH35" i="9"/>
  <c r="AK35" i="9"/>
  <c r="AI35" i="9"/>
  <c r="AK170" i="9"/>
  <c r="AI170" i="9"/>
  <c r="AH170" i="9"/>
  <c r="AJ170" i="9"/>
  <c r="AJ230" i="9"/>
  <c r="AH230" i="9"/>
  <c r="AK230" i="9"/>
  <c r="AI230" i="9"/>
  <c r="D14" i="1"/>
  <c r="AY323" i="9" l="1"/>
  <c r="AG323" i="9" s="1"/>
  <c r="BO323" i="9"/>
  <c r="BP323" i="9"/>
  <c r="AQ504" i="9"/>
  <c r="AQ507" i="9" s="1"/>
  <c r="AQ512" i="9" s="1"/>
  <c r="CP509" i="9"/>
  <c r="AG307" i="9"/>
  <c r="AZ307" i="9"/>
  <c r="AU319" i="9"/>
  <c r="BB323" i="9"/>
  <c r="AU323" i="9" s="1"/>
  <c r="CQ496" i="9"/>
  <c r="CR469" i="9"/>
  <c r="CR510" i="9" s="1"/>
  <c r="CR5" i="9"/>
  <c r="CR470" i="9"/>
  <c r="CR301" i="9"/>
  <c r="CR317" i="9" s="1"/>
  <c r="CR475" i="9" s="1"/>
  <c r="CR516" i="9" s="1"/>
  <c r="AZ239" i="9"/>
  <c r="AX239" i="9"/>
  <c r="BA239" i="9"/>
  <c r="AW239" i="9"/>
  <c r="Z239" i="9"/>
  <c r="Q360" i="9"/>
  <c r="Q338" i="9"/>
  <c r="AJ241" i="9"/>
  <c r="AH241" i="9"/>
  <c r="AK241" i="9"/>
  <c r="AI241" i="9"/>
  <c r="Y321" i="9"/>
  <c r="W321" i="9"/>
  <c r="X321" i="9"/>
  <c r="V321" i="9"/>
  <c r="AQ474" i="9"/>
  <c r="AQ515" i="9" s="1"/>
  <c r="AQ518" i="9" s="1"/>
  <c r="AM311" i="9"/>
  <c r="AQ310" i="9"/>
  <c r="X317" i="9"/>
  <c r="V317" i="9"/>
  <c r="U475" i="9"/>
  <c r="U516" i="9" s="1"/>
  <c r="AD317" i="9"/>
  <c r="AC317" i="9"/>
  <c r="AI317" i="9"/>
  <c r="AH317" i="9"/>
  <c r="AE34" i="9"/>
  <c r="AC34" i="9"/>
  <c r="AA34" i="9"/>
  <c r="AF34" i="9"/>
  <c r="AD34" i="9"/>
  <c r="AB34" i="9"/>
  <c r="Q323" i="9"/>
  <c r="R323" i="9"/>
  <c r="U504" i="9"/>
  <c r="U507" i="9" s="1"/>
  <c r="U512" i="9" s="1"/>
  <c r="AG301" i="9"/>
  <c r="BA301" i="9"/>
  <c r="AZ301" i="9"/>
  <c r="AQ463" i="9"/>
  <c r="AQ466" i="9" s="1"/>
  <c r="AQ471" i="9" s="1"/>
  <c r="AQ477" i="9"/>
  <c r="CP470" i="9"/>
  <c r="CP511" i="9" s="1"/>
  <c r="CP301" i="9"/>
  <c r="CP317" i="9" s="1"/>
  <c r="CP475" i="9" s="1"/>
  <c r="CP516" i="9" s="1"/>
  <c r="CC323" i="9"/>
  <c r="CR496" i="9"/>
  <c r="CR454" i="9"/>
  <c r="CR139" i="9"/>
  <c r="CR458" i="9" s="1"/>
  <c r="CR499" i="9" s="1"/>
  <c r="AV311" i="9"/>
  <c r="BC310" i="9"/>
  <c r="BH311" i="9"/>
  <c r="BF311" i="9"/>
  <c r="CQ468" i="9"/>
  <c r="CQ242" i="9"/>
  <c r="CQ241" i="9" s="1"/>
  <c r="CQ56" i="9"/>
  <c r="CQ461" i="9" s="1"/>
  <c r="CQ502" i="9" s="1"/>
  <c r="AK321" i="9"/>
  <c r="AI321" i="9"/>
  <c r="AJ321" i="9"/>
  <c r="AH321" i="9"/>
  <c r="AG31" i="9"/>
  <c r="AZ31" i="9"/>
  <c r="AJ28" i="9"/>
  <c r="AH28" i="9"/>
  <c r="AK28" i="9"/>
  <c r="AI28" i="9"/>
  <c r="AG26" i="9"/>
  <c r="AZ26" i="9"/>
  <c r="BA26" i="9"/>
  <c r="AK5" i="9"/>
  <c r="AI5" i="9"/>
  <c r="AJ5" i="9"/>
  <c r="AH5" i="9"/>
  <c r="BE325" i="9"/>
  <c r="X239" i="9"/>
  <c r="V239" i="9"/>
  <c r="Y239" i="9"/>
  <c r="W239" i="9"/>
  <c r="U311" i="9"/>
  <c r="BG239" i="9"/>
  <c r="BJ239" i="9" s="1"/>
  <c r="AP239" i="9"/>
  <c r="AO239" i="9"/>
  <c r="CP461" i="9"/>
  <c r="CP34" i="9"/>
  <c r="AJ303" i="9"/>
  <c r="AH303" i="9"/>
  <c r="CQ469" i="9"/>
  <c r="CQ510" i="9" s="1"/>
  <c r="CQ5" i="9"/>
  <c r="CQ139" i="9"/>
  <c r="CQ458" i="9" s="1"/>
  <c r="CQ499" i="9" s="1"/>
  <c r="AJ239" i="9"/>
  <c r="AH239" i="9"/>
  <c r="AK239" i="9"/>
  <c r="AI239" i="9"/>
  <c r="AJ34" i="9"/>
  <c r="AK34" i="9"/>
  <c r="AE321" i="9"/>
  <c r="AC321" i="9"/>
  <c r="AA321" i="9"/>
  <c r="AF321" i="9"/>
  <c r="AD321" i="9"/>
  <c r="AB321" i="9"/>
  <c r="AZ321" i="9"/>
  <c r="BA321" i="9"/>
  <c r="CP26" i="9"/>
  <c r="U463" i="9"/>
  <c r="U466" i="9" s="1"/>
  <c r="U471" i="9" s="1"/>
  <c r="D36" i="1"/>
  <c r="CQ26" i="9" l="1"/>
  <c r="CP239" i="9"/>
  <c r="CP321" i="9"/>
  <c r="CQ509" i="9"/>
  <c r="BH310" i="9"/>
  <c r="BK311" i="9"/>
  <c r="AZ311" i="9"/>
  <c r="AX311" i="9"/>
  <c r="Z311" i="9"/>
  <c r="BA311" i="9"/>
  <c r="AW311" i="9"/>
  <c r="CR495" i="9"/>
  <c r="CR494" i="9" s="1"/>
  <c r="CR453" i="9"/>
  <c r="CQ34" i="9"/>
  <c r="AQ309" i="9"/>
  <c r="AM310" i="9"/>
  <c r="CR26" i="9"/>
  <c r="CQ454" i="9"/>
  <c r="AH307" i="9"/>
  <c r="AJ307" i="9"/>
  <c r="CP311" i="9"/>
  <c r="CP502" i="9"/>
  <c r="CP454" i="9"/>
  <c r="U474" i="9"/>
  <c r="Y311" i="9"/>
  <c r="W311" i="9"/>
  <c r="V311" i="9"/>
  <c r="X311" i="9"/>
  <c r="U310" i="9"/>
  <c r="AH311" i="9"/>
  <c r="AI311" i="9"/>
  <c r="AJ26" i="9"/>
  <c r="AH26" i="9"/>
  <c r="AK26" i="9"/>
  <c r="AI26" i="9"/>
  <c r="AJ31" i="9"/>
  <c r="AH31" i="9"/>
  <c r="AK31" i="9"/>
  <c r="AI31" i="9"/>
  <c r="CQ470" i="9"/>
  <c r="CQ511" i="9" s="1"/>
  <c r="CQ301" i="9"/>
  <c r="CQ317" i="9" s="1"/>
  <c r="CQ475" i="9" s="1"/>
  <c r="CQ516" i="9" s="1"/>
  <c r="AV310" i="9"/>
  <c r="BC309" i="9"/>
  <c r="BF310" i="9"/>
  <c r="AK301" i="9"/>
  <c r="AI301" i="9"/>
  <c r="AJ301" i="9"/>
  <c r="AH301" i="9"/>
  <c r="CR34" i="9"/>
  <c r="BG311" i="9"/>
  <c r="BJ311" i="9" s="1"/>
  <c r="AO311" i="9"/>
  <c r="AP311" i="9"/>
  <c r="AF239" i="9"/>
  <c r="AD239" i="9"/>
  <c r="AB239" i="9"/>
  <c r="AE239" i="9"/>
  <c r="AC239" i="9"/>
  <c r="AA239" i="9"/>
  <c r="CR511" i="9"/>
  <c r="BE323" i="9"/>
  <c r="AZ310" i="9" l="1"/>
  <c r="AX310" i="9"/>
  <c r="Z310" i="9"/>
  <c r="BA310" i="9"/>
  <c r="AW310" i="9"/>
  <c r="U515" i="9"/>
  <c r="U518" i="9" s="1"/>
  <c r="T519" i="9" s="1"/>
  <c r="U477" i="9"/>
  <c r="T478" i="9" s="1"/>
  <c r="BG310" i="9"/>
  <c r="BJ310" i="9" s="1"/>
  <c r="AO310" i="9"/>
  <c r="AP310" i="9"/>
  <c r="CQ239" i="9"/>
  <c r="CQ321" i="9"/>
  <c r="CR504" i="9"/>
  <c r="CR507" i="9" s="1"/>
  <c r="CQ311" i="9"/>
  <c r="CR512" i="9"/>
  <c r="CR239" i="9"/>
  <c r="CR311" i="9" s="1"/>
  <c r="CR321" i="9"/>
  <c r="BC319" i="9"/>
  <c r="AV309" i="9"/>
  <c r="BC325" i="9"/>
  <c r="BF309" i="9"/>
  <c r="X310" i="9"/>
  <c r="V310" i="9"/>
  <c r="U309" i="9"/>
  <c r="Y310" i="9"/>
  <c r="W310" i="9"/>
  <c r="AH310" i="9"/>
  <c r="AI310" i="9"/>
  <c r="CP495" i="9"/>
  <c r="CP494" i="9" s="1"/>
  <c r="CP453" i="9"/>
  <c r="CP474" i="9"/>
  <c r="CP515" i="9" s="1"/>
  <c r="CP310" i="9"/>
  <c r="CP309" i="9" s="1"/>
  <c r="CQ495" i="9"/>
  <c r="CQ494" i="9" s="1"/>
  <c r="CQ453" i="9"/>
  <c r="AQ319" i="9"/>
  <c r="AM309" i="9"/>
  <c r="AQ325" i="9"/>
  <c r="AM325" i="9" s="1"/>
  <c r="CR463" i="9"/>
  <c r="CR466" i="9" s="1"/>
  <c r="CR471" i="9" s="1"/>
  <c r="AE311" i="9"/>
  <c r="AC311" i="9"/>
  <c r="AA311" i="9"/>
  <c r="AD311" i="9"/>
  <c r="AF311" i="9"/>
  <c r="AB311" i="9"/>
  <c r="AK311" i="9"/>
  <c r="AJ311" i="9"/>
  <c r="BH309" i="9"/>
  <c r="BK310" i="9"/>
  <c r="CR474" i="9" l="1"/>
  <c r="CR310" i="9"/>
  <c r="CR309" i="9" s="1"/>
  <c r="BH319" i="9"/>
  <c r="BK309" i="9"/>
  <c r="BH325" i="9"/>
  <c r="BK325" i="9" s="1"/>
  <c r="BG309" i="9"/>
  <c r="BJ309" i="9" s="1"/>
  <c r="AO309" i="9"/>
  <c r="AP309" i="9"/>
  <c r="CQ504" i="9"/>
  <c r="CQ507" i="9" s="1"/>
  <c r="CQ512" i="9" s="1"/>
  <c r="CP504" i="9"/>
  <c r="CP507" i="9" s="1"/>
  <c r="CP512" i="9" s="1"/>
  <c r="CP518" i="9"/>
  <c r="BA309" i="9"/>
  <c r="AW309" i="9"/>
  <c r="AZ309" i="9"/>
  <c r="AX309" i="9"/>
  <c r="Z309" i="9"/>
  <c r="BG325" i="9"/>
  <c r="BJ325" i="9" s="1"/>
  <c r="AO325" i="9"/>
  <c r="AP325" i="9"/>
  <c r="AQ323" i="9"/>
  <c r="AM323" i="9" s="1"/>
  <c r="AM319" i="9"/>
  <c r="CQ463" i="9"/>
  <c r="CQ466" i="9" s="1"/>
  <c r="CQ471" i="9" s="1"/>
  <c r="CP319" i="9"/>
  <c r="CP323" i="9" s="1"/>
  <c r="CP325" i="9"/>
  <c r="CP463" i="9"/>
  <c r="CP466" i="9" s="1"/>
  <c r="CP471" i="9" s="1"/>
  <c r="CP477" i="9"/>
  <c r="U319" i="9"/>
  <c r="Y309" i="9"/>
  <c r="W309" i="9"/>
  <c r="X309" i="9"/>
  <c r="V309" i="9"/>
  <c r="U325" i="9"/>
  <c r="AI309" i="9"/>
  <c r="AH309" i="9"/>
  <c r="AV325" i="9"/>
  <c r="BF325" i="9"/>
  <c r="BC323" i="9"/>
  <c r="AV319" i="9"/>
  <c r="BF319" i="9"/>
  <c r="CQ474" i="9"/>
  <c r="CQ515" i="9" s="1"/>
  <c r="CQ518" i="9" s="1"/>
  <c r="CQ310" i="9"/>
  <c r="CQ309" i="9" s="1"/>
  <c r="AF310" i="9"/>
  <c r="AD310" i="9"/>
  <c r="AB310" i="9"/>
  <c r="AE310" i="9"/>
  <c r="AC310" i="9"/>
  <c r="AA310" i="9"/>
  <c r="AJ310" i="9"/>
  <c r="AK310" i="9"/>
  <c r="BW86" i="5"/>
  <c r="DI86" i="5" l="1"/>
  <c r="DJ11" i="5"/>
  <c r="AV323" i="9"/>
  <c r="BF323" i="9"/>
  <c r="BA319" i="9"/>
  <c r="AW319" i="9"/>
  <c r="AZ319" i="9"/>
  <c r="AX319" i="9"/>
  <c r="Z319" i="9"/>
  <c r="Y325" i="9"/>
  <c r="W325" i="9"/>
  <c r="X325" i="9"/>
  <c r="V325" i="9"/>
  <c r="AI325" i="9"/>
  <c r="AH325" i="9"/>
  <c r="CQ477" i="9"/>
  <c r="BG319" i="9"/>
  <c r="BJ319" i="9" s="1"/>
  <c r="AO319" i="9"/>
  <c r="AP319" i="9"/>
  <c r="CR319" i="9"/>
  <c r="CR323" i="9" s="1"/>
  <c r="CR325" i="9"/>
  <c r="CQ319" i="9"/>
  <c r="CQ323" i="9" s="1"/>
  <c r="CQ325" i="9"/>
  <c r="BA325" i="9"/>
  <c r="AW325" i="9"/>
  <c r="AZ325" i="9"/>
  <c r="AX325" i="9"/>
  <c r="U323" i="9"/>
  <c r="Y319" i="9"/>
  <c r="W319" i="9"/>
  <c r="X319" i="9"/>
  <c r="V319" i="9"/>
  <c r="AI319" i="9"/>
  <c r="AH319" i="9"/>
  <c r="BG323" i="9"/>
  <c r="BJ323" i="9" s="1"/>
  <c r="AO323" i="9"/>
  <c r="AP323" i="9"/>
  <c r="AE309" i="9"/>
  <c r="AC309" i="9"/>
  <c r="AA309" i="9"/>
  <c r="AF309" i="9"/>
  <c r="AD309" i="9"/>
  <c r="AB309" i="9"/>
  <c r="AK309" i="9"/>
  <c r="AJ309" i="9"/>
  <c r="Z325" i="9"/>
  <c r="BH323" i="9"/>
  <c r="BK323" i="9" s="1"/>
  <c r="BK319" i="9"/>
  <c r="CR515" i="9"/>
  <c r="CR518" i="9" s="1"/>
  <c r="CR477" i="9"/>
  <c r="K68" i="5"/>
  <c r="K66" i="5"/>
  <c r="AE325" i="9" l="1"/>
  <c r="AC325" i="9"/>
  <c r="AA325" i="9"/>
  <c r="AF325" i="9"/>
  <c r="AD325" i="9"/>
  <c r="AB325" i="9"/>
  <c r="AK325" i="9"/>
  <c r="AJ325" i="9"/>
  <c r="Y323" i="9"/>
  <c r="W323" i="9"/>
  <c r="X323" i="9"/>
  <c r="V323" i="9"/>
  <c r="AI323" i="9"/>
  <c r="AH323" i="9"/>
  <c r="AE319" i="9"/>
  <c r="AC319" i="9"/>
  <c r="AA319" i="9"/>
  <c r="AF319" i="9"/>
  <c r="AD319" i="9"/>
  <c r="AB319" i="9"/>
  <c r="AK319" i="9"/>
  <c r="AJ319" i="9"/>
  <c r="BA323" i="9"/>
  <c r="AW323" i="9"/>
  <c r="AZ323" i="9"/>
  <c r="AX323" i="9"/>
  <c r="Z323" i="9"/>
  <c r="K55" i="5"/>
  <c r="K49" i="5"/>
  <c r="K31" i="5"/>
  <c r="R378" i="6"/>
  <c r="Q378" i="6"/>
  <c r="P378" i="6"/>
  <c r="O378" i="6"/>
  <c r="N378" i="6"/>
  <c r="AC377" i="6"/>
  <c r="AB377" i="6"/>
  <c r="R377" i="6"/>
  <c r="Q377" i="6"/>
  <c r="P377" i="6"/>
  <c r="O377" i="6"/>
  <c r="N377" i="6"/>
  <c r="R376" i="6"/>
  <c r="Q376" i="6"/>
  <c r="P376" i="6"/>
  <c r="O376" i="6"/>
  <c r="N376" i="6"/>
  <c r="AB375" i="6"/>
  <c r="R375" i="6"/>
  <c r="Q375" i="6"/>
  <c r="P375" i="6"/>
  <c r="O375" i="6"/>
  <c r="N375" i="6"/>
  <c r="P367" i="6"/>
  <c r="AB361" i="6"/>
  <c r="R361" i="6"/>
  <c r="T361" i="6" s="1"/>
  <c r="Q361" i="6"/>
  <c r="V361" i="6" s="1"/>
  <c r="P361" i="6"/>
  <c r="O361" i="6"/>
  <c r="X361" i="6" s="1"/>
  <c r="N361" i="6"/>
  <c r="M361" i="6"/>
  <c r="L361" i="6"/>
  <c r="K361" i="6"/>
  <c r="J361" i="6"/>
  <c r="J357" i="6"/>
  <c r="AB349" i="6"/>
  <c r="R349" i="6"/>
  <c r="R362" i="6" s="1"/>
  <c r="Q349" i="6"/>
  <c r="Q362" i="6" s="1"/>
  <c r="P349" i="6"/>
  <c r="P362" i="6" s="1"/>
  <c r="O349" i="6"/>
  <c r="O362" i="6" s="1"/>
  <c r="X362" i="6" s="1"/>
  <c r="N349" i="6"/>
  <c r="N362" i="6" s="1"/>
  <c r="M349" i="6"/>
  <c r="M362" i="6" s="1"/>
  <c r="AC347" i="6"/>
  <c r="AB347" i="6"/>
  <c r="R347" i="6"/>
  <c r="Q347" i="6"/>
  <c r="P347" i="6"/>
  <c r="O347" i="6"/>
  <c r="N347" i="6"/>
  <c r="M347" i="6"/>
  <c r="L347" i="6"/>
  <c r="K347" i="6"/>
  <c r="J347" i="6"/>
  <c r="AB346" i="6"/>
  <c r="AB348" i="6" s="1"/>
  <c r="R346" i="6"/>
  <c r="R348" i="6" s="1"/>
  <c r="Q346" i="6"/>
  <c r="Q348" i="6" s="1"/>
  <c r="P346" i="6"/>
  <c r="P348" i="6" s="1"/>
  <c r="P350" i="6" s="1"/>
  <c r="O346" i="6"/>
  <c r="O348" i="6" s="1"/>
  <c r="N346" i="6"/>
  <c r="N348" i="6" s="1"/>
  <c r="N350" i="6" s="1"/>
  <c r="M346" i="6"/>
  <c r="M348" i="6" s="1"/>
  <c r="M350" i="6" s="1"/>
  <c r="L346" i="6"/>
  <c r="L348" i="6" s="1"/>
  <c r="K346" i="6"/>
  <c r="K348" i="6" s="1"/>
  <c r="J346" i="6"/>
  <c r="J348" i="6" s="1"/>
  <c r="X344" i="6"/>
  <c r="W344" i="6"/>
  <c r="V344" i="6"/>
  <c r="U344" i="6"/>
  <c r="R344" i="6"/>
  <c r="Q344" i="6"/>
  <c r="P344" i="6"/>
  <c r="O344" i="6"/>
  <c r="N344" i="6"/>
  <c r="M344" i="6"/>
  <c r="W335" i="6"/>
  <c r="V335" i="6"/>
  <c r="U335" i="6"/>
  <c r="AC331" i="6"/>
  <c r="AC330" i="6"/>
  <c r="AA320" i="6"/>
  <c r="X320" i="6"/>
  <c r="W320" i="6"/>
  <c r="V320" i="6"/>
  <c r="U320" i="6"/>
  <c r="T320" i="6"/>
  <c r="S320" i="6"/>
  <c r="AA319" i="6"/>
  <c r="X319" i="6"/>
  <c r="W319" i="6"/>
  <c r="V319" i="6"/>
  <c r="U319" i="6"/>
  <c r="T319" i="6"/>
  <c r="S319" i="6"/>
  <c r="AA318" i="6"/>
  <c r="X318" i="6"/>
  <c r="W318" i="6"/>
  <c r="V318" i="6"/>
  <c r="U318" i="6"/>
  <c r="T318" i="6"/>
  <c r="S318" i="6"/>
  <c r="AA317" i="6"/>
  <c r="Z317" i="6"/>
  <c r="Y317" i="6"/>
  <c r="X317" i="6"/>
  <c r="W317" i="6"/>
  <c r="V317" i="6"/>
  <c r="U317" i="6"/>
  <c r="T317" i="6"/>
  <c r="S317" i="6"/>
  <c r="AA316" i="6"/>
  <c r="Z316" i="6"/>
  <c r="Y316" i="6"/>
  <c r="X316" i="6"/>
  <c r="W316" i="6"/>
  <c r="V316" i="6"/>
  <c r="U316" i="6"/>
  <c r="T316" i="6"/>
  <c r="S316" i="6"/>
  <c r="Z315" i="6"/>
  <c r="Y315" i="6"/>
  <c r="X315" i="6"/>
  <c r="W315" i="6"/>
  <c r="V315" i="6"/>
  <c r="U315" i="6"/>
  <c r="T315" i="6"/>
  <c r="S315" i="6"/>
  <c r="AA314" i="6"/>
  <c r="Z314" i="6"/>
  <c r="Y314" i="6"/>
  <c r="X314" i="6"/>
  <c r="W314" i="6"/>
  <c r="V314" i="6"/>
  <c r="U314" i="6"/>
  <c r="T314" i="6"/>
  <c r="S314" i="6"/>
  <c r="AA313" i="6"/>
  <c r="Z313" i="6"/>
  <c r="Y313" i="6"/>
  <c r="X313" i="6"/>
  <c r="W313" i="6"/>
  <c r="V313" i="6"/>
  <c r="U313" i="6"/>
  <c r="T313" i="6"/>
  <c r="S313" i="6"/>
  <c r="AA312" i="6"/>
  <c r="Z312" i="6"/>
  <c r="Y312" i="6"/>
  <c r="X312" i="6"/>
  <c r="W312" i="6"/>
  <c r="V312" i="6"/>
  <c r="U312" i="6"/>
  <c r="T312" i="6"/>
  <c r="S312" i="6"/>
  <c r="AA311" i="6"/>
  <c r="Z311" i="6"/>
  <c r="Y311" i="6"/>
  <c r="X311" i="6"/>
  <c r="W311" i="6"/>
  <c r="V311" i="6"/>
  <c r="U311" i="6"/>
  <c r="T311" i="6"/>
  <c r="S311" i="6"/>
  <c r="AA310" i="6"/>
  <c r="Z310" i="6"/>
  <c r="Y310" i="6"/>
  <c r="X310" i="6"/>
  <c r="W310" i="6"/>
  <c r="V310" i="6"/>
  <c r="U310" i="6"/>
  <c r="T310" i="6"/>
  <c r="S310" i="6"/>
  <c r="Z309" i="6"/>
  <c r="Y309" i="6"/>
  <c r="X309" i="6"/>
  <c r="W309" i="6"/>
  <c r="V309" i="6"/>
  <c r="U309" i="6"/>
  <c r="T309" i="6"/>
  <c r="S309" i="6"/>
  <c r="Z308" i="6"/>
  <c r="Y308" i="6"/>
  <c r="X308" i="6"/>
  <c r="W308" i="6"/>
  <c r="V308" i="6"/>
  <c r="U308" i="6"/>
  <c r="T308" i="6"/>
  <c r="S308" i="6"/>
  <c r="Z307" i="6"/>
  <c r="Y307" i="6"/>
  <c r="X307" i="6"/>
  <c r="W307" i="6"/>
  <c r="V307" i="6"/>
  <c r="U307" i="6"/>
  <c r="T307" i="6"/>
  <c r="S307" i="6"/>
  <c r="X306" i="6"/>
  <c r="W306" i="6"/>
  <c r="V306" i="6"/>
  <c r="U306" i="6"/>
  <c r="T306" i="6"/>
  <c r="S306" i="6"/>
  <c r="AA305" i="6"/>
  <c r="Z305" i="6"/>
  <c r="Y305" i="6"/>
  <c r="X305" i="6"/>
  <c r="W305" i="6"/>
  <c r="V305" i="6"/>
  <c r="U305" i="6"/>
  <c r="T305" i="6"/>
  <c r="S305" i="6"/>
  <c r="AA304" i="6"/>
  <c r="Z304" i="6"/>
  <c r="Y304" i="6"/>
  <c r="X304" i="6"/>
  <c r="W304" i="6"/>
  <c r="V304" i="6"/>
  <c r="U304" i="6"/>
  <c r="T304" i="6"/>
  <c r="S304" i="6"/>
  <c r="AA303" i="6"/>
  <c r="Z303" i="6"/>
  <c r="Y303" i="6"/>
  <c r="X303" i="6"/>
  <c r="W303" i="6"/>
  <c r="V303" i="6"/>
  <c r="U303" i="6"/>
  <c r="T303" i="6"/>
  <c r="S303" i="6"/>
  <c r="AA302" i="6"/>
  <c r="Z302" i="6"/>
  <c r="Y302" i="6"/>
  <c r="X302" i="6"/>
  <c r="W302" i="6"/>
  <c r="V302" i="6"/>
  <c r="U302" i="6"/>
  <c r="T302" i="6"/>
  <c r="S302" i="6"/>
  <c r="AA301" i="6"/>
  <c r="Z301" i="6"/>
  <c r="Y301" i="6"/>
  <c r="X301" i="6"/>
  <c r="W301" i="6"/>
  <c r="V301" i="6"/>
  <c r="U301" i="6"/>
  <c r="T301" i="6"/>
  <c r="S301" i="6"/>
  <c r="AA300" i="6"/>
  <c r="Z300" i="6"/>
  <c r="Y300" i="6"/>
  <c r="X300" i="6"/>
  <c r="W300" i="6"/>
  <c r="V300" i="6"/>
  <c r="U300" i="6"/>
  <c r="T300" i="6"/>
  <c r="S300" i="6"/>
  <c r="AA299" i="6"/>
  <c r="Z299" i="6"/>
  <c r="Y299" i="6"/>
  <c r="X299" i="6"/>
  <c r="W299" i="6"/>
  <c r="V299" i="6"/>
  <c r="U299" i="6"/>
  <c r="T299" i="6"/>
  <c r="S299" i="6"/>
  <c r="AA298" i="6"/>
  <c r="Z298" i="6"/>
  <c r="Y298" i="6"/>
  <c r="X298" i="6"/>
  <c r="W298" i="6"/>
  <c r="V298" i="6"/>
  <c r="U298" i="6"/>
  <c r="T298" i="6"/>
  <c r="S298" i="6"/>
  <c r="AA297" i="6"/>
  <c r="Z297" i="6"/>
  <c r="Y297" i="6"/>
  <c r="X297" i="6"/>
  <c r="W297" i="6"/>
  <c r="V297" i="6"/>
  <c r="U297" i="6"/>
  <c r="T297" i="6"/>
  <c r="S297" i="6"/>
  <c r="AA296" i="6"/>
  <c r="Z296" i="6"/>
  <c r="Y296" i="6"/>
  <c r="X296" i="6"/>
  <c r="W296" i="6"/>
  <c r="V296" i="6"/>
  <c r="U296" i="6"/>
  <c r="T296" i="6"/>
  <c r="S296" i="6"/>
  <c r="AA295" i="6"/>
  <c r="Z295" i="6"/>
  <c r="Y295" i="6"/>
  <c r="X295" i="6"/>
  <c r="W295" i="6"/>
  <c r="V295" i="6"/>
  <c r="U295" i="6"/>
  <c r="T295" i="6"/>
  <c r="S295" i="6"/>
  <c r="AA294" i="6"/>
  <c r="Z294" i="6"/>
  <c r="Y294" i="6"/>
  <c r="X294" i="6"/>
  <c r="W294" i="6"/>
  <c r="V294" i="6"/>
  <c r="U294" i="6"/>
  <c r="T294" i="6"/>
  <c r="S294" i="6"/>
  <c r="AA293" i="6"/>
  <c r="Z293" i="6"/>
  <c r="Y293" i="6"/>
  <c r="X293" i="6"/>
  <c r="W293" i="6"/>
  <c r="V293" i="6"/>
  <c r="U293" i="6"/>
  <c r="T293" i="6"/>
  <c r="S293" i="6"/>
  <c r="AA292" i="6"/>
  <c r="Z292" i="6"/>
  <c r="Y292" i="6"/>
  <c r="X292" i="6"/>
  <c r="W292" i="6"/>
  <c r="V292" i="6"/>
  <c r="U292" i="6"/>
  <c r="T292" i="6"/>
  <c r="S292" i="6"/>
  <c r="Z291" i="6"/>
  <c r="Y291" i="6"/>
  <c r="X291" i="6"/>
  <c r="W291" i="6"/>
  <c r="V291" i="6"/>
  <c r="U291" i="6"/>
  <c r="T291" i="6"/>
  <c r="S291" i="6"/>
  <c r="Z290" i="6"/>
  <c r="Y290" i="6"/>
  <c r="X290" i="6"/>
  <c r="W290" i="6"/>
  <c r="V290" i="6"/>
  <c r="U290" i="6"/>
  <c r="T290" i="6"/>
  <c r="S290" i="6"/>
  <c r="Z289" i="6"/>
  <c r="Y289" i="6"/>
  <c r="X289" i="6"/>
  <c r="W289" i="6"/>
  <c r="V289" i="6"/>
  <c r="U289" i="6"/>
  <c r="T289" i="6"/>
  <c r="S289" i="6"/>
  <c r="Z288" i="6"/>
  <c r="Y288" i="6"/>
  <c r="X288" i="6"/>
  <c r="W288" i="6"/>
  <c r="V288" i="6"/>
  <c r="U288" i="6"/>
  <c r="T288" i="6"/>
  <c r="S288" i="6"/>
  <c r="Z287" i="6"/>
  <c r="Y287" i="6"/>
  <c r="X287" i="6"/>
  <c r="W287" i="6"/>
  <c r="V287" i="6"/>
  <c r="U287" i="6"/>
  <c r="T287" i="6"/>
  <c r="S287" i="6"/>
  <c r="Z286" i="6"/>
  <c r="Z285" i="6" s="1"/>
  <c r="Y286" i="6"/>
  <c r="X286" i="6"/>
  <c r="W286" i="6"/>
  <c r="V286" i="6"/>
  <c r="U286" i="6"/>
  <c r="T286" i="6"/>
  <c r="S286" i="6"/>
  <c r="AA285" i="6"/>
  <c r="Y285" i="6"/>
  <c r="BW72" i="5" s="1"/>
  <c r="R285" i="6"/>
  <c r="U285" i="6" s="1"/>
  <c r="Q285" i="6"/>
  <c r="W285" i="6" s="1"/>
  <c r="P285" i="6"/>
  <c r="O285" i="6"/>
  <c r="X285" i="6" s="1"/>
  <c r="N285" i="6"/>
  <c r="M285" i="6"/>
  <c r="L285" i="6"/>
  <c r="K285" i="6"/>
  <c r="J285" i="6"/>
  <c r="I285" i="6"/>
  <c r="H285" i="6"/>
  <c r="G285" i="6"/>
  <c r="AA284" i="6"/>
  <c r="Z284" i="6"/>
  <c r="Y284" i="6"/>
  <c r="BW71" i="5" s="1"/>
  <c r="DI71" i="5" s="1"/>
  <c r="X284" i="6"/>
  <c r="W284" i="6"/>
  <c r="V284" i="6"/>
  <c r="U284" i="6"/>
  <c r="T284" i="6"/>
  <c r="S284" i="6"/>
  <c r="AA283" i="6"/>
  <c r="Z283" i="6"/>
  <c r="Y283" i="6"/>
  <c r="X283" i="6"/>
  <c r="W283" i="6"/>
  <c r="V283" i="6"/>
  <c r="U283" i="6"/>
  <c r="T283" i="6"/>
  <c r="S283" i="6"/>
  <c r="AA282" i="6"/>
  <c r="Z282" i="6"/>
  <c r="Y282" i="6"/>
  <c r="X282" i="6"/>
  <c r="W282" i="6"/>
  <c r="V282" i="6"/>
  <c r="U282" i="6"/>
  <c r="T282" i="6"/>
  <c r="S282" i="6"/>
  <c r="AA281" i="6"/>
  <c r="Z281" i="6"/>
  <c r="Y281" i="6"/>
  <c r="BW69" i="5" s="1"/>
  <c r="X281" i="6"/>
  <c r="W281" i="6"/>
  <c r="V281" i="6"/>
  <c r="U281" i="6"/>
  <c r="T281" i="6"/>
  <c r="S281" i="6"/>
  <c r="R280" i="6"/>
  <c r="U280" i="6" s="1"/>
  <c r="Q280" i="6"/>
  <c r="W280" i="6" s="1"/>
  <c r="P280" i="6"/>
  <c r="O280" i="6"/>
  <c r="X280" i="6" s="1"/>
  <c r="N280" i="6"/>
  <c r="M280" i="6"/>
  <c r="L280" i="6"/>
  <c r="K280" i="6"/>
  <c r="J280" i="6"/>
  <c r="I280" i="6"/>
  <c r="H280" i="6"/>
  <c r="G280" i="6"/>
  <c r="AA279" i="6"/>
  <c r="Z279" i="6"/>
  <c r="Y279" i="6"/>
  <c r="X279" i="6"/>
  <c r="W279" i="6"/>
  <c r="V279" i="6"/>
  <c r="U279" i="6"/>
  <c r="T279" i="6"/>
  <c r="S279" i="6"/>
  <c r="AA278" i="6"/>
  <c r="Z278" i="6"/>
  <c r="Z277" i="6" s="1"/>
  <c r="Y278" i="6"/>
  <c r="X278" i="6"/>
  <c r="W278" i="6"/>
  <c r="V278" i="6"/>
  <c r="U278" i="6"/>
  <c r="T278" i="6"/>
  <c r="S278" i="6"/>
  <c r="AA277" i="6"/>
  <c r="Y277" i="6"/>
  <c r="BW66" i="5" s="1"/>
  <c r="DI66" i="5" s="1"/>
  <c r="R277" i="6"/>
  <c r="V277" i="6" s="1"/>
  <c r="Q277" i="6"/>
  <c r="W277" i="6" s="1"/>
  <c r="P277" i="6"/>
  <c r="O277" i="6"/>
  <c r="X277" i="6" s="1"/>
  <c r="N277" i="6"/>
  <c r="M277" i="6"/>
  <c r="S277" i="6" s="1"/>
  <c r="L277" i="6"/>
  <c r="K277" i="6"/>
  <c r="J277" i="6"/>
  <c r="I277" i="6"/>
  <c r="H277" i="6"/>
  <c r="G277" i="6"/>
  <c r="AA276" i="6"/>
  <c r="AH276" i="6" s="1"/>
  <c r="Z276" i="6"/>
  <c r="Y276" i="6"/>
  <c r="BW59" i="5" s="1"/>
  <c r="DI59" i="5" s="1"/>
  <c r="X276" i="6"/>
  <c r="X347" i="6" s="1"/>
  <c r="W276" i="6"/>
  <c r="W347" i="6" s="1"/>
  <c r="V276" i="6"/>
  <c r="V347" i="6" s="1"/>
  <c r="U276" i="6"/>
  <c r="U347" i="6" s="1"/>
  <c r="T276" i="6"/>
  <c r="T347" i="6" s="1"/>
  <c r="S276" i="6"/>
  <c r="S347" i="6" s="1"/>
  <c r="AB275" i="6"/>
  <c r="AB378" i="6" s="1"/>
  <c r="AA275" i="6"/>
  <c r="AA378" i="6" s="1"/>
  <c r="Z275" i="6"/>
  <c r="Z378" i="6" s="1"/>
  <c r="Y275" i="6"/>
  <c r="Y378" i="6" s="1"/>
  <c r="X275" i="6"/>
  <c r="W275" i="6"/>
  <c r="V275" i="6"/>
  <c r="U275" i="6"/>
  <c r="T275" i="6"/>
  <c r="S275" i="6"/>
  <c r="AA274" i="6"/>
  <c r="Z274" i="6"/>
  <c r="Y274" i="6"/>
  <c r="X274" i="6"/>
  <c r="W274" i="6"/>
  <c r="V274" i="6"/>
  <c r="U274" i="6"/>
  <c r="T274" i="6"/>
  <c r="S274" i="6"/>
  <c r="AA273" i="6"/>
  <c r="Z273" i="6"/>
  <c r="Y273" i="6"/>
  <c r="X273" i="6"/>
  <c r="W273" i="6"/>
  <c r="V273" i="6"/>
  <c r="U273" i="6"/>
  <c r="T273" i="6"/>
  <c r="S273" i="6"/>
  <c r="AA272" i="6"/>
  <c r="Z272" i="6"/>
  <c r="Y272" i="6"/>
  <c r="X272" i="6"/>
  <c r="W272" i="6"/>
  <c r="V272" i="6"/>
  <c r="U272" i="6"/>
  <c r="T272" i="6"/>
  <c r="S272" i="6"/>
  <c r="AA271" i="6"/>
  <c r="Z271" i="6"/>
  <c r="Y271" i="6"/>
  <c r="X271" i="6"/>
  <c r="W271" i="6"/>
  <c r="V271" i="6"/>
  <c r="U271" i="6"/>
  <c r="S271" i="6"/>
  <c r="AA270" i="6"/>
  <c r="Z270" i="6"/>
  <c r="Y270" i="6"/>
  <c r="X270" i="6"/>
  <c r="W270" i="6"/>
  <c r="V270" i="6"/>
  <c r="U270" i="6"/>
  <c r="T270" i="6"/>
  <c r="S270" i="6"/>
  <c r="AA269" i="6"/>
  <c r="Z269" i="6"/>
  <c r="Y269" i="6"/>
  <c r="X269" i="6"/>
  <c r="W269" i="6"/>
  <c r="V269" i="6"/>
  <c r="U269" i="6"/>
  <c r="T269" i="6"/>
  <c r="S269" i="6"/>
  <c r="AA268" i="6"/>
  <c r="Z268" i="6"/>
  <c r="Y268" i="6"/>
  <c r="X268" i="6"/>
  <c r="W268" i="6"/>
  <c r="V268" i="6"/>
  <c r="U268" i="6"/>
  <c r="S268" i="6"/>
  <c r="Z267" i="6"/>
  <c r="Z379" i="6" s="1"/>
  <c r="T267" i="6"/>
  <c r="R267" i="6"/>
  <c r="R379" i="6" s="1"/>
  <c r="Q267" i="6"/>
  <c r="Q379" i="6" s="1"/>
  <c r="P267" i="6"/>
  <c r="P379" i="6" s="1"/>
  <c r="O267" i="6"/>
  <c r="O379" i="6" s="1"/>
  <c r="N267" i="6"/>
  <c r="N379" i="6" s="1"/>
  <c r="M267" i="6"/>
  <c r="L267" i="6"/>
  <c r="K267" i="6"/>
  <c r="J267" i="6"/>
  <c r="I267" i="6"/>
  <c r="H267" i="6"/>
  <c r="G267" i="6"/>
  <c r="AC266" i="6"/>
  <c r="AA266" i="6"/>
  <c r="AH266" i="6" s="1"/>
  <c r="Z266" i="6"/>
  <c r="AF266" i="6" s="1"/>
  <c r="Y266" i="6"/>
  <c r="AD266" i="6" s="1"/>
  <c r="X266" i="6"/>
  <c r="W266" i="6"/>
  <c r="V266" i="6"/>
  <c r="U266" i="6"/>
  <c r="T266" i="6"/>
  <c r="S266" i="6"/>
  <c r="AA265" i="6"/>
  <c r="AH265" i="6" s="1"/>
  <c r="Z265" i="6"/>
  <c r="AF265" i="6" s="1"/>
  <c r="Y265" i="6"/>
  <c r="AD265" i="6" s="1"/>
  <c r="X265" i="6"/>
  <c r="W265" i="6"/>
  <c r="V265" i="6"/>
  <c r="U265" i="6"/>
  <c r="T265" i="6"/>
  <c r="S265" i="6"/>
  <c r="AC264" i="6"/>
  <c r="AA264" i="6"/>
  <c r="AI264" i="6" s="1"/>
  <c r="Z264" i="6"/>
  <c r="AG264" i="6" s="1"/>
  <c r="Y264" i="6"/>
  <c r="AE264" i="6" s="1"/>
  <c r="X264" i="6"/>
  <c r="W264" i="6"/>
  <c r="V264" i="6"/>
  <c r="U264" i="6"/>
  <c r="T264" i="6"/>
  <c r="S264" i="6"/>
  <c r="AC263" i="6"/>
  <c r="AA263" i="6"/>
  <c r="AI263" i="6" s="1"/>
  <c r="Z263" i="6"/>
  <c r="AG263" i="6" s="1"/>
  <c r="Y263" i="6"/>
  <c r="AE263" i="6" s="1"/>
  <c r="X263" i="6"/>
  <c r="W263" i="6"/>
  <c r="V263" i="6"/>
  <c r="U263" i="6"/>
  <c r="T263" i="6"/>
  <c r="S263" i="6"/>
  <c r="AC262" i="6"/>
  <c r="AB262" i="6"/>
  <c r="Z262" i="6"/>
  <c r="O262" i="6"/>
  <c r="X262" i="6" s="1"/>
  <c r="N262" i="6"/>
  <c r="M262" i="6"/>
  <c r="L262" i="6"/>
  <c r="K262" i="6"/>
  <c r="J262" i="6"/>
  <c r="I262" i="6"/>
  <c r="H262" i="6"/>
  <c r="G262" i="6"/>
  <c r="AA261" i="6"/>
  <c r="Z261" i="6"/>
  <c r="Y261" i="6"/>
  <c r="X261" i="6"/>
  <c r="W261" i="6"/>
  <c r="V261" i="6"/>
  <c r="U261" i="6"/>
  <c r="T261" i="6"/>
  <c r="S261" i="6"/>
  <c r="AA260" i="6"/>
  <c r="Z260" i="6"/>
  <c r="Y260" i="6"/>
  <c r="X260" i="6"/>
  <c r="W260" i="6"/>
  <c r="V260" i="6"/>
  <c r="U260" i="6"/>
  <c r="T260" i="6"/>
  <c r="S260" i="6"/>
  <c r="AA259" i="6"/>
  <c r="Z259" i="6"/>
  <c r="Y259" i="6"/>
  <c r="X259" i="6"/>
  <c r="W259" i="6"/>
  <c r="V259" i="6"/>
  <c r="U259" i="6"/>
  <c r="T259" i="6"/>
  <c r="S259" i="6"/>
  <c r="AA258" i="6"/>
  <c r="Z258" i="6"/>
  <c r="Y258" i="6"/>
  <c r="X258" i="6"/>
  <c r="W258" i="6"/>
  <c r="V258" i="6"/>
  <c r="U258" i="6"/>
  <c r="T258" i="6"/>
  <c r="S258" i="6"/>
  <c r="AA257" i="6"/>
  <c r="AC257" i="6" s="1"/>
  <c r="Z257" i="6"/>
  <c r="Y257" i="6"/>
  <c r="X257" i="6"/>
  <c r="W257" i="6"/>
  <c r="V257" i="6"/>
  <c r="U257" i="6"/>
  <c r="T257" i="6"/>
  <c r="S257" i="6"/>
  <c r="AA256" i="6"/>
  <c r="Z256" i="6"/>
  <c r="Y256" i="6"/>
  <c r="X256" i="6"/>
  <c r="W256" i="6"/>
  <c r="V256" i="6"/>
  <c r="U256" i="6"/>
  <c r="T256" i="6"/>
  <c r="S256" i="6"/>
  <c r="AA255" i="6"/>
  <c r="Z255" i="6"/>
  <c r="Y255" i="6"/>
  <c r="X255" i="6"/>
  <c r="W255" i="6"/>
  <c r="V255" i="6"/>
  <c r="U255" i="6"/>
  <c r="T255" i="6"/>
  <c r="S255" i="6"/>
  <c r="AA254" i="6"/>
  <c r="AA376" i="6" s="1"/>
  <c r="Z254" i="6"/>
  <c r="Z376" i="6" s="1"/>
  <c r="Y254" i="6"/>
  <c r="Y376" i="6" s="1"/>
  <c r="X254" i="6"/>
  <c r="W254" i="6"/>
  <c r="V254" i="6"/>
  <c r="U254" i="6"/>
  <c r="T254" i="6"/>
  <c r="S254" i="6"/>
  <c r="AC253" i="6"/>
  <c r="AA253" i="6"/>
  <c r="AH253" i="6" s="1"/>
  <c r="Z253" i="6"/>
  <c r="AG253" i="6" s="1"/>
  <c r="Y253" i="6"/>
  <c r="AD253" i="6" s="1"/>
  <c r="X253" i="6"/>
  <c r="W253" i="6"/>
  <c r="V253" i="6"/>
  <c r="U253" i="6"/>
  <c r="T253" i="6"/>
  <c r="S253" i="6"/>
  <c r="AC252" i="6"/>
  <c r="AA252" i="6"/>
  <c r="AH252" i="6" s="1"/>
  <c r="Z252" i="6"/>
  <c r="AG252" i="6" s="1"/>
  <c r="Y252" i="6"/>
  <c r="AD252" i="6" s="1"/>
  <c r="X252" i="6"/>
  <c r="W252" i="6"/>
  <c r="V252" i="6"/>
  <c r="U252" i="6"/>
  <c r="T252" i="6"/>
  <c r="S252" i="6"/>
  <c r="AC251" i="6"/>
  <c r="AA251" i="6"/>
  <c r="AI251" i="6" s="1"/>
  <c r="Z251" i="6"/>
  <c r="AG251" i="6" s="1"/>
  <c r="Y251" i="6"/>
  <c r="AD251" i="6" s="1"/>
  <c r="X251" i="6"/>
  <c r="W251" i="6"/>
  <c r="V251" i="6"/>
  <c r="U251" i="6"/>
  <c r="T251" i="6"/>
  <c r="S251" i="6"/>
  <c r="AI250" i="6"/>
  <c r="AH250" i="6"/>
  <c r="AC250" i="6"/>
  <c r="Z250" i="6"/>
  <c r="AG250" i="6" s="1"/>
  <c r="Y250" i="6"/>
  <c r="AD250" i="6" s="1"/>
  <c r="X250" i="6"/>
  <c r="X349" i="6" s="1"/>
  <c r="W250" i="6"/>
  <c r="V250" i="6"/>
  <c r="V349" i="6" s="1"/>
  <c r="U250" i="6"/>
  <c r="T250" i="6"/>
  <c r="T349" i="6" s="1"/>
  <c r="S250" i="6"/>
  <c r="AA249" i="6"/>
  <c r="U249" i="6"/>
  <c r="R249" i="6"/>
  <c r="Q249" i="6"/>
  <c r="P249" i="6"/>
  <c r="O249" i="6"/>
  <c r="O321" i="6" s="1"/>
  <c r="N249" i="6"/>
  <c r="N321" i="6" s="1"/>
  <c r="M249" i="6"/>
  <c r="M321" i="6" s="1"/>
  <c r="L249" i="6"/>
  <c r="L321" i="6" s="1"/>
  <c r="K249" i="6"/>
  <c r="K321" i="6" s="1"/>
  <c r="J249" i="6"/>
  <c r="J321" i="6" s="1"/>
  <c r="I249" i="6"/>
  <c r="I321" i="6" s="1"/>
  <c r="H249" i="6"/>
  <c r="H321" i="6" s="1"/>
  <c r="G249" i="6"/>
  <c r="G321" i="6" s="1"/>
  <c r="AC248" i="6"/>
  <c r="AC346" i="6" s="1"/>
  <c r="AC348" i="6" s="1"/>
  <c r="AA248" i="6"/>
  <c r="AA346" i="6" s="1"/>
  <c r="Z248" i="6"/>
  <c r="Z346" i="6" s="1"/>
  <c r="Y248" i="6"/>
  <c r="Y346" i="6" s="1"/>
  <c r="X248" i="6"/>
  <c r="X346" i="6" s="1"/>
  <c r="W248" i="6"/>
  <c r="W346" i="6" s="1"/>
  <c r="V248" i="6"/>
  <c r="V346" i="6" s="1"/>
  <c r="U248" i="6"/>
  <c r="U346" i="6" s="1"/>
  <c r="T248" i="6"/>
  <c r="T346" i="6" s="1"/>
  <c r="S248" i="6"/>
  <c r="S346" i="6" s="1"/>
  <c r="AA247" i="6"/>
  <c r="Z247" i="6"/>
  <c r="Y247" i="6"/>
  <c r="BW56" i="5" s="1"/>
  <c r="DI56" i="5" s="1"/>
  <c r="X247" i="6"/>
  <c r="W247" i="6"/>
  <c r="V247" i="6"/>
  <c r="U247" i="6"/>
  <c r="T247" i="6"/>
  <c r="S247" i="6"/>
  <c r="AA245" i="6"/>
  <c r="Z245" i="6"/>
  <c r="Y245" i="6"/>
  <c r="BW49" i="5" s="1"/>
  <c r="DI49" i="5" s="1"/>
  <c r="X245" i="6"/>
  <c r="W245" i="6"/>
  <c r="V245" i="6"/>
  <c r="U245" i="6"/>
  <c r="T245" i="6"/>
  <c r="S245" i="6"/>
  <c r="AG244" i="6"/>
  <c r="AF244" i="6"/>
  <c r="AE244" i="6"/>
  <c r="AD244" i="6"/>
  <c r="AC244" i="6"/>
  <c r="AA244" i="6"/>
  <c r="AH244" i="6" s="1"/>
  <c r="X244" i="6"/>
  <c r="W244" i="6"/>
  <c r="V244" i="6"/>
  <c r="U244" i="6"/>
  <c r="T244" i="6"/>
  <c r="S244" i="6"/>
  <c r="AA243" i="6"/>
  <c r="Z243" i="6"/>
  <c r="Y243" i="6"/>
  <c r="BW50" i="5" s="1"/>
  <c r="DI50" i="5" s="1"/>
  <c r="X243" i="6"/>
  <c r="W243" i="6"/>
  <c r="V243" i="6"/>
  <c r="U243" i="6"/>
  <c r="T243" i="6"/>
  <c r="S243" i="6"/>
  <c r="AA242" i="6"/>
  <c r="Z242" i="6"/>
  <c r="Y242" i="6"/>
  <c r="X242" i="6"/>
  <c r="R242" i="6"/>
  <c r="V242" i="6" s="1"/>
  <c r="Q242" i="6"/>
  <c r="W242" i="6" s="1"/>
  <c r="P242" i="6"/>
  <c r="O242" i="6"/>
  <c r="N242" i="6"/>
  <c r="M242" i="6"/>
  <c r="L242" i="6"/>
  <c r="K242" i="6"/>
  <c r="J242" i="6"/>
  <c r="I242" i="6"/>
  <c r="H242" i="6"/>
  <c r="G242" i="6"/>
  <c r="AA241" i="6"/>
  <c r="AA240" i="6" s="1"/>
  <c r="Z241" i="6"/>
  <c r="Y241" i="6"/>
  <c r="Y240" i="6" s="1"/>
  <c r="BW47" i="5" s="1"/>
  <c r="DI47" i="5" s="1"/>
  <c r="X241" i="6"/>
  <c r="W241" i="6"/>
  <c r="V241" i="6"/>
  <c r="U241" i="6"/>
  <c r="T241" i="6"/>
  <c r="S241" i="6"/>
  <c r="Z240" i="6"/>
  <c r="X240" i="6"/>
  <c r="W240" i="6"/>
  <c r="V240" i="6"/>
  <c r="U240" i="6"/>
  <c r="T240" i="6"/>
  <c r="S240" i="6"/>
  <c r="L240" i="6"/>
  <c r="K240" i="6"/>
  <c r="J240" i="6"/>
  <c r="I240" i="6"/>
  <c r="H240" i="6"/>
  <c r="G240" i="6"/>
  <c r="AA239" i="6"/>
  <c r="Z239" i="6"/>
  <c r="Y239" i="6"/>
  <c r="X239" i="6"/>
  <c r="W239" i="6"/>
  <c r="V239" i="6"/>
  <c r="U239" i="6"/>
  <c r="T239" i="6"/>
  <c r="S239" i="6"/>
  <c r="AA238" i="6"/>
  <c r="Z238" i="6"/>
  <c r="Y238" i="6"/>
  <c r="X238" i="6"/>
  <c r="W238" i="6"/>
  <c r="V238" i="6"/>
  <c r="U238" i="6"/>
  <c r="T238" i="6"/>
  <c r="S238" i="6"/>
  <c r="AA237" i="6"/>
  <c r="Z237" i="6"/>
  <c r="Y237" i="6"/>
  <c r="X237" i="6"/>
  <c r="W237" i="6"/>
  <c r="V237" i="6"/>
  <c r="U237" i="6"/>
  <c r="T237" i="6"/>
  <c r="S237" i="6"/>
  <c r="AA236" i="6"/>
  <c r="Z236" i="6"/>
  <c r="Z234" i="6" s="1"/>
  <c r="Y236" i="6"/>
  <c r="X236" i="6"/>
  <c r="W236" i="6"/>
  <c r="V236" i="6"/>
  <c r="U236" i="6"/>
  <c r="T236" i="6"/>
  <c r="S236" i="6"/>
  <c r="AA235" i="6"/>
  <c r="AA234" i="6" s="1"/>
  <c r="Z235" i="6"/>
  <c r="Y235" i="6"/>
  <c r="X235" i="6"/>
  <c r="W235" i="6"/>
  <c r="V235" i="6"/>
  <c r="U235" i="6"/>
  <c r="T235" i="6"/>
  <c r="S235" i="6"/>
  <c r="X234" i="6"/>
  <c r="R234" i="6"/>
  <c r="V234" i="6" s="1"/>
  <c r="Q234" i="6"/>
  <c r="W234" i="6" s="1"/>
  <c r="P234" i="6"/>
  <c r="O234" i="6"/>
  <c r="N234" i="6"/>
  <c r="M234" i="6"/>
  <c r="L234" i="6"/>
  <c r="K234" i="6"/>
  <c r="J234" i="6"/>
  <c r="I234" i="6"/>
  <c r="H234" i="6"/>
  <c r="G234" i="6"/>
  <c r="Z233" i="6"/>
  <c r="Y233" i="6"/>
  <c r="X233" i="6"/>
  <c r="W233" i="6"/>
  <c r="V233" i="6"/>
  <c r="U233" i="6"/>
  <c r="T233" i="6"/>
  <c r="S233" i="6"/>
  <c r="AA232" i="6"/>
  <c r="Z232" i="6"/>
  <c r="Y232" i="6"/>
  <c r="X232" i="6"/>
  <c r="W232" i="6"/>
  <c r="V232" i="6"/>
  <c r="U232" i="6"/>
  <c r="T232" i="6"/>
  <c r="S232" i="6"/>
  <c r="AA231" i="6"/>
  <c r="Z231" i="6"/>
  <c r="Y231" i="6"/>
  <c r="X231" i="6"/>
  <c r="W231" i="6"/>
  <c r="V231" i="6"/>
  <c r="U231" i="6"/>
  <c r="T231" i="6"/>
  <c r="S231" i="6"/>
  <c r="AA230" i="6"/>
  <c r="Z230" i="6"/>
  <c r="Y230" i="6"/>
  <c r="X230" i="6"/>
  <c r="W230" i="6"/>
  <c r="V230" i="6"/>
  <c r="U230" i="6"/>
  <c r="T230" i="6"/>
  <c r="S230" i="6"/>
  <c r="AA229" i="6"/>
  <c r="Z229" i="6"/>
  <c r="Y229" i="6"/>
  <c r="X229" i="6"/>
  <c r="W229" i="6"/>
  <c r="V229" i="6"/>
  <c r="U229" i="6"/>
  <c r="T229" i="6"/>
  <c r="S229" i="6"/>
  <c r="Y228" i="6"/>
  <c r="BW45" i="5" s="1"/>
  <c r="DI45" i="5" s="1"/>
  <c r="U228" i="6"/>
  <c r="R228" i="6"/>
  <c r="V228" i="6" s="1"/>
  <c r="Q228" i="6"/>
  <c r="W228" i="6" s="1"/>
  <c r="P228" i="6"/>
  <c r="O228" i="6"/>
  <c r="X228" i="6" s="1"/>
  <c r="N228" i="6"/>
  <c r="M228" i="6"/>
  <c r="S228" i="6" s="1"/>
  <c r="L228" i="6"/>
  <c r="K228" i="6"/>
  <c r="J228" i="6"/>
  <c r="I228" i="6"/>
  <c r="H228" i="6"/>
  <c r="G228" i="6"/>
  <c r="AA227" i="6"/>
  <c r="Z227" i="6"/>
  <c r="Y227" i="6"/>
  <c r="X227" i="6"/>
  <c r="W227" i="6"/>
  <c r="V227" i="6"/>
  <c r="U227" i="6"/>
  <c r="T227" i="6"/>
  <c r="S227" i="6"/>
  <c r="AA226" i="6"/>
  <c r="Z226" i="6"/>
  <c r="Y226" i="6"/>
  <c r="X226" i="6"/>
  <c r="W226" i="6"/>
  <c r="V226" i="6"/>
  <c r="U226" i="6"/>
  <c r="T226" i="6"/>
  <c r="S226" i="6"/>
  <c r="AA225" i="6"/>
  <c r="Z225" i="6"/>
  <c r="Y225" i="6"/>
  <c r="X225" i="6"/>
  <c r="W225" i="6"/>
  <c r="V225" i="6"/>
  <c r="U225" i="6"/>
  <c r="T225" i="6"/>
  <c r="S225" i="6"/>
  <c r="AA224" i="6"/>
  <c r="Z224" i="6"/>
  <c r="Y224" i="6"/>
  <c r="X224" i="6"/>
  <c r="W224" i="6"/>
  <c r="V224" i="6"/>
  <c r="U224" i="6"/>
  <c r="T224" i="6"/>
  <c r="S224" i="6"/>
  <c r="AA223" i="6"/>
  <c r="Z223" i="6"/>
  <c r="Y223" i="6"/>
  <c r="X223" i="6"/>
  <c r="W223" i="6"/>
  <c r="V223" i="6"/>
  <c r="U223" i="6"/>
  <c r="T223" i="6"/>
  <c r="S223" i="6"/>
  <c r="AA222" i="6"/>
  <c r="Z222" i="6"/>
  <c r="Z220" i="6" s="1"/>
  <c r="Y222" i="6"/>
  <c r="X222" i="6"/>
  <c r="W222" i="6"/>
  <c r="V222" i="6"/>
  <c r="U222" i="6"/>
  <c r="T222" i="6"/>
  <c r="S222" i="6"/>
  <c r="AA221" i="6"/>
  <c r="AA220" i="6" s="1"/>
  <c r="Z221" i="6"/>
  <c r="Y221" i="6"/>
  <c r="X221" i="6"/>
  <c r="W221" i="6"/>
  <c r="V221" i="6"/>
  <c r="U221" i="6"/>
  <c r="T221" i="6"/>
  <c r="S221" i="6"/>
  <c r="X220" i="6"/>
  <c r="R220" i="6"/>
  <c r="V220" i="6" s="1"/>
  <c r="Q220" i="6"/>
  <c r="W220" i="6" s="1"/>
  <c r="P220" i="6"/>
  <c r="O220" i="6"/>
  <c r="N220" i="6"/>
  <c r="M220" i="6"/>
  <c r="L220" i="6"/>
  <c r="K220" i="6"/>
  <c r="J220" i="6"/>
  <c r="I220" i="6"/>
  <c r="H220" i="6"/>
  <c r="G220" i="6"/>
  <c r="AA219" i="6"/>
  <c r="Z219" i="6"/>
  <c r="Y219" i="6"/>
  <c r="X219" i="6"/>
  <c r="W219" i="6"/>
  <c r="V219" i="6"/>
  <c r="U219" i="6"/>
  <c r="T219" i="6"/>
  <c r="S219" i="6"/>
  <c r="AA218" i="6"/>
  <c r="Z218" i="6"/>
  <c r="Y218" i="6"/>
  <c r="X218" i="6"/>
  <c r="W218" i="6"/>
  <c r="V218" i="6"/>
  <c r="U218" i="6"/>
  <c r="T218" i="6"/>
  <c r="S218" i="6"/>
  <c r="AA217" i="6"/>
  <c r="Z217" i="6"/>
  <c r="Y217" i="6"/>
  <c r="X217" i="6"/>
  <c r="W217" i="6"/>
  <c r="V217" i="6"/>
  <c r="U217" i="6"/>
  <c r="T217" i="6"/>
  <c r="S217" i="6"/>
  <c r="AA216" i="6"/>
  <c r="Z216" i="6"/>
  <c r="Z214" i="6" s="1"/>
  <c r="Y216" i="6"/>
  <c r="X216" i="6"/>
  <c r="W216" i="6"/>
  <c r="V216" i="6"/>
  <c r="U216" i="6"/>
  <c r="T216" i="6"/>
  <c r="S216" i="6"/>
  <c r="AA215" i="6"/>
  <c r="Z215" i="6"/>
  <c r="Y215" i="6"/>
  <c r="X215" i="6"/>
  <c r="W215" i="6"/>
  <c r="V215" i="6"/>
  <c r="U215" i="6"/>
  <c r="T215" i="6"/>
  <c r="S215" i="6"/>
  <c r="X214" i="6"/>
  <c r="R214" i="6"/>
  <c r="V214" i="6" s="1"/>
  <c r="Q214" i="6"/>
  <c r="W214" i="6" s="1"/>
  <c r="P214" i="6"/>
  <c r="O214" i="6"/>
  <c r="N214" i="6"/>
  <c r="M214" i="6"/>
  <c r="L214" i="6"/>
  <c r="K214" i="6"/>
  <c r="J214" i="6"/>
  <c r="I214" i="6"/>
  <c r="H214" i="6"/>
  <c r="G214" i="6"/>
  <c r="AA213" i="6"/>
  <c r="Z213" i="6"/>
  <c r="Y213" i="6"/>
  <c r="X213" i="6"/>
  <c r="W213" i="6"/>
  <c r="V213" i="6"/>
  <c r="U213" i="6"/>
  <c r="T213" i="6"/>
  <c r="S213" i="6"/>
  <c r="AA212" i="6"/>
  <c r="Z212" i="6"/>
  <c r="Z211" i="6" s="1"/>
  <c r="Y212" i="6"/>
  <c r="X212" i="6"/>
  <c r="W212" i="6"/>
  <c r="V212" i="6"/>
  <c r="U212" i="6"/>
  <c r="T212" i="6"/>
  <c r="S212" i="6"/>
  <c r="AA211" i="6"/>
  <c r="U211" i="6"/>
  <c r="R211" i="6"/>
  <c r="V211" i="6" s="1"/>
  <c r="Q211" i="6"/>
  <c r="W211" i="6" s="1"/>
  <c r="P211" i="6"/>
  <c r="O211" i="6"/>
  <c r="X211" i="6" s="1"/>
  <c r="N211" i="6"/>
  <c r="M211" i="6"/>
  <c r="S211" i="6" s="1"/>
  <c r="L211" i="6"/>
  <c r="K211" i="6"/>
  <c r="J211" i="6"/>
  <c r="I211" i="6"/>
  <c r="H211" i="6"/>
  <c r="G211" i="6"/>
  <c r="AA210" i="6"/>
  <c r="Z210" i="6"/>
  <c r="Y210" i="6"/>
  <c r="X210" i="6"/>
  <c r="W210" i="6"/>
  <c r="V210" i="6"/>
  <c r="U210" i="6"/>
  <c r="T210" i="6"/>
  <c r="S210" i="6"/>
  <c r="AA209" i="6"/>
  <c r="Z209" i="6"/>
  <c r="Y209" i="6"/>
  <c r="X209" i="6"/>
  <c r="W209" i="6"/>
  <c r="V209" i="6"/>
  <c r="U209" i="6"/>
  <c r="T209" i="6"/>
  <c r="S209" i="6"/>
  <c r="AA208" i="6"/>
  <c r="Z208" i="6"/>
  <c r="Y208" i="6"/>
  <c r="X208" i="6"/>
  <c r="W208" i="6"/>
  <c r="V208" i="6"/>
  <c r="U208" i="6"/>
  <c r="T208" i="6"/>
  <c r="S208" i="6"/>
  <c r="AA207" i="6"/>
  <c r="AA206" i="6" s="1"/>
  <c r="Z207" i="6"/>
  <c r="Y207" i="6"/>
  <c r="Y206" i="6" s="1"/>
  <c r="BW41" i="5" s="1"/>
  <c r="DI41" i="5" s="1"/>
  <c r="X207" i="6"/>
  <c r="W207" i="6"/>
  <c r="V207" i="6"/>
  <c r="U207" i="6"/>
  <c r="T207" i="6"/>
  <c r="S207" i="6"/>
  <c r="Z206" i="6"/>
  <c r="R206" i="6"/>
  <c r="V206" i="6" s="1"/>
  <c r="Q206" i="6"/>
  <c r="W206" i="6" s="1"/>
  <c r="P206" i="6"/>
  <c r="O206" i="6"/>
  <c r="X206" i="6" s="1"/>
  <c r="N206" i="6"/>
  <c r="M206" i="6"/>
  <c r="L206" i="6"/>
  <c r="K206" i="6"/>
  <c r="J206" i="6"/>
  <c r="I206" i="6"/>
  <c r="H206" i="6"/>
  <c r="G206" i="6"/>
  <c r="R205" i="6"/>
  <c r="U205" i="6" s="1"/>
  <c r="Q205" i="6"/>
  <c r="W205" i="6" s="1"/>
  <c r="P205" i="6"/>
  <c r="O205" i="6"/>
  <c r="X205" i="6" s="1"/>
  <c r="N205" i="6"/>
  <c r="M205" i="6"/>
  <c r="L205" i="6"/>
  <c r="K205" i="6"/>
  <c r="J205" i="6"/>
  <c r="I205" i="6"/>
  <c r="H205" i="6"/>
  <c r="G205" i="6"/>
  <c r="X204" i="6"/>
  <c r="W204" i="6"/>
  <c r="V204" i="6"/>
  <c r="U204" i="6"/>
  <c r="T204" i="6"/>
  <c r="S204" i="6"/>
  <c r="X203" i="6"/>
  <c r="W203" i="6"/>
  <c r="V203" i="6"/>
  <c r="U203" i="6"/>
  <c r="T203" i="6"/>
  <c r="S203" i="6"/>
  <c r="X202" i="6"/>
  <c r="W202" i="6"/>
  <c r="V202" i="6"/>
  <c r="U202" i="6"/>
  <c r="T202" i="6"/>
  <c r="S202" i="6"/>
  <c r="AA201" i="6"/>
  <c r="Z201" i="6"/>
  <c r="Y201" i="6"/>
  <c r="X201" i="6"/>
  <c r="W201" i="6"/>
  <c r="V201" i="6"/>
  <c r="U201" i="6"/>
  <c r="T201" i="6"/>
  <c r="S201" i="6"/>
  <c r="AA200" i="6"/>
  <c r="Z200" i="6"/>
  <c r="Y200" i="6"/>
  <c r="X200" i="6"/>
  <c r="W200" i="6"/>
  <c r="V200" i="6"/>
  <c r="U200" i="6"/>
  <c r="T200" i="6"/>
  <c r="S200" i="6"/>
  <c r="AA199" i="6"/>
  <c r="Z199" i="6"/>
  <c r="Y199" i="6"/>
  <c r="X199" i="6"/>
  <c r="W199" i="6"/>
  <c r="V199" i="6"/>
  <c r="U199" i="6"/>
  <c r="T199" i="6"/>
  <c r="S199" i="6"/>
  <c r="AA198" i="6"/>
  <c r="Z198" i="6"/>
  <c r="Y198" i="6"/>
  <c r="X198" i="6"/>
  <c r="W198" i="6"/>
  <c r="V198" i="6"/>
  <c r="U198" i="6"/>
  <c r="T198" i="6"/>
  <c r="S198" i="6"/>
  <c r="AA197" i="6"/>
  <c r="Z197" i="6"/>
  <c r="Y197" i="6"/>
  <c r="X197" i="6"/>
  <c r="W197" i="6"/>
  <c r="V197" i="6"/>
  <c r="U197" i="6"/>
  <c r="T197" i="6"/>
  <c r="S197" i="6"/>
  <c r="AA196" i="6"/>
  <c r="Z196" i="6"/>
  <c r="Y196" i="6"/>
  <c r="X196" i="6"/>
  <c r="W196" i="6"/>
  <c r="V196" i="6"/>
  <c r="U196" i="6"/>
  <c r="T196" i="6"/>
  <c r="S196" i="6"/>
  <c r="AA195" i="6"/>
  <c r="Z195" i="6"/>
  <c r="Y195" i="6"/>
  <c r="X195" i="6"/>
  <c r="W195" i="6"/>
  <c r="V195" i="6"/>
  <c r="U195" i="6"/>
  <c r="T195" i="6"/>
  <c r="S195" i="6"/>
  <c r="AA194" i="6"/>
  <c r="Z194" i="6"/>
  <c r="Y194" i="6"/>
  <c r="X194" i="6"/>
  <c r="W194" i="6"/>
  <c r="V194" i="6"/>
  <c r="U194" i="6"/>
  <c r="T194" i="6"/>
  <c r="S194" i="6"/>
  <c r="AA193" i="6"/>
  <c r="Z193" i="6"/>
  <c r="Y193" i="6"/>
  <c r="X193" i="6"/>
  <c r="W193" i="6"/>
  <c r="V193" i="6"/>
  <c r="U193" i="6"/>
  <c r="T193" i="6"/>
  <c r="S193" i="6"/>
  <c r="AA192" i="6"/>
  <c r="Z192" i="6"/>
  <c r="Y192" i="6"/>
  <c r="X192" i="6"/>
  <c r="W192" i="6"/>
  <c r="V192" i="6"/>
  <c r="U192" i="6"/>
  <c r="T192" i="6"/>
  <c r="S192" i="6"/>
  <c r="AA191" i="6"/>
  <c r="Z191" i="6"/>
  <c r="Y191" i="6"/>
  <c r="X191" i="6"/>
  <c r="W191" i="6"/>
  <c r="V191" i="6"/>
  <c r="U191" i="6"/>
  <c r="T191" i="6"/>
  <c r="S191" i="6"/>
  <c r="AA190" i="6"/>
  <c r="Z190" i="6"/>
  <c r="Y190" i="6"/>
  <c r="BW29" i="5" s="1"/>
  <c r="DI29" i="5" s="1"/>
  <c r="X190" i="6"/>
  <c r="W190" i="6"/>
  <c r="V190" i="6"/>
  <c r="U190" i="6"/>
  <c r="T190" i="6"/>
  <c r="S190" i="6"/>
  <c r="AA189" i="6"/>
  <c r="Z189" i="6"/>
  <c r="Y189" i="6"/>
  <c r="X189" i="6"/>
  <c r="W189" i="6"/>
  <c r="V189" i="6"/>
  <c r="U189" i="6"/>
  <c r="T189" i="6"/>
  <c r="S189" i="6"/>
  <c r="AA188" i="6"/>
  <c r="Z188" i="6"/>
  <c r="Y188" i="6"/>
  <c r="X188" i="6"/>
  <c r="W188" i="6"/>
  <c r="V188" i="6"/>
  <c r="U188" i="6"/>
  <c r="T188" i="6"/>
  <c r="S188" i="6"/>
  <c r="AA187" i="6"/>
  <c r="Z187" i="6"/>
  <c r="Y187" i="6"/>
  <c r="X187" i="6"/>
  <c r="W187" i="6"/>
  <c r="V187" i="6"/>
  <c r="U187" i="6"/>
  <c r="T187" i="6"/>
  <c r="S187" i="6"/>
  <c r="AA186" i="6"/>
  <c r="Z186" i="6"/>
  <c r="Y186" i="6"/>
  <c r="X186" i="6"/>
  <c r="W186" i="6"/>
  <c r="V186" i="6"/>
  <c r="U186" i="6"/>
  <c r="T186" i="6"/>
  <c r="S186" i="6"/>
  <c r="AA185" i="6"/>
  <c r="Z185" i="6"/>
  <c r="Y185" i="6"/>
  <c r="X185" i="6"/>
  <c r="W185" i="6"/>
  <c r="V185" i="6"/>
  <c r="U185" i="6"/>
  <c r="T185" i="6"/>
  <c r="S185" i="6"/>
  <c r="AA184" i="6"/>
  <c r="Z184" i="6"/>
  <c r="Y184" i="6"/>
  <c r="X184" i="6"/>
  <c r="W184" i="6"/>
  <c r="V184" i="6"/>
  <c r="U184" i="6"/>
  <c r="T184" i="6"/>
  <c r="S184" i="6"/>
  <c r="AA183" i="6"/>
  <c r="Z183" i="6"/>
  <c r="Y183" i="6"/>
  <c r="X183" i="6"/>
  <c r="W183" i="6"/>
  <c r="V183" i="6"/>
  <c r="U183" i="6"/>
  <c r="T183" i="6"/>
  <c r="S183" i="6"/>
  <c r="AA182" i="6"/>
  <c r="Z182" i="6"/>
  <c r="Y182" i="6"/>
  <c r="X182" i="6"/>
  <c r="W182" i="6"/>
  <c r="V182" i="6"/>
  <c r="U182" i="6"/>
  <c r="T182" i="6"/>
  <c r="S182" i="6"/>
  <c r="AA181" i="6"/>
  <c r="AA205" i="6" s="1"/>
  <c r="Z181" i="6"/>
  <c r="Y181" i="6"/>
  <c r="Y205" i="6" s="1"/>
  <c r="X181" i="6"/>
  <c r="W181" i="6"/>
  <c r="V181" i="6"/>
  <c r="U181" i="6"/>
  <c r="T181" i="6"/>
  <c r="S181" i="6"/>
  <c r="R180" i="6"/>
  <c r="U180" i="6" s="1"/>
  <c r="Q180" i="6"/>
  <c r="W180" i="6" s="1"/>
  <c r="P180" i="6"/>
  <c r="O180" i="6"/>
  <c r="X180" i="6" s="1"/>
  <c r="N180" i="6"/>
  <c r="M180" i="6"/>
  <c r="L180" i="6"/>
  <c r="K180" i="6"/>
  <c r="J180" i="6"/>
  <c r="I180" i="6"/>
  <c r="H180" i="6"/>
  <c r="G180" i="6"/>
  <c r="AA179" i="6"/>
  <c r="Z179" i="6"/>
  <c r="Y179" i="6"/>
  <c r="X179" i="6"/>
  <c r="W179" i="6"/>
  <c r="V179" i="6"/>
  <c r="U179" i="6"/>
  <c r="T179" i="6"/>
  <c r="S179" i="6"/>
  <c r="AA178" i="6"/>
  <c r="Z178" i="6"/>
  <c r="Y178" i="6"/>
  <c r="X178" i="6"/>
  <c r="W178" i="6"/>
  <c r="V178" i="6"/>
  <c r="U178" i="6"/>
  <c r="T178" i="6"/>
  <c r="S178" i="6"/>
  <c r="AA177" i="6"/>
  <c r="Z177" i="6"/>
  <c r="Y177" i="6"/>
  <c r="X177" i="6"/>
  <c r="W177" i="6"/>
  <c r="V177" i="6"/>
  <c r="U177" i="6"/>
  <c r="T177" i="6"/>
  <c r="S177" i="6"/>
  <c r="AA176" i="6"/>
  <c r="AA180" i="6" s="1"/>
  <c r="Z176" i="6"/>
  <c r="Y176" i="6"/>
  <c r="Y180" i="6" s="1"/>
  <c r="BW39" i="5" s="1"/>
  <c r="DI39" i="5" s="1"/>
  <c r="X176" i="6"/>
  <c r="W176" i="6"/>
  <c r="V176" i="6"/>
  <c r="U176" i="6"/>
  <c r="T176" i="6"/>
  <c r="S176" i="6"/>
  <c r="U175" i="6"/>
  <c r="R175" i="6"/>
  <c r="V175" i="6" s="1"/>
  <c r="Q175" i="6"/>
  <c r="W175" i="6" s="1"/>
  <c r="P175" i="6"/>
  <c r="O175" i="6"/>
  <c r="X175" i="6" s="1"/>
  <c r="N175" i="6"/>
  <c r="M175" i="6"/>
  <c r="S175" i="6" s="1"/>
  <c r="L175" i="6"/>
  <c r="K175" i="6"/>
  <c r="J175" i="6"/>
  <c r="I175" i="6"/>
  <c r="H175" i="6"/>
  <c r="G175" i="6"/>
  <c r="AA174" i="6"/>
  <c r="Z174" i="6"/>
  <c r="Y174" i="6"/>
  <c r="X174" i="6"/>
  <c r="W174" i="6"/>
  <c r="V174" i="6"/>
  <c r="U174" i="6"/>
  <c r="T174" i="6"/>
  <c r="S174" i="6"/>
  <c r="AA173" i="6"/>
  <c r="Z173" i="6"/>
  <c r="Z175" i="6" s="1"/>
  <c r="Y173" i="6"/>
  <c r="X173" i="6"/>
  <c r="W173" i="6"/>
  <c r="V173" i="6"/>
  <c r="U173" i="6"/>
  <c r="T173" i="6"/>
  <c r="S173" i="6"/>
  <c r="R172" i="6"/>
  <c r="V172" i="6" s="1"/>
  <c r="Q172" i="6"/>
  <c r="W172" i="6" s="1"/>
  <c r="P172" i="6"/>
  <c r="O172" i="6"/>
  <c r="X172" i="6" s="1"/>
  <c r="N172" i="6"/>
  <c r="M172" i="6"/>
  <c r="L172" i="6"/>
  <c r="K172" i="6"/>
  <c r="J172" i="6"/>
  <c r="I172" i="6"/>
  <c r="H172" i="6"/>
  <c r="G172" i="6"/>
  <c r="AA171" i="6"/>
  <c r="Z171" i="6"/>
  <c r="Y171" i="6"/>
  <c r="X171" i="6"/>
  <c r="W171" i="6"/>
  <c r="V171" i="6"/>
  <c r="U171" i="6"/>
  <c r="T171" i="6"/>
  <c r="S171" i="6"/>
  <c r="AA170" i="6"/>
  <c r="Z170" i="6"/>
  <c r="Y170" i="6"/>
  <c r="X170" i="6"/>
  <c r="W170" i="6"/>
  <c r="V170" i="6"/>
  <c r="U170" i="6"/>
  <c r="T170" i="6"/>
  <c r="S170" i="6"/>
  <c r="AA169" i="6"/>
  <c r="AA172" i="6" s="1"/>
  <c r="Z169" i="6"/>
  <c r="Y169" i="6"/>
  <c r="Y172" i="6" s="1"/>
  <c r="BW38" i="5" s="1"/>
  <c r="DI38" i="5" s="1"/>
  <c r="X169" i="6"/>
  <c r="W169" i="6"/>
  <c r="V169" i="6"/>
  <c r="U169" i="6"/>
  <c r="T169" i="6"/>
  <c r="S169" i="6"/>
  <c r="R168" i="6"/>
  <c r="V168" i="6" s="1"/>
  <c r="Q168" i="6"/>
  <c r="W168" i="6" s="1"/>
  <c r="P168" i="6"/>
  <c r="O168" i="6"/>
  <c r="X168" i="6" s="1"/>
  <c r="N168" i="6"/>
  <c r="M168" i="6"/>
  <c r="L168" i="6"/>
  <c r="K168" i="6"/>
  <c r="J168" i="6"/>
  <c r="I168" i="6"/>
  <c r="H168" i="6"/>
  <c r="G168" i="6"/>
  <c r="AA167" i="6"/>
  <c r="Z167" i="6"/>
  <c r="Y167" i="6"/>
  <c r="X167" i="6"/>
  <c r="W167" i="6"/>
  <c r="V167" i="6"/>
  <c r="U167" i="6"/>
  <c r="T167" i="6"/>
  <c r="S167" i="6"/>
  <c r="AA166" i="6"/>
  <c r="Z166" i="6"/>
  <c r="Y166" i="6"/>
  <c r="X166" i="6"/>
  <c r="W166" i="6"/>
  <c r="V166" i="6"/>
  <c r="U166" i="6"/>
  <c r="T166" i="6"/>
  <c r="S166" i="6"/>
  <c r="AA165" i="6"/>
  <c r="Z165" i="6"/>
  <c r="Y165" i="6"/>
  <c r="X165" i="6"/>
  <c r="W165" i="6"/>
  <c r="V165" i="6"/>
  <c r="U165" i="6"/>
  <c r="T165" i="6"/>
  <c r="S165" i="6"/>
  <c r="AA164" i="6"/>
  <c r="Z164" i="6"/>
  <c r="Y164" i="6"/>
  <c r="X164" i="6"/>
  <c r="W164" i="6"/>
  <c r="V164" i="6"/>
  <c r="U164" i="6"/>
  <c r="T164" i="6"/>
  <c r="S164" i="6"/>
  <c r="AA163" i="6"/>
  <c r="Z163" i="6"/>
  <c r="Y163" i="6"/>
  <c r="X163" i="6"/>
  <c r="W163" i="6"/>
  <c r="V163" i="6"/>
  <c r="U163" i="6"/>
  <c r="T163" i="6"/>
  <c r="S163" i="6"/>
  <c r="AA162" i="6"/>
  <c r="Z162" i="6"/>
  <c r="Y162" i="6"/>
  <c r="X162" i="6"/>
  <c r="W162" i="6"/>
  <c r="V162" i="6"/>
  <c r="U162" i="6"/>
  <c r="T162" i="6"/>
  <c r="S162" i="6"/>
  <c r="AA161" i="6"/>
  <c r="Z161" i="6"/>
  <c r="Z168" i="6" s="1"/>
  <c r="Y161" i="6"/>
  <c r="X161" i="6"/>
  <c r="W161" i="6"/>
  <c r="V161" i="6"/>
  <c r="U161" i="6"/>
  <c r="T161" i="6"/>
  <c r="S161" i="6"/>
  <c r="R160" i="6"/>
  <c r="V160" i="6" s="1"/>
  <c r="Q160" i="6"/>
  <c r="W160" i="6" s="1"/>
  <c r="P160" i="6"/>
  <c r="O160" i="6"/>
  <c r="X160" i="6" s="1"/>
  <c r="N160" i="6"/>
  <c r="M160" i="6"/>
  <c r="L160" i="6"/>
  <c r="K160" i="6"/>
  <c r="J160" i="6"/>
  <c r="I160" i="6"/>
  <c r="H160" i="6"/>
  <c r="G160" i="6"/>
  <c r="AA159" i="6"/>
  <c r="Z159" i="6"/>
  <c r="Y159" i="6"/>
  <c r="X159" i="6"/>
  <c r="W159" i="6"/>
  <c r="V159" i="6"/>
  <c r="U159" i="6"/>
  <c r="T159" i="6"/>
  <c r="S159" i="6"/>
  <c r="AA158" i="6"/>
  <c r="Z158" i="6"/>
  <c r="Y158" i="6"/>
  <c r="X158" i="6"/>
  <c r="W158" i="6"/>
  <c r="V158" i="6"/>
  <c r="U158" i="6"/>
  <c r="T158" i="6"/>
  <c r="S158" i="6"/>
  <c r="AA157" i="6"/>
  <c r="Z157" i="6"/>
  <c r="Y157" i="6"/>
  <c r="X157" i="6"/>
  <c r="W157" i="6"/>
  <c r="V157" i="6"/>
  <c r="U157" i="6"/>
  <c r="T157" i="6"/>
  <c r="S157" i="6"/>
  <c r="AA156" i="6"/>
  <c r="Z156" i="6"/>
  <c r="Y156" i="6"/>
  <c r="X156" i="6"/>
  <c r="W156" i="6"/>
  <c r="V156" i="6"/>
  <c r="U156" i="6"/>
  <c r="T156" i="6"/>
  <c r="S156" i="6"/>
  <c r="AA155" i="6"/>
  <c r="Z155" i="6"/>
  <c r="Y155" i="6"/>
  <c r="X155" i="6"/>
  <c r="W155" i="6"/>
  <c r="V155" i="6"/>
  <c r="U155" i="6"/>
  <c r="T155" i="6"/>
  <c r="S155" i="6"/>
  <c r="AA154" i="6"/>
  <c r="Z154" i="6"/>
  <c r="Z160" i="6" s="1"/>
  <c r="Y154" i="6"/>
  <c r="X154" i="6"/>
  <c r="W154" i="6"/>
  <c r="V154" i="6"/>
  <c r="U154" i="6"/>
  <c r="T154" i="6"/>
  <c r="S154" i="6"/>
  <c r="R153" i="6"/>
  <c r="U153" i="6" s="1"/>
  <c r="Q153" i="6"/>
  <c r="W153" i="6" s="1"/>
  <c r="P153" i="6"/>
  <c r="O153" i="6"/>
  <c r="X153" i="6" s="1"/>
  <c r="N153" i="6"/>
  <c r="M153" i="6"/>
  <c r="L153" i="6"/>
  <c r="K153" i="6"/>
  <c r="J153" i="6"/>
  <c r="I153" i="6"/>
  <c r="H153" i="6"/>
  <c r="G153" i="6"/>
  <c r="AA152" i="6"/>
  <c r="AA153" i="6" s="1"/>
  <c r="Z152" i="6"/>
  <c r="Z153" i="6" s="1"/>
  <c r="Y152" i="6"/>
  <c r="Y153" i="6" s="1"/>
  <c r="BW35" i="5" s="1"/>
  <c r="DI35" i="5" s="1"/>
  <c r="X152" i="6"/>
  <c r="W152" i="6"/>
  <c r="V152" i="6"/>
  <c r="U152" i="6"/>
  <c r="T152" i="6"/>
  <c r="S152" i="6"/>
  <c r="R151" i="6"/>
  <c r="U151" i="6" s="1"/>
  <c r="Q151" i="6"/>
  <c r="W151" i="6" s="1"/>
  <c r="P151" i="6"/>
  <c r="O151" i="6"/>
  <c r="X151" i="6" s="1"/>
  <c r="N151" i="6"/>
  <c r="M151" i="6"/>
  <c r="L151" i="6"/>
  <c r="K151" i="6"/>
  <c r="J151" i="6"/>
  <c r="I151" i="6"/>
  <c r="H151" i="6"/>
  <c r="G151" i="6"/>
  <c r="AA150" i="6"/>
  <c r="Z150" i="6"/>
  <c r="Z148" i="6" s="1"/>
  <c r="Y150" i="6"/>
  <c r="X150" i="6"/>
  <c r="W150" i="6"/>
  <c r="V150" i="6"/>
  <c r="U150" i="6"/>
  <c r="T150" i="6"/>
  <c r="S150" i="6"/>
  <c r="AA149" i="6"/>
  <c r="AA148" i="6" s="1"/>
  <c r="Z149" i="6"/>
  <c r="Y149" i="6"/>
  <c r="Y148" i="6" s="1"/>
  <c r="BW34" i="5" s="1"/>
  <c r="DI34" i="5" s="1"/>
  <c r="X149" i="6"/>
  <c r="W149" i="6"/>
  <c r="V149" i="6"/>
  <c r="U149" i="6"/>
  <c r="T149" i="6"/>
  <c r="S149" i="6"/>
  <c r="R148" i="6"/>
  <c r="V148" i="6" s="1"/>
  <c r="Q148" i="6"/>
  <c r="W148" i="6" s="1"/>
  <c r="P148" i="6"/>
  <c r="O148" i="6"/>
  <c r="X148" i="6" s="1"/>
  <c r="N148" i="6"/>
  <c r="M148" i="6"/>
  <c r="L148" i="6"/>
  <c r="K148" i="6"/>
  <c r="J148" i="6"/>
  <c r="I148" i="6"/>
  <c r="H148" i="6"/>
  <c r="G148" i="6"/>
  <c r="AA147" i="6"/>
  <c r="Z147" i="6"/>
  <c r="Y147" i="6"/>
  <c r="X147" i="6"/>
  <c r="W147" i="6"/>
  <c r="V147" i="6"/>
  <c r="U147" i="6"/>
  <c r="T147" i="6"/>
  <c r="S147" i="6"/>
  <c r="AA146" i="6"/>
  <c r="Z146" i="6"/>
  <c r="Y146" i="6"/>
  <c r="X146" i="6"/>
  <c r="W146" i="6"/>
  <c r="V146" i="6"/>
  <c r="U146" i="6"/>
  <c r="T146" i="6"/>
  <c r="S146" i="6"/>
  <c r="AA145" i="6"/>
  <c r="Z145" i="6"/>
  <c r="Y145" i="6"/>
  <c r="X145" i="6"/>
  <c r="W145" i="6"/>
  <c r="V145" i="6"/>
  <c r="U145" i="6"/>
  <c r="T145" i="6"/>
  <c r="S145" i="6"/>
  <c r="AA144" i="6"/>
  <c r="AA143" i="6" s="1"/>
  <c r="Z144" i="6"/>
  <c r="Y144" i="6"/>
  <c r="X144" i="6"/>
  <c r="W144" i="6"/>
  <c r="V144" i="6"/>
  <c r="U144" i="6"/>
  <c r="T144" i="6"/>
  <c r="S144" i="6"/>
  <c r="R143" i="6"/>
  <c r="V143" i="6" s="1"/>
  <c r="Q143" i="6"/>
  <c r="W143" i="6" s="1"/>
  <c r="P143" i="6"/>
  <c r="O143" i="6"/>
  <c r="X143" i="6" s="1"/>
  <c r="N143" i="6"/>
  <c r="M143" i="6"/>
  <c r="L143" i="6"/>
  <c r="K143" i="6"/>
  <c r="J143" i="6"/>
  <c r="I143" i="6"/>
  <c r="H143" i="6"/>
  <c r="G143" i="6"/>
  <c r="AA142" i="6"/>
  <c r="AA141" i="6" s="1"/>
  <c r="Z142" i="6"/>
  <c r="Z141" i="6" s="1"/>
  <c r="Y142" i="6"/>
  <c r="Y141" i="6" s="1"/>
  <c r="BW32" i="5" s="1"/>
  <c r="DI32" i="5" s="1"/>
  <c r="X142" i="6"/>
  <c r="W142" i="6"/>
  <c r="V142" i="6"/>
  <c r="U142" i="6"/>
  <c r="T142" i="6"/>
  <c r="S142" i="6"/>
  <c r="R141" i="6"/>
  <c r="V141" i="6" s="1"/>
  <c r="Q141" i="6"/>
  <c r="W141" i="6" s="1"/>
  <c r="P141" i="6"/>
  <c r="O141" i="6"/>
  <c r="X141" i="6" s="1"/>
  <c r="N141" i="6"/>
  <c r="M141" i="6"/>
  <c r="S141" i="6" s="1"/>
  <c r="L141" i="6"/>
  <c r="K141" i="6"/>
  <c r="J141" i="6"/>
  <c r="I141" i="6"/>
  <c r="H141" i="6"/>
  <c r="G141" i="6"/>
  <c r="AA140" i="6"/>
  <c r="Z140" i="6"/>
  <c r="Y140" i="6"/>
  <c r="X140" i="6"/>
  <c r="W140" i="6"/>
  <c r="V140" i="6"/>
  <c r="U140" i="6"/>
  <c r="T140" i="6"/>
  <c r="S140" i="6"/>
  <c r="AA139" i="6"/>
  <c r="Z139" i="6"/>
  <c r="Y139" i="6"/>
  <c r="X139" i="6"/>
  <c r="W139" i="6"/>
  <c r="V139" i="6"/>
  <c r="U139" i="6"/>
  <c r="T139" i="6"/>
  <c r="S139" i="6"/>
  <c r="AA138" i="6"/>
  <c r="Z138" i="6"/>
  <c r="Y138" i="6"/>
  <c r="X138" i="6"/>
  <c r="W138" i="6"/>
  <c r="V138" i="6"/>
  <c r="U138" i="6"/>
  <c r="T138" i="6"/>
  <c r="S138" i="6"/>
  <c r="AA137" i="6"/>
  <c r="Z137" i="6"/>
  <c r="Y137" i="6"/>
  <c r="X137" i="6"/>
  <c r="W137" i="6"/>
  <c r="V137" i="6"/>
  <c r="U137" i="6"/>
  <c r="T137" i="6"/>
  <c r="S137" i="6"/>
  <c r="AA136" i="6"/>
  <c r="Z136" i="6"/>
  <c r="Y136" i="6"/>
  <c r="X136" i="6"/>
  <c r="W136" i="6"/>
  <c r="V136" i="6"/>
  <c r="U136" i="6"/>
  <c r="T136" i="6"/>
  <c r="S136" i="6"/>
  <c r="AA135" i="6"/>
  <c r="Z135" i="6"/>
  <c r="Y135" i="6"/>
  <c r="X135" i="6"/>
  <c r="W135" i="6"/>
  <c r="V135" i="6"/>
  <c r="U135" i="6"/>
  <c r="T135" i="6"/>
  <c r="S135" i="6"/>
  <c r="AA134" i="6"/>
  <c r="Z134" i="6"/>
  <c r="Y134" i="6"/>
  <c r="X134" i="6"/>
  <c r="W134" i="6"/>
  <c r="V134" i="6"/>
  <c r="U134" i="6"/>
  <c r="T134" i="6"/>
  <c r="S134" i="6"/>
  <c r="AA133" i="6"/>
  <c r="Z133" i="6"/>
  <c r="Y133" i="6"/>
  <c r="Y131" i="6" s="1"/>
  <c r="X133" i="6"/>
  <c r="W133" i="6"/>
  <c r="V133" i="6"/>
  <c r="U133" i="6"/>
  <c r="T133" i="6"/>
  <c r="S133" i="6"/>
  <c r="AA132" i="6"/>
  <c r="Z132" i="6"/>
  <c r="Z131" i="6" s="1"/>
  <c r="Y132" i="6"/>
  <c r="X132" i="6"/>
  <c r="W132" i="6"/>
  <c r="V132" i="6"/>
  <c r="U132" i="6"/>
  <c r="T132" i="6"/>
  <c r="S132" i="6"/>
  <c r="AA131" i="6"/>
  <c r="R131" i="6"/>
  <c r="V131" i="6" s="1"/>
  <c r="Q131" i="6"/>
  <c r="W131" i="6" s="1"/>
  <c r="P131" i="6"/>
  <c r="O131" i="6"/>
  <c r="X131" i="6" s="1"/>
  <c r="N131" i="6"/>
  <c r="M131" i="6"/>
  <c r="L131" i="6"/>
  <c r="K131" i="6"/>
  <c r="J131" i="6"/>
  <c r="I131" i="6"/>
  <c r="H131" i="6"/>
  <c r="G131" i="6"/>
  <c r="R130" i="6"/>
  <c r="U130" i="6" s="1"/>
  <c r="Q130" i="6"/>
  <c r="W130" i="6" s="1"/>
  <c r="P130" i="6"/>
  <c r="O130" i="6"/>
  <c r="X130" i="6" s="1"/>
  <c r="N130" i="6"/>
  <c r="M130" i="6"/>
  <c r="L130" i="6"/>
  <c r="K130" i="6"/>
  <c r="J130" i="6"/>
  <c r="I130" i="6"/>
  <c r="H130" i="6"/>
  <c r="G130" i="6"/>
  <c r="U129" i="6"/>
  <c r="R129" i="6"/>
  <c r="V129" i="6" s="1"/>
  <c r="Q129" i="6"/>
  <c r="W129" i="6" s="1"/>
  <c r="P129" i="6"/>
  <c r="O129" i="6"/>
  <c r="X129" i="6" s="1"/>
  <c r="N129" i="6"/>
  <c r="M129" i="6"/>
  <c r="S129" i="6" s="1"/>
  <c r="L129" i="6"/>
  <c r="K129" i="6"/>
  <c r="J129" i="6"/>
  <c r="I129" i="6"/>
  <c r="H129" i="6"/>
  <c r="G129" i="6"/>
  <c r="AA128" i="6"/>
  <c r="Z128" i="6"/>
  <c r="Y128" i="6"/>
  <c r="X128" i="6"/>
  <c r="W128" i="6"/>
  <c r="V128" i="6"/>
  <c r="U128" i="6"/>
  <c r="T128" i="6"/>
  <c r="S128" i="6"/>
  <c r="AA127" i="6"/>
  <c r="Z127" i="6"/>
  <c r="Y127" i="6"/>
  <c r="X127" i="6"/>
  <c r="W127" i="6"/>
  <c r="V127" i="6"/>
  <c r="U127" i="6"/>
  <c r="T127" i="6"/>
  <c r="S127" i="6"/>
  <c r="AA126" i="6"/>
  <c r="Z126" i="6"/>
  <c r="Y126" i="6"/>
  <c r="X126" i="6"/>
  <c r="W126" i="6"/>
  <c r="V126" i="6"/>
  <c r="U126" i="6"/>
  <c r="T126" i="6"/>
  <c r="S126" i="6"/>
  <c r="AA125" i="6"/>
  <c r="Z125" i="6"/>
  <c r="Y125" i="6"/>
  <c r="X125" i="6"/>
  <c r="W125" i="6"/>
  <c r="V125" i="6"/>
  <c r="U125" i="6"/>
  <c r="T125" i="6"/>
  <c r="S125" i="6"/>
  <c r="AA124" i="6"/>
  <c r="Z124" i="6"/>
  <c r="Y124" i="6"/>
  <c r="X124" i="6"/>
  <c r="W124" i="6"/>
  <c r="V124" i="6"/>
  <c r="U124" i="6"/>
  <c r="T124" i="6"/>
  <c r="S124" i="6"/>
  <c r="AA123" i="6"/>
  <c r="Z123" i="6"/>
  <c r="Y123" i="6"/>
  <c r="X123" i="6"/>
  <c r="W123" i="6"/>
  <c r="V123" i="6"/>
  <c r="U123" i="6"/>
  <c r="T123" i="6"/>
  <c r="S123" i="6"/>
  <c r="AA122" i="6"/>
  <c r="Z122" i="6"/>
  <c r="Y122" i="6"/>
  <c r="X122" i="6"/>
  <c r="W122" i="6"/>
  <c r="V122" i="6"/>
  <c r="U122" i="6"/>
  <c r="T122" i="6"/>
  <c r="S122" i="6"/>
  <c r="AA121" i="6"/>
  <c r="AA120" i="6" s="1"/>
  <c r="Z121" i="6"/>
  <c r="Y121" i="6"/>
  <c r="Y120" i="6" s="1"/>
  <c r="X121" i="6"/>
  <c r="W121" i="6"/>
  <c r="V121" i="6"/>
  <c r="U121" i="6"/>
  <c r="T121" i="6"/>
  <c r="S121" i="6"/>
  <c r="U120" i="6"/>
  <c r="R120" i="6"/>
  <c r="V120" i="6" s="1"/>
  <c r="Q120" i="6"/>
  <c r="W120" i="6" s="1"/>
  <c r="P120" i="6"/>
  <c r="O120" i="6"/>
  <c r="X120" i="6" s="1"/>
  <c r="N120" i="6"/>
  <c r="M120" i="6"/>
  <c r="S120" i="6" s="1"/>
  <c r="L120" i="6"/>
  <c r="K120" i="6"/>
  <c r="J120" i="6"/>
  <c r="I120" i="6"/>
  <c r="H120" i="6"/>
  <c r="G120" i="6"/>
  <c r="AA119" i="6"/>
  <c r="Z119" i="6"/>
  <c r="Y119" i="6"/>
  <c r="X119" i="6"/>
  <c r="W119" i="6"/>
  <c r="V119" i="6"/>
  <c r="U119" i="6"/>
  <c r="T119" i="6"/>
  <c r="S119" i="6"/>
  <c r="AA118" i="6"/>
  <c r="Z118" i="6"/>
  <c r="Y118" i="6"/>
  <c r="X118" i="6"/>
  <c r="W118" i="6"/>
  <c r="V118" i="6"/>
  <c r="U118" i="6"/>
  <c r="T118" i="6"/>
  <c r="S118" i="6"/>
  <c r="AA117" i="6"/>
  <c r="Z117" i="6"/>
  <c r="Y117" i="6"/>
  <c r="X117" i="6"/>
  <c r="W117" i="6"/>
  <c r="V117" i="6"/>
  <c r="U117" i="6"/>
  <c r="T117" i="6"/>
  <c r="S117" i="6"/>
  <c r="AA116" i="6"/>
  <c r="Z116" i="6"/>
  <c r="Z114" i="6" s="1"/>
  <c r="Y116" i="6"/>
  <c r="X116" i="6"/>
  <c r="W116" i="6"/>
  <c r="V116" i="6"/>
  <c r="U116" i="6"/>
  <c r="T116" i="6"/>
  <c r="S116" i="6"/>
  <c r="AA115" i="6"/>
  <c r="AA114" i="6" s="1"/>
  <c r="Z115" i="6"/>
  <c r="Y115" i="6"/>
  <c r="Y114" i="6" s="1"/>
  <c r="X115" i="6"/>
  <c r="W115" i="6"/>
  <c r="V115" i="6"/>
  <c r="U115" i="6"/>
  <c r="T115" i="6"/>
  <c r="S115" i="6"/>
  <c r="U114" i="6"/>
  <c r="R114" i="6"/>
  <c r="V114" i="6" s="1"/>
  <c r="Q114" i="6"/>
  <c r="W114" i="6" s="1"/>
  <c r="P114" i="6"/>
  <c r="O114" i="6"/>
  <c r="X114" i="6" s="1"/>
  <c r="N114" i="6"/>
  <c r="M114" i="6"/>
  <c r="S114" i="6" s="1"/>
  <c r="L114" i="6"/>
  <c r="K114" i="6"/>
  <c r="J114" i="6"/>
  <c r="I114" i="6"/>
  <c r="H114" i="6"/>
  <c r="G114" i="6"/>
  <c r="R113" i="6"/>
  <c r="V113" i="6" s="1"/>
  <c r="Q113" i="6"/>
  <c r="W113" i="6" s="1"/>
  <c r="P113" i="6"/>
  <c r="O113" i="6"/>
  <c r="X113" i="6" s="1"/>
  <c r="N113" i="6"/>
  <c r="M113" i="6"/>
  <c r="S113" i="6" s="1"/>
  <c r="L113" i="6"/>
  <c r="K113" i="6"/>
  <c r="J113" i="6"/>
  <c r="I113" i="6"/>
  <c r="H113" i="6"/>
  <c r="G113" i="6"/>
  <c r="AA112" i="6"/>
  <c r="Z112" i="6"/>
  <c r="Y112" i="6"/>
  <c r="X112" i="6"/>
  <c r="W112" i="6"/>
  <c r="V112" i="6"/>
  <c r="U112" i="6"/>
  <c r="T112" i="6"/>
  <c r="S112" i="6"/>
  <c r="AA111" i="6"/>
  <c r="Z111" i="6"/>
  <c r="Y111" i="6"/>
  <c r="X111" i="6"/>
  <c r="W111" i="6"/>
  <c r="V111" i="6"/>
  <c r="U111" i="6"/>
  <c r="T111" i="6"/>
  <c r="S111" i="6"/>
  <c r="AA110" i="6"/>
  <c r="Z110" i="6"/>
  <c r="Y110" i="6"/>
  <c r="X110" i="6"/>
  <c r="W110" i="6"/>
  <c r="V110" i="6"/>
  <c r="U110" i="6"/>
  <c r="T110" i="6"/>
  <c r="S110" i="6"/>
  <c r="AA109" i="6"/>
  <c r="Z109" i="6"/>
  <c r="Y109" i="6"/>
  <c r="X109" i="6"/>
  <c r="W109" i="6"/>
  <c r="V109" i="6"/>
  <c r="U109" i="6"/>
  <c r="T109" i="6"/>
  <c r="S109" i="6"/>
  <c r="AA108" i="6"/>
  <c r="Z108" i="6"/>
  <c r="Y108" i="6"/>
  <c r="X108" i="6"/>
  <c r="W108" i="6"/>
  <c r="V108" i="6"/>
  <c r="U108" i="6"/>
  <c r="T108" i="6"/>
  <c r="S108" i="6"/>
  <c r="AA107" i="6"/>
  <c r="Z107" i="6"/>
  <c r="Y107" i="6"/>
  <c r="X107" i="6"/>
  <c r="W107" i="6"/>
  <c r="V107" i="6"/>
  <c r="U107" i="6"/>
  <c r="T107" i="6"/>
  <c r="S107" i="6"/>
  <c r="AA106" i="6"/>
  <c r="Z106" i="6"/>
  <c r="Y106" i="6"/>
  <c r="X106" i="6"/>
  <c r="W106" i="6"/>
  <c r="V106" i="6"/>
  <c r="U106" i="6"/>
  <c r="T106" i="6"/>
  <c r="S106" i="6"/>
  <c r="AA105" i="6"/>
  <c r="Z105" i="6"/>
  <c r="Y105" i="6"/>
  <c r="X105" i="6"/>
  <c r="W105" i="6"/>
  <c r="V105" i="6"/>
  <c r="U105" i="6"/>
  <c r="T105" i="6"/>
  <c r="S105" i="6"/>
  <c r="AA104" i="6"/>
  <c r="Z104" i="6"/>
  <c r="Y104" i="6"/>
  <c r="X104" i="6"/>
  <c r="W104" i="6"/>
  <c r="V104" i="6"/>
  <c r="U104" i="6"/>
  <c r="T104" i="6"/>
  <c r="S104" i="6"/>
  <c r="AA103" i="6"/>
  <c r="Z103" i="6"/>
  <c r="Y103" i="6"/>
  <c r="X103" i="6"/>
  <c r="W103" i="6"/>
  <c r="V103" i="6"/>
  <c r="U103" i="6"/>
  <c r="T103" i="6"/>
  <c r="S103" i="6"/>
  <c r="AA102" i="6"/>
  <c r="X102" i="6"/>
  <c r="W102" i="6"/>
  <c r="V102" i="6"/>
  <c r="U102" i="6"/>
  <c r="T102" i="6"/>
  <c r="S102" i="6"/>
  <c r="AA101" i="6"/>
  <c r="Z101" i="6"/>
  <c r="Y101" i="6"/>
  <c r="X101" i="6"/>
  <c r="W101" i="6"/>
  <c r="V101" i="6"/>
  <c r="U101" i="6"/>
  <c r="T101" i="6"/>
  <c r="S101" i="6"/>
  <c r="AA100" i="6"/>
  <c r="Z100" i="6"/>
  <c r="Y100" i="6"/>
  <c r="X100" i="6"/>
  <c r="W100" i="6"/>
  <c r="V100" i="6"/>
  <c r="U100" i="6"/>
  <c r="T100" i="6"/>
  <c r="S100" i="6"/>
  <c r="AA99" i="6"/>
  <c r="Z99" i="6"/>
  <c r="Y99" i="6"/>
  <c r="X99" i="6"/>
  <c r="W99" i="6"/>
  <c r="V99" i="6"/>
  <c r="U99" i="6"/>
  <c r="T99" i="6"/>
  <c r="S99" i="6"/>
  <c r="AA98" i="6"/>
  <c r="Z98" i="6"/>
  <c r="Y98" i="6"/>
  <c r="X98" i="6"/>
  <c r="W98" i="6"/>
  <c r="V98" i="6"/>
  <c r="U98" i="6"/>
  <c r="T98" i="6"/>
  <c r="S98" i="6"/>
  <c r="AA97" i="6"/>
  <c r="AA96" i="6" s="1"/>
  <c r="AA381" i="6" s="1"/>
  <c r="AA382" i="6" s="1"/>
  <c r="Z97" i="6"/>
  <c r="Y97" i="6"/>
  <c r="Y96" i="6" s="1"/>
  <c r="Y381" i="6" s="1"/>
  <c r="Y382" i="6" s="1"/>
  <c r="X97" i="6"/>
  <c r="W97" i="6"/>
  <c r="V97" i="6"/>
  <c r="U97" i="6"/>
  <c r="T97" i="6"/>
  <c r="S97" i="6"/>
  <c r="U96" i="6"/>
  <c r="R96" i="6"/>
  <c r="R381" i="6" s="1"/>
  <c r="R382" i="6" s="1"/>
  <c r="Q96" i="6"/>
  <c r="Q381" i="6" s="1"/>
  <c r="Q382" i="6" s="1"/>
  <c r="P96" i="6"/>
  <c r="P381" i="6" s="1"/>
  <c r="P382" i="6" s="1"/>
  <c r="O96" i="6"/>
  <c r="O381" i="6" s="1"/>
  <c r="O382" i="6" s="1"/>
  <c r="N96" i="6"/>
  <c r="N381" i="6" s="1"/>
  <c r="N382" i="6" s="1"/>
  <c r="M96" i="6"/>
  <c r="S96" i="6" s="1"/>
  <c r="L96" i="6"/>
  <c r="K96" i="6"/>
  <c r="J96" i="6"/>
  <c r="AA95" i="6"/>
  <c r="Z95" i="6"/>
  <c r="Y95" i="6"/>
  <c r="BW25" i="5" s="1"/>
  <c r="DI25" i="5" s="1"/>
  <c r="X95" i="6"/>
  <c r="W95" i="6"/>
  <c r="V95" i="6"/>
  <c r="U95" i="6"/>
  <c r="T95" i="6"/>
  <c r="S95" i="6"/>
  <c r="AA94" i="6"/>
  <c r="Z94" i="6"/>
  <c r="Y94" i="6"/>
  <c r="X94" i="6"/>
  <c r="W94" i="6"/>
  <c r="V94" i="6"/>
  <c r="U94" i="6"/>
  <c r="T94" i="6"/>
  <c r="S94" i="6"/>
  <c r="AA93" i="6"/>
  <c r="Z93" i="6"/>
  <c r="Y93" i="6"/>
  <c r="X93" i="6"/>
  <c r="W93" i="6"/>
  <c r="V93" i="6"/>
  <c r="U93" i="6"/>
  <c r="T93" i="6"/>
  <c r="S93" i="6"/>
  <c r="AA92" i="6"/>
  <c r="Z92" i="6"/>
  <c r="Y92" i="6"/>
  <c r="X92" i="6"/>
  <c r="W92" i="6"/>
  <c r="V92" i="6"/>
  <c r="U92" i="6"/>
  <c r="T92" i="6"/>
  <c r="S92" i="6"/>
  <c r="R91" i="6"/>
  <c r="U91" i="6" s="1"/>
  <c r="Q91" i="6"/>
  <c r="W91" i="6" s="1"/>
  <c r="P91" i="6"/>
  <c r="O91" i="6"/>
  <c r="X91" i="6" s="1"/>
  <c r="N91" i="6"/>
  <c r="M91" i="6"/>
  <c r="L91" i="6"/>
  <c r="K91" i="6"/>
  <c r="J91" i="6"/>
  <c r="I91" i="6"/>
  <c r="H91" i="6"/>
  <c r="G91" i="6"/>
  <c r="R90" i="6"/>
  <c r="V90" i="6" s="1"/>
  <c r="Q90" i="6"/>
  <c r="W90" i="6" s="1"/>
  <c r="P90" i="6"/>
  <c r="O90" i="6"/>
  <c r="X90" i="6" s="1"/>
  <c r="N90" i="6"/>
  <c r="M90" i="6"/>
  <c r="L90" i="6"/>
  <c r="K90" i="6"/>
  <c r="J90" i="6"/>
  <c r="I90" i="6"/>
  <c r="H90" i="6"/>
  <c r="G90" i="6"/>
  <c r="AA89" i="6"/>
  <c r="Z89" i="6"/>
  <c r="Y89" i="6"/>
  <c r="X89" i="6"/>
  <c r="W89" i="6"/>
  <c r="V89" i="6"/>
  <c r="U89" i="6"/>
  <c r="T89" i="6"/>
  <c r="S89" i="6"/>
  <c r="AA88" i="6"/>
  <c r="AA90" i="6" s="1"/>
  <c r="Z88" i="6"/>
  <c r="Y88" i="6"/>
  <c r="X88" i="6"/>
  <c r="W88" i="6"/>
  <c r="V88" i="6"/>
  <c r="U88" i="6"/>
  <c r="T88" i="6"/>
  <c r="S88" i="6"/>
  <c r="R87" i="6"/>
  <c r="U87" i="6" s="1"/>
  <c r="Q87" i="6"/>
  <c r="W87" i="6" s="1"/>
  <c r="P87" i="6"/>
  <c r="O87" i="6"/>
  <c r="X87" i="6" s="1"/>
  <c r="N87" i="6"/>
  <c r="M87" i="6"/>
  <c r="L87" i="6"/>
  <c r="K87" i="6"/>
  <c r="J87" i="6"/>
  <c r="I87" i="6"/>
  <c r="H87" i="6"/>
  <c r="G87" i="6"/>
  <c r="X86" i="6"/>
  <c r="W86" i="6"/>
  <c r="V86" i="6"/>
  <c r="U86" i="6"/>
  <c r="T86" i="6"/>
  <c r="S86" i="6"/>
  <c r="X85" i="6"/>
  <c r="W85" i="6"/>
  <c r="V85" i="6"/>
  <c r="U85" i="6"/>
  <c r="T85" i="6"/>
  <c r="S85" i="6"/>
  <c r="X84" i="6"/>
  <c r="W84" i="6"/>
  <c r="V84" i="6"/>
  <c r="U84" i="6"/>
  <c r="T84" i="6"/>
  <c r="S84" i="6"/>
  <c r="AA83" i="6"/>
  <c r="Z83" i="6"/>
  <c r="Y83" i="6"/>
  <c r="X83" i="6"/>
  <c r="W83" i="6"/>
  <c r="V83" i="6"/>
  <c r="U83" i="6"/>
  <c r="T83" i="6"/>
  <c r="S83" i="6"/>
  <c r="AA82" i="6"/>
  <c r="Z82" i="6"/>
  <c r="Y82" i="6"/>
  <c r="X82" i="6"/>
  <c r="W82" i="6"/>
  <c r="V82" i="6"/>
  <c r="U82" i="6"/>
  <c r="T82" i="6"/>
  <c r="S82" i="6"/>
  <c r="AA81" i="6"/>
  <c r="Z81" i="6"/>
  <c r="Y81" i="6"/>
  <c r="X81" i="6"/>
  <c r="W81" i="6"/>
  <c r="V81" i="6"/>
  <c r="U81" i="6"/>
  <c r="T81" i="6"/>
  <c r="S81" i="6"/>
  <c r="AA80" i="6"/>
  <c r="AA87" i="6" s="1"/>
  <c r="Z80" i="6"/>
  <c r="Y80" i="6"/>
  <c r="Y87" i="6" s="1"/>
  <c r="X80" i="6"/>
  <c r="W80" i="6"/>
  <c r="V80" i="6"/>
  <c r="U80" i="6"/>
  <c r="T80" i="6"/>
  <c r="S80" i="6"/>
  <c r="R79" i="6"/>
  <c r="V79" i="6" s="1"/>
  <c r="Q79" i="6"/>
  <c r="W79" i="6" s="1"/>
  <c r="P79" i="6"/>
  <c r="O79" i="6"/>
  <c r="X79" i="6" s="1"/>
  <c r="N79" i="6"/>
  <c r="M79" i="6"/>
  <c r="L79" i="6"/>
  <c r="K79" i="6"/>
  <c r="J79" i="6"/>
  <c r="I79" i="6"/>
  <c r="H79" i="6"/>
  <c r="G79" i="6"/>
  <c r="AA78" i="6"/>
  <c r="Z78" i="6"/>
  <c r="Y78" i="6"/>
  <c r="X78" i="6"/>
  <c r="W78" i="6"/>
  <c r="V78" i="6"/>
  <c r="U78" i="6"/>
  <c r="T78" i="6"/>
  <c r="S78" i="6"/>
  <c r="AA77" i="6"/>
  <c r="Z77" i="6"/>
  <c r="Y77" i="6"/>
  <c r="X77" i="6"/>
  <c r="W77" i="6"/>
  <c r="V77" i="6"/>
  <c r="U77" i="6"/>
  <c r="T77" i="6"/>
  <c r="S77" i="6"/>
  <c r="AA76" i="6"/>
  <c r="Z76" i="6"/>
  <c r="Y76" i="6"/>
  <c r="X76" i="6"/>
  <c r="W76" i="6"/>
  <c r="V76" i="6"/>
  <c r="U76" i="6"/>
  <c r="T76" i="6"/>
  <c r="S76" i="6"/>
  <c r="AA75" i="6"/>
  <c r="Z75" i="6"/>
  <c r="Y75" i="6"/>
  <c r="X75" i="6"/>
  <c r="W75" i="6"/>
  <c r="V75" i="6"/>
  <c r="U75" i="6"/>
  <c r="T75" i="6"/>
  <c r="S75" i="6"/>
  <c r="AA74" i="6"/>
  <c r="Z74" i="6"/>
  <c r="Y74" i="6"/>
  <c r="X74" i="6"/>
  <c r="W74" i="6"/>
  <c r="V74" i="6"/>
  <c r="U74" i="6"/>
  <c r="T74" i="6"/>
  <c r="S74" i="6"/>
  <c r="AA73" i="6"/>
  <c r="Z73" i="6"/>
  <c r="Y73" i="6"/>
  <c r="X73" i="6"/>
  <c r="W73" i="6"/>
  <c r="V73" i="6"/>
  <c r="U73" i="6"/>
  <c r="T73" i="6"/>
  <c r="S73" i="6"/>
  <c r="AA72" i="6"/>
  <c r="Z72" i="6"/>
  <c r="Y72" i="6"/>
  <c r="X72" i="6"/>
  <c r="W72" i="6"/>
  <c r="V72" i="6"/>
  <c r="U72" i="6"/>
  <c r="T72" i="6"/>
  <c r="S72" i="6"/>
  <c r="AA71" i="6"/>
  <c r="AA79" i="6" s="1"/>
  <c r="Z71" i="6"/>
  <c r="Y71" i="6"/>
  <c r="X71" i="6"/>
  <c r="W71" i="6"/>
  <c r="V71" i="6"/>
  <c r="U71" i="6"/>
  <c r="T71" i="6"/>
  <c r="S71" i="6"/>
  <c r="R70" i="6"/>
  <c r="U70" i="6" s="1"/>
  <c r="Q70" i="6"/>
  <c r="W70" i="6" s="1"/>
  <c r="P70" i="6"/>
  <c r="O70" i="6"/>
  <c r="X70" i="6" s="1"/>
  <c r="N70" i="6"/>
  <c r="M70" i="6"/>
  <c r="L70" i="6"/>
  <c r="K70" i="6"/>
  <c r="J70" i="6"/>
  <c r="I70" i="6"/>
  <c r="H70" i="6"/>
  <c r="G70" i="6"/>
  <c r="AA69" i="6"/>
  <c r="Z69" i="6"/>
  <c r="Y69" i="6"/>
  <c r="X69" i="6"/>
  <c r="W69" i="6"/>
  <c r="V69" i="6"/>
  <c r="U69" i="6"/>
  <c r="T69" i="6"/>
  <c r="S69" i="6"/>
  <c r="AA68" i="6"/>
  <c r="Z68" i="6"/>
  <c r="Y68" i="6"/>
  <c r="X68" i="6"/>
  <c r="W68" i="6"/>
  <c r="V68" i="6"/>
  <c r="U68" i="6"/>
  <c r="T68" i="6"/>
  <c r="S68" i="6"/>
  <c r="AA67" i="6"/>
  <c r="Z67" i="6"/>
  <c r="Y67" i="6"/>
  <c r="X67" i="6"/>
  <c r="W67" i="6"/>
  <c r="V67" i="6"/>
  <c r="U67" i="6"/>
  <c r="T67" i="6"/>
  <c r="S67" i="6"/>
  <c r="AA66" i="6"/>
  <c r="AA70" i="6" s="1"/>
  <c r="Z66" i="6"/>
  <c r="Y66" i="6"/>
  <c r="Y70" i="6" s="1"/>
  <c r="X66" i="6"/>
  <c r="W66" i="6"/>
  <c r="V66" i="6"/>
  <c r="U66" i="6"/>
  <c r="T66" i="6"/>
  <c r="S66" i="6"/>
  <c r="R65" i="6"/>
  <c r="V65" i="6" s="1"/>
  <c r="Q65" i="6"/>
  <c r="W65" i="6" s="1"/>
  <c r="P65" i="6"/>
  <c r="O65" i="6"/>
  <c r="X65" i="6" s="1"/>
  <c r="N65" i="6"/>
  <c r="M65" i="6"/>
  <c r="L65" i="6"/>
  <c r="K65" i="6"/>
  <c r="J65" i="6"/>
  <c r="I65" i="6"/>
  <c r="H65" i="6"/>
  <c r="G65" i="6"/>
  <c r="AA64" i="6"/>
  <c r="Z64" i="6"/>
  <c r="Y64" i="6"/>
  <c r="X64" i="6"/>
  <c r="W64" i="6"/>
  <c r="V64" i="6"/>
  <c r="U64" i="6"/>
  <c r="T64" i="6"/>
  <c r="S64" i="6"/>
  <c r="AA63" i="6"/>
  <c r="Z63" i="6"/>
  <c r="Y63" i="6"/>
  <c r="X63" i="6"/>
  <c r="W63" i="6"/>
  <c r="V63" i="6"/>
  <c r="U63" i="6"/>
  <c r="T63" i="6"/>
  <c r="S63" i="6"/>
  <c r="AA62" i="6"/>
  <c r="Z62" i="6"/>
  <c r="Z65" i="6" s="1"/>
  <c r="Y62" i="6"/>
  <c r="X62" i="6"/>
  <c r="W62" i="6"/>
  <c r="V62" i="6"/>
  <c r="U62" i="6"/>
  <c r="T62" i="6"/>
  <c r="S62" i="6"/>
  <c r="R61" i="6"/>
  <c r="V61" i="6" s="1"/>
  <c r="Q61" i="6"/>
  <c r="W61" i="6" s="1"/>
  <c r="P61" i="6"/>
  <c r="O61" i="6"/>
  <c r="X61" i="6" s="1"/>
  <c r="N61" i="6"/>
  <c r="M61" i="6"/>
  <c r="L61" i="6"/>
  <c r="K61" i="6"/>
  <c r="J61" i="6"/>
  <c r="I61" i="6"/>
  <c r="H61" i="6"/>
  <c r="G61" i="6"/>
  <c r="AA60" i="6"/>
  <c r="Z60" i="6"/>
  <c r="Y60" i="6"/>
  <c r="X60" i="6"/>
  <c r="W60" i="6"/>
  <c r="V60" i="6"/>
  <c r="U60" i="6"/>
  <c r="T60" i="6"/>
  <c r="S60" i="6"/>
  <c r="AA59" i="6"/>
  <c r="Z59" i="6"/>
  <c r="Y59" i="6"/>
  <c r="X59" i="6"/>
  <c r="W59" i="6"/>
  <c r="V59" i="6"/>
  <c r="U59" i="6"/>
  <c r="T59" i="6"/>
  <c r="S59" i="6"/>
  <c r="AA58" i="6"/>
  <c r="Z58" i="6"/>
  <c r="Y58" i="6"/>
  <c r="X58" i="6"/>
  <c r="W58" i="6"/>
  <c r="V58" i="6"/>
  <c r="U58" i="6"/>
  <c r="T58" i="6"/>
  <c r="S58" i="6"/>
  <c r="AA57" i="6"/>
  <c r="Z57" i="6"/>
  <c r="Z61" i="6" s="1"/>
  <c r="Y57" i="6"/>
  <c r="X57" i="6"/>
  <c r="W57" i="6"/>
  <c r="V57" i="6"/>
  <c r="U57" i="6"/>
  <c r="T57" i="6"/>
  <c r="S57" i="6"/>
  <c r="R56" i="6"/>
  <c r="U56" i="6" s="1"/>
  <c r="Q56" i="6"/>
  <c r="W56" i="6" s="1"/>
  <c r="P56" i="6"/>
  <c r="O56" i="6"/>
  <c r="X56" i="6" s="1"/>
  <c r="N56" i="6"/>
  <c r="M56" i="6"/>
  <c r="L56" i="6"/>
  <c r="K56" i="6"/>
  <c r="J56" i="6"/>
  <c r="I56" i="6"/>
  <c r="H56" i="6"/>
  <c r="G56" i="6"/>
  <c r="AA55" i="6"/>
  <c r="Z55" i="6"/>
  <c r="Y55" i="6"/>
  <c r="X55" i="6"/>
  <c r="W55" i="6"/>
  <c r="V55" i="6"/>
  <c r="U55" i="6"/>
  <c r="T55" i="6"/>
  <c r="S55" i="6"/>
  <c r="AA54" i="6"/>
  <c r="Z54" i="6"/>
  <c r="Y54" i="6"/>
  <c r="X54" i="6"/>
  <c r="W54" i="6"/>
  <c r="V54" i="6"/>
  <c r="U54" i="6"/>
  <c r="T54" i="6"/>
  <c r="S54" i="6"/>
  <c r="AA53" i="6"/>
  <c r="AA56" i="6" s="1"/>
  <c r="Z53" i="6"/>
  <c r="Y53" i="6"/>
  <c r="Y56" i="6" s="1"/>
  <c r="X53" i="6"/>
  <c r="W53" i="6"/>
  <c r="V53" i="6"/>
  <c r="U53" i="6"/>
  <c r="T53" i="6"/>
  <c r="S53" i="6"/>
  <c r="R52" i="6"/>
  <c r="U52" i="6" s="1"/>
  <c r="Q52" i="6"/>
  <c r="W52" i="6" s="1"/>
  <c r="P52" i="6"/>
  <c r="O52" i="6"/>
  <c r="X52" i="6" s="1"/>
  <c r="N52" i="6"/>
  <c r="M52" i="6"/>
  <c r="L52" i="6"/>
  <c r="K52" i="6"/>
  <c r="J52" i="6"/>
  <c r="I52" i="6"/>
  <c r="H52" i="6"/>
  <c r="G52" i="6"/>
  <c r="AA51" i="6"/>
  <c r="Z51" i="6"/>
  <c r="Y51" i="6"/>
  <c r="X51" i="6"/>
  <c r="W51" i="6"/>
  <c r="V51" i="6"/>
  <c r="U51" i="6"/>
  <c r="T51" i="6"/>
  <c r="S51" i="6"/>
  <c r="AA50" i="6"/>
  <c r="Z50" i="6"/>
  <c r="Y50" i="6"/>
  <c r="X50" i="6"/>
  <c r="W50" i="6"/>
  <c r="V50" i="6"/>
  <c r="U50" i="6"/>
  <c r="T50" i="6"/>
  <c r="S50" i="6"/>
  <c r="AA49" i="6"/>
  <c r="Z49" i="6"/>
  <c r="Y49" i="6"/>
  <c r="X49" i="6"/>
  <c r="W49" i="6"/>
  <c r="V49" i="6"/>
  <c r="U49" i="6"/>
  <c r="T49" i="6"/>
  <c r="S49" i="6"/>
  <c r="AA48" i="6"/>
  <c r="Z48" i="6"/>
  <c r="Y48" i="6"/>
  <c r="X48" i="6"/>
  <c r="W48" i="6"/>
  <c r="V48" i="6"/>
  <c r="U48" i="6"/>
  <c r="T48" i="6"/>
  <c r="S48" i="6"/>
  <c r="AA47" i="6"/>
  <c r="Z47" i="6"/>
  <c r="Z52" i="6" s="1"/>
  <c r="Y47" i="6"/>
  <c r="X47" i="6"/>
  <c r="W47" i="6"/>
  <c r="V47" i="6"/>
  <c r="U47" i="6"/>
  <c r="T47" i="6"/>
  <c r="S47" i="6"/>
  <c r="R46" i="6"/>
  <c r="U46" i="6" s="1"/>
  <c r="Q46" i="6"/>
  <c r="W46" i="6" s="1"/>
  <c r="P46" i="6"/>
  <c r="O46" i="6"/>
  <c r="X46" i="6" s="1"/>
  <c r="N46" i="6"/>
  <c r="M46" i="6"/>
  <c r="L46" i="6"/>
  <c r="K46" i="6"/>
  <c r="J46" i="6"/>
  <c r="I46" i="6"/>
  <c r="H46" i="6"/>
  <c r="G46" i="6"/>
  <c r="AA45" i="6"/>
  <c r="Z45" i="6"/>
  <c r="Y45" i="6"/>
  <c r="X45" i="6"/>
  <c r="W45" i="6"/>
  <c r="V45" i="6"/>
  <c r="U45" i="6"/>
  <c r="T45" i="6"/>
  <c r="S45" i="6"/>
  <c r="AA44" i="6"/>
  <c r="Z44" i="6"/>
  <c r="Y44" i="6"/>
  <c r="X44" i="6"/>
  <c r="W44" i="6"/>
  <c r="V44" i="6"/>
  <c r="U44" i="6"/>
  <c r="T44" i="6"/>
  <c r="S44" i="6"/>
  <c r="AA43" i="6"/>
  <c r="AA46" i="6" s="1"/>
  <c r="Z43" i="6"/>
  <c r="Y43" i="6"/>
  <c r="Y46" i="6" s="1"/>
  <c r="X43" i="6"/>
  <c r="W43" i="6"/>
  <c r="V43" i="6"/>
  <c r="U43" i="6"/>
  <c r="T43" i="6"/>
  <c r="S43" i="6"/>
  <c r="R42" i="6"/>
  <c r="U42" i="6" s="1"/>
  <c r="Q42" i="6"/>
  <c r="W42" i="6" s="1"/>
  <c r="P42" i="6"/>
  <c r="O42" i="6"/>
  <c r="X42" i="6" s="1"/>
  <c r="N42" i="6"/>
  <c r="M42" i="6"/>
  <c r="L42" i="6"/>
  <c r="K42" i="6"/>
  <c r="J42" i="6"/>
  <c r="I42" i="6"/>
  <c r="H42" i="6"/>
  <c r="G42" i="6"/>
  <c r="Z41" i="6"/>
  <c r="Y41" i="6"/>
  <c r="X41" i="6"/>
  <c r="W41" i="6"/>
  <c r="V41" i="6"/>
  <c r="U41" i="6"/>
  <c r="T41" i="6"/>
  <c r="S41" i="6"/>
  <c r="AA40" i="6"/>
  <c r="Z40" i="6"/>
  <c r="Y40" i="6"/>
  <c r="X40" i="6"/>
  <c r="W40" i="6"/>
  <c r="V40" i="6"/>
  <c r="U40" i="6"/>
  <c r="T40" i="6"/>
  <c r="S40" i="6"/>
  <c r="AA39" i="6"/>
  <c r="Z39" i="6"/>
  <c r="Y39" i="6"/>
  <c r="X39" i="6"/>
  <c r="W39" i="6"/>
  <c r="V39" i="6"/>
  <c r="U39" i="6"/>
  <c r="T39" i="6"/>
  <c r="S39" i="6"/>
  <c r="AA38" i="6"/>
  <c r="Z38" i="6"/>
  <c r="Y38" i="6"/>
  <c r="X38" i="6"/>
  <c r="W38" i="6"/>
  <c r="V38" i="6"/>
  <c r="U38" i="6"/>
  <c r="T38" i="6"/>
  <c r="S38" i="6"/>
  <c r="AA37" i="6"/>
  <c r="Z37" i="6"/>
  <c r="Y37" i="6"/>
  <c r="X37" i="6"/>
  <c r="W37" i="6"/>
  <c r="V37" i="6"/>
  <c r="U37" i="6"/>
  <c r="T37" i="6"/>
  <c r="S37" i="6"/>
  <c r="AA36" i="6"/>
  <c r="Z36" i="6"/>
  <c r="Y36" i="6"/>
  <c r="X36" i="6"/>
  <c r="W36" i="6"/>
  <c r="V36" i="6"/>
  <c r="U36" i="6"/>
  <c r="T36" i="6"/>
  <c r="S36" i="6"/>
  <c r="AA35" i="6"/>
  <c r="AA42" i="6" s="1"/>
  <c r="Z35" i="6"/>
  <c r="Y35" i="6"/>
  <c r="Y42" i="6" s="1"/>
  <c r="X35" i="6"/>
  <c r="W35" i="6"/>
  <c r="V35" i="6"/>
  <c r="U35" i="6"/>
  <c r="T35" i="6"/>
  <c r="S35" i="6"/>
  <c r="R34" i="6"/>
  <c r="U34" i="6" s="1"/>
  <c r="Q34" i="6"/>
  <c r="W34" i="6" s="1"/>
  <c r="P34" i="6"/>
  <c r="O34" i="6"/>
  <c r="X34" i="6" s="1"/>
  <c r="N34" i="6"/>
  <c r="M34" i="6"/>
  <c r="L34" i="6"/>
  <c r="K34" i="6"/>
  <c r="J34" i="6"/>
  <c r="I34" i="6"/>
  <c r="H34" i="6"/>
  <c r="G34" i="6"/>
  <c r="AA33" i="6"/>
  <c r="Z33" i="6"/>
  <c r="Y33" i="6"/>
  <c r="X33" i="6"/>
  <c r="W33" i="6"/>
  <c r="V33" i="6"/>
  <c r="U33" i="6"/>
  <c r="T33" i="6"/>
  <c r="S33" i="6"/>
  <c r="AA32" i="6"/>
  <c r="Z32" i="6"/>
  <c r="Y32" i="6"/>
  <c r="X32" i="6"/>
  <c r="W32" i="6"/>
  <c r="V32" i="6"/>
  <c r="U32" i="6"/>
  <c r="T32" i="6"/>
  <c r="S32" i="6"/>
  <c r="AA31" i="6"/>
  <c r="Z31" i="6"/>
  <c r="Y31" i="6"/>
  <c r="X31" i="6"/>
  <c r="W31" i="6"/>
  <c r="V31" i="6"/>
  <c r="U31" i="6"/>
  <c r="T31" i="6"/>
  <c r="S31" i="6"/>
  <c r="R30" i="6"/>
  <c r="U30" i="6" s="1"/>
  <c r="Q30" i="6"/>
  <c r="W30" i="6" s="1"/>
  <c r="P30" i="6"/>
  <c r="O30" i="6"/>
  <c r="X30" i="6" s="1"/>
  <c r="N30" i="6"/>
  <c r="M30" i="6"/>
  <c r="L30" i="6"/>
  <c r="K30" i="6"/>
  <c r="J30" i="6"/>
  <c r="I30" i="6"/>
  <c r="H30" i="6"/>
  <c r="G30" i="6"/>
  <c r="R29" i="6"/>
  <c r="U29" i="6" s="1"/>
  <c r="Q29" i="6"/>
  <c r="P29" i="6"/>
  <c r="O29" i="6"/>
  <c r="N29" i="6"/>
  <c r="M29" i="6"/>
  <c r="L29" i="6"/>
  <c r="K29" i="6"/>
  <c r="J29" i="6"/>
  <c r="I29" i="6"/>
  <c r="H29" i="6"/>
  <c r="G29" i="6"/>
  <c r="X11" i="6"/>
  <c r="W11" i="6"/>
  <c r="V11" i="6"/>
  <c r="U11" i="6"/>
  <c r="AF12" i="6" s="1"/>
  <c r="R11" i="6"/>
  <c r="J11" i="6"/>
  <c r="AF9" i="6"/>
  <c r="AF11" i="6" s="1"/>
  <c r="AE9" i="6"/>
  <c r="AE11" i="6" s="1"/>
  <c r="AA9" i="6"/>
  <c r="AA11" i="6" s="1"/>
  <c r="Z9" i="6"/>
  <c r="Z11" i="6" s="1"/>
  <c r="Y9" i="6"/>
  <c r="Y11" i="6" s="1"/>
  <c r="T9" i="6"/>
  <c r="T11" i="6" s="1"/>
  <c r="AE12" i="6" s="1"/>
  <c r="M9" i="6"/>
  <c r="Z8" i="6"/>
  <c r="AA8" i="6" s="1"/>
  <c r="Z143" i="6" l="1"/>
  <c r="AA280" i="6"/>
  <c r="Y91" i="6"/>
  <c r="AA91" i="6"/>
  <c r="Z91" i="6"/>
  <c r="Y113" i="6"/>
  <c r="BW23" i="5" s="1"/>
  <c r="Y143" i="6"/>
  <c r="BW33" i="5" s="1"/>
  <c r="DI33" i="5" s="1"/>
  <c r="AA113" i="6"/>
  <c r="Z280" i="6"/>
  <c r="Z96" i="6"/>
  <c r="Z381" i="6" s="1"/>
  <c r="Z382" i="6" s="1"/>
  <c r="Z120" i="6"/>
  <c r="Z113" i="6" s="1"/>
  <c r="Y211" i="6"/>
  <c r="BW42" i="5" s="1"/>
  <c r="DI42" i="5" s="1"/>
  <c r="AA228" i="6"/>
  <c r="BW24" i="5"/>
  <c r="DI24" i="5" s="1"/>
  <c r="DI23" i="5"/>
  <c r="BW68" i="5"/>
  <c r="DI68" i="5" s="1"/>
  <c r="DI69" i="5"/>
  <c r="Y34" i="6"/>
  <c r="AA34" i="6"/>
  <c r="BW22" i="5"/>
  <c r="Z42" i="6"/>
  <c r="Z46" i="6"/>
  <c r="Y52" i="6"/>
  <c r="AA52" i="6"/>
  <c r="Z56" i="6"/>
  <c r="AA61" i="6"/>
  <c r="Y65" i="6"/>
  <c r="AA65" i="6"/>
  <c r="Z70" i="6"/>
  <c r="Z79" i="6"/>
  <c r="Z87" i="6"/>
  <c r="Z90" i="6"/>
  <c r="AA160" i="6"/>
  <c r="Y168" i="6"/>
  <c r="BW37" i="5" s="1"/>
  <c r="DI37" i="5" s="1"/>
  <c r="AA168" i="6"/>
  <c r="Z172" i="6"/>
  <c r="Y175" i="6"/>
  <c r="AA175" i="6"/>
  <c r="Z180" i="6"/>
  <c r="Z205" i="6"/>
  <c r="AA214" i="6"/>
  <c r="Z228" i="6"/>
  <c r="Y249" i="6"/>
  <c r="BW55" i="5" s="1"/>
  <c r="DI55" i="5" s="1"/>
  <c r="Y262" i="6"/>
  <c r="BW61" i="5" s="1"/>
  <c r="DI61" i="5" s="1"/>
  <c r="AA262" i="6"/>
  <c r="AI262" i="6" s="1"/>
  <c r="Y267" i="6"/>
  <c r="Y379" i="6" s="1"/>
  <c r="AA267" i="6"/>
  <c r="AA379" i="6" s="1"/>
  <c r="AC329" i="6"/>
  <c r="AE323" i="9"/>
  <c r="AC323" i="9"/>
  <c r="AA323" i="9"/>
  <c r="AF323" i="9"/>
  <c r="AD323" i="9"/>
  <c r="AB323" i="9"/>
  <c r="AK323" i="9"/>
  <c r="AJ323" i="9"/>
  <c r="Y280" i="6"/>
  <c r="Z34" i="6"/>
  <c r="AF253" i="6"/>
  <c r="AB279" i="6"/>
  <c r="BW67" i="5"/>
  <c r="BW40" i="5"/>
  <c r="DI40" i="5" s="1"/>
  <c r="AI244" i="6"/>
  <c r="AF252" i="6"/>
  <c r="BW28" i="5"/>
  <c r="BW58" i="5"/>
  <c r="DI58" i="5" s="1"/>
  <c r="AF248" i="6"/>
  <c r="AF251" i="6"/>
  <c r="AD276" i="6"/>
  <c r="AJ33" i="6"/>
  <c r="BW31" i="5"/>
  <c r="DI31" i="5" s="1"/>
  <c r="AA30" i="6"/>
  <c r="AA29" i="6" s="1"/>
  <c r="AB274" i="6"/>
  <c r="AB273" i="6"/>
  <c r="AB255" i="6"/>
  <c r="AB245" i="6"/>
  <c r="AB241" i="6"/>
  <c r="AB238" i="6"/>
  <c r="AB236" i="6"/>
  <c r="AB233" i="6"/>
  <c r="AB231" i="6"/>
  <c r="AB229" i="6"/>
  <c r="AB225" i="6"/>
  <c r="AB223" i="6"/>
  <c r="AB222" i="6"/>
  <c r="AB218" i="6"/>
  <c r="AB216" i="6"/>
  <c r="AB212" i="6"/>
  <c r="AB210" i="6"/>
  <c r="AB208" i="6"/>
  <c r="AB192" i="6"/>
  <c r="AB183" i="6"/>
  <c r="AB182" i="6"/>
  <c r="AB179" i="6"/>
  <c r="AB176" i="6"/>
  <c r="AB174" i="6"/>
  <c r="AB119" i="6"/>
  <c r="AB117" i="6"/>
  <c r="AB115" i="6"/>
  <c r="AB128" i="6"/>
  <c r="AB83" i="6"/>
  <c r="AB81" i="6"/>
  <c r="AB49" i="6"/>
  <c r="AB106" i="6"/>
  <c r="AB32" i="6"/>
  <c r="AB37" i="6"/>
  <c r="AB39" i="6"/>
  <c r="AB41" i="6"/>
  <c r="AB44" i="6"/>
  <c r="AB51" i="6"/>
  <c r="AB54" i="6"/>
  <c r="AB57" i="6"/>
  <c r="AB59" i="6"/>
  <c r="AB64" i="6"/>
  <c r="AB67" i="6"/>
  <c r="AB69" i="6"/>
  <c r="AB72" i="6"/>
  <c r="AB74" i="6"/>
  <c r="AB76" i="6"/>
  <c r="AB78" i="6"/>
  <c r="AB85" i="6"/>
  <c r="AB88" i="6"/>
  <c r="AB93" i="6"/>
  <c r="AB95" i="6"/>
  <c r="AB97" i="6"/>
  <c r="AB99" i="6"/>
  <c r="AB101" i="6"/>
  <c r="AB103" i="6"/>
  <c r="AB105" i="6"/>
  <c r="AB107" i="6"/>
  <c r="AB33" i="6"/>
  <c r="AB36" i="6"/>
  <c r="AB38" i="6"/>
  <c r="AB40" i="6"/>
  <c r="AB45" i="6"/>
  <c r="AB48" i="6"/>
  <c r="AB50" i="6"/>
  <c r="AB55" i="6"/>
  <c r="AB58" i="6"/>
  <c r="AB60" i="6"/>
  <c r="AB63" i="6"/>
  <c r="AB68" i="6"/>
  <c r="AB71" i="6"/>
  <c r="AB73" i="6"/>
  <c r="AB75" i="6"/>
  <c r="AB77" i="6"/>
  <c r="AB82" i="6"/>
  <c r="AB84" i="6"/>
  <c r="AB86" i="6"/>
  <c r="AB89" i="6"/>
  <c r="AB92" i="6"/>
  <c r="AB94" i="6"/>
  <c r="AB98" i="6"/>
  <c r="AB100" i="6"/>
  <c r="AB102" i="6"/>
  <c r="AB104" i="6"/>
  <c r="G343" i="6"/>
  <c r="G246" i="6"/>
  <c r="I343" i="6"/>
  <c r="I246" i="6"/>
  <c r="K343" i="6"/>
  <c r="K246" i="6"/>
  <c r="M343" i="6"/>
  <c r="M246" i="6"/>
  <c r="O343" i="6"/>
  <c r="O246" i="6"/>
  <c r="Q246" i="6"/>
  <c r="S29" i="6"/>
  <c r="W29" i="6"/>
  <c r="T30" i="6"/>
  <c r="V30" i="6"/>
  <c r="T34" i="6"/>
  <c r="V34" i="6"/>
  <c r="T42" i="6"/>
  <c r="V42" i="6"/>
  <c r="T46" i="6"/>
  <c r="V46" i="6"/>
  <c r="T52" i="6"/>
  <c r="V52" i="6"/>
  <c r="T56" i="6"/>
  <c r="V56" i="6"/>
  <c r="S61" i="6"/>
  <c r="U61" i="6"/>
  <c r="Y61" i="6"/>
  <c r="AB62" i="6"/>
  <c r="S65" i="6"/>
  <c r="U65" i="6"/>
  <c r="AB66" i="6"/>
  <c r="T70" i="6"/>
  <c r="V70" i="6"/>
  <c r="S79" i="6"/>
  <c r="U79" i="6"/>
  <c r="Y79" i="6"/>
  <c r="AB80" i="6"/>
  <c r="T87" i="6"/>
  <c r="V87" i="6"/>
  <c r="S90" i="6"/>
  <c r="U90" i="6"/>
  <c r="Y90" i="6"/>
  <c r="T91" i="6"/>
  <c r="V91" i="6"/>
  <c r="T96" i="6"/>
  <c r="V96" i="6"/>
  <c r="X96" i="6"/>
  <c r="AB96" i="6"/>
  <c r="AB109" i="6"/>
  <c r="AB111" i="6"/>
  <c r="AB116" i="6"/>
  <c r="AB118" i="6"/>
  <c r="AB121" i="6"/>
  <c r="AB123" i="6"/>
  <c r="AB125" i="6"/>
  <c r="AB127" i="6"/>
  <c r="AB132" i="6"/>
  <c r="AB134" i="6"/>
  <c r="AB136" i="6"/>
  <c r="AB138" i="6"/>
  <c r="AB140" i="6"/>
  <c r="AB142" i="6"/>
  <c r="AB144" i="6"/>
  <c r="AB146" i="6"/>
  <c r="AB150" i="6"/>
  <c r="AB154" i="6"/>
  <c r="AB156" i="6"/>
  <c r="AB158" i="6"/>
  <c r="AB163" i="6"/>
  <c r="AB165" i="6"/>
  <c r="AB167" i="6"/>
  <c r="AB170" i="6"/>
  <c r="H343" i="6"/>
  <c r="H246" i="6"/>
  <c r="J343" i="6"/>
  <c r="J246" i="6"/>
  <c r="L343" i="6"/>
  <c r="L246" i="6"/>
  <c r="N343" i="6"/>
  <c r="N246" i="6"/>
  <c r="P246" i="6"/>
  <c r="R246" i="6"/>
  <c r="T29" i="6"/>
  <c r="V29" i="6"/>
  <c r="X29" i="6"/>
  <c r="S30" i="6"/>
  <c r="AB31" i="6"/>
  <c r="S34" i="6"/>
  <c r="AB35" i="6"/>
  <c r="S42" i="6"/>
  <c r="AB43" i="6"/>
  <c r="S46" i="6"/>
  <c r="AB47" i="6"/>
  <c r="S52" i="6"/>
  <c r="AB53" i="6"/>
  <c r="S56" i="6"/>
  <c r="T61" i="6"/>
  <c r="T65" i="6"/>
  <c r="S70" i="6"/>
  <c r="T79" i="6"/>
  <c r="S87" i="6"/>
  <c r="T90" i="6"/>
  <c r="S91" i="6"/>
  <c r="W96" i="6"/>
  <c r="AB108" i="6"/>
  <c r="AB110" i="6"/>
  <c r="AB112" i="6"/>
  <c r="AB122" i="6"/>
  <c r="AB124" i="6"/>
  <c r="AB126" i="6"/>
  <c r="AB133" i="6"/>
  <c r="AB135" i="6"/>
  <c r="AB137" i="6"/>
  <c r="AB139" i="6"/>
  <c r="AB145" i="6"/>
  <c r="AB147" i="6"/>
  <c r="AB149" i="6"/>
  <c r="AB155" i="6"/>
  <c r="AB157" i="6"/>
  <c r="AB159" i="6"/>
  <c r="AB162" i="6"/>
  <c r="AB164" i="6"/>
  <c r="AB166" i="6"/>
  <c r="AB171" i="6"/>
  <c r="U113" i="6"/>
  <c r="T114" i="6"/>
  <c r="T120" i="6"/>
  <c r="T130" i="6"/>
  <c r="V130" i="6"/>
  <c r="S131" i="6"/>
  <c r="U131" i="6"/>
  <c r="U141" i="6"/>
  <c r="S143" i="6"/>
  <c r="U143" i="6"/>
  <c r="S148" i="6"/>
  <c r="U148" i="6"/>
  <c r="T151" i="6"/>
  <c r="V151" i="6"/>
  <c r="T153" i="6"/>
  <c r="V153" i="6"/>
  <c r="S160" i="6"/>
  <c r="U160" i="6"/>
  <c r="Y160" i="6"/>
  <c r="AB161" i="6"/>
  <c r="S168" i="6"/>
  <c r="U168" i="6"/>
  <c r="AB169" i="6"/>
  <c r="S172" i="6"/>
  <c r="U172" i="6"/>
  <c r="AB173" i="6"/>
  <c r="T175" i="6"/>
  <c r="AB177" i="6"/>
  <c r="AB184" i="6"/>
  <c r="AB186" i="6"/>
  <c r="AB188" i="6"/>
  <c r="AB190" i="6"/>
  <c r="AB194" i="6"/>
  <c r="AB196" i="6"/>
  <c r="AB198" i="6"/>
  <c r="AB200" i="6"/>
  <c r="AB202" i="6"/>
  <c r="AB204" i="6"/>
  <c r="AB207" i="6"/>
  <c r="AB209" i="6"/>
  <c r="AB213" i="6"/>
  <c r="AB221" i="6"/>
  <c r="AB227" i="6"/>
  <c r="AB243" i="6"/>
  <c r="T113" i="6"/>
  <c r="T129" i="6"/>
  <c r="S130" i="6"/>
  <c r="T131" i="6"/>
  <c r="T141" i="6"/>
  <c r="T143" i="6"/>
  <c r="T148" i="6"/>
  <c r="S151" i="6"/>
  <c r="AB152" i="6"/>
  <c r="S153" i="6"/>
  <c r="T160" i="6"/>
  <c r="T168" i="6"/>
  <c r="T172" i="6"/>
  <c r="AB178" i="6"/>
  <c r="AB185" i="6"/>
  <c r="AB187" i="6"/>
  <c r="AB189" i="6"/>
  <c r="AB191" i="6"/>
  <c r="AB193" i="6"/>
  <c r="AB195" i="6"/>
  <c r="AB197" i="6"/>
  <c r="AB199" i="6"/>
  <c r="AB201" i="6"/>
  <c r="AB203" i="6"/>
  <c r="AB215" i="6"/>
  <c r="AB217" i="6"/>
  <c r="AB219" i="6"/>
  <c r="AB224" i="6"/>
  <c r="AB226" i="6"/>
  <c r="AB230" i="6"/>
  <c r="AB232" i="6"/>
  <c r="AB235" i="6"/>
  <c r="AB237" i="6"/>
  <c r="AB239" i="6"/>
  <c r="T180" i="6"/>
  <c r="V180" i="6"/>
  <c r="T205" i="6"/>
  <c r="V205" i="6"/>
  <c r="S206" i="6"/>
  <c r="U206" i="6"/>
  <c r="T211" i="6"/>
  <c r="S214" i="6"/>
  <c r="U214" i="6"/>
  <c r="Y214" i="6"/>
  <c r="BW43" i="5" s="1"/>
  <c r="DI43" i="5" s="1"/>
  <c r="S220" i="6"/>
  <c r="U220" i="6"/>
  <c r="Y220" i="6"/>
  <c r="BW44" i="5" s="1"/>
  <c r="DI44" i="5" s="1"/>
  <c r="T228" i="6"/>
  <c r="S234" i="6"/>
  <c r="U234" i="6"/>
  <c r="Y234" i="6"/>
  <c r="BW46" i="5" s="1"/>
  <c r="DI46" i="5" s="1"/>
  <c r="S242" i="6"/>
  <c r="U242" i="6"/>
  <c r="AA321" i="6"/>
  <c r="AE248" i="6"/>
  <c r="AG248" i="6"/>
  <c r="AI248" i="6"/>
  <c r="H342" i="6"/>
  <c r="H324" i="6"/>
  <c r="H339" i="6" s="1"/>
  <c r="H327" i="6"/>
  <c r="J342" i="6"/>
  <c r="J324" i="6"/>
  <c r="J339" i="6" s="1"/>
  <c r="J327" i="6"/>
  <c r="L342" i="6"/>
  <c r="L324" i="6"/>
  <c r="L339" i="6" s="1"/>
  <c r="L327" i="6"/>
  <c r="N342" i="6"/>
  <c r="N324" i="6"/>
  <c r="N339" i="6" s="1"/>
  <c r="N327" i="6"/>
  <c r="T249" i="6"/>
  <c r="V249" i="6"/>
  <c r="X249" i="6"/>
  <c r="Z249" i="6"/>
  <c r="S349" i="6"/>
  <c r="U349" i="6"/>
  <c r="W349" i="6"/>
  <c r="Y375" i="6"/>
  <c r="Y361" i="6"/>
  <c r="Y349" i="6"/>
  <c r="AC375" i="6"/>
  <c r="AC349" i="6"/>
  <c r="AC350" i="6" s="1"/>
  <c r="AE250" i="6"/>
  <c r="AE251" i="6"/>
  <c r="AE252" i="6"/>
  <c r="AI252" i="6"/>
  <c r="AE253" i="6"/>
  <c r="AI253" i="6"/>
  <c r="AB254" i="6"/>
  <c r="AB257" i="6"/>
  <c r="AB259" i="6"/>
  <c r="AB261" i="6"/>
  <c r="AB269" i="6"/>
  <c r="AB272" i="6"/>
  <c r="AB278" i="6"/>
  <c r="AB282" i="6"/>
  <c r="AB284" i="6"/>
  <c r="AB286" i="6"/>
  <c r="AB288" i="6"/>
  <c r="AB290" i="6"/>
  <c r="AB292" i="6"/>
  <c r="AB294" i="6"/>
  <c r="AB296" i="6"/>
  <c r="AB298" i="6"/>
  <c r="AB300" i="6"/>
  <c r="S180" i="6"/>
  <c r="AB181" i="6"/>
  <c r="S205" i="6"/>
  <c r="T206" i="6"/>
  <c r="T214" i="6"/>
  <c r="T220" i="6"/>
  <c r="T234" i="6"/>
  <c r="T242" i="6"/>
  <c r="Z321" i="6"/>
  <c r="AD248" i="6"/>
  <c r="AH248" i="6"/>
  <c r="G342" i="6"/>
  <c r="G327" i="6"/>
  <c r="G324" i="6"/>
  <c r="G339" i="6" s="1"/>
  <c r="I342" i="6"/>
  <c r="I327" i="6"/>
  <c r="I324" i="6"/>
  <c r="I339" i="6" s="1"/>
  <c r="K342" i="6"/>
  <c r="K327" i="6"/>
  <c r="K324" i="6"/>
  <c r="K339" i="6" s="1"/>
  <c r="M342" i="6"/>
  <c r="M327" i="6"/>
  <c r="M324" i="6"/>
  <c r="M339" i="6" s="1"/>
  <c r="O342" i="6"/>
  <c r="X342" i="6" s="1"/>
  <c r="O327" i="6"/>
  <c r="X327" i="6" s="1"/>
  <c r="O324" i="6"/>
  <c r="X321" i="6"/>
  <c r="S249" i="6"/>
  <c r="W249" i="6"/>
  <c r="Z361" i="6"/>
  <c r="Z349" i="6"/>
  <c r="Z375" i="6"/>
  <c r="AF250" i="6"/>
  <c r="AA375" i="6"/>
  <c r="AA361" i="6"/>
  <c r="AA349" i="6"/>
  <c r="AI349" i="6" s="1"/>
  <c r="AH251" i="6"/>
  <c r="AB256" i="6"/>
  <c r="AB258" i="6"/>
  <c r="AB260" i="6"/>
  <c r="AB270" i="6"/>
  <c r="AB271" i="6"/>
  <c r="AH279" i="6"/>
  <c r="AF279" i="6"/>
  <c r="AD279" i="6"/>
  <c r="AI279" i="6"/>
  <c r="AG279" i="6"/>
  <c r="AE279" i="6"/>
  <c r="AC279" i="6"/>
  <c r="AB281" i="6"/>
  <c r="AB283" i="6"/>
  <c r="AB287" i="6"/>
  <c r="AB289" i="6"/>
  <c r="AB291" i="6"/>
  <c r="AB293" i="6"/>
  <c r="AB295" i="6"/>
  <c r="AB297" i="6"/>
  <c r="AB299" i="6"/>
  <c r="P262" i="6"/>
  <c r="Q262" i="6" s="1"/>
  <c r="Q343" i="6" s="1"/>
  <c r="AD262" i="6"/>
  <c r="AF262" i="6"/>
  <c r="AH262" i="6"/>
  <c r="AD263" i="6"/>
  <c r="AF263" i="6"/>
  <c r="AH263" i="6"/>
  <c r="AD264" i="6"/>
  <c r="AF264" i="6"/>
  <c r="AH264" i="6"/>
  <c r="AE265" i="6"/>
  <c r="AG265" i="6"/>
  <c r="AI265" i="6"/>
  <c r="AE266" i="6"/>
  <c r="AG266" i="6"/>
  <c r="AI266" i="6"/>
  <c r="V267" i="6"/>
  <c r="X267" i="6"/>
  <c r="AC275" i="6"/>
  <c r="AC378" i="6" s="1"/>
  <c r="AE275" i="6"/>
  <c r="AG275" i="6"/>
  <c r="AI275" i="6"/>
  <c r="Z377" i="6"/>
  <c r="Z347" i="6"/>
  <c r="Z348" i="6" s="1"/>
  <c r="AF276" i="6"/>
  <c r="U277" i="6"/>
  <c r="T280" i="6"/>
  <c r="V280" i="6"/>
  <c r="T285" i="6"/>
  <c r="V285" i="6"/>
  <c r="AB302" i="6"/>
  <c r="AB304" i="6"/>
  <c r="AB306" i="6"/>
  <c r="AB308" i="6"/>
  <c r="AB310" i="6"/>
  <c r="AB312" i="6"/>
  <c r="AB314" i="6"/>
  <c r="AB316" i="6"/>
  <c r="AB318" i="6"/>
  <c r="AB320" i="6"/>
  <c r="AE262" i="6"/>
  <c r="AG262" i="6"/>
  <c r="S267" i="6"/>
  <c r="U267" i="6"/>
  <c r="W267" i="6"/>
  <c r="AD275" i="6"/>
  <c r="AF275" i="6"/>
  <c r="AH275" i="6"/>
  <c r="Y377" i="6"/>
  <c r="Y347" i="6"/>
  <c r="Y348" i="6" s="1"/>
  <c r="AA377" i="6"/>
  <c r="AA347" i="6"/>
  <c r="AH347" i="6" s="1"/>
  <c r="AE276" i="6"/>
  <c r="AG276" i="6"/>
  <c r="AI276" i="6"/>
  <c r="T277" i="6"/>
  <c r="S280" i="6"/>
  <c r="S285" i="6"/>
  <c r="AB301" i="6"/>
  <c r="AB303" i="6"/>
  <c r="AB305" i="6"/>
  <c r="AB307" i="6"/>
  <c r="AB309" i="6"/>
  <c r="AB311" i="6"/>
  <c r="AB313" i="6"/>
  <c r="AB315" i="6"/>
  <c r="AB317" i="6"/>
  <c r="AB319" i="6"/>
  <c r="O350" i="6"/>
  <c r="X348" i="6"/>
  <c r="X350" i="6" s="1"/>
  <c r="Q350" i="6"/>
  <c r="W348" i="6"/>
  <c r="W350" i="6" s="1"/>
  <c r="V348" i="6"/>
  <c r="V350" i="6" s="1"/>
  <c r="AI347" i="6"/>
  <c r="R350" i="6"/>
  <c r="U348" i="6"/>
  <c r="U350" i="6" s="1"/>
  <c r="S348" i="6"/>
  <c r="S350" i="6" s="1"/>
  <c r="T348" i="6"/>
  <c r="T350" i="6" s="1"/>
  <c r="AB350" i="6"/>
  <c r="AD346" i="6"/>
  <c r="AF346" i="6"/>
  <c r="AH346" i="6"/>
  <c r="J349" i="6"/>
  <c r="J362" i="6" s="1"/>
  <c r="L349" i="6"/>
  <c r="L362" i="6" s="1"/>
  <c r="W362" i="6"/>
  <c r="V362" i="6"/>
  <c r="AH349" i="6"/>
  <c r="AE346" i="6"/>
  <c r="AG346" i="6"/>
  <c r="AI346" i="6"/>
  <c r="K349" i="6"/>
  <c r="K362" i="6" s="1"/>
  <c r="U362" i="6"/>
  <c r="S362" i="6"/>
  <c r="T362" i="6"/>
  <c r="AE349" i="6"/>
  <c r="AG349" i="6"/>
  <c r="S361" i="6"/>
  <c r="U361" i="6"/>
  <c r="W361" i="6"/>
  <c r="AB362" i="6"/>
  <c r="AD349" i="6"/>
  <c r="AF349" i="6"/>
  <c r="Y30" i="6" l="1"/>
  <c r="Y29" i="6" s="1"/>
  <c r="AJ29" i="6" s="1"/>
  <c r="BW60" i="5"/>
  <c r="DI60" i="5" s="1"/>
  <c r="DI28" i="5"/>
  <c r="AA151" i="6"/>
  <c r="AA130" i="6" s="1"/>
  <c r="AA129" i="6" s="1"/>
  <c r="AA343" i="6" s="1"/>
  <c r="Z151" i="6"/>
  <c r="Z130" i="6" s="1"/>
  <c r="Z129" i="6" s="1"/>
  <c r="BW65" i="5"/>
  <c r="DI65" i="5" s="1"/>
  <c r="DI67" i="5"/>
  <c r="BW85" i="5"/>
  <c r="DI85" i="5" s="1"/>
  <c r="DI22" i="5"/>
  <c r="AA246" i="6"/>
  <c r="AG347" i="6"/>
  <c r="AF347" i="6"/>
  <c r="Y362" i="6"/>
  <c r="Y321" i="6"/>
  <c r="BW52" i="5" s="1"/>
  <c r="DI52" i="5" s="1"/>
  <c r="Z30" i="6"/>
  <c r="Z29" i="6" s="1"/>
  <c r="Z246" i="6" s="1"/>
  <c r="AA362" i="6"/>
  <c r="Y151" i="6"/>
  <c r="Y130" i="6" s="1"/>
  <c r="Y129" i="6" s="1"/>
  <c r="BW36" i="5"/>
  <c r="AJ27" i="6"/>
  <c r="BW21" i="5"/>
  <c r="BW20" i="5" s="1"/>
  <c r="AJ131" i="6"/>
  <c r="Y350" i="6"/>
  <c r="AD348" i="6"/>
  <c r="AE348" i="6"/>
  <c r="Z350" i="6"/>
  <c r="AF348" i="6"/>
  <c r="AG348" i="6"/>
  <c r="Y343" i="6"/>
  <c r="Y246" i="6"/>
  <c r="AF315" i="6"/>
  <c r="AC315" i="6"/>
  <c r="AH315" i="6"/>
  <c r="AD315" i="6"/>
  <c r="AF307" i="6"/>
  <c r="AC307" i="6"/>
  <c r="AH307" i="6"/>
  <c r="AD307" i="6"/>
  <c r="AH303" i="6"/>
  <c r="AD303" i="6"/>
  <c r="AI303" i="6"/>
  <c r="AF303" i="6"/>
  <c r="AC303" i="6"/>
  <c r="AF320" i="6"/>
  <c r="AC320" i="6"/>
  <c r="AH320" i="6"/>
  <c r="AD320" i="6"/>
  <c r="AI316" i="6"/>
  <c r="AF316" i="6"/>
  <c r="AC316" i="6"/>
  <c r="AH316" i="6"/>
  <c r="AD316" i="6"/>
  <c r="AH312" i="6"/>
  <c r="AD312" i="6"/>
  <c r="AI312" i="6"/>
  <c r="AF312" i="6"/>
  <c r="AC312" i="6"/>
  <c r="AF308" i="6"/>
  <c r="AC308" i="6"/>
  <c r="AH308" i="6"/>
  <c r="AD308" i="6"/>
  <c r="AI304" i="6"/>
  <c r="AF304" i="6"/>
  <c r="AC304" i="6"/>
  <c r="AH304" i="6"/>
  <c r="AD304" i="6"/>
  <c r="AH299" i="6"/>
  <c r="AD299" i="6"/>
  <c r="AF299" i="6"/>
  <c r="AC299" i="6"/>
  <c r="AI295" i="6"/>
  <c r="AF295" i="6"/>
  <c r="AC295" i="6"/>
  <c r="AH295" i="6"/>
  <c r="AD295" i="6"/>
  <c r="AH291" i="6"/>
  <c r="AD291" i="6"/>
  <c r="AF291" i="6"/>
  <c r="AC291" i="6"/>
  <c r="AH287" i="6"/>
  <c r="AD287" i="6"/>
  <c r="AF287" i="6"/>
  <c r="AC287" i="6"/>
  <c r="AH281" i="6"/>
  <c r="AF281" i="6"/>
  <c r="AD281" i="6"/>
  <c r="AI281" i="6"/>
  <c r="AG281" i="6"/>
  <c r="AE281" i="6"/>
  <c r="AC281" i="6"/>
  <c r="AB280" i="6"/>
  <c r="AH271" i="6"/>
  <c r="AD271" i="6"/>
  <c r="AF271" i="6"/>
  <c r="AC271" i="6"/>
  <c r="AI260" i="6"/>
  <c r="AG260" i="6"/>
  <c r="AE260" i="6"/>
  <c r="AC260" i="6"/>
  <c r="AH260" i="6"/>
  <c r="AF260" i="6"/>
  <c r="AD260" i="6"/>
  <c r="AI256" i="6"/>
  <c r="AG256" i="6"/>
  <c r="AE256" i="6"/>
  <c r="AC256" i="6"/>
  <c r="AH256" i="6"/>
  <c r="AF256" i="6"/>
  <c r="AD256" i="6"/>
  <c r="AA348" i="6"/>
  <c r="Z342" i="6"/>
  <c r="Z324" i="6"/>
  <c r="Z339" i="6" s="1"/>
  <c r="Z327" i="6"/>
  <c r="AH298" i="6"/>
  <c r="AD298" i="6"/>
  <c r="AF298" i="6"/>
  <c r="AC298" i="6"/>
  <c r="AF294" i="6"/>
  <c r="AC294" i="6"/>
  <c r="AH294" i="6"/>
  <c r="AD294" i="6"/>
  <c r="AH290" i="6"/>
  <c r="AD290" i="6"/>
  <c r="AF290" i="6"/>
  <c r="AC290" i="6"/>
  <c r="AH286" i="6"/>
  <c r="AD286" i="6"/>
  <c r="AF286" i="6"/>
  <c r="AC286" i="6"/>
  <c r="AB285" i="6"/>
  <c r="AF282" i="6"/>
  <c r="AC282" i="6"/>
  <c r="AH282" i="6"/>
  <c r="AD282" i="6"/>
  <c r="AH272" i="6"/>
  <c r="AD272" i="6"/>
  <c r="AF272" i="6"/>
  <c r="AC272" i="6"/>
  <c r="AH261" i="6"/>
  <c r="AD261" i="6"/>
  <c r="AI261" i="6"/>
  <c r="AF261" i="6"/>
  <c r="AC261" i="6"/>
  <c r="AH257" i="6"/>
  <c r="AF257" i="6"/>
  <c r="AD257" i="6"/>
  <c r="AI257" i="6"/>
  <c r="AG257" i="6"/>
  <c r="AE257" i="6"/>
  <c r="Y342" i="6"/>
  <c r="Y324" i="6"/>
  <c r="Y339" i="6" s="1"/>
  <c r="AI239" i="6"/>
  <c r="AG239" i="6"/>
  <c r="AE239" i="6"/>
  <c r="AC239" i="6"/>
  <c r="AH239" i="6"/>
  <c r="AF239" i="6"/>
  <c r="AD239" i="6"/>
  <c r="AI235" i="6"/>
  <c r="AG235" i="6"/>
  <c r="AE235" i="6"/>
  <c r="AC235" i="6"/>
  <c r="AB234" i="6"/>
  <c r="AH235" i="6"/>
  <c r="AF235" i="6"/>
  <c r="AD235" i="6"/>
  <c r="AI230" i="6"/>
  <c r="AF230" i="6"/>
  <c r="AC230" i="6"/>
  <c r="AH230" i="6"/>
  <c r="AD230" i="6"/>
  <c r="AI224" i="6"/>
  <c r="AF224" i="6"/>
  <c r="AC224" i="6"/>
  <c r="AH224" i="6"/>
  <c r="AD224" i="6"/>
  <c r="AI217" i="6"/>
  <c r="AG217" i="6"/>
  <c r="AE217" i="6"/>
  <c r="AC217" i="6"/>
  <c r="AH217" i="6"/>
  <c r="AF217" i="6"/>
  <c r="AD217" i="6"/>
  <c r="AF203" i="6"/>
  <c r="AC203" i="6"/>
  <c r="AH203" i="6"/>
  <c r="AD203" i="6"/>
  <c r="AH199" i="6"/>
  <c r="AD199" i="6"/>
  <c r="AI199" i="6"/>
  <c r="AF199" i="6"/>
  <c r="AC199" i="6"/>
  <c r="AI195" i="6"/>
  <c r="AF195" i="6"/>
  <c r="AC195" i="6"/>
  <c r="AH195" i="6"/>
  <c r="AD195" i="6"/>
  <c r="AH191" i="6"/>
  <c r="AD191" i="6"/>
  <c r="AI191" i="6"/>
  <c r="AF191" i="6"/>
  <c r="AC191" i="6"/>
  <c r="AH187" i="6"/>
  <c r="AF187" i="6"/>
  <c r="AD187" i="6"/>
  <c r="AI187" i="6"/>
  <c r="AG187" i="6"/>
  <c r="AE187" i="6"/>
  <c r="AC187" i="6"/>
  <c r="AH178" i="6"/>
  <c r="AD178" i="6"/>
  <c r="AI178" i="6"/>
  <c r="AF178" i="6"/>
  <c r="AC178" i="6"/>
  <c r="AI243" i="6"/>
  <c r="AG243" i="6"/>
  <c r="AE243" i="6"/>
  <c r="AC243" i="6"/>
  <c r="AB242" i="6"/>
  <c r="AH243" i="6"/>
  <c r="AF243" i="6"/>
  <c r="AD243" i="6"/>
  <c r="AI221" i="6"/>
  <c r="AF221" i="6"/>
  <c r="AC221" i="6"/>
  <c r="AB220" i="6"/>
  <c r="AH221" i="6"/>
  <c r="AD221" i="6"/>
  <c r="AI209" i="6"/>
  <c r="AG209" i="6"/>
  <c r="AE209" i="6"/>
  <c r="AC209" i="6"/>
  <c r="AH209" i="6"/>
  <c r="AF209" i="6"/>
  <c r="AD209" i="6"/>
  <c r="AF204" i="6"/>
  <c r="AC204" i="6"/>
  <c r="AH204" i="6"/>
  <c r="AD204" i="6"/>
  <c r="AI200" i="6"/>
  <c r="AF200" i="6"/>
  <c r="AC200" i="6"/>
  <c r="AH200" i="6"/>
  <c r="AD200" i="6"/>
  <c r="AI196" i="6"/>
  <c r="AF196" i="6"/>
  <c r="AD196" i="6"/>
  <c r="AH196" i="6"/>
  <c r="AE196" i="6"/>
  <c r="AC196" i="6"/>
  <c r="AI190" i="6"/>
  <c r="AG190" i="6"/>
  <c r="AE190" i="6"/>
  <c r="AC190" i="6"/>
  <c r="AH190" i="6"/>
  <c r="AF190" i="6"/>
  <c r="AD190" i="6"/>
  <c r="AI186" i="6"/>
  <c r="AF186" i="6"/>
  <c r="AC186" i="6"/>
  <c r="AH186" i="6"/>
  <c r="AD186" i="6"/>
  <c r="AI177" i="6"/>
  <c r="AG177" i="6"/>
  <c r="AE177" i="6"/>
  <c r="AC177" i="6"/>
  <c r="AH177" i="6"/>
  <c r="AF177" i="6"/>
  <c r="AD177" i="6"/>
  <c r="AI173" i="6"/>
  <c r="AF173" i="6"/>
  <c r="AC173" i="6"/>
  <c r="AB175" i="6"/>
  <c r="AH173" i="6"/>
  <c r="AD173" i="6"/>
  <c r="AB168" i="6"/>
  <c r="AI161" i="6"/>
  <c r="AG161" i="6"/>
  <c r="AE161" i="6"/>
  <c r="AC161" i="6"/>
  <c r="AH161" i="6"/>
  <c r="AF161" i="6"/>
  <c r="AD161" i="6"/>
  <c r="AI171" i="6"/>
  <c r="AF171" i="6"/>
  <c r="AC171" i="6"/>
  <c r="AH171" i="6"/>
  <c r="AD171" i="6"/>
  <c r="AH164" i="6"/>
  <c r="AD164" i="6"/>
  <c r="AI164" i="6"/>
  <c r="AF164" i="6"/>
  <c r="AC164" i="6"/>
  <c r="AI159" i="6"/>
  <c r="AG159" i="6"/>
  <c r="AE159" i="6"/>
  <c r="AC159" i="6"/>
  <c r="AH159" i="6"/>
  <c r="AF159" i="6"/>
  <c r="AD159" i="6"/>
  <c r="AI155" i="6"/>
  <c r="AG155" i="6"/>
  <c r="AE155" i="6"/>
  <c r="AC155" i="6"/>
  <c r="AH155" i="6"/>
  <c r="AF155" i="6"/>
  <c r="AD155" i="6"/>
  <c r="AI149" i="6"/>
  <c r="AG149" i="6"/>
  <c r="AE149" i="6"/>
  <c r="AC149" i="6"/>
  <c r="AB148" i="6"/>
  <c r="AH149" i="6"/>
  <c r="AF149" i="6"/>
  <c r="AD149" i="6"/>
  <c r="AH145" i="6"/>
  <c r="AF145" i="6"/>
  <c r="AD145" i="6"/>
  <c r="AI145" i="6"/>
  <c r="AG145" i="6"/>
  <c r="AE145" i="6"/>
  <c r="AC145" i="6"/>
  <c r="AH137" i="6"/>
  <c r="AF137" i="6"/>
  <c r="AD137" i="6"/>
  <c r="AI137" i="6"/>
  <c r="AG137" i="6"/>
  <c r="AE137" i="6"/>
  <c r="AC137" i="6"/>
  <c r="AH133" i="6"/>
  <c r="AF133" i="6"/>
  <c r="AD133" i="6"/>
  <c r="AI133" i="6"/>
  <c r="AG133" i="6"/>
  <c r="AE133" i="6"/>
  <c r="AC133" i="6"/>
  <c r="AI124" i="6"/>
  <c r="AG124" i="6"/>
  <c r="AE124" i="6"/>
  <c r="AC124" i="6"/>
  <c r="AH124" i="6"/>
  <c r="AF124" i="6"/>
  <c r="AD124" i="6"/>
  <c r="AH112" i="6"/>
  <c r="AD112" i="6"/>
  <c r="AF112" i="6"/>
  <c r="AC112" i="6"/>
  <c r="AH108" i="6"/>
  <c r="AF108" i="6"/>
  <c r="AD108" i="6"/>
  <c r="AI108" i="6"/>
  <c r="AG108" i="6"/>
  <c r="AE108" i="6"/>
  <c r="AC108" i="6"/>
  <c r="AH53" i="6"/>
  <c r="AF53" i="6"/>
  <c r="AD53" i="6"/>
  <c r="AB56" i="6"/>
  <c r="AI53" i="6"/>
  <c r="AG53" i="6"/>
  <c r="AE53" i="6"/>
  <c r="AC53" i="6"/>
  <c r="AH47" i="6"/>
  <c r="AF47" i="6"/>
  <c r="AD47" i="6"/>
  <c r="AB52" i="6"/>
  <c r="AI47" i="6"/>
  <c r="AG47" i="6"/>
  <c r="AE47" i="6"/>
  <c r="AC47" i="6"/>
  <c r="AH43" i="6"/>
  <c r="AF43" i="6"/>
  <c r="AD43" i="6"/>
  <c r="AB46" i="6"/>
  <c r="AI43" i="6"/>
  <c r="AG43" i="6"/>
  <c r="AE43" i="6"/>
  <c r="AC43" i="6"/>
  <c r="AH35" i="6"/>
  <c r="AF35" i="6"/>
  <c r="AD35" i="6"/>
  <c r="AB42" i="6"/>
  <c r="AI35" i="6"/>
  <c r="AG35" i="6"/>
  <c r="AE35" i="6"/>
  <c r="AC35" i="6"/>
  <c r="AH31" i="6"/>
  <c r="AF31" i="6"/>
  <c r="AD31" i="6"/>
  <c r="AB34" i="6"/>
  <c r="AI31" i="6"/>
  <c r="AG31" i="6"/>
  <c r="AE31" i="6"/>
  <c r="AC31" i="6"/>
  <c r="P343" i="6"/>
  <c r="AI167" i="6"/>
  <c r="AG167" i="6"/>
  <c r="AE167" i="6"/>
  <c r="AC167" i="6"/>
  <c r="AH167" i="6"/>
  <c r="AF167" i="6"/>
  <c r="AD167" i="6"/>
  <c r="AI163" i="6"/>
  <c r="AG163" i="6"/>
  <c r="AE163" i="6"/>
  <c r="AC163" i="6"/>
  <c r="AH163" i="6"/>
  <c r="AF163" i="6"/>
  <c r="AD163" i="6"/>
  <c r="AH156" i="6"/>
  <c r="AF156" i="6"/>
  <c r="AD156" i="6"/>
  <c r="AI156" i="6"/>
  <c r="AG156" i="6"/>
  <c r="AE156" i="6"/>
  <c r="AC156" i="6"/>
  <c r="AH150" i="6"/>
  <c r="AF150" i="6"/>
  <c r="AD150" i="6"/>
  <c r="AI150" i="6"/>
  <c r="AG150" i="6"/>
  <c r="AE150" i="6"/>
  <c r="AC150" i="6"/>
  <c r="AI144" i="6"/>
  <c r="AG144" i="6"/>
  <c r="AE144" i="6"/>
  <c r="AC144" i="6"/>
  <c r="AB143" i="6"/>
  <c r="AH144" i="6"/>
  <c r="AF144" i="6"/>
  <c r="AD144" i="6"/>
  <c r="AI140" i="6"/>
  <c r="AF140" i="6"/>
  <c r="AC140" i="6"/>
  <c r="AH140" i="6"/>
  <c r="AD140" i="6"/>
  <c r="AI136" i="6"/>
  <c r="AG136" i="6"/>
  <c r="AE136" i="6"/>
  <c r="AC136" i="6"/>
  <c r="AH136" i="6"/>
  <c r="AF136" i="6"/>
  <c r="AD136" i="6"/>
  <c r="AI132" i="6"/>
  <c r="AG132" i="6"/>
  <c r="AE132" i="6"/>
  <c r="AC132" i="6"/>
  <c r="AB131" i="6"/>
  <c r="AH132" i="6"/>
  <c r="AF132" i="6"/>
  <c r="AD132" i="6"/>
  <c r="AH125" i="6"/>
  <c r="AF125" i="6"/>
  <c r="AD125" i="6"/>
  <c r="AI125" i="6"/>
  <c r="AG125" i="6"/>
  <c r="AE125" i="6"/>
  <c r="AC125" i="6"/>
  <c r="AH121" i="6"/>
  <c r="AD121" i="6"/>
  <c r="AI121" i="6"/>
  <c r="AF121" i="6"/>
  <c r="AC121" i="6"/>
  <c r="AB120" i="6"/>
  <c r="AI116" i="6"/>
  <c r="AG116" i="6"/>
  <c r="AE116" i="6"/>
  <c r="AC116" i="6"/>
  <c r="AH116" i="6"/>
  <c r="AF116" i="6"/>
  <c r="AD116" i="6"/>
  <c r="AI109" i="6"/>
  <c r="AG109" i="6"/>
  <c r="AE109" i="6"/>
  <c r="AC109" i="6"/>
  <c r="AH109" i="6"/>
  <c r="AF109" i="6"/>
  <c r="AD109" i="6"/>
  <c r="AI80" i="6"/>
  <c r="AG80" i="6"/>
  <c r="AE80" i="6"/>
  <c r="AC80" i="6"/>
  <c r="AB87" i="6"/>
  <c r="AH80" i="6"/>
  <c r="AF80" i="6"/>
  <c r="AD80" i="6"/>
  <c r="AI66" i="6"/>
  <c r="AG66" i="6"/>
  <c r="AE66" i="6"/>
  <c r="AC66" i="6"/>
  <c r="AB70" i="6"/>
  <c r="AH66" i="6"/>
  <c r="AF66" i="6"/>
  <c r="AD66" i="6"/>
  <c r="AI102" i="6"/>
  <c r="AF102" i="6"/>
  <c r="AC102" i="6"/>
  <c r="AH102" i="6"/>
  <c r="AD102" i="6"/>
  <c r="AI98" i="6"/>
  <c r="AF98" i="6"/>
  <c r="AC98" i="6"/>
  <c r="AH98" i="6"/>
  <c r="AD98" i="6"/>
  <c r="AH92" i="6"/>
  <c r="AD92" i="6"/>
  <c r="AI92" i="6"/>
  <c r="AF92" i="6"/>
  <c r="AC92" i="6"/>
  <c r="AB91" i="6"/>
  <c r="AF86" i="6"/>
  <c r="AC86" i="6"/>
  <c r="AH86" i="6"/>
  <c r="AD86" i="6"/>
  <c r="AI82" i="6"/>
  <c r="AG82" i="6"/>
  <c r="AE82" i="6"/>
  <c r="AC82" i="6"/>
  <c r="AH82" i="6"/>
  <c r="AF82" i="6"/>
  <c r="AD82" i="6"/>
  <c r="AH75" i="6"/>
  <c r="AF75" i="6"/>
  <c r="AD75" i="6"/>
  <c r="AI75" i="6"/>
  <c r="AG75" i="6"/>
  <c r="AE75" i="6"/>
  <c r="AC75" i="6"/>
  <c r="AB79" i="6"/>
  <c r="AH71" i="6"/>
  <c r="AF71" i="6"/>
  <c r="AD71" i="6"/>
  <c r="AI71" i="6"/>
  <c r="AG71" i="6"/>
  <c r="AE71" i="6"/>
  <c r="AC71" i="6"/>
  <c r="AH63" i="6"/>
  <c r="AF63" i="6"/>
  <c r="AD63" i="6"/>
  <c r="AI63" i="6"/>
  <c r="AG63" i="6"/>
  <c r="AE63" i="6"/>
  <c r="AC63" i="6"/>
  <c r="AI58" i="6"/>
  <c r="AG58" i="6"/>
  <c r="AE58" i="6"/>
  <c r="AC58" i="6"/>
  <c r="AH58" i="6"/>
  <c r="AF58" i="6"/>
  <c r="AD58" i="6"/>
  <c r="AI50" i="6"/>
  <c r="AG50" i="6"/>
  <c r="AE50" i="6"/>
  <c r="AC50" i="6"/>
  <c r="AH50" i="6"/>
  <c r="AF50" i="6"/>
  <c r="AD50" i="6"/>
  <c r="AH45" i="6"/>
  <c r="AF45" i="6"/>
  <c r="AD45" i="6"/>
  <c r="AI45" i="6"/>
  <c r="AG45" i="6"/>
  <c r="AE45" i="6"/>
  <c r="AC45" i="6"/>
  <c r="AI38" i="6"/>
  <c r="AG38" i="6"/>
  <c r="AE38" i="6"/>
  <c r="AC38" i="6"/>
  <c r="AH38" i="6"/>
  <c r="AF38" i="6"/>
  <c r="AD38" i="6"/>
  <c r="AH33" i="6"/>
  <c r="AF33" i="6"/>
  <c r="AD33" i="6"/>
  <c r="AI33" i="6"/>
  <c r="AG33" i="6"/>
  <c r="AE33" i="6"/>
  <c r="AC33" i="6"/>
  <c r="AI107" i="6"/>
  <c r="AG107" i="6"/>
  <c r="AH107" i="6"/>
  <c r="AF107" i="6"/>
  <c r="AD107" i="6"/>
  <c r="AE107" i="6"/>
  <c r="AC107" i="6"/>
  <c r="AH103" i="6"/>
  <c r="AD103" i="6"/>
  <c r="AI103" i="6"/>
  <c r="AF103" i="6"/>
  <c r="AC103" i="6"/>
  <c r="AH99" i="6"/>
  <c r="AF99" i="6"/>
  <c r="AD99" i="6"/>
  <c r="AI99" i="6"/>
  <c r="AG99" i="6"/>
  <c r="AE99" i="6"/>
  <c r="AC99" i="6"/>
  <c r="AB247" i="6"/>
  <c r="AI95" i="6"/>
  <c r="AG95" i="6"/>
  <c r="AE95" i="6"/>
  <c r="AC95" i="6"/>
  <c r="AH95" i="6"/>
  <c r="AF95" i="6"/>
  <c r="AD95" i="6"/>
  <c r="AB90" i="6"/>
  <c r="AH88" i="6"/>
  <c r="AD88" i="6"/>
  <c r="AI88" i="6"/>
  <c r="AF88" i="6"/>
  <c r="AC88" i="6"/>
  <c r="AI78" i="6"/>
  <c r="AG78" i="6"/>
  <c r="AE78" i="6"/>
  <c r="AC78" i="6"/>
  <c r="AH78" i="6"/>
  <c r="AF78" i="6"/>
  <c r="AD78" i="6"/>
  <c r="AI74" i="6"/>
  <c r="AG74" i="6"/>
  <c r="AE74" i="6"/>
  <c r="AC74" i="6"/>
  <c r="AH74" i="6"/>
  <c r="AF74" i="6"/>
  <c r="AD74" i="6"/>
  <c r="AH69" i="6"/>
  <c r="AF69" i="6"/>
  <c r="AD69" i="6"/>
  <c r="AI69" i="6"/>
  <c r="AG69" i="6"/>
  <c r="AE69" i="6"/>
  <c r="AC69" i="6"/>
  <c r="AI64" i="6"/>
  <c r="AG64" i="6"/>
  <c r="AE64" i="6"/>
  <c r="AC64" i="6"/>
  <c r="AH64" i="6"/>
  <c r="AF64" i="6"/>
  <c r="AD64" i="6"/>
  <c r="AB61" i="6"/>
  <c r="AH57" i="6"/>
  <c r="AF57" i="6"/>
  <c r="AD57" i="6"/>
  <c r="AI57" i="6"/>
  <c r="AG57" i="6"/>
  <c r="AE57" i="6"/>
  <c r="AC57" i="6"/>
  <c r="AH51" i="6"/>
  <c r="AF51" i="6"/>
  <c r="AD51" i="6"/>
  <c r="AI51" i="6"/>
  <c r="AG51" i="6"/>
  <c r="AE51" i="6"/>
  <c r="AC51" i="6"/>
  <c r="AG41" i="6"/>
  <c r="AD41" i="6"/>
  <c r="AH41" i="6"/>
  <c r="AF41" i="6"/>
  <c r="AC41" i="6"/>
  <c r="AH37" i="6"/>
  <c r="AF37" i="6"/>
  <c r="AD37" i="6"/>
  <c r="AI37" i="6"/>
  <c r="AG37" i="6"/>
  <c r="AE37" i="6"/>
  <c r="AC37" i="6"/>
  <c r="Z341" i="6"/>
  <c r="Z340" i="6" s="1"/>
  <c r="Z338" i="6"/>
  <c r="Z326" i="6"/>
  <c r="Z325" i="6" s="1"/>
  <c r="Z373" i="6" s="1"/>
  <c r="Z374" i="6" s="1"/>
  <c r="Z384" i="6" s="1"/>
  <c r="AI106" i="6"/>
  <c r="AG106" i="6"/>
  <c r="AE106" i="6"/>
  <c r="AC106" i="6"/>
  <c r="AH106" i="6"/>
  <c r="AF106" i="6"/>
  <c r="AD106" i="6"/>
  <c r="AH81" i="6"/>
  <c r="AD81" i="6"/>
  <c r="AI81" i="6"/>
  <c r="AF81" i="6"/>
  <c r="AC81" i="6"/>
  <c r="AI128" i="6"/>
  <c r="AG128" i="6"/>
  <c r="AE128" i="6"/>
  <c r="AC128" i="6"/>
  <c r="AH128" i="6"/>
  <c r="AF128" i="6"/>
  <c r="AD128" i="6"/>
  <c r="AH117" i="6"/>
  <c r="AF117" i="6"/>
  <c r="AD117" i="6"/>
  <c r="AI117" i="6"/>
  <c r="AG117" i="6"/>
  <c r="AE117" i="6"/>
  <c r="AC117" i="6"/>
  <c r="AH174" i="6"/>
  <c r="AD174" i="6"/>
  <c r="AI174" i="6"/>
  <c r="AF174" i="6"/>
  <c r="AC174" i="6"/>
  <c r="AF179" i="6"/>
  <c r="AC179" i="6"/>
  <c r="AH179" i="6"/>
  <c r="AD179" i="6"/>
  <c r="AI183" i="6"/>
  <c r="AG183" i="6"/>
  <c r="AE183" i="6"/>
  <c r="AC183" i="6"/>
  <c r="AH183" i="6"/>
  <c r="AF183" i="6"/>
  <c r="AD183" i="6"/>
  <c r="AH208" i="6"/>
  <c r="AF208" i="6"/>
  <c r="AD208" i="6"/>
  <c r="AI208" i="6"/>
  <c r="AG208" i="6"/>
  <c r="AE208" i="6"/>
  <c r="AC208" i="6"/>
  <c r="AH212" i="6"/>
  <c r="AF212" i="6"/>
  <c r="AD212" i="6"/>
  <c r="AI212" i="6"/>
  <c r="AG212" i="6"/>
  <c r="AE212" i="6"/>
  <c r="AC212" i="6"/>
  <c r="AB211" i="6"/>
  <c r="AH218" i="6"/>
  <c r="AF218" i="6"/>
  <c r="AD218" i="6"/>
  <c r="AI218" i="6"/>
  <c r="AG218" i="6"/>
  <c r="AE218" i="6"/>
  <c r="AC218" i="6"/>
  <c r="AH223" i="6"/>
  <c r="AF223" i="6"/>
  <c r="AD223" i="6"/>
  <c r="AI223" i="6"/>
  <c r="AG223" i="6"/>
  <c r="AE223" i="6"/>
  <c r="AC223" i="6"/>
  <c r="AH229" i="6"/>
  <c r="AF229" i="6"/>
  <c r="AD229" i="6"/>
  <c r="AI229" i="6"/>
  <c r="AG229" i="6"/>
  <c r="AE229" i="6"/>
  <c r="AC229" i="6"/>
  <c r="AB228" i="6"/>
  <c r="AH233" i="6"/>
  <c r="AD233" i="6"/>
  <c r="AF233" i="6"/>
  <c r="AC233" i="6"/>
  <c r="AH238" i="6"/>
  <c r="AD238" i="6"/>
  <c r="AI238" i="6"/>
  <c r="AF238" i="6"/>
  <c r="AC238" i="6"/>
  <c r="AH245" i="6"/>
  <c r="AF245" i="6"/>
  <c r="AD245" i="6"/>
  <c r="AI245" i="6"/>
  <c r="AG245" i="6"/>
  <c r="AE245" i="6"/>
  <c r="AC245" i="6"/>
  <c r="AH273" i="6"/>
  <c r="AD273" i="6"/>
  <c r="AF273" i="6"/>
  <c r="AC273" i="6"/>
  <c r="AG350" i="6"/>
  <c r="AE350" i="6"/>
  <c r="AF350" i="6"/>
  <c r="AD350" i="6"/>
  <c r="AH319" i="6"/>
  <c r="AD319" i="6"/>
  <c r="AI319" i="6"/>
  <c r="AF319" i="6"/>
  <c r="AC319" i="6"/>
  <c r="AI311" i="6"/>
  <c r="AF311" i="6"/>
  <c r="AC311" i="6"/>
  <c r="AH311" i="6"/>
  <c r="AD311" i="6"/>
  <c r="AE347" i="6"/>
  <c r="AD347" i="6"/>
  <c r="AH317" i="6"/>
  <c r="AD317" i="6"/>
  <c r="AI317" i="6"/>
  <c r="AF317" i="6"/>
  <c r="AC317" i="6"/>
  <c r="AF313" i="6"/>
  <c r="AC313" i="6"/>
  <c r="AH313" i="6"/>
  <c r="AD313" i="6"/>
  <c r="AF309" i="6"/>
  <c r="AC309" i="6"/>
  <c r="AH309" i="6"/>
  <c r="AD309" i="6"/>
  <c r="AH305" i="6"/>
  <c r="AD305" i="6"/>
  <c r="AI305" i="6"/>
  <c r="AF305" i="6"/>
  <c r="AC305" i="6"/>
  <c r="AH301" i="6"/>
  <c r="AD301" i="6"/>
  <c r="AI301" i="6"/>
  <c r="AF301" i="6"/>
  <c r="AC301" i="6"/>
  <c r="AI318" i="6"/>
  <c r="AF318" i="6"/>
  <c r="AC318" i="6"/>
  <c r="AH318" i="6"/>
  <c r="AD318" i="6"/>
  <c r="AF314" i="6"/>
  <c r="AC314" i="6"/>
  <c r="AH314" i="6"/>
  <c r="AD314" i="6"/>
  <c r="AF310" i="6"/>
  <c r="AC310" i="6"/>
  <c r="AH310" i="6"/>
  <c r="AD310" i="6"/>
  <c r="AF306" i="6"/>
  <c r="AC306" i="6"/>
  <c r="AH306" i="6"/>
  <c r="AD306" i="6"/>
  <c r="AI302" i="6"/>
  <c r="AF302" i="6"/>
  <c r="AC302" i="6"/>
  <c r="AH302" i="6"/>
  <c r="AD302" i="6"/>
  <c r="W262" i="6"/>
  <c r="R262" i="6"/>
  <c r="AH297" i="6"/>
  <c r="AD297" i="6"/>
  <c r="AF297" i="6"/>
  <c r="AC297" i="6"/>
  <c r="AH293" i="6"/>
  <c r="AD293" i="6"/>
  <c r="AI293" i="6"/>
  <c r="AF293" i="6"/>
  <c r="AC293" i="6"/>
  <c r="AH289" i="6"/>
  <c r="AD289" i="6"/>
  <c r="AF289" i="6"/>
  <c r="AC289" i="6"/>
  <c r="AH283" i="6"/>
  <c r="AF283" i="6"/>
  <c r="AC283" i="6"/>
  <c r="AG283" i="6"/>
  <c r="AD283" i="6"/>
  <c r="AF270" i="6"/>
  <c r="AC270" i="6"/>
  <c r="AH270" i="6"/>
  <c r="AD270" i="6"/>
  <c r="AI258" i="6"/>
  <c r="AG258" i="6"/>
  <c r="AE258" i="6"/>
  <c r="AC258" i="6"/>
  <c r="AH258" i="6"/>
  <c r="AF258" i="6"/>
  <c r="AD258" i="6"/>
  <c r="Z362" i="6"/>
  <c r="Q321" i="6"/>
  <c r="O339" i="6"/>
  <c r="X339" i="6" s="1"/>
  <c r="X324" i="6"/>
  <c r="AH181" i="6"/>
  <c r="AD181" i="6"/>
  <c r="AB205" i="6"/>
  <c r="AI181" i="6"/>
  <c r="AF181" i="6"/>
  <c r="AC181" i="6"/>
  <c r="AI300" i="6"/>
  <c r="AF300" i="6"/>
  <c r="AH300" i="6"/>
  <c r="AD300" i="6"/>
  <c r="AC300" i="6"/>
  <c r="AH296" i="6"/>
  <c r="AD296" i="6"/>
  <c r="AF296" i="6"/>
  <c r="AC296" i="6"/>
  <c r="AH292" i="6"/>
  <c r="AD292" i="6"/>
  <c r="AF292" i="6"/>
  <c r="AC292" i="6"/>
  <c r="AH288" i="6"/>
  <c r="AD288" i="6"/>
  <c r="AF288" i="6"/>
  <c r="AC288" i="6"/>
  <c r="AH284" i="6"/>
  <c r="AF284" i="6"/>
  <c r="AD284" i="6"/>
  <c r="AI284" i="6"/>
  <c r="AG284" i="6"/>
  <c r="AE284" i="6"/>
  <c r="AC284" i="6"/>
  <c r="AI278" i="6"/>
  <c r="AG278" i="6"/>
  <c r="AE278" i="6"/>
  <c r="AC278" i="6"/>
  <c r="AB277" i="6"/>
  <c r="AH278" i="6"/>
  <c r="AF278" i="6"/>
  <c r="AD278" i="6"/>
  <c r="AF269" i="6"/>
  <c r="AC269" i="6"/>
  <c r="AH269" i="6"/>
  <c r="AD269" i="6"/>
  <c r="AH259" i="6"/>
  <c r="AF259" i="6"/>
  <c r="AD259" i="6"/>
  <c r="AI259" i="6"/>
  <c r="AG259" i="6"/>
  <c r="AE259" i="6"/>
  <c r="AC259" i="6"/>
  <c r="AB376" i="6"/>
  <c r="AI254" i="6"/>
  <c r="AG254" i="6"/>
  <c r="AE254" i="6"/>
  <c r="AC254" i="6"/>
  <c r="AH254" i="6"/>
  <c r="AF254" i="6"/>
  <c r="AD254" i="6"/>
  <c r="AB249" i="6"/>
  <c r="P321" i="6"/>
  <c r="AA342" i="6"/>
  <c r="AA327" i="6"/>
  <c r="AA324" i="6"/>
  <c r="AA339" i="6" s="1"/>
  <c r="AI237" i="6"/>
  <c r="AG237" i="6"/>
  <c r="AE237" i="6"/>
  <c r="AC237" i="6"/>
  <c r="AH237" i="6"/>
  <c r="AF237" i="6"/>
  <c r="AD237" i="6"/>
  <c r="AI232" i="6"/>
  <c r="AF232" i="6"/>
  <c r="AC232" i="6"/>
  <c r="AH232" i="6"/>
  <c r="AD232" i="6"/>
  <c r="AF226" i="6"/>
  <c r="AC226" i="6"/>
  <c r="AH226" i="6"/>
  <c r="AD226" i="6"/>
  <c r="AI219" i="6"/>
  <c r="AF219" i="6"/>
  <c r="AC219" i="6"/>
  <c r="AH219" i="6"/>
  <c r="AD219" i="6"/>
  <c r="AI215" i="6"/>
  <c r="AG215" i="6"/>
  <c r="AE215" i="6"/>
  <c r="AC215" i="6"/>
  <c r="AB214" i="6"/>
  <c r="AH215" i="6"/>
  <c r="AF215" i="6"/>
  <c r="AD215" i="6"/>
  <c r="AH201" i="6"/>
  <c r="AD201" i="6"/>
  <c r="AI201" i="6"/>
  <c r="AF201" i="6"/>
  <c r="AC201" i="6"/>
  <c r="AH197" i="6"/>
  <c r="AD197" i="6"/>
  <c r="AI197" i="6"/>
  <c r="AF197" i="6"/>
  <c r="AC197" i="6"/>
  <c r="AI193" i="6"/>
  <c r="AF193" i="6"/>
  <c r="AC193" i="6"/>
  <c r="AH193" i="6"/>
  <c r="AD193" i="6"/>
  <c r="AH189" i="6"/>
  <c r="AD189" i="6"/>
  <c r="AI189" i="6"/>
  <c r="AF189" i="6"/>
  <c r="AC189" i="6"/>
  <c r="AH185" i="6"/>
  <c r="AD185" i="6"/>
  <c r="AI185" i="6"/>
  <c r="AF185" i="6"/>
  <c r="AC185" i="6"/>
  <c r="AH152" i="6"/>
  <c r="AF152" i="6"/>
  <c r="AD152" i="6"/>
  <c r="AB153" i="6"/>
  <c r="AI152" i="6"/>
  <c r="AG152" i="6"/>
  <c r="AE152" i="6"/>
  <c r="AC152" i="6"/>
  <c r="AF227" i="6"/>
  <c r="AC227" i="6"/>
  <c r="AH227" i="6"/>
  <c r="AD227" i="6"/>
  <c r="AI213" i="6"/>
  <c r="AG213" i="6"/>
  <c r="AE213" i="6"/>
  <c r="AC213" i="6"/>
  <c r="AH213" i="6"/>
  <c r="AF213" i="6"/>
  <c r="AD213" i="6"/>
  <c r="AI207" i="6"/>
  <c r="AG207" i="6"/>
  <c r="AE207" i="6"/>
  <c r="AC207" i="6"/>
  <c r="AB206" i="6"/>
  <c r="AH207" i="6"/>
  <c r="AF207" i="6"/>
  <c r="AD207" i="6"/>
  <c r="AF202" i="6"/>
  <c r="AC202" i="6"/>
  <c r="AH202" i="6"/>
  <c r="AD202" i="6"/>
  <c r="AI198" i="6"/>
  <c r="AF198" i="6"/>
  <c r="AC198" i="6"/>
  <c r="AH198" i="6"/>
  <c r="AD198" i="6"/>
  <c r="AH194" i="6"/>
  <c r="AD194" i="6"/>
  <c r="AI194" i="6"/>
  <c r="AF194" i="6"/>
  <c r="AC194" i="6"/>
  <c r="AI188" i="6"/>
  <c r="AG188" i="6"/>
  <c r="AE188" i="6"/>
  <c r="AC188" i="6"/>
  <c r="AH188" i="6"/>
  <c r="AF188" i="6"/>
  <c r="AD188" i="6"/>
  <c r="AH184" i="6"/>
  <c r="AD184" i="6"/>
  <c r="AF184" i="6"/>
  <c r="AC184" i="6"/>
  <c r="AB172" i="6"/>
  <c r="AI169" i="6"/>
  <c r="AG169" i="6"/>
  <c r="AE169" i="6"/>
  <c r="AC169" i="6"/>
  <c r="AH169" i="6"/>
  <c r="AF169" i="6"/>
  <c r="AD169" i="6"/>
  <c r="AH166" i="6"/>
  <c r="AF166" i="6"/>
  <c r="AD166" i="6"/>
  <c r="AI166" i="6"/>
  <c r="AG166" i="6"/>
  <c r="AE166" i="6"/>
  <c r="AC166" i="6"/>
  <c r="AH162" i="6"/>
  <c r="AF162" i="6"/>
  <c r="AD162" i="6"/>
  <c r="AI162" i="6"/>
  <c r="AG162" i="6"/>
  <c r="AE162" i="6"/>
  <c r="AC162" i="6"/>
  <c r="AI157" i="6"/>
  <c r="AG157" i="6"/>
  <c r="AE157" i="6"/>
  <c r="AC157" i="6"/>
  <c r="AH157" i="6"/>
  <c r="AF157" i="6"/>
  <c r="AD157" i="6"/>
  <c r="AI147" i="6"/>
  <c r="AF147" i="6"/>
  <c r="AC147" i="6"/>
  <c r="AH147" i="6"/>
  <c r="AD147" i="6"/>
  <c r="AH139" i="6"/>
  <c r="AF139" i="6"/>
  <c r="AD139" i="6"/>
  <c r="AI139" i="6"/>
  <c r="AG139" i="6"/>
  <c r="AE139" i="6"/>
  <c r="AC139" i="6"/>
  <c r="AH135" i="6"/>
  <c r="AF135" i="6"/>
  <c r="AD135" i="6"/>
  <c r="AI135" i="6"/>
  <c r="AG135" i="6"/>
  <c r="AE135" i="6"/>
  <c r="AC135" i="6"/>
  <c r="AI126" i="6"/>
  <c r="AG126" i="6"/>
  <c r="AE126" i="6"/>
  <c r="AC126" i="6"/>
  <c r="AH126" i="6"/>
  <c r="AF126" i="6"/>
  <c r="AD126" i="6"/>
  <c r="AI122" i="6"/>
  <c r="AG122" i="6"/>
  <c r="AE122" i="6"/>
  <c r="AC122" i="6"/>
  <c r="AH122" i="6"/>
  <c r="AF122" i="6"/>
  <c r="AD122" i="6"/>
  <c r="AH110" i="6"/>
  <c r="AD110" i="6"/>
  <c r="AI110" i="6"/>
  <c r="AF110" i="6"/>
  <c r="AC110" i="6"/>
  <c r="R341" i="6"/>
  <c r="R338" i="6"/>
  <c r="R326" i="6"/>
  <c r="U246" i="6"/>
  <c r="S246" i="6"/>
  <c r="V246" i="6"/>
  <c r="T246" i="6"/>
  <c r="P341" i="6"/>
  <c r="P338" i="6"/>
  <c r="P326" i="6"/>
  <c r="N341" i="6"/>
  <c r="N340" i="6" s="1"/>
  <c r="N338" i="6"/>
  <c r="N337" i="6" s="1"/>
  <c r="N326" i="6"/>
  <c r="N325" i="6" s="1"/>
  <c r="L341" i="6"/>
  <c r="L340" i="6" s="1"/>
  <c r="L338" i="6"/>
  <c r="L337" i="6" s="1"/>
  <c r="L326" i="6"/>
  <c r="L325" i="6" s="1"/>
  <c r="J341" i="6"/>
  <c r="J340" i="6" s="1"/>
  <c r="J338" i="6"/>
  <c r="J337" i="6" s="1"/>
  <c r="J326" i="6"/>
  <c r="J325" i="6" s="1"/>
  <c r="H341" i="6"/>
  <c r="H340" i="6" s="1"/>
  <c r="H338" i="6"/>
  <c r="H337" i="6" s="1"/>
  <c r="H326" i="6"/>
  <c r="H325" i="6" s="1"/>
  <c r="AH170" i="6"/>
  <c r="AF170" i="6"/>
  <c r="AD170" i="6"/>
  <c r="AI170" i="6"/>
  <c r="AG170" i="6"/>
  <c r="AE170" i="6"/>
  <c r="AC170" i="6"/>
  <c r="AI165" i="6"/>
  <c r="AG165" i="6"/>
  <c r="AE165" i="6"/>
  <c r="AC165" i="6"/>
  <c r="AH165" i="6"/>
  <c r="AF165" i="6"/>
  <c r="AD165" i="6"/>
  <c r="AH158" i="6"/>
  <c r="AF158" i="6"/>
  <c r="AD158" i="6"/>
  <c r="AI158" i="6"/>
  <c r="AG158" i="6"/>
  <c r="AE158" i="6"/>
  <c r="AC158" i="6"/>
  <c r="AB160" i="6"/>
  <c r="AH154" i="6"/>
  <c r="AF154" i="6"/>
  <c r="AD154" i="6"/>
  <c r="AI154" i="6"/>
  <c r="AG154" i="6"/>
  <c r="AE154" i="6"/>
  <c r="AC154" i="6"/>
  <c r="AF146" i="6"/>
  <c r="AC146" i="6"/>
  <c r="AH146" i="6"/>
  <c r="AD146" i="6"/>
  <c r="AI142" i="6"/>
  <c r="AG142" i="6"/>
  <c r="AE142" i="6"/>
  <c r="AC142" i="6"/>
  <c r="AB141" i="6"/>
  <c r="AH142" i="6"/>
  <c r="AF142" i="6"/>
  <c r="AD142" i="6"/>
  <c r="AI138" i="6"/>
  <c r="AG138" i="6"/>
  <c r="AE138" i="6"/>
  <c r="AC138" i="6"/>
  <c r="AH138" i="6"/>
  <c r="AF138" i="6"/>
  <c r="AD138" i="6"/>
  <c r="AI134" i="6"/>
  <c r="AG134" i="6"/>
  <c r="AE134" i="6"/>
  <c r="AC134" i="6"/>
  <c r="AH134" i="6"/>
  <c r="AF134" i="6"/>
  <c r="AD134" i="6"/>
  <c r="AH127" i="6"/>
  <c r="AF127" i="6"/>
  <c r="AD127" i="6"/>
  <c r="AI127" i="6"/>
  <c r="AG127" i="6"/>
  <c r="AE127" i="6"/>
  <c r="AC127" i="6"/>
  <c r="AH123" i="6"/>
  <c r="AF123" i="6"/>
  <c r="AD123" i="6"/>
  <c r="AI123" i="6"/>
  <c r="AG123" i="6"/>
  <c r="AE123" i="6"/>
  <c r="AC123" i="6"/>
  <c r="AI118" i="6"/>
  <c r="AG118" i="6"/>
  <c r="AE118" i="6"/>
  <c r="AC118" i="6"/>
  <c r="AH118" i="6"/>
  <c r="AF118" i="6"/>
  <c r="AD118" i="6"/>
  <c r="AI111" i="6"/>
  <c r="AG111" i="6"/>
  <c r="AE111" i="6"/>
  <c r="AC111" i="6"/>
  <c r="AH111" i="6"/>
  <c r="AF111" i="6"/>
  <c r="AD111" i="6"/>
  <c r="AB381" i="6"/>
  <c r="AB382" i="6" s="1"/>
  <c r="AB268" i="6" s="1"/>
  <c r="AI96" i="6"/>
  <c r="AG96" i="6"/>
  <c r="AE96" i="6"/>
  <c r="AC96" i="6"/>
  <c r="AC381" i="6" s="1"/>
  <c r="AC382" i="6" s="1"/>
  <c r="AH96" i="6"/>
  <c r="AF96" i="6"/>
  <c r="AD96" i="6"/>
  <c r="AB65" i="6"/>
  <c r="AI62" i="6"/>
  <c r="AG62" i="6"/>
  <c r="AE62" i="6"/>
  <c r="AC62" i="6"/>
  <c r="AH62" i="6"/>
  <c r="AF62" i="6"/>
  <c r="AD62" i="6"/>
  <c r="Q341" i="6"/>
  <c r="Q338" i="6"/>
  <c r="Q326" i="6"/>
  <c r="W246" i="6"/>
  <c r="O341" i="6"/>
  <c r="O338" i="6"/>
  <c r="O326" i="6"/>
  <c r="X246" i="6"/>
  <c r="M341" i="6"/>
  <c r="M340" i="6" s="1"/>
  <c r="M338" i="6"/>
  <c r="M337" i="6" s="1"/>
  <c r="M326" i="6"/>
  <c r="M325" i="6" s="1"/>
  <c r="M363" i="6" s="1"/>
  <c r="K341" i="6"/>
  <c r="K340" i="6" s="1"/>
  <c r="K338" i="6"/>
  <c r="K337" i="6" s="1"/>
  <c r="K326" i="6"/>
  <c r="K325" i="6" s="1"/>
  <c r="I341" i="6"/>
  <c r="I340" i="6" s="1"/>
  <c r="I338" i="6"/>
  <c r="I337" i="6" s="1"/>
  <c r="I326" i="6"/>
  <c r="I325" i="6" s="1"/>
  <c r="G341" i="6"/>
  <c r="G340" i="6" s="1"/>
  <c r="G338" i="6"/>
  <c r="G337" i="6" s="1"/>
  <c r="G326" i="6"/>
  <c r="G325" i="6" s="1"/>
  <c r="AI104" i="6"/>
  <c r="AG104" i="6"/>
  <c r="AE104" i="6"/>
  <c r="AC104" i="6"/>
  <c r="AH104" i="6"/>
  <c r="AF104" i="6"/>
  <c r="AD104" i="6"/>
  <c r="AI100" i="6"/>
  <c r="AG100" i="6"/>
  <c r="AE100" i="6"/>
  <c r="AC100" i="6"/>
  <c r="AH100" i="6"/>
  <c r="AF100" i="6"/>
  <c r="AD100" i="6"/>
  <c r="AH94" i="6"/>
  <c r="AF94" i="6"/>
  <c r="AD94" i="6"/>
  <c r="AI94" i="6"/>
  <c r="AG94" i="6"/>
  <c r="AE94" i="6"/>
  <c r="AC94" i="6"/>
  <c r="AI89" i="6"/>
  <c r="AF89" i="6"/>
  <c r="AC89" i="6"/>
  <c r="AH89" i="6"/>
  <c r="AD89" i="6"/>
  <c r="AF84" i="6"/>
  <c r="AC84" i="6"/>
  <c r="AH84" i="6"/>
  <c r="AD84" i="6"/>
  <c r="AH77" i="6"/>
  <c r="AF77" i="6"/>
  <c r="AD77" i="6"/>
  <c r="AI77" i="6"/>
  <c r="AG77" i="6"/>
  <c r="AE77" i="6"/>
  <c r="AC77" i="6"/>
  <c r="AH73" i="6"/>
  <c r="AF73" i="6"/>
  <c r="AD73" i="6"/>
  <c r="AI73" i="6"/>
  <c r="AG73" i="6"/>
  <c r="AE73" i="6"/>
  <c r="AC73" i="6"/>
  <c r="AI68" i="6"/>
  <c r="AG68" i="6"/>
  <c r="AE68" i="6"/>
  <c r="AC68" i="6"/>
  <c r="AH68" i="6"/>
  <c r="AF68" i="6"/>
  <c r="AD68" i="6"/>
  <c r="AI60" i="6"/>
  <c r="AF60" i="6"/>
  <c r="AC60" i="6"/>
  <c r="AH60" i="6"/>
  <c r="AD60" i="6"/>
  <c r="AH55" i="6"/>
  <c r="AF55" i="6"/>
  <c r="AD55" i="6"/>
  <c r="AI55" i="6"/>
  <c r="AG55" i="6"/>
  <c r="AE55" i="6"/>
  <c r="AC55" i="6"/>
  <c r="AI48" i="6"/>
  <c r="AG48" i="6"/>
  <c r="AE48" i="6"/>
  <c r="AC48" i="6"/>
  <c r="AH48" i="6"/>
  <c r="AF48" i="6"/>
  <c r="AD48" i="6"/>
  <c r="AI40" i="6"/>
  <c r="AG40" i="6"/>
  <c r="AE40" i="6"/>
  <c r="AC40" i="6"/>
  <c r="AH40" i="6"/>
  <c r="AF40" i="6"/>
  <c r="AD40" i="6"/>
  <c r="AI36" i="6"/>
  <c r="AG36" i="6"/>
  <c r="AE36" i="6"/>
  <c r="AC36" i="6"/>
  <c r="AH36" i="6"/>
  <c r="AF36" i="6"/>
  <c r="AD36" i="6"/>
  <c r="AA341" i="6"/>
  <c r="AA340" i="6" s="1"/>
  <c r="AA338" i="6"/>
  <c r="AA337" i="6" s="1"/>
  <c r="AA326" i="6"/>
  <c r="AA325" i="6" s="1"/>
  <c r="AA373" i="6" s="1"/>
  <c r="AA374" i="6" s="1"/>
  <c r="AA384" i="6" s="1"/>
  <c r="AH105" i="6"/>
  <c r="AF105" i="6"/>
  <c r="AD105" i="6"/>
  <c r="AI105" i="6"/>
  <c r="AG105" i="6"/>
  <c r="AE105" i="6"/>
  <c r="AC105" i="6"/>
  <c r="AH101" i="6"/>
  <c r="AF101" i="6"/>
  <c r="AD101" i="6"/>
  <c r="AI101" i="6"/>
  <c r="AG101" i="6"/>
  <c r="AE101" i="6"/>
  <c r="AC101" i="6"/>
  <c r="AH97" i="6"/>
  <c r="AD97" i="6"/>
  <c r="AI97" i="6"/>
  <c r="AF97" i="6"/>
  <c r="AC97" i="6"/>
  <c r="AI93" i="6"/>
  <c r="AG93" i="6"/>
  <c r="AE93" i="6"/>
  <c r="AC93" i="6"/>
  <c r="AH93" i="6"/>
  <c r="AF93" i="6"/>
  <c r="AD93" i="6"/>
  <c r="AF85" i="6"/>
  <c r="AC85" i="6"/>
  <c r="AH85" i="6"/>
  <c r="AD85" i="6"/>
  <c r="AI76" i="6"/>
  <c r="AG76" i="6"/>
  <c r="AE76" i="6"/>
  <c r="AC76" i="6"/>
  <c r="AH76" i="6"/>
  <c r="AF76" i="6"/>
  <c r="AD76" i="6"/>
  <c r="AI72" i="6"/>
  <c r="AG72" i="6"/>
  <c r="AE72" i="6"/>
  <c r="AC72" i="6"/>
  <c r="AH72" i="6"/>
  <c r="AF72" i="6"/>
  <c r="AD72" i="6"/>
  <c r="AH67" i="6"/>
  <c r="AD67" i="6"/>
  <c r="AI67" i="6"/>
  <c r="AF67" i="6"/>
  <c r="AC67" i="6"/>
  <c r="AH59" i="6"/>
  <c r="AD59" i="6"/>
  <c r="AI59" i="6"/>
  <c r="AF59" i="6"/>
  <c r="AC59" i="6"/>
  <c r="AI54" i="6"/>
  <c r="AG54" i="6"/>
  <c r="AE54" i="6"/>
  <c r="AC54" i="6"/>
  <c r="AH54" i="6"/>
  <c r="AF54" i="6"/>
  <c r="AD54" i="6"/>
  <c r="AI44" i="6"/>
  <c r="AG44" i="6"/>
  <c r="AE44" i="6"/>
  <c r="AC44" i="6"/>
  <c r="AH44" i="6"/>
  <c r="AF44" i="6"/>
  <c r="AD44" i="6"/>
  <c r="AH39" i="6"/>
  <c r="AD39" i="6"/>
  <c r="AI39" i="6"/>
  <c r="AF39" i="6"/>
  <c r="AC39" i="6"/>
  <c r="AI32" i="6"/>
  <c r="AG32" i="6"/>
  <c r="AE32" i="6"/>
  <c r="AC32" i="6"/>
  <c r="AH32" i="6"/>
  <c r="AF32" i="6"/>
  <c r="AD32" i="6"/>
  <c r="AH49" i="6"/>
  <c r="AF49" i="6"/>
  <c r="AD49" i="6"/>
  <c r="AI49" i="6"/>
  <c r="AG49" i="6"/>
  <c r="AE49" i="6"/>
  <c r="AC49" i="6"/>
  <c r="AH83" i="6"/>
  <c r="AD83" i="6"/>
  <c r="AI83" i="6"/>
  <c r="AF83" i="6"/>
  <c r="AC83" i="6"/>
  <c r="AH115" i="6"/>
  <c r="AF115" i="6"/>
  <c r="AD115" i="6"/>
  <c r="AI115" i="6"/>
  <c r="AG115" i="6"/>
  <c r="AE115" i="6"/>
  <c r="AC115" i="6"/>
  <c r="AB114" i="6"/>
  <c r="AH119" i="6"/>
  <c r="AF119" i="6"/>
  <c r="AD119" i="6"/>
  <c r="AI119" i="6"/>
  <c r="AG119" i="6"/>
  <c r="AE119" i="6"/>
  <c r="AC119" i="6"/>
  <c r="AB180" i="6"/>
  <c r="AH176" i="6"/>
  <c r="AD176" i="6"/>
  <c r="AF176" i="6"/>
  <c r="AC176" i="6"/>
  <c r="AF182" i="6"/>
  <c r="AC182" i="6"/>
  <c r="AH182" i="6"/>
  <c r="AD182" i="6"/>
  <c r="AF192" i="6"/>
  <c r="AC192" i="6"/>
  <c r="AH192" i="6"/>
  <c r="AD192" i="6"/>
  <c r="AH210" i="6"/>
  <c r="AD210" i="6"/>
  <c r="AI210" i="6"/>
  <c r="AF210" i="6"/>
  <c r="AC210" i="6"/>
  <c r="AH216" i="6"/>
  <c r="AF216" i="6"/>
  <c r="AD216" i="6"/>
  <c r="AI216" i="6"/>
  <c r="AG216" i="6"/>
  <c r="AE216" i="6"/>
  <c r="AC216" i="6"/>
  <c r="AH222" i="6"/>
  <c r="AD222" i="6"/>
  <c r="AF222" i="6"/>
  <c r="AC222" i="6"/>
  <c r="AH225" i="6"/>
  <c r="AF225" i="6"/>
  <c r="AD225" i="6"/>
  <c r="AI225" i="6"/>
  <c r="AG225" i="6"/>
  <c r="AE225" i="6"/>
  <c r="AC225" i="6"/>
  <c r="AH231" i="6"/>
  <c r="AD231" i="6"/>
  <c r="AI231" i="6"/>
  <c r="AF231" i="6"/>
  <c r="AC231" i="6"/>
  <c r="AH236" i="6"/>
  <c r="AF236" i="6"/>
  <c r="AD236" i="6"/>
  <c r="AI236" i="6"/>
  <c r="AG236" i="6"/>
  <c r="AE236" i="6"/>
  <c r="AC236" i="6"/>
  <c r="AH241" i="6"/>
  <c r="AD241" i="6"/>
  <c r="AB240" i="6"/>
  <c r="AF241" i="6"/>
  <c r="AC241" i="6"/>
  <c r="AH255" i="6"/>
  <c r="AF255" i="6"/>
  <c r="AD255" i="6"/>
  <c r="AI255" i="6"/>
  <c r="AG255" i="6"/>
  <c r="AE255" i="6"/>
  <c r="AC255" i="6"/>
  <c r="AH274" i="6"/>
  <c r="AD274" i="6"/>
  <c r="AF274" i="6"/>
  <c r="AC274" i="6"/>
  <c r="DI20" i="5" l="1"/>
  <c r="DI21" i="5"/>
  <c r="BW30" i="5"/>
  <c r="BW27" i="5" s="1"/>
  <c r="DI36" i="5"/>
  <c r="AC267" i="6"/>
  <c r="AC379" i="6" s="1"/>
  <c r="Z337" i="6"/>
  <c r="Y327" i="6"/>
  <c r="Z343" i="6"/>
  <c r="AI180" i="6"/>
  <c r="AG180" i="6"/>
  <c r="AE180" i="6"/>
  <c r="AC180" i="6"/>
  <c r="AH180" i="6"/>
  <c r="AF180" i="6"/>
  <c r="AD180" i="6"/>
  <c r="AI114" i="6"/>
  <c r="AG114" i="6"/>
  <c r="AE114" i="6"/>
  <c r="AC114" i="6"/>
  <c r="AB113" i="6"/>
  <c r="AH114" i="6"/>
  <c r="AF114" i="6"/>
  <c r="AD114" i="6"/>
  <c r="X326" i="6"/>
  <c r="O325" i="6"/>
  <c r="X341" i="6"/>
  <c r="O340" i="6"/>
  <c r="X340" i="6" s="1"/>
  <c r="W326" i="6"/>
  <c r="W341" i="6"/>
  <c r="AH65" i="6"/>
  <c r="AF65" i="6"/>
  <c r="AD65" i="6"/>
  <c r="AI65" i="6"/>
  <c r="AG65" i="6"/>
  <c r="AE65" i="6"/>
  <c r="AC65" i="6"/>
  <c r="AH268" i="6"/>
  <c r="AF268" i="6"/>
  <c r="AD268" i="6"/>
  <c r="AI268" i="6"/>
  <c r="AG268" i="6"/>
  <c r="AE268" i="6"/>
  <c r="AB267" i="6"/>
  <c r="AH141" i="6"/>
  <c r="AF141" i="6"/>
  <c r="AD141" i="6"/>
  <c r="AI141" i="6"/>
  <c r="AG141" i="6"/>
  <c r="AE141" i="6"/>
  <c r="AC141" i="6"/>
  <c r="AH160" i="6"/>
  <c r="AF160" i="6"/>
  <c r="AD160" i="6"/>
  <c r="AI160" i="6"/>
  <c r="AG160" i="6"/>
  <c r="AE160" i="6"/>
  <c r="AC160" i="6"/>
  <c r="V338" i="6"/>
  <c r="T338" i="6"/>
  <c r="U338" i="6"/>
  <c r="S338" i="6"/>
  <c r="AH172" i="6"/>
  <c r="AF172" i="6"/>
  <c r="AD172" i="6"/>
  <c r="AI172" i="6"/>
  <c r="AG172" i="6"/>
  <c r="AE172" i="6"/>
  <c r="AC172" i="6"/>
  <c r="P342" i="6"/>
  <c r="P340" i="6" s="1"/>
  <c r="P324" i="6"/>
  <c r="P339" i="6" s="1"/>
  <c r="P327" i="6"/>
  <c r="P325" i="6" s="1"/>
  <c r="AH277" i="6"/>
  <c r="AF277" i="6"/>
  <c r="AD277" i="6"/>
  <c r="AI277" i="6"/>
  <c r="AG277" i="6"/>
  <c r="AE277" i="6"/>
  <c r="AC277" i="6"/>
  <c r="AI205" i="6"/>
  <c r="AG205" i="6"/>
  <c r="AE205" i="6"/>
  <c r="AC205" i="6"/>
  <c r="AH205" i="6"/>
  <c r="AF205" i="6"/>
  <c r="AD205" i="6"/>
  <c r="U262" i="6"/>
  <c r="S262" i="6"/>
  <c r="V262" i="6"/>
  <c r="T262" i="6"/>
  <c r="R343" i="6"/>
  <c r="R321" i="6"/>
  <c r="AH79" i="6"/>
  <c r="AF79" i="6"/>
  <c r="AD79" i="6"/>
  <c r="AI79" i="6"/>
  <c r="AG79" i="6"/>
  <c r="AE79" i="6"/>
  <c r="AC79" i="6"/>
  <c r="AI70" i="6"/>
  <c r="AG70" i="6"/>
  <c r="AE70" i="6"/>
  <c r="AC70" i="6"/>
  <c r="AH70" i="6"/>
  <c r="AF70" i="6"/>
  <c r="AD70" i="6"/>
  <c r="AI87" i="6"/>
  <c r="AG87" i="6"/>
  <c r="AE87" i="6"/>
  <c r="AC87" i="6"/>
  <c r="AH87" i="6"/>
  <c r="AF87" i="6"/>
  <c r="AD87" i="6"/>
  <c r="AI175" i="6"/>
  <c r="AG175" i="6"/>
  <c r="AE175" i="6"/>
  <c r="AC175" i="6"/>
  <c r="AH175" i="6"/>
  <c r="AF175" i="6"/>
  <c r="AD175" i="6"/>
  <c r="AH242" i="6"/>
  <c r="AF242" i="6"/>
  <c r="AD242" i="6"/>
  <c r="AI242" i="6"/>
  <c r="AG242" i="6"/>
  <c r="AE242" i="6"/>
  <c r="AC242" i="6"/>
  <c r="AH234" i="6"/>
  <c r="AF234" i="6"/>
  <c r="AD234" i="6"/>
  <c r="AI234" i="6"/>
  <c r="AG234" i="6"/>
  <c r="AE234" i="6"/>
  <c r="AC234" i="6"/>
  <c r="AI285" i="6"/>
  <c r="AF285" i="6"/>
  <c r="AC285" i="6"/>
  <c r="AH285" i="6"/>
  <c r="AD285" i="6"/>
  <c r="AA350" i="6"/>
  <c r="AH348" i="6"/>
  <c r="AI348" i="6"/>
  <c r="Y341" i="6"/>
  <c r="Y340" i="6" s="1"/>
  <c r="Y338" i="6"/>
  <c r="Y337" i="6" s="1"/>
  <c r="Y326" i="6"/>
  <c r="Y325" i="6" s="1"/>
  <c r="Y373" i="6" s="1"/>
  <c r="Y374" i="6" s="1"/>
  <c r="Y384" i="6" s="1"/>
  <c r="AH240" i="6"/>
  <c r="AD240" i="6"/>
  <c r="AF240" i="6"/>
  <c r="AC240" i="6"/>
  <c r="X338" i="6"/>
  <c r="O337" i="6"/>
  <c r="X337" i="6" s="1"/>
  <c r="W338" i="6"/>
  <c r="N373" i="6"/>
  <c r="N374" i="6" s="1"/>
  <c r="N384" i="6" s="1"/>
  <c r="N363" i="6"/>
  <c r="P337" i="6"/>
  <c r="V326" i="6"/>
  <c r="T326" i="6"/>
  <c r="U326" i="6"/>
  <c r="S326" i="6"/>
  <c r="U341" i="6"/>
  <c r="S341" i="6"/>
  <c r="V341" i="6"/>
  <c r="T341" i="6"/>
  <c r="AH206" i="6"/>
  <c r="AF206" i="6"/>
  <c r="AD206" i="6"/>
  <c r="AI206" i="6"/>
  <c r="AG206" i="6"/>
  <c r="AE206" i="6"/>
  <c r="AC206" i="6"/>
  <c r="AI153" i="6"/>
  <c r="AG153" i="6"/>
  <c r="AE153" i="6"/>
  <c r="AC153" i="6"/>
  <c r="AH153" i="6"/>
  <c r="AF153" i="6"/>
  <c r="AD153" i="6"/>
  <c r="AB151" i="6"/>
  <c r="AH214" i="6"/>
  <c r="AF214" i="6"/>
  <c r="AD214" i="6"/>
  <c r="AI214" i="6"/>
  <c r="AG214" i="6"/>
  <c r="AE214" i="6"/>
  <c r="AC214" i="6"/>
  <c r="AI249" i="6"/>
  <c r="AG249" i="6"/>
  <c r="AE249" i="6"/>
  <c r="AH249" i="6"/>
  <c r="AF249" i="6"/>
  <c r="AD249" i="6"/>
  <c r="AC376" i="6"/>
  <c r="AC249" i="6"/>
  <c r="Q342" i="6"/>
  <c r="W342" i="6" s="1"/>
  <c r="Q327" i="6"/>
  <c r="W327" i="6" s="1"/>
  <c r="W321" i="6"/>
  <c r="Q324" i="6"/>
  <c r="AI228" i="6"/>
  <c r="AG228" i="6"/>
  <c r="AE228" i="6"/>
  <c r="AC228" i="6"/>
  <c r="AH228" i="6"/>
  <c r="AF228" i="6"/>
  <c r="AD228" i="6"/>
  <c r="AI211" i="6"/>
  <c r="AG211" i="6"/>
  <c r="AE211" i="6"/>
  <c r="AC211" i="6"/>
  <c r="AH211" i="6"/>
  <c r="AF211" i="6"/>
  <c r="AD211" i="6"/>
  <c r="AH61" i="6"/>
  <c r="AF61" i="6"/>
  <c r="AD61" i="6"/>
  <c r="AI61" i="6"/>
  <c r="AG61" i="6"/>
  <c r="AE61" i="6"/>
  <c r="AC61" i="6"/>
  <c r="AH90" i="6"/>
  <c r="AD90" i="6"/>
  <c r="AI90" i="6"/>
  <c r="AF90" i="6"/>
  <c r="AC90" i="6"/>
  <c r="AB321" i="6"/>
  <c r="AH247" i="6"/>
  <c r="AF247" i="6"/>
  <c r="AD247" i="6"/>
  <c r="AI247" i="6"/>
  <c r="AG247" i="6"/>
  <c r="AE247" i="6"/>
  <c r="AC247" i="6"/>
  <c r="AI91" i="6"/>
  <c r="AG91" i="6"/>
  <c r="AE91" i="6"/>
  <c r="AC91" i="6"/>
  <c r="AH91" i="6"/>
  <c r="AF91" i="6"/>
  <c r="AD91" i="6"/>
  <c r="AI120" i="6"/>
  <c r="AG120" i="6"/>
  <c r="AE120" i="6"/>
  <c r="AC120" i="6"/>
  <c r="AH120" i="6"/>
  <c r="AF120" i="6"/>
  <c r="AD120" i="6"/>
  <c r="AH131" i="6"/>
  <c r="AF131" i="6"/>
  <c r="AD131" i="6"/>
  <c r="AI131" i="6"/>
  <c r="AG131" i="6"/>
  <c r="AE131" i="6"/>
  <c r="AC131" i="6"/>
  <c r="AB130" i="6"/>
  <c r="AH143" i="6"/>
  <c r="AF143" i="6"/>
  <c r="AD143" i="6"/>
  <c r="AI143" i="6"/>
  <c r="AG143" i="6"/>
  <c r="AE143" i="6"/>
  <c r="AC143" i="6"/>
  <c r="AI34" i="6"/>
  <c r="AG34" i="6"/>
  <c r="AE34" i="6"/>
  <c r="AC34" i="6"/>
  <c r="AH34" i="6"/>
  <c r="AF34" i="6"/>
  <c r="AD34" i="6"/>
  <c r="AB30" i="6"/>
  <c r="AI42" i="6"/>
  <c r="AG42" i="6"/>
  <c r="AE42" i="6"/>
  <c r="AC42" i="6"/>
  <c r="AH42" i="6"/>
  <c r="AF42" i="6"/>
  <c r="AD42" i="6"/>
  <c r="AI46" i="6"/>
  <c r="AG46" i="6"/>
  <c r="AE46" i="6"/>
  <c r="AC46" i="6"/>
  <c r="AH46" i="6"/>
  <c r="AF46" i="6"/>
  <c r="AD46" i="6"/>
  <c r="AI52" i="6"/>
  <c r="AG52" i="6"/>
  <c r="AE52" i="6"/>
  <c r="AC52" i="6"/>
  <c r="AH52" i="6"/>
  <c r="AF52" i="6"/>
  <c r="AD52" i="6"/>
  <c r="AI56" i="6"/>
  <c r="AG56" i="6"/>
  <c r="AE56" i="6"/>
  <c r="AC56" i="6"/>
  <c r="AH56" i="6"/>
  <c r="AF56" i="6"/>
  <c r="AD56" i="6"/>
  <c r="AH148" i="6"/>
  <c r="AF148" i="6"/>
  <c r="AD148" i="6"/>
  <c r="AI148" i="6"/>
  <c r="AG148" i="6"/>
  <c r="AE148" i="6"/>
  <c r="AC148" i="6"/>
  <c r="AH168" i="6"/>
  <c r="AF168" i="6"/>
  <c r="AD168" i="6"/>
  <c r="AI168" i="6"/>
  <c r="AG168" i="6"/>
  <c r="AE168" i="6"/>
  <c r="AC168" i="6"/>
  <c r="AH220" i="6"/>
  <c r="AF220" i="6"/>
  <c r="AD220" i="6"/>
  <c r="AI220" i="6"/>
  <c r="AG220" i="6"/>
  <c r="AE220" i="6"/>
  <c r="AC220" i="6"/>
  <c r="AI280" i="6"/>
  <c r="AG280" i="6"/>
  <c r="AE280" i="6"/>
  <c r="AC280" i="6"/>
  <c r="AH280" i="6"/>
  <c r="AF280" i="6"/>
  <c r="AD280" i="6"/>
  <c r="DI30" i="5" l="1"/>
  <c r="P373" i="6"/>
  <c r="P374" i="6" s="1"/>
  <c r="P384" i="6" s="1"/>
  <c r="P365" i="6"/>
  <c r="P363" i="6"/>
  <c r="AI130" i="6"/>
  <c r="AG130" i="6"/>
  <c r="AE130" i="6"/>
  <c r="AC130" i="6"/>
  <c r="AB129" i="6"/>
  <c r="AH130" i="6"/>
  <c r="AF130" i="6"/>
  <c r="AD130" i="6"/>
  <c r="AC321" i="6"/>
  <c r="Q339" i="6"/>
  <c r="W324" i="6"/>
  <c r="AH350" i="6"/>
  <c r="AI350" i="6"/>
  <c r="R342" i="6"/>
  <c r="R324" i="6"/>
  <c r="U321" i="6"/>
  <c r="S321" i="6"/>
  <c r="R327" i="6"/>
  <c r="V321" i="6"/>
  <c r="T321" i="6"/>
  <c r="Q325" i="6"/>
  <c r="AH113" i="6"/>
  <c r="AF113" i="6"/>
  <c r="AD113" i="6"/>
  <c r="AI113" i="6"/>
  <c r="AG113" i="6"/>
  <c r="AE113" i="6"/>
  <c r="AC113" i="6"/>
  <c r="AI30" i="6"/>
  <c r="AG30" i="6"/>
  <c r="AE30" i="6"/>
  <c r="AC30" i="6"/>
  <c r="AB29" i="6"/>
  <c r="AH30" i="6"/>
  <c r="AF30" i="6"/>
  <c r="AD30" i="6"/>
  <c r="AB342" i="6"/>
  <c r="AB324" i="6"/>
  <c r="AI321" i="6"/>
  <c r="AG321" i="6"/>
  <c r="AE321" i="6"/>
  <c r="AB327" i="6"/>
  <c r="AH321" i="6"/>
  <c r="AF321" i="6"/>
  <c r="AD321" i="6"/>
  <c r="AI151" i="6"/>
  <c r="AG151" i="6"/>
  <c r="AE151" i="6"/>
  <c r="AC151" i="6"/>
  <c r="AH151" i="6"/>
  <c r="AF151" i="6"/>
  <c r="AD151" i="6"/>
  <c r="AB379" i="6"/>
  <c r="AI267" i="6"/>
  <c r="AG267" i="6"/>
  <c r="AE267" i="6"/>
  <c r="AH267" i="6"/>
  <c r="AF267" i="6"/>
  <c r="AD267" i="6"/>
  <c r="Q340" i="6"/>
  <c r="W340" i="6" s="1"/>
  <c r="O373" i="6"/>
  <c r="O374" i="6" s="1"/>
  <c r="O384" i="6" s="1"/>
  <c r="O363" i="6"/>
  <c r="X325" i="6"/>
  <c r="DI27" i="5" l="1"/>
  <c r="BW19" i="5"/>
  <c r="AH342" i="6"/>
  <c r="AF342" i="6"/>
  <c r="AD342" i="6"/>
  <c r="AI342" i="6"/>
  <c r="AG342" i="6"/>
  <c r="AE342" i="6"/>
  <c r="AB343" i="6"/>
  <c r="AB246" i="6"/>
  <c r="AH29" i="6"/>
  <c r="AF29" i="6"/>
  <c r="AD29" i="6"/>
  <c r="AI29" i="6"/>
  <c r="AG29" i="6"/>
  <c r="AE29" i="6"/>
  <c r="AC29" i="6"/>
  <c r="Q373" i="6"/>
  <c r="Q374" i="6" s="1"/>
  <c r="Q384" i="6" s="1"/>
  <c r="W325" i="6"/>
  <c r="V324" i="6"/>
  <c r="T324" i="6"/>
  <c r="R339" i="6"/>
  <c r="U324" i="6"/>
  <c r="S324" i="6"/>
  <c r="AC342" i="6"/>
  <c r="AC327" i="6"/>
  <c r="AC324" i="6"/>
  <c r="AC339" i="6" s="1"/>
  <c r="AH129" i="6"/>
  <c r="AF129" i="6"/>
  <c r="AD129" i="6"/>
  <c r="AI129" i="6"/>
  <c r="AG129" i="6"/>
  <c r="AE129" i="6"/>
  <c r="AC129" i="6"/>
  <c r="AI327" i="6"/>
  <c r="AG327" i="6"/>
  <c r="AE327" i="6"/>
  <c r="AH327" i="6"/>
  <c r="AF327" i="6"/>
  <c r="AD327" i="6"/>
  <c r="AB339" i="6"/>
  <c r="AH324" i="6"/>
  <c r="AF324" i="6"/>
  <c r="AD324" i="6"/>
  <c r="AI324" i="6"/>
  <c r="AG324" i="6"/>
  <c r="AE324" i="6"/>
  <c r="U327" i="6"/>
  <c r="S327" i="6"/>
  <c r="V327" i="6"/>
  <c r="T327" i="6"/>
  <c r="R325" i="6"/>
  <c r="V342" i="6"/>
  <c r="T342" i="6"/>
  <c r="U342" i="6"/>
  <c r="S342" i="6"/>
  <c r="R340" i="6"/>
  <c r="W339" i="6"/>
  <c r="Q337" i="6"/>
  <c r="W337" i="6" s="1"/>
  <c r="BW18" i="5" l="1"/>
  <c r="DI19" i="5"/>
  <c r="AI339" i="6"/>
  <c r="AG339" i="6"/>
  <c r="AE339" i="6"/>
  <c r="AH339" i="6"/>
  <c r="AF339" i="6"/>
  <c r="AD339" i="6"/>
  <c r="AB341" i="6"/>
  <c r="AB338" i="6"/>
  <c r="AB326" i="6"/>
  <c r="AI246" i="6"/>
  <c r="AG246" i="6"/>
  <c r="AE246" i="6"/>
  <c r="AC246" i="6"/>
  <c r="AH246" i="6"/>
  <c r="AF246" i="6"/>
  <c r="AD246" i="6"/>
  <c r="V340" i="6"/>
  <c r="T340" i="6"/>
  <c r="U340" i="6"/>
  <c r="S340" i="6"/>
  <c r="R373" i="6"/>
  <c r="R374" i="6" s="1"/>
  <c r="R384" i="6" s="1"/>
  <c r="U325" i="6"/>
  <c r="S325" i="6"/>
  <c r="V325" i="6"/>
  <c r="T325" i="6"/>
  <c r="U339" i="6"/>
  <c r="S339" i="6"/>
  <c r="V339" i="6"/>
  <c r="T339" i="6"/>
  <c r="R337" i="6"/>
  <c r="Q363" i="6"/>
  <c r="AC343" i="6"/>
  <c r="U337" i="6" l="1"/>
  <c r="S337" i="6"/>
  <c r="V337" i="6"/>
  <c r="T337" i="6"/>
  <c r="S363" i="6"/>
  <c r="R363" i="6"/>
  <c r="AH338" i="6"/>
  <c r="AF338" i="6"/>
  <c r="AD338" i="6"/>
  <c r="AI338" i="6"/>
  <c r="AG338" i="6"/>
  <c r="AE338" i="6"/>
  <c r="AB337" i="6"/>
  <c r="AC341" i="6"/>
  <c r="AC340" i="6" s="1"/>
  <c r="AC338" i="6"/>
  <c r="AC337" i="6" s="1"/>
  <c r="AC326" i="6"/>
  <c r="AC325" i="6" s="1"/>
  <c r="AH326" i="6"/>
  <c r="AF326" i="6"/>
  <c r="AD326" i="6"/>
  <c r="AI326" i="6"/>
  <c r="AG326" i="6"/>
  <c r="AE326" i="6"/>
  <c r="AB325" i="6"/>
  <c r="AI341" i="6"/>
  <c r="AG341" i="6"/>
  <c r="AE341" i="6"/>
  <c r="AB340" i="6"/>
  <c r="AH341" i="6"/>
  <c r="AF341" i="6"/>
  <c r="AD341" i="6"/>
  <c r="AC373" i="6" l="1"/>
  <c r="AC374" i="6" s="1"/>
  <c r="AC384" i="6" s="1"/>
  <c r="AC333" i="6"/>
  <c r="AH340" i="6"/>
  <c r="AF340" i="6"/>
  <c r="AD340" i="6"/>
  <c r="AI340" i="6"/>
  <c r="AG340" i="6"/>
  <c r="AE340" i="6"/>
  <c r="AB373" i="6"/>
  <c r="AB374" i="6" s="1"/>
  <c r="AB384" i="6" s="1"/>
  <c r="AI325" i="6"/>
  <c r="AG325" i="6"/>
  <c r="AE325" i="6"/>
  <c r="AH325" i="6"/>
  <c r="AF325" i="6"/>
  <c r="AD325" i="6"/>
  <c r="AI337" i="6"/>
  <c r="AG337" i="6"/>
  <c r="AE337" i="6"/>
  <c r="AH337" i="6"/>
  <c r="AF337" i="6"/>
  <c r="AD337" i="6"/>
  <c r="DI84" i="5" l="1"/>
  <c r="DJ18" i="5" l="1"/>
  <c r="DJ20" i="5" s="1"/>
  <c r="DL10" i="5"/>
  <c r="DJ82" i="5"/>
  <c r="DL17" i="5"/>
  <c r="DJ10" i="5"/>
  <c r="DJ12" i="5" s="1"/>
  <c r="DJ13" i="5" s="1"/>
</calcChain>
</file>

<file path=xl/comments1.xml><?xml version="1.0" encoding="utf-8"?>
<comments xmlns="http://schemas.openxmlformats.org/spreadsheetml/2006/main">
  <authors>
    <author>Автор</author>
  </authors>
  <commentList>
    <comment ref="BW84" authorId="0">
      <text>
        <r>
          <rPr>
            <b/>
            <sz val="9"/>
            <color indexed="81"/>
            <rFont val="Tahoma"/>
            <family val="2"/>
            <charset val="204"/>
          </rPr>
          <t>Автор:</t>
        </r>
        <r>
          <rPr>
            <sz val="9"/>
            <color indexed="81"/>
            <rFont val="Tahoma"/>
            <family val="2"/>
            <charset val="204"/>
          </rPr>
          <t xml:space="preserve">
345140,30 - из расчета выпадающих</t>
        </r>
      </text>
    </comment>
  </commentList>
</comments>
</file>

<file path=xl/comments2.xml><?xml version="1.0" encoding="utf-8"?>
<comments xmlns="http://schemas.openxmlformats.org/spreadsheetml/2006/main">
  <authors>
    <author>Автор</author>
  </authors>
  <commentList>
    <comment ref="R66" authorId="0">
      <text>
        <r>
          <rPr>
            <b/>
            <sz val="10"/>
            <color indexed="81"/>
            <rFont val="Tahoma"/>
            <family val="2"/>
            <charset val="204"/>
          </rPr>
          <t>Ю.В. Нечесов</t>
        </r>
        <r>
          <rPr>
            <sz val="9"/>
            <color indexed="81"/>
            <rFont val="Tahoma"/>
            <family val="2"/>
            <charset val="204"/>
          </rPr>
          <t xml:space="preserve">
</t>
        </r>
      </text>
    </comment>
    <comment ref="R68" authorId="0">
      <text>
        <r>
          <rPr>
            <b/>
            <sz val="10"/>
            <color indexed="81"/>
            <rFont val="Tahoma"/>
            <family val="2"/>
            <charset val="204"/>
          </rPr>
          <t>Ю.В. Нечесов</t>
        </r>
      </text>
    </comment>
    <comment ref="R69" authorId="0">
      <text>
        <r>
          <rPr>
            <b/>
            <sz val="10"/>
            <color indexed="81"/>
            <rFont val="Tahoma"/>
            <family val="2"/>
            <charset val="204"/>
          </rPr>
          <t>Ю.В. Нечесов</t>
        </r>
        <r>
          <rPr>
            <sz val="10"/>
            <color indexed="81"/>
            <rFont val="Tahoma"/>
            <family val="2"/>
            <charset val="204"/>
          </rPr>
          <t xml:space="preserve">
</t>
        </r>
      </text>
    </comment>
    <comment ref="R88" authorId="0">
      <text>
        <r>
          <rPr>
            <b/>
            <sz val="10"/>
            <color indexed="81"/>
            <rFont val="Tahoma"/>
            <family val="2"/>
            <charset val="204"/>
          </rPr>
          <t>И.В. Бедрин</t>
        </r>
        <r>
          <rPr>
            <sz val="9"/>
            <color indexed="81"/>
            <rFont val="Tahoma"/>
            <family val="2"/>
            <charset val="204"/>
          </rPr>
          <t xml:space="preserve">
</t>
        </r>
      </text>
    </comment>
    <comment ref="R89" authorId="0">
      <text>
        <r>
          <rPr>
            <b/>
            <sz val="10"/>
            <color indexed="81"/>
            <rFont val="Tahoma"/>
            <family val="2"/>
            <charset val="204"/>
          </rPr>
          <t>И.В. Бедрин</t>
        </r>
        <r>
          <rPr>
            <sz val="10"/>
            <color indexed="81"/>
            <rFont val="Tahoma"/>
            <family val="2"/>
            <charset val="204"/>
          </rPr>
          <t xml:space="preserve">
</t>
        </r>
      </text>
    </comment>
    <comment ref="AA109" authorId="0">
      <text>
        <r>
          <rPr>
            <b/>
            <sz val="9"/>
            <color indexed="81"/>
            <rFont val="Tahoma"/>
            <family val="2"/>
            <charset val="204"/>
          </rPr>
          <t>Автор:</t>
        </r>
        <r>
          <rPr>
            <sz val="9"/>
            <color indexed="81"/>
            <rFont val="Tahoma"/>
            <family val="2"/>
            <charset val="204"/>
          </rPr>
          <t xml:space="preserve">
корректировка, т.к. заявка меньше предложения РЭК</t>
        </r>
      </text>
    </comment>
    <comment ref="R174" authorId="0">
      <text>
        <r>
          <rPr>
            <b/>
            <sz val="9"/>
            <color indexed="81"/>
            <rFont val="Tahoma"/>
            <family val="2"/>
            <charset val="204"/>
          </rPr>
          <t>расшифровка</t>
        </r>
        <r>
          <rPr>
            <sz val="9"/>
            <color indexed="81"/>
            <rFont val="Tahoma"/>
            <family val="2"/>
            <charset val="204"/>
          </rPr>
          <t xml:space="preserve">
</t>
        </r>
      </text>
    </comment>
    <comment ref="R186" authorId="0">
      <text>
        <r>
          <rPr>
            <b/>
            <sz val="9"/>
            <color indexed="81"/>
            <rFont val="Tahoma"/>
            <family val="2"/>
            <charset val="204"/>
          </rPr>
          <t>расшифровка</t>
        </r>
        <r>
          <rPr>
            <sz val="9"/>
            <color indexed="81"/>
            <rFont val="Tahoma"/>
            <family val="2"/>
            <charset val="204"/>
          </rPr>
          <t xml:space="preserve">
</t>
        </r>
      </text>
    </comment>
    <comment ref="R200" authorId="0">
      <text>
        <r>
          <rPr>
            <b/>
            <sz val="9"/>
            <color indexed="81"/>
            <rFont val="Tahoma"/>
            <family val="2"/>
            <charset val="204"/>
          </rPr>
          <t>0, нет в плане</t>
        </r>
        <r>
          <rPr>
            <sz val="9"/>
            <color indexed="81"/>
            <rFont val="Tahoma"/>
            <family val="2"/>
            <charset val="204"/>
          </rPr>
          <t xml:space="preserve">
</t>
        </r>
      </text>
    </comment>
    <comment ref="R248" authorId="0">
      <text>
        <r>
          <rPr>
            <sz val="9"/>
            <color indexed="81"/>
            <rFont val="Tahoma"/>
            <family val="2"/>
            <charset val="204"/>
          </rPr>
          <t xml:space="preserve">
</t>
        </r>
        <r>
          <rPr>
            <sz val="10"/>
            <color indexed="81"/>
            <rFont val="Tahoma"/>
            <family val="2"/>
            <charset val="204"/>
          </rPr>
          <t>И.В. Бедрин</t>
        </r>
      </text>
    </comment>
    <comment ref="AA252" authorId="0">
      <text>
        <r>
          <rPr>
            <b/>
            <sz val="9"/>
            <color indexed="81"/>
            <rFont val="Tahoma"/>
            <family val="2"/>
            <charset val="204"/>
          </rPr>
          <t>Автор:</t>
        </r>
        <r>
          <rPr>
            <sz val="9"/>
            <color indexed="81"/>
            <rFont val="Tahoma"/>
            <family val="2"/>
            <charset val="204"/>
          </rPr>
          <t xml:space="preserve">
корректировка, т.к. заявка меньше предложения РЭК</t>
        </r>
      </text>
    </comment>
    <comment ref="AA263" authorId="0">
      <text>
        <r>
          <rPr>
            <b/>
            <sz val="9"/>
            <color indexed="81"/>
            <rFont val="Tahoma"/>
            <family val="2"/>
            <charset val="204"/>
          </rPr>
          <t>Автор:</t>
        </r>
        <r>
          <rPr>
            <sz val="9"/>
            <color indexed="81"/>
            <rFont val="Tahoma"/>
            <family val="2"/>
            <charset val="204"/>
          </rPr>
          <t xml:space="preserve">
корректировка, т.к. заявка меньше предложения РЭК</t>
        </r>
      </text>
    </comment>
  </commentList>
</comments>
</file>

<file path=xl/comments3.xml><?xml version="1.0" encoding="utf-8"?>
<comments xmlns="http://schemas.openxmlformats.org/spreadsheetml/2006/main">
  <authors>
    <author>Автор</author>
  </authors>
  <commentList>
    <comment ref="S66" authorId="0">
      <text>
        <r>
          <rPr>
            <b/>
            <sz val="10"/>
            <color indexed="81"/>
            <rFont val="Tahoma"/>
            <family val="2"/>
            <charset val="204"/>
          </rPr>
          <t>Ю.В. Нечесов</t>
        </r>
        <r>
          <rPr>
            <sz val="9"/>
            <color indexed="81"/>
            <rFont val="Tahoma"/>
            <family val="2"/>
            <charset val="204"/>
          </rPr>
          <t xml:space="preserve">
</t>
        </r>
      </text>
    </comment>
    <comment ref="S68" authorId="0">
      <text>
        <r>
          <rPr>
            <b/>
            <sz val="10"/>
            <color indexed="81"/>
            <rFont val="Tahoma"/>
            <family val="2"/>
            <charset val="204"/>
          </rPr>
          <t>Ю.В. Нечесов</t>
        </r>
      </text>
    </comment>
    <comment ref="S69" authorId="0">
      <text>
        <r>
          <rPr>
            <b/>
            <sz val="10"/>
            <color indexed="81"/>
            <rFont val="Tahoma"/>
            <family val="2"/>
            <charset val="204"/>
          </rPr>
          <t>Ю.В. Нечесов</t>
        </r>
        <r>
          <rPr>
            <sz val="10"/>
            <color indexed="81"/>
            <rFont val="Tahoma"/>
            <family val="2"/>
            <charset val="204"/>
          </rPr>
          <t xml:space="preserve">
</t>
        </r>
      </text>
    </comment>
    <comment ref="S88" authorId="0">
      <text>
        <r>
          <rPr>
            <b/>
            <sz val="10"/>
            <color indexed="81"/>
            <rFont val="Tahoma"/>
            <family val="2"/>
            <charset val="204"/>
          </rPr>
          <t>И.В. Бедрин</t>
        </r>
        <r>
          <rPr>
            <sz val="9"/>
            <color indexed="81"/>
            <rFont val="Tahoma"/>
            <family val="2"/>
            <charset val="204"/>
          </rPr>
          <t xml:space="preserve">
</t>
        </r>
      </text>
    </comment>
    <comment ref="S89" authorId="0">
      <text>
        <r>
          <rPr>
            <b/>
            <sz val="10"/>
            <color indexed="81"/>
            <rFont val="Tahoma"/>
            <family val="2"/>
            <charset val="204"/>
          </rPr>
          <t>И.В. Бедрин</t>
        </r>
        <r>
          <rPr>
            <sz val="10"/>
            <color indexed="81"/>
            <rFont val="Tahoma"/>
            <family val="2"/>
            <charset val="204"/>
          </rPr>
          <t xml:space="preserve">
</t>
        </r>
      </text>
    </comment>
    <comment ref="E154" authorId="0">
      <text>
        <r>
          <rPr>
            <b/>
            <sz val="9"/>
            <color indexed="81"/>
            <rFont val="Tahoma"/>
            <family val="2"/>
            <charset val="204"/>
          </rPr>
          <t>Автор:</t>
        </r>
        <r>
          <rPr>
            <sz val="9"/>
            <color indexed="81"/>
            <rFont val="Tahoma"/>
            <family val="2"/>
            <charset val="204"/>
          </rPr>
          <t xml:space="preserve">
объединено со ст. 2.07.04.51</t>
        </r>
      </text>
    </comment>
    <comment ref="S174" authorId="0">
      <text>
        <r>
          <rPr>
            <b/>
            <sz val="9"/>
            <color indexed="81"/>
            <rFont val="Tahoma"/>
            <family val="2"/>
            <charset val="204"/>
          </rPr>
          <t>расшифровка</t>
        </r>
        <r>
          <rPr>
            <sz val="9"/>
            <color indexed="81"/>
            <rFont val="Tahoma"/>
            <family val="2"/>
            <charset val="204"/>
          </rPr>
          <t xml:space="preserve">
</t>
        </r>
      </text>
    </comment>
    <comment ref="S186" authorId="0">
      <text>
        <r>
          <rPr>
            <b/>
            <sz val="9"/>
            <color indexed="81"/>
            <rFont val="Tahoma"/>
            <family val="2"/>
            <charset val="204"/>
          </rPr>
          <t>расшифровка</t>
        </r>
        <r>
          <rPr>
            <sz val="9"/>
            <color indexed="81"/>
            <rFont val="Tahoma"/>
            <family val="2"/>
            <charset val="204"/>
          </rPr>
          <t xml:space="preserve">
</t>
        </r>
      </text>
    </comment>
    <comment ref="S200" authorId="0">
      <text>
        <r>
          <rPr>
            <b/>
            <sz val="9"/>
            <color indexed="81"/>
            <rFont val="Tahoma"/>
            <family val="2"/>
            <charset val="204"/>
          </rPr>
          <t>0, нет в плане</t>
        </r>
        <r>
          <rPr>
            <sz val="9"/>
            <color indexed="81"/>
            <rFont val="Tahoma"/>
            <family val="2"/>
            <charset val="204"/>
          </rPr>
          <t xml:space="preserve">
</t>
        </r>
      </text>
    </comment>
    <comment ref="S249" authorId="0">
      <text>
        <r>
          <rPr>
            <sz val="9"/>
            <color indexed="81"/>
            <rFont val="Tahoma"/>
            <family val="2"/>
            <charset val="204"/>
          </rPr>
          <t xml:space="preserve">
</t>
        </r>
        <r>
          <rPr>
            <sz val="10"/>
            <color indexed="81"/>
            <rFont val="Tahoma"/>
            <family val="2"/>
            <charset val="204"/>
          </rPr>
          <t>И.В. Бедрин</t>
        </r>
      </text>
    </comment>
  </commentList>
</comments>
</file>

<file path=xl/sharedStrings.xml><?xml version="1.0" encoding="utf-8"?>
<sst xmlns="http://schemas.openxmlformats.org/spreadsheetml/2006/main" count="7120" uniqueCount="2241">
  <si>
    <t>Единица измерения</t>
  </si>
  <si>
    <t>1.</t>
  </si>
  <si>
    <t>1.1</t>
  </si>
  <si>
    <t>1.2</t>
  </si>
  <si>
    <t>1.3</t>
  </si>
  <si>
    <t>1.4</t>
  </si>
  <si>
    <t>2.</t>
  </si>
  <si>
    <t>2.1</t>
  </si>
  <si>
    <t>Показатели эффективности деятельности организации</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</si>
  <si>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</si>
  <si>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</si>
  <si>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</si>
  <si>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</si>
  <si>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данной отрасли от 9% и более</t>
  </si>
  <si>
    <t>тыс. рублей</t>
  </si>
  <si>
    <t>процент</t>
  </si>
  <si>
    <t>3.</t>
  </si>
  <si>
    <t>Заявленная мощность</t>
  </si>
  <si>
    <t>Объем полезного отпуска электроэнергии - всего</t>
  </si>
  <si>
    <t>3.1</t>
  </si>
  <si>
    <t>3.2</t>
  </si>
  <si>
    <t>3.3</t>
  </si>
  <si>
    <t>3.4</t>
  </si>
  <si>
    <t>3.5</t>
  </si>
  <si>
    <t>МВт</t>
  </si>
  <si>
    <t>тыс. кВт*ч</t>
  </si>
  <si>
    <t>Показатели регулируемых видов деятельности организации</t>
  </si>
  <si>
    <t>Расходы, связанные с производством и реализацией; подконтрольные расходы - всего</t>
  </si>
  <si>
    <t>Расходы, за исключением указанных в подпункте 4.1; неподконтрольные расходы - всего</t>
  </si>
  <si>
    <t>Выпадающие, излишние доходы (расходы) прошлых лет</t>
  </si>
  <si>
    <t>Справочно:</t>
  </si>
  <si>
    <t>Объем условных единиц</t>
  </si>
  <si>
    <t>Операционные расходы на условную единицу</t>
  </si>
  <si>
    <t>4.</t>
  </si>
  <si>
    <t>4.1</t>
  </si>
  <si>
    <t>В том числе:</t>
  </si>
  <si>
    <t>оплата труда</t>
  </si>
  <si>
    <t>ремонт основных фондов</t>
  </si>
  <si>
    <t>материальные затраты</t>
  </si>
  <si>
    <t>4.2</t>
  </si>
  <si>
    <t>4.3</t>
  </si>
  <si>
    <t>4.4</t>
  </si>
  <si>
    <t>4.4.1</t>
  </si>
  <si>
    <t>у.е.</t>
  </si>
  <si>
    <t>тыс. рублей (у.е.)</t>
  </si>
  <si>
    <t>Среднесписочная численность персонала</t>
  </si>
  <si>
    <t>человек</t>
  </si>
  <si>
    <t>Уставный капитал (складочный капитал, уставный фонд, вклады товарищей)</t>
  </si>
  <si>
    <t>Среднемесячная заработная плата на одного работника</t>
  </si>
  <si>
    <t>тыс. рублей на человека</t>
  </si>
  <si>
    <t>Показатели численности персонала и фонда оплаты труда по регулируемым видам деятельности</t>
  </si>
  <si>
    <t xml:space="preserve">Объем полезного отпуска электроэнергии населению и приравненным к нему категориям потребителей </t>
  </si>
  <si>
    <t>5.</t>
  </si>
  <si>
    <t>5.1</t>
  </si>
  <si>
    <t>5.2</t>
  </si>
  <si>
    <t>5.3</t>
  </si>
  <si>
    <t>2-е полугодие</t>
  </si>
  <si>
    <t>1-е полугодие</t>
  </si>
  <si>
    <t>Для организаций, относящихся к субъектам естественных монополий</t>
  </si>
  <si>
    <t>услуги по передаче электрической энергии (мощности)</t>
  </si>
  <si>
    <t>ставка на содержание сетей</t>
  </si>
  <si>
    <t>ставка на оплату технологического расхода (потерь)</t>
  </si>
  <si>
    <t>одноставочный тариф</t>
  </si>
  <si>
    <t>-</t>
  </si>
  <si>
    <t>Амортизация</t>
  </si>
  <si>
    <t>Лизинг</t>
  </si>
  <si>
    <t>налог на прибыль</t>
  </si>
  <si>
    <t>амортизация</t>
  </si>
  <si>
    <t>по виду деятельности "передача электрической энергии"</t>
  </si>
  <si>
    <t>Расчетный объем услуг в части управления технологическими режимами</t>
  </si>
  <si>
    <t>МВт*ч</t>
  </si>
  <si>
    <t>3.6</t>
  </si>
  <si>
    <t>3.7</t>
  </si>
  <si>
    <t>3.8</t>
  </si>
  <si>
    <t>Суммарный объем производства и потребления электрической энергии участниками оптового рынка электрической энергии</t>
  </si>
  <si>
    <t>1.2.</t>
  </si>
  <si>
    <t>№ по приложению</t>
  </si>
  <si>
    <t>Директор по экономике</t>
  </si>
  <si>
    <t>Директор по реализации услуг</t>
  </si>
  <si>
    <t>Главный инженер - технический директор</t>
  </si>
  <si>
    <t>Директор по корпоративному управлению</t>
  </si>
  <si>
    <t>Директор по финансам</t>
  </si>
  <si>
    <t>Реквизиты программы энергоэффективности (кем утверждена, дата утверждения, номер приказа)</t>
  </si>
  <si>
    <t>Реквизиты инвестиционной программы (кем утверждена, дата утверждения, номер приказа)</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</si>
  <si>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</si>
  <si>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</si>
  <si>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</si>
  <si>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</si>
  <si>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</si>
  <si>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</si>
  <si>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</si>
  <si>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</si>
  <si>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</si>
  <si>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</si>
  <si>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к приказу«__»______201__ г. №____</t>
  </si>
  <si>
    <t>Сроки предоставления</t>
  </si>
  <si>
    <t xml:space="preserve">наименование </t>
  </si>
  <si>
    <t>информация по перечню</t>
  </si>
  <si>
    <t xml:space="preserve">№ </t>
  </si>
  <si>
    <t>Реквизиты отраслевого тарифного соглашения (дата утвержения, срок действия)</t>
  </si>
  <si>
    <t>Норматив потерь электрической энергии (с указанием реквизитов приказа Минэнерго РФ, которым утверждены нормативы)</t>
  </si>
  <si>
    <t>Форма раскрытия информации о структуре и объемах затрат</t>
  </si>
  <si>
    <t>на оказание услуг по передаче электрической энергии сетевыми</t>
  </si>
  <si>
    <t>организациями, регулирование деятельности которых осуществляется</t>
  </si>
  <si>
    <t>методом долгосрочной индексации необходимой валовой выручки</t>
  </si>
  <si>
    <t>Наименование организации:</t>
  </si>
  <si>
    <t>ИНН:</t>
  </si>
  <si>
    <t>КПП:</t>
  </si>
  <si>
    <t>Долгосрочный период регулирования:</t>
  </si>
  <si>
    <t xml:space="preserve"> гг.</t>
  </si>
  <si>
    <t>№ п/п</t>
  </si>
  <si>
    <t>Показатель</t>
  </si>
  <si>
    <t>Ед. изм.</t>
  </si>
  <si>
    <t>Примечание ***</t>
  </si>
  <si>
    <t>ответственный исполнитель</t>
  </si>
  <si>
    <t>план *</t>
  </si>
  <si>
    <t>I</t>
  </si>
  <si>
    <t>Структура затрат</t>
  </si>
  <si>
    <t>х</t>
  </si>
  <si>
    <t>1</t>
  </si>
  <si>
    <t>Необходимая валовая выручка на содержание</t>
  </si>
  <si>
    <t>тыс. руб.</t>
  </si>
  <si>
    <t>директор по экономике</t>
  </si>
  <si>
    <t>Подконтрольные расходы, всего</t>
  </si>
  <si>
    <t>1.1.1</t>
  </si>
  <si>
    <t>Материальные расходы, всего</t>
  </si>
  <si>
    <t>1.1.1.1</t>
  </si>
  <si>
    <t>в том числе на сырье, материалы, запасные части, инструмент, топливо</t>
  </si>
  <si>
    <t>1.1.1.2</t>
  </si>
  <si>
    <t>на ремонт</t>
  </si>
  <si>
    <t>1.1.1.3</t>
  </si>
  <si>
    <t>1.1.1.3.1</t>
  </si>
  <si>
    <t>в том числе на ремонт</t>
  </si>
  <si>
    <t>1.1.2</t>
  </si>
  <si>
    <t>Фонд оплаты труда</t>
  </si>
  <si>
    <t>1.1.2.1</t>
  </si>
  <si>
    <t>1.1.3</t>
  </si>
  <si>
    <t>Прочие подконтрольные расходы (с расшифровкой)</t>
  </si>
  <si>
    <t>1.1.3.1</t>
  </si>
  <si>
    <t>в том числе прибыль на социальное развитие (включая социальные выплаты)</t>
  </si>
  <si>
    <t>1.1.3.2</t>
  </si>
  <si>
    <t>в том числе транспортные услуги</t>
  </si>
  <si>
    <t>1.1.3.3</t>
  </si>
  <si>
    <t>в том числе прочие расходы (с расшифровкой)****</t>
  </si>
  <si>
    <t>1.1.4</t>
  </si>
  <si>
    <t>Расходы на обслуживание операционных заемных средств в составе подконтрольных расходов</t>
  </si>
  <si>
    <t>1.1.5</t>
  </si>
  <si>
    <t>Расходы из прибыли в составе подконтрольных расходов</t>
  </si>
  <si>
    <t>Неподконтрольные расходы, включенные в НВВ, всего</t>
  </si>
  <si>
    <t>1.2.1</t>
  </si>
  <si>
    <t>1.2.2</t>
  </si>
  <si>
    <t>Расходы на оплату технологического присоединения к сетям смежной сетевой организации</t>
  </si>
  <si>
    <t>директор по капитальному строительству</t>
  </si>
  <si>
    <t>1.2.3</t>
  </si>
  <si>
    <t>1.2.4</t>
  </si>
  <si>
    <t>1.2.5</t>
  </si>
  <si>
    <t>директор по финансам</t>
  </si>
  <si>
    <t>1.2.6</t>
  </si>
  <si>
    <t>1.2.7</t>
  </si>
  <si>
    <t>прибыль на капитальные вложения</t>
  </si>
  <si>
    <t>1.2.8</t>
  </si>
  <si>
    <t>1.2.9</t>
  </si>
  <si>
    <t>прочие налоги</t>
  </si>
  <si>
    <t>1.2.10</t>
  </si>
  <si>
    <t>Расходы сетевой организации, связанные с осуществлением технологического присоединения к электрическим сетям, не включенные в плату за технологическое присоединение</t>
  </si>
  <si>
    <t>директор по капитальному строительству;
директор по экономике</t>
  </si>
  <si>
    <t>1.2.10.1</t>
  </si>
  <si>
    <t>Справочно: "Количество льготных технологических присоединений"</t>
  </si>
  <si>
    <t>ед.</t>
  </si>
  <si>
    <t>1.2.11</t>
  </si>
  <si>
    <t>Средства, подлежащие дополнительному учету по результатам вступивших в законную силу решений суда, решений ФСТ России, принятых по итогам рассмотрения разногласий или досудебного урегулирования споров, решения ФСТ России об отмене решения регулирующего органа, принятого им с превышением полномочий (предписания)</t>
  </si>
  <si>
    <t>1.2.12</t>
  </si>
  <si>
    <t>прочие неподконтрольные расходы (с расшифровкой)</t>
  </si>
  <si>
    <t>недополученный по независящим причинам доход (+)/избыток средств, полученный в предыдущем периоде регулирования (-)</t>
  </si>
  <si>
    <t>II</t>
  </si>
  <si>
    <t>Справочно: расходы на ремонт, всего (пункт 1.1.1.2 + пункт 1.1.2.1 + пункт 1.1.3.1)</t>
  </si>
  <si>
    <t>III</t>
  </si>
  <si>
    <t>Необходимая валовая выручка на оплату технологического расхода (потерь) электроэнергии</t>
  </si>
  <si>
    <t>Справочно:
Объем технологических потерь</t>
  </si>
  <si>
    <t>МВт∙ч</t>
  </si>
  <si>
    <t>директор по экономике;
директор по реализации услуг</t>
  </si>
  <si>
    <t>Справочно:
Цена покупки электрической энергии сетевой организацией в целях компенсации технологического расхода электрической энергии</t>
  </si>
  <si>
    <t>руб./МВт∙ч</t>
  </si>
  <si>
    <t>директор по реализации услуг;
директор по экономике</t>
  </si>
  <si>
    <t>IV</t>
  </si>
  <si>
    <t>Натуральные (количественные) показатели, используемые при определении структуры и объемов затрат на оказание услуг по передаче электрической энергии сетевыми организациями</t>
  </si>
  <si>
    <t>общее количество точек подключения на конец года</t>
  </si>
  <si>
    <t>шт.</t>
  </si>
  <si>
    <t>главный инженер-технический директор;
директор по реализации услуг</t>
  </si>
  <si>
    <t>2</t>
  </si>
  <si>
    <t>Трансформаторная мощность подстанций, всего</t>
  </si>
  <si>
    <t>МВа</t>
  </si>
  <si>
    <t>главный инженер-технический директор</t>
  </si>
  <si>
    <t>3</t>
  </si>
  <si>
    <t>Количество условных единиц по линиям электропередач, всего</t>
  </si>
  <si>
    <t>4</t>
  </si>
  <si>
    <t>Количество условных единиц по подстанциям, всего</t>
  </si>
  <si>
    <t>5</t>
  </si>
  <si>
    <t>Длина линий электропередач, всего</t>
  </si>
  <si>
    <t>км</t>
  </si>
  <si>
    <t>6</t>
  </si>
  <si>
    <t>Доля кабельных линий электропередач</t>
  </si>
  <si>
    <t>%</t>
  </si>
  <si>
    <t>7</t>
  </si>
  <si>
    <t>Ввод в эксплуатацию новых объектов электросетевого комплекса на конец года</t>
  </si>
  <si>
    <t>главный бухгалтер;
директор по капитальному строительству;
директор по имущественным отношениям</t>
  </si>
  <si>
    <t>7.1</t>
  </si>
  <si>
    <t>в том числе за счет платы за технологическое присоединение</t>
  </si>
  <si>
    <t>8</t>
  </si>
  <si>
    <t>норматив технологического расхода (потерь) электрической энергии, установленный Минэнерго России *****</t>
  </si>
  <si>
    <t>директор по реализации услуг</t>
  </si>
  <si>
    <t>Примечание:</t>
  </si>
  <si>
    <r>
      <t>_____</t>
    </r>
    <r>
      <rPr>
        <sz val="10"/>
        <rFont val="Times New Roman"/>
        <family val="1"/>
        <charset val="204"/>
      </rPr>
      <t>*</t>
    </r>
    <r>
      <rPr>
        <sz val="10"/>
        <color indexed="9"/>
        <rFont val="Times New Roman"/>
        <family val="1"/>
        <charset val="204"/>
      </rPr>
      <t>_</t>
    </r>
    <r>
      <rPr>
        <sz val="10"/>
        <rFont val="Times New Roman"/>
        <family val="1"/>
        <charset val="204"/>
      </rPr>
      <t>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 в столбце &lt;план&gt; указываются соответствующие значения. Плановые значения составляющих подконтрольных расходов раскрываются в отношении расходов, учтенных регулирующим органом на первый год долгосрочного периода регулирования.</t>
    </r>
  </si>
  <si>
    <r>
      <t>_____</t>
    </r>
    <r>
      <rPr>
        <sz val="10"/>
        <rFont val="Times New Roman"/>
        <family val="1"/>
        <charset val="204"/>
      </rPr>
      <t>**</t>
    </r>
    <r>
      <rPr>
        <sz val="10"/>
        <color indexed="9"/>
        <rFont val="Times New Roman"/>
        <family val="1"/>
        <charset val="204"/>
      </rPr>
      <t>_</t>
    </r>
    <r>
      <rPr>
        <sz val="10"/>
        <rFont val="Times New Roman"/>
        <family val="1"/>
        <charset val="204"/>
      </rPr>
      <t>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t>
    </r>
  </si>
  <si>
    <r>
      <t>_____</t>
    </r>
    <r>
      <rPr>
        <sz val="10"/>
        <rFont val="Times New Roman"/>
        <family val="1"/>
        <charset val="204"/>
      </rPr>
      <t>***</t>
    </r>
    <r>
      <rPr>
        <sz val="10"/>
        <color indexed="9"/>
        <rFont val="Times New Roman"/>
        <family val="1"/>
        <charset val="204"/>
      </rPr>
      <t>_</t>
    </r>
    <r>
      <rPr>
        <sz val="10"/>
        <rFont val="Times New Roman"/>
        <family val="1"/>
        <charset val="204"/>
      </rPr>
      <t>При наличии отклонений фактических значений показателей от плановых значений более чем на 15 процентов в столбце &lt;Примечание&gt; указываются причины их возникновения.</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</si>
  <si>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28 Основ ценообразования в области регулируемых цен (тарифов) в электроэнергетике, утвержденных постановлением Правительства Российской Федерации от 29.12.2011 № 1178.</t>
    </r>
  </si>
  <si>
    <r>
      <t>_____</t>
    </r>
    <r>
      <rPr>
        <sz val="10"/>
        <rFont val="Times New Roman"/>
        <family val="1"/>
        <charset val="204"/>
      </rPr>
      <t>*****</t>
    </r>
    <r>
      <rPr>
        <sz val="10"/>
        <color indexed="9"/>
        <rFont val="Times New Roman"/>
        <family val="1"/>
        <charset val="204"/>
      </rPr>
      <t>_</t>
    </r>
    <r>
      <rPr>
        <sz val="10"/>
        <rFont val="Times New Roman"/>
        <family val="1"/>
        <charset val="204"/>
      </rPr>
      <t>В соответствии с пунктом 4.2.14.8 Положения о Министерстве энергетики Российской Федерации, утвержденного постановлением Правительства Российской Федерации от 28.05.2008 № 400.</t>
    </r>
  </si>
  <si>
    <t>двухставочный тариф</t>
  </si>
  <si>
    <t>Приложение 8</t>
  </si>
  <si>
    <t>Оплата услуг ПАО "ФСК ЕЭС"</t>
  </si>
  <si>
    <t>Акционерное общество "НЭСК-электросети"</t>
  </si>
  <si>
    <t>АО "НЭСК-электросети"</t>
  </si>
  <si>
    <t>г. Краснодар</t>
  </si>
  <si>
    <t>nesk-elseti@nesk.ru</t>
  </si>
  <si>
    <t>2308139496</t>
  </si>
  <si>
    <t>230750001</t>
  </si>
  <si>
    <t>2015</t>
  </si>
  <si>
    <t>2019</t>
  </si>
  <si>
    <t>Расчет коэффициента индексации</t>
  </si>
  <si>
    <t>Расчет коэффициента
 индексации</t>
  </si>
  <si>
    <t>единица
 измерения</t>
  </si>
  <si>
    <t>утверждено РЭК-департаментом 2012г. №20/2012-э от 17.03.2012</t>
  </si>
  <si>
    <t>утверждено РЭК-департаментом 2013г. №1/2013-э от 16.01.2013</t>
  </si>
  <si>
    <t>утверждено РЭК-департаментом 2014г. №24/2013-э от 17.04.2013</t>
  </si>
  <si>
    <t>утверждено РЭК-департаментом №131/2014-э от 09.12.2014 2015-2019</t>
  </si>
  <si>
    <t>предложение АО "НЭСК-электросети" на 2016г.</t>
  </si>
  <si>
    <t>утверждено РЭК-департаментом 
№131/2014-э от 09.12.2014 2015-2019</t>
  </si>
  <si>
    <t>предложение РЭК-ДЦТ КК на 2016г.</t>
  </si>
  <si>
    <t>правильно
 на 2015</t>
  </si>
  <si>
    <t>правильно
 на 2016</t>
  </si>
  <si>
    <t>на  2015г.</t>
  </si>
  <si>
    <t xml:space="preserve"> на 2016г.</t>
  </si>
  <si>
    <t>А</t>
  </si>
  <si>
    <t>В</t>
  </si>
  <si>
    <t>инфляция</t>
  </si>
  <si>
    <t>индекс эффективности операционных расходов</t>
  </si>
  <si>
    <t>количество активов</t>
  </si>
  <si>
    <t>индекс изменения количества активов</t>
  </si>
  <si>
    <t>коэффициент эластичности затрат по росту активов</t>
  </si>
  <si>
    <t>итого коэффициент индексации</t>
  </si>
  <si>
    <t>предидущие показатели</t>
  </si>
  <si>
    <t>Расчет необходимой валовой выручки  на услуги по содержанию электрических сетей</t>
  </si>
  <si>
    <t>№ статьи</t>
  </si>
  <si>
    <t>наименование статьи в соответствии с учетной политикой АО "НЭСК-электросети"</t>
  </si>
  <si>
    <t>наименование статьи в соответствии с учетной политикой ОАО "НЭСК-электросети" в предыдущие периоды регулирования</t>
  </si>
  <si>
    <t>единица измерения</t>
  </si>
  <si>
    <t>2012 год</t>
  </si>
  <si>
    <t>2013 год</t>
  </si>
  <si>
    <t>2014</t>
  </si>
  <si>
    <t>2015 год</t>
  </si>
  <si>
    <t>2016 год</t>
  </si>
  <si>
    <t xml:space="preserve">план (утв. органом регулирования) </t>
  </si>
  <si>
    <t>факт всего  2014 года</t>
  </si>
  <si>
    <t>в т.ч. факт на услуги по передаче электроэнергии АО "НЭСК-электросети"</t>
  </si>
  <si>
    <t>экономически обоснованный факт  РЭК-ДЦТ КК</t>
  </si>
  <si>
    <t xml:space="preserve">отклонение экономически обоснованный факт  РЭК-ДЦТ КК от план (утв. органом регулирования) </t>
  </si>
  <si>
    <t>отклонение экономически обоснованный факт  РЭК-ДЦТ КК от факта на услуги по передаче ээ  АО "НЭСК-электросети"</t>
  </si>
  <si>
    <t>предложение "НЭСК-электросети"</t>
  </si>
  <si>
    <t>предложение РЭК-ДЦТ КК</t>
  </si>
  <si>
    <t>предложение РЭК-ДЦТ КК (налог на имущество и аренда)</t>
  </si>
  <si>
    <t>отклонения предложение РЭК-ДЦТ КК на 2016 год от плана (утв. органом регулирования) на 2015 год</t>
  </si>
  <si>
    <t>отклонения предложение РЭК-ДЦТ КК на 2016 год от плана (утв. органом регулирования) на 2016 год</t>
  </si>
  <si>
    <t>отклонения предложение РЭК-ДЦТ КК на 2016 год от предложений "НЭСК-электросети" на 2016 год</t>
  </si>
  <si>
    <t>факт на услуги по передаче электроэнергии АО "НЭСК-электросети"</t>
  </si>
  <si>
    <r>
      <t>экономически обоснованный факт  РЭК-ДЦТ КК (направлено в РЭК 10.11.15.)</t>
    </r>
    <r>
      <rPr>
        <b/>
        <sz val="12.5"/>
        <color rgb="FFFF0000"/>
        <rFont val="Times New Roman"/>
        <family val="1"/>
        <charset val="204"/>
      </rPr>
      <t xml:space="preserve"> "НЭСК-электросети"</t>
    </r>
  </si>
  <si>
    <t xml:space="preserve">экономически обоснованный факт  РЭК-ДЦТ КК (просмотренный Рогачевой И.А. 18.11.15.) </t>
  </si>
  <si>
    <t xml:space="preserve">отклонение экономически обоснованный факт  РЭК-ДЦТ КК (учтены замечания) от план (утв. органом регулирования) </t>
  </si>
  <si>
    <t>отклонение экономически обоснованный факт  РЭК-ДЦТ КК (учтены замечания) от пересмотр плана</t>
  </si>
  <si>
    <t xml:space="preserve">отклонение между экономически обоснованным фактом  РЭК-ДЦТ КК (просмотренный Рогачевой И.А. 18.11.15.)  от экономически обоснованного факта  РЭК-ДЦТ КК (направлено в РЭК 10.11.15.)  </t>
  </si>
  <si>
    <t xml:space="preserve">отклонение между фактом на услуги по передаче электроэнергии  от плана (утв. органом регулирования) </t>
  </si>
  <si>
    <t>абс.</t>
  </si>
  <si>
    <t>отн.</t>
  </si>
  <si>
    <t>16 (15 - 10)</t>
  </si>
  <si>
    <t>17 (15 - 12)</t>
  </si>
  <si>
    <t>15 (13 - 7)</t>
  </si>
  <si>
    <t>16 (13 - 8)</t>
  </si>
  <si>
    <t>17 (12 - 11)</t>
  </si>
  <si>
    <t>18 (10 - 7)</t>
  </si>
  <si>
    <t>23 (22-19)</t>
  </si>
  <si>
    <t>24 (22/19)</t>
  </si>
  <si>
    <t>25 (22-20)</t>
  </si>
  <si>
    <t>26 (22/20)</t>
  </si>
  <si>
    <t>27 (22-21)</t>
  </si>
  <si>
    <t>28 (22/21)</t>
  </si>
  <si>
    <t>1.1.</t>
  </si>
  <si>
    <t>Материальные затраты</t>
  </si>
  <si>
    <t>1.1.1.</t>
  </si>
  <si>
    <t>Сырье, материалы, запасные части, инструмент, топливо</t>
  </si>
  <si>
    <t>2.06.04</t>
  </si>
  <si>
    <t>ТМЦ Инструменты и приспособления по ремонту автотранспорта</t>
  </si>
  <si>
    <t>инструменты и приспособления по ремонту автотранспорта</t>
  </si>
  <si>
    <t>2.06.05</t>
  </si>
  <si>
    <t>ТМЦ Автотранспорт комплектующие</t>
  </si>
  <si>
    <t>комплектующие автотранспорта</t>
  </si>
  <si>
    <t>2.06.06</t>
  </si>
  <si>
    <t>ТМЦ Автотранспорт материалы на ремонт</t>
  </si>
  <si>
    <t>ремонт автотранспорта (материалы)</t>
  </si>
  <si>
    <t>Итого материалы автотранспорта</t>
  </si>
  <si>
    <t>1.1.1.4</t>
  </si>
  <si>
    <t>2.06.07</t>
  </si>
  <si>
    <t>ТМЦ Канц. расходы бумага</t>
  </si>
  <si>
    <t>канц. расходы : бумага</t>
  </si>
  <si>
    <t>1.1.1.5</t>
  </si>
  <si>
    <t>2.06.08</t>
  </si>
  <si>
    <t>ТМЦ Почтовые расходы: марки, конверты</t>
  </si>
  <si>
    <t>почтовые  расходы : марки, конверты</t>
  </si>
  <si>
    <t>1.1.1.6</t>
  </si>
  <si>
    <t>2.06.09</t>
  </si>
  <si>
    <t>ТМЦ Канц. расходы прочие</t>
  </si>
  <si>
    <t>канц. расходы : прочие</t>
  </si>
  <si>
    <t>1.1.1.7</t>
  </si>
  <si>
    <t>2.06.10</t>
  </si>
  <si>
    <t>ТМЦ Канц. расходы папки</t>
  </si>
  <si>
    <t>канц. расходы : папки</t>
  </si>
  <si>
    <t>1.1.1.8</t>
  </si>
  <si>
    <t>2.06.11</t>
  </si>
  <si>
    <t>ТМЦ  Канц. расходы бланки</t>
  </si>
  <si>
    <t>канц.расходы: бланки</t>
  </si>
  <si>
    <t>9</t>
  </si>
  <si>
    <t>1.1.1.9</t>
  </si>
  <si>
    <t>2.06.12</t>
  </si>
  <si>
    <t>ТМЦ Штампы, печати</t>
  </si>
  <si>
    <t>штампы, печати</t>
  </si>
  <si>
    <t>10</t>
  </si>
  <si>
    <t>1.1.1.10</t>
  </si>
  <si>
    <t>2.06.13</t>
  </si>
  <si>
    <t>ТМЦ Подписка</t>
  </si>
  <si>
    <t>подписка</t>
  </si>
  <si>
    <t>Итого канц.и почт.расходы,подписка</t>
  </si>
  <si>
    <t>11</t>
  </si>
  <si>
    <t>1.1.1.11</t>
  </si>
  <si>
    <t>2.06.14</t>
  </si>
  <si>
    <t>ТМЦ Инструменты и приспособления хоз. назначения</t>
  </si>
  <si>
    <t>инструменты и приспособления хоз. назначения</t>
  </si>
  <si>
    <t>12</t>
  </si>
  <si>
    <t>1.1.1.12</t>
  </si>
  <si>
    <t>2.06.15</t>
  </si>
  <si>
    <t>ТМЦ Материальные расходы хоз. назначения</t>
  </si>
  <si>
    <t>материальные расходы хоз. назначения</t>
  </si>
  <si>
    <t>13</t>
  </si>
  <si>
    <t>1.1.1.13</t>
  </si>
  <si>
    <t>2.06.16</t>
  </si>
  <si>
    <t>ТМЦ Инвентарь, мебель, быт. техника хоз. назначения</t>
  </si>
  <si>
    <t>МБП : инвентарь, мебель, быт. техника</t>
  </si>
  <si>
    <t>Итого мат.расходы хоз.назначения</t>
  </si>
  <si>
    <t>16</t>
  </si>
  <si>
    <t>1.1.1.16</t>
  </si>
  <si>
    <t>2.06.19</t>
  </si>
  <si>
    <t>ТМЦ Оргтехника инструменты и приспособления</t>
  </si>
  <si>
    <t>инструменты и приспособления орг. техника</t>
  </si>
  <si>
    <t>17</t>
  </si>
  <si>
    <t>1.1.1.17</t>
  </si>
  <si>
    <t>2.06.20</t>
  </si>
  <si>
    <t>ТМЦ Оргтехника комплектующие</t>
  </si>
  <si>
    <t>комплектующие вычислит. и оргтехники</t>
  </si>
  <si>
    <t>18</t>
  </si>
  <si>
    <t>1.1.1.18</t>
  </si>
  <si>
    <t>2.06.21</t>
  </si>
  <si>
    <t>ТМЦ Оргтехника (ОС)</t>
  </si>
  <si>
    <t>МБП : оргтехника и вычисл. техника</t>
  </si>
  <si>
    <t>19</t>
  </si>
  <si>
    <t>1.1.1.19</t>
  </si>
  <si>
    <t>2.06.22</t>
  </si>
  <si>
    <t>ТМЦ Оргтехника расходные материалы</t>
  </si>
  <si>
    <t>расходные материалы вычислит. и оргтехники</t>
  </si>
  <si>
    <t>20</t>
  </si>
  <si>
    <t>1.1.1.20</t>
  </si>
  <si>
    <t>2.06.23</t>
  </si>
  <si>
    <t>ТМЦ Оргтехника материалы на ремонт</t>
  </si>
  <si>
    <t>ремонт вычислит. и оргтехники (материалы)</t>
  </si>
  <si>
    <t>Итого оргтехника и комплектующие</t>
  </si>
  <si>
    <t>21</t>
  </si>
  <si>
    <t>1.1.1.21</t>
  </si>
  <si>
    <t>2.06.24</t>
  </si>
  <si>
    <t>ТМЦ Средства связи инструменты и приспособления</t>
  </si>
  <si>
    <t>инструменты и приспособления средств связи</t>
  </si>
  <si>
    <t>22</t>
  </si>
  <si>
    <t>1.1.1.22</t>
  </si>
  <si>
    <t>2.06.25</t>
  </si>
  <si>
    <t>ТМЦ Средства связи</t>
  </si>
  <si>
    <t>МБП : средства связи</t>
  </si>
  <si>
    <t>23</t>
  </si>
  <si>
    <t>1.1.1.23</t>
  </si>
  <si>
    <t>2.06.26</t>
  </si>
  <si>
    <t>ТМЦ Средства связи материалы на ремонт</t>
  </si>
  <si>
    <t>ремонт средств связи (материалы)</t>
  </si>
  <si>
    <t>Итого средства связи</t>
  </si>
  <si>
    <t>25</t>
  </si>
  <si>
    <t>1.1.1.26</t>
  </si>
  <si>
    <t>2.06.29</t>
  </si>
  <si>
    <t xml:space="preserve">ТМЦ Материальные расходы на кап. ремонт производственных объектов </t>
  </si>
  <si>
    <t>материальные расходы на кап. ремонт э/сетей</t>
  </si>
  <si>
    <t>27</t>
  </si>
  <si>
    <t>1.1.1.27</t>
  </si>
  <si>
    <t>2.06.30</t>
  </si>
  <si>
    <t xml:space="preserve">ТМЦ Материальные расходы на тек. ремонт и обслуживание производственных объектов </t>
  </si>
  <si>
    <t>материальные расходы на тек. ремонт и обслуживание э/сетей</t>
  </si>
  <si>
    <t>28</t>
  </si>
  <si>
    <t>1.1.1.28</t>
  </si>
  <si>
    <t>2.06.31</t>
  </si>
  <si>
    <t>ТМЦ Материальные расходы на кап. ремонт административных зданий</t>
  </si>
  <si>
    <t>29</t>
  </si>
  <si>
    <t>1.1.1.29</t>
  </si>
  <si>
    <t>2.06.32</t>
  </si>
  <si>
    <t>ТМЦ Материальные расходы на тек. ремонт административных зданий</t>
  </si>
  <si>
    <t>Итого мат.расходы на ремонт</t>
  </si>
  <si>
    <t>1.1.1.25</t>
  </si>
  <si>
    <t>2.06.28</t>
  </si>
  <si>
    <t>ТМЦ Инструменты и приспособления (спец. инструмент для обслуж. э/сетей)</t>
  </si>
  <si>
    <t>инструменты и приспособления (спец. инструмент для обслуж. э/сетей)</t>
  </si>
  <si>
    <t>30</t>
  </si>
  <si>
    <t>1.1.1.30</t>
  </si>
  <si>
    <t>2.06.33</t>
  </si>
  <si>
    <t>ТМЦ Оборудование и приспособления (ОС)</t>
  </si>
  <si>
    <t>МБП : оборудование, приспособления</t>
  </si>
  <si>
    <t>31</t>
  </si>
  <si>
    <t>1.1.1.31</t>
  </si>
  <si>
    <t>2.06.34</t>
  </si>
  <si>
    <t>ТМЦ Инструменты и приспособления прочие</t>
  </si>
  <si>
    <t>инструменты и приспособления прочие</t>
  </si>
  <si>
    <t>Итого инструменты и приспособления прочие</t>
  </si>
  <si>
    <t>32</t>
  </si>
  <si>
    <t>1.1.1.32</t>
  </si>
  <si>
    <t>2.06.35</t>
  </si>
  <si>
    <t>ТМЦ Материалы для установки (замены) узлов учета</t>
  </si>
  <si>
    <t>ремонт узлов и приборов учета (материалы)</t>
  </si>
  <si>
    <t>33</t>
  </si>
  <si>
    <t>1.1.1.33</t>
  </si>
  <si>
    <t>2.06.36</t>
  </si>
  <si>
    <t>ТМЦ Электросчетчики (ОС)</t>
  </si>
  <si>
    <t>МБП : электросчетчики</t>
  </si>
  <si>
    <t>34</t>
  </si>
  <si>
    <t>1.1.1.34</t>
  </si>
  <si>
    <t>2.06.37</t>
  </si>
  <si>
    <t>ТМЦ Пломбировочный материал</t>
  </si>
  <si>
    <t>пломбы, проволока для опломбирования, сумки для контролеров</t>
  </si>
  <si>
    <t>35</t>
  </si>
  <si>
    <t>1.1.1.35</t>
  </si>
  <si>
    <t>2.06.38</t>
  </si>
  <si>
    <t>ТМЦ Оборудование, приспособления для узлов учета</t>
  </si>
  <si>
    <t>МБП: оборудование, приспособления для узлов учета</t>
  </si>
  <si>
    <t>Итого оборудование и материалы для узлов учета</t>
  </si>
  <si>
    <t>37</t>
  </si>
  <si>
    <t>1.1.1.37</t>
  </si>
  <si>
    <t>2.06.40</t>
  </si>
  <si>
    <t>ТМЦ Материальные расходы по ГО</t>
  </si>
  <si>
    <t>материальные расходы по ГО</t>
  </si>
  <si>
    <t>38</t>
  </si>
  <si>
    <t>1.1.1.38</t>
  </si>
  <si>
    <t>2.06.41</t>
  </si>
  <si>
    <t>ТМЦ Материальные расходы по пожарной безопасности</t>
  </si>
  <si>
    <t>материальные расходы по пожарной безопасности</t>
  </si>
  <si>
    <t>39</t>
  </si>
  <si>
    <t>1.1.1.39</t>
  </si>
  <si>
    <t>2.06.42</t>
  </si>
  <si>
    <t>ТМЦ Средства охраны труда</t>
  </si>
  <si>
    <t>МБП : средства охраны труда</t>
  </si>
  <si>
    <t>40</t>
  </si>
  <si>
    <t>1.1.1.40</t>
  </si>
  <si>
    <t>2.06.43</t>
  </si>
  <si>
    <t>ТМЦ ТБ  материальные расходы, связанные с соблюдением техн. безопасности</t>
  </si>
  <si>
    <t>ТБ : материальные расходы, связанные с соблюдением техн. безопасности</t>
  </si>
  <si>
    <t>41</t>
  </si>
  <si>
    <t>1.1.1.41</t>
  </si>
  <si>
    <t>2.06.44</t>
  </si>
  <si>
    <t>ТМЦ ТБ спецодежда</t>
  </si>
  <si>
    <t>ТБ : спецодежда</t>
  </si>
  <si>
    <t>42</t>
  </si>
  <si>
    <t>1.1.1.42</t>
  </si>
  <si>
    <t>2.06.45</t>
  </si>
  <si>
    <t>ТМЦ ТБ спецпитание</t>
  </si>
  <si>
    <t>ТБ : спецпитание</t>
  </si>
  <si>
    <t>43</t>
  </si>
  <si>
    <t>1.1.1.43</t>
  </si>
  <si>
    <t>2.06.46</t>
  </si>
  <si>
    <t>ТМЦ ТБ спецодежда - комплекты, устойчивых к воздействию эл.дуги</t>
  </si>
  <si>
    <t>ТБ : спецодежда - комплекты, устойчивых к воздействию эл. дуги</t>
  </si>
  <si>
    <t>44</t>
  </si>
  <si>
    <t>1.1.1.44</t>
  </si>
  <si>
    <t>2.06.47</t>
  </si>
  <si>
    <t>ТМЦ Техлитература</t>
  </si>
  <si>
    <t>техлитература</t>
  </si>
  <si>
    <t>Итого ГО,ОТ и пож.безопасность, ТБ</t>
  </si>
  <si>
    <t>14</t>
  </si>
  <si>
    <t>1.1.1.14</t>
  </si>
  <si>
    <t>2.06.17</t>
  </si>
  <si>
    <t>ТМЦ Прочие</t>
  </si>
  <si>
    <t>МБП : прочие</t>
  </si>
  <si>
    <t>15</t>
  </si>
  <si>
    <t>1.1.1.15</t>
  </si>
  <si>
    <t>2.06.18</t>
  </si>
  <si>
    <t>ТМЦ Питьевая вода</t>
  </si>
  <si>
    <t>питьевая вода</t>
  </si>
  <si>
    <t>24</t>
  </si>
  <si>
    <t>1.1.1.24</t>
  </si>
  <si>
    <t>2.06.27</t>
  </si>
  <si>
    <t>ТМЦ Кассовые аппараты и содержание</t>
  </si>
  <si>
    <t>МБП : кассовые аппараты</t>
  </si>
  <si>
    <t>36</t>
  </si>
  <si>
    <t>1.1.1.36</t>
  </si>
  <si>
    <t>2.06.39</t>
  </si>
  <si>
    <t>ТМЦ Материальные расходы по АИИСКУЭ</t>
  </si>
  <si>
    <t>комплектующие и ремонт АИИС КУЭ (материалы)</t>
  </si>
  <si>
    <t>1.1.1.45</t>
  </si>
  <si>
    <t>ТМЦ Материальные расходы по прочим видам деятельности</t>
  </si>
  <si>
    <t>1.1.1.46</t>
  </si>
  <si>
    <t>ТМЦ Материальные расходы по обслуживанию СНО</t>
  </si>
  <si>
    <t>1.1.1.47</t>
  </si>
  <si>
    <t>ТМЦ Материальные расходы по технологическому присоединению</t>
  </si>
  <si>
    <t>Итого мат.расходы прочие</t>
  </si>
  <si>
    <t>1.1.1.48</t>
  </si>
  <si>
    <t>2.06.51</t>
  </si>
  <si>
    <t>ТМЦ Оборудование по антитеррору (ОС)</t>
  </si>
  <si>
    <t>1.1.1.49</t>
  </si>
  <si>
    <t>2.06.52</t>
  </si>
  <si>
    <t>ТМЦ Материальные расходы по антитеррору</t>
  </si>
  <si>
    <t>Итого по антитеррору</t>
  </si>
  <si>
    <t>1.1.2.</t>
  </si>
  <si>
    <t>ГСМ</t>
  </si>
  <si>
    <t>51</t>
  </si>
  <si>
    <t>2.06.01</t>
  </si>
  <si>
    <t>ТМЦ  ГСМ (прочие цели)</t>
  </si>
  <si>
    <t>газ (произв. цели, без хоз. нужд и а/тр)</t>
  </si>
  <si>
    <t>52</t>
  </si>
  <si>
    <t>1.1.2.2</t>
  </si>
  <si>
    <t>2.06.02</t>
  </si>
  <si>
    <t>ТМЦ Автотранспорт прочие ГСМ</t>
  </si>
  <si>
    <t>автотранспорт: прочие ГСМ</t>
  </si>
  <si>
    <t>53</t>
  </si>
  <si>
    <t>1.1.2.3</t>
  </si>
  <si>
    <t xml:space="preserve">2.06.03       </t>
  </si>
  <si>
    <t>ТМЦ Автотранспорт : топливо (бензин, диз. топливо, газ для а/тр)</t>
  </si>
  <si>
    <t>автотранспорт: топливо (бензин, диз. топливо, газ для а/тр)</t>
  </si>
  <si>
    <t>54</t>
  </si>
  <si>
    <t>Расходы на оплату труда</t>
  </si>
  <si>
    <t>55</t>
  </si>
  <si>
    <t>1.3.</t>
  </si>
  <si>
    <t>Денежные выплаты социального характера</t>
  </si>
  <si>
    <t>213</t>
  </si>
  <si>
    <t>1.3.1</t>
  </si>
  <si>
    <t>2.09.37</t>
  </si>
  <si>
    <t>ПВ Материальная помощь по прочим основаниям</t>
  </si>
  <si>
    <t>тыс.руб.</t>
  </si>
  <si>
    <t>216</t>
  </si>
  <si>
    <t>1.3.2</t>
  </si>
  <si>
    <t>2.09.40</t>
  </si>
  <si>
    <t xml:space="preserve">ПВ Единовременные выплаты по соглашению сторон </t>
  </si>
  <si>
    <t>1.3.3</t>
  </si>
  <si>
    <t>2.09.41</t>
  </si>
  <si>
    <t>Соц. хар. Материальная помощь к юбилейным датам</t>
  </si>
  <si>
    <t>1.3.4</t>
  </si>
  <si>
    <t>2.09.42</t>
  </si>
  <si>
    <t>Соц. хар. Материальная помощь в связи с уходом на пенсию</t>
  </si>
  <si>
    <t>1.3.5</t>
  </si>
  <si>
    <t>2.09.43</t>
  </si>
  <si>
    <t>Выплаты по коллективному договору</t>
  </si>
  <si>
    <t>1.3.6</t>
  </si>
  <si>
    <t>Соц. хар. Материальная помощь к ежегодному отпуску</t>
  </si>
  <si>
    <t>1.3.7</t>
  </si>
  <si>
    <t>2.09.44</t>
  </si>
  <si>
    <t>1.3.8</t>
  </si>
  <si>
    <t>2.09.45</t>
  </si>
  <si>
    <t>Соц. хар. Выплаты за звания</t>
  </si>
  <si>
    <t>1.3.9</t>
  </si>
  <si>
    <t>2.09.46</t>
  </si>
  <si>
    <t>Соц. хар. Компенсации работникам находящимся в отпуске по уходу за ребенком</t>
  </si>
  <si>
    <t>1.3.10</t>
  </si>
  <si>
    <t>2.09.47</t>
  </si>
  <si>
    <t>Соц. хар. Материальная помощь по рождению ребенка</t>
  </si>
  <si>
    <t>1.3.11</t>
  </si>
  <si>
    <t>2.09.48</t>
  </si>
  <si>
    <t>Соц. хар. Материальная помощь при призыве на военную службу</t>
  </si>
  <si>
    <t>1.3.12</t>
  </si>
  <si>
    <t>2.09.49</t>
  </si>
  <si>
    <t>Соц. хар. Ежемесячная материальная помощь неработающим пенсионерам</t>
  </si>
  <si>
    <t>1.3.13</t>
  </si>
  <si>
    <t>2.09.50</t>
  </si>
  <si>
    <t>Соц.хар. Расходы на оплату путевок на лечение</t>
  </si>
  <si>
    <t>1.3.14</t>
  </si>
  <si>
    <t>2.09.51</t>
  </si>
  <si>
    <t>Соц. хар. Разовая материальная помощь</t>
  </si>
  <si>
    <t>1.3.15</t>
  </si>
  <si>
    <t>2.09.52</t>
  </si>
  <si>
    <t>Соц. хар. Материальная помощь в связи со смертью</t>
  </si>
  <si>
    <t>1.3.16</t>
  </si>
  <si>
    <t>2.09.53</t>
  </si>
  <si>
    <t xml:space="preserve"> Страховые взносы и страховые отчисления 
от ПВ и соц. хар.</t>
  </si>
  <si>
    <t>1.4.</t>
  </si>
  <si>
    <t>Ремонт основных фондов</t>
  </si>
  <si>
    <t>1.4.1.</t>
  </si>
  <si>
    <t>капитальный и текущий ремонт по основному виду деятельности, в т.ч.</t>
  </si>
  <si>
    <t>56</t>
  </si>
  <si>
    <t>1.4.1.1</t>
  </si>
  <si>
    <t xml:space="preserve">2.07.02.01    </t>
  </si>
  <si>
    <t>Ремонт капитальный производственных объектов (стор.орг.)</t>
  </si>
  <si>
    <t>Капитальный и тек. ремонт э/сетей (стор. орг.)</t>
  </si>
  <si>
    <t>57</t>
  </si>
  <si>
    <t>1.4.1.2</t>
  </si>
  <si>
    <t>2.07.02.03</t>
  </si>
  <si>
    <t>Ремонт капитальный административных зданий (стор. орг.)</t>
  </si>
  <si>
    <t xml:space="preserve">Капитальный и текущий ремонт  зданий (стор. орг.) </t>
  </si>
  <si>
    <t>58</t>
  </si>
  <si>
    <t>1.4.1.3</t>
  </si>
  <si>
    <t>2.07.02.04</t>
  </si>
  <si>
    <t>Ремонт текущий административных зданий (стор. орг.)</t>
  </si>
  <si>
    <t>59</t>
  </si>
  <si>
    <t>1.4.1.4</t>
  </si>
  <si>
    <t>2.07.02.05</t>
  </si>
  <si>
    <t>Ремонт капитальный оборудования (стор. орг.)</t>
  </si>
  <si>
    <t xml:space="preserve">Капитальный и текущий ремонт силовых трансформаторов (стор. орг.) </t>
  </si>
  <si>
    <t>60</t>
  </si>
  <si>
    <t>1.4.1.5</t>
  </si>
  <si>
    <t>2.07.02.06</t>
  </si>
  <si>
    <t>Ремонт текущий оборудования (стор. орг.)</t>
  </si>
  <si>
    <t xml:space="preserve">Капитальный и текущий ремонт зданий ТП (стор. орг.) </t>
  </si>
  <si>
    <t>1.4.2.</t>
  </si>
  <si>
    <t>прочие ремонты:</t>
  </si>
  <si>
    <t>61</t>
  </si>
  <si>
    <t>1.4.2.1</t>
  </si>
  <si>
    <t>2.07.02.02</t>
  </si>
  <si>
    <t>Ремонт текущий производственных объектов (стор. орг.)</t>
  </si>
  <si>
    <t>обрезка деревьев (стор. орг.)</t>
  </si>
  <si>
    <t>62</t>
  </si>
  <si>
    <t>1.4.2.2</t>
  </si>
  <si>
    <t xml:space="preserve">2.07.02.07    </t>
  </si>
  <si>
    <t>Ремонт автотранспорта (стор. орг.)</t>
  </si>
  <si>
    <t>ремонт автотранспорта (стор. орг.)</t>
  </si>
  <si>
    <t>63</t>
  </si>
  <si>
    <t>1.4.2.3</t>
  </si>
  <si>
    <t>2.07.02.08</t>
  </si>
  <si>
    <t>Ремонт средств связи (стор. орг.)</t>
  </si>
  <si>
    <t>ремонт средств связи (стор. орг.)</t>
  </si>
  <si>
    <t>64</t>
  </si>
  <si>
    <t>1.4.2.4</t>
  </si>
  <si>
    <t>2.07.02.09</t>
  </si>
  <si>
    <t>Ремонт ГПМ (стор. орг.)</t>
  </si>
  <si>
    <t>ремонт ГПМ  (стор.орг.)</t>
  </si>
  <si>
    <t>65</t>
  </si>
  <si>
    <t>1.4.2.5</t>
  </si>
  <si>
    <t xml:space="preserve">2.07.02.10    </t>
  </si>
  <si>
    <t>Ремонт и установка приборов учета э/э, измерительного оборудования (стор. орг.)</t>
  </si>
  <si>
    <t>ремонт приборов учета э/эн. (стор. орг.)</t>
  </si>
  <si>
    <t>66</t>
  </si>
  <si>
    <t>1.4.2.6</t>
  </si>
  <si>
    <t>2.07.02.11</t>
  </si>
  <si>
    <t>Ремонт оргтехники (стор. орг.)</t>
  </si>
  <si>
    <t>ремонт вычислительной и оргтехники (стор.организ.)</t>
  </si>
  <si>
    <t>67</t>
  </si>
  <si>
    <t>1.4.2.7</t>
  </si>
  <si>
    <t xml:space="preserve">2.07.02.12    </t>
  </si>
  <si>
    <t xml:space="preserve"> Ремонт мебели и быт. техники (стор.орг.)</t>
  </si>
  <si>
    <t>68</t>
  </si>
  <si>
    <t>1.4.2.8</t>
  </si>
  <si>
    <t>2.07.02.13</t>
  </si>
  <si>
    <t>Ремонт устройств РЗА</t>
  </si>
  <si>
    <t>электромонтажные работы подрядчиков</t>
  </si>
  <si>
    <t>1.5.</t>
  </si>
  <si>
    <t>Прочие расходы, всего, в том числе:</t>
  </si>
  <si>
    <t>1.5.1</t>
  </si>
  <si>
    <t>Оплата работ и услуг сторонних организаций</t>
  </si>
  <si>
    <t>1.5.1.1.</t>
  </si>
  <si>
    <t>Услуги связи</t>
  </si>
  <si>
    <t>69</t>
  </si>
  <si>
    <t>1.5.1.1.1</t>
  </si>
  <si>
    <t xml:space="preserve">2.07.03.01    </t>
  </si>
  <si>
    <t>Связь Сотовая</t>
  </si>
  <si>
    <t>сотовая связь</t>
  </si>
  <si>
    <t>70</t>
  </si>
  <si>
    <t>1.5.1.1.2</t>
  </si>
  <si>
    <t xml:space="preserve">2.07.03.02    </t>
  </si>
  <si>
    <t>Связь Услуги абонплаты</t>
  </si>
  <si>
    <t>услуги связи: Абонплата</t>
  </si>
  <si>
    <t>71</t>
  </si>
  <si>
    <t>1.5.1.1.3</t>
  </si>
  <si>
    <t xml:space="preserve">2.07.03.03    </t>
  </si>
  <si>
    <t>Связь Внутризоновая</t>
  </si>
  <si>
    <t>услуги связи: Внутризоновая связь</t>
  </si>
  <si>
    <t>72</t>
  </si>
  <si>
    <t>1.5.1.1.4</t>
  </si>
  <si>
    <t xml:space="preserve">2.07.03.04    </t>
  </si>
  <si>
    <t xml:space="preserve">Связь Междугородняя и международная </t>
  </si>
  <si>
    <t>услуги связи: Междугородняя и международная связь</t>
  </si>
  <si>
    <t>73</t>
  </si>
  <si>
    <t>1.5.1.1.5</t>
  </si>
  <si>
    <t xml:space="preserve">2.07.03.05    </t>
  </si>
  <si>
    <t xml:space="preserve">Связь Аренда, установка новых точек </t>
  </si>
  <si>
    <t>услуги связи: Аренда, установка новых точек связи</t>
  </si>
  <si>
    <t>74</t>
  </si>
  <si>
    <t>1.5.1.1.6</t>
  </si>
  <si>
    <t xml:space="preserve">2.07.03.06    </t>
  </si>
  <si>
    <t>Связь Интернет</t>
  </si>
  <si>
    <t>интернет</t>
  </si>
  <si>
    <t>75</t>
  </si>
  <si>
    <t>1.5.1.1.7</t>
  </si>
  <si>
    <t xml:space="preserve">2.07.03.07    </t>
  </si>
  <si>
    <t>Связь Радиочастоты</t>
  </si>
  <si>
    <t>радиочастоты</t>
  </si>
  <si>
    <t>76</t>
  </si>
  <si>
    <t>1.5.1.1.8</t>
  </si>
  <si>
    <t xml:space="preserve">2.07.03.08    </t>
  </si>
  <si>
    <t>Связь Радио</t>
  </si>
  <si>
    <t>радио</t>
  </si>
  <si>
    <t>77</t>
  </si>
  <si>
    <t>1.5.1.1.9</t>
  </si>
  <si>
    <t>2.07.03.09</t>
  </si>
  <si>
    <t>Связь IР-телефония</t>
  </si>
  <si>
    <t>прочие (IP-телефония)</t>
  </si>
  <si>
    <t>1.5.1.2.</t>
  </si>
  <si>
    <t>Расходы на услуги вневедомственной охраны</t>
  </si>
  <si>
    <t>Расходы на услуги вневедомственной охраны и коммунального хозяйства</t>
  </si>
  <si>
    <t>78</t>
  </si>
  <si>
    <t>1.5.1.2.1</t>
  </si>
  <si>
    <t>2.07.04.07</t>
  </si>
  <si>
    <t>Прочие услуги Охрана и сигнализация</t>
  </si>
  <si>
    <t>охрана и сигнализация</t>
  </si>
  <si>
    <t>1.5.1.3.</t>
  </si>
  <si>
    <t>Расходы на юридические и информационные услуги</t>
  </si>
  <si>
    <t>80</t>
  </si>
  <si>
    <t>1.5.1.3.1</t>
  </si>
  <si>
    <t>2.07.04.27</t>
  </si>
  <si>
    <t xml:space="preserve">Прочие услуги Информационно-вычислительное обслуживание </t>
  </si>
  <si>
    <t>информационно-вычислительное обслуживание</t>
  </si>
  <si>
    <t>1.5.1.3.2</t>
  </si>
  <si>
    <t>Прочие услуги Программное обеспечение</t>
  </si>
  <si>
    <t>программное обеспечение</t>
  </si>
  <si>
    <t>81</t>
  </si>
  <si>
    <t>1.5.1.3.3</t>
  </si>
  <si>
    <t>2.07.04.11</t>
  </si>
  <si>
    <t>Прочие услуги Юридические услуги</t>
  </si>
  <si>
    <t>юридические услуги и услуги по ведению реестра акционеров</t>
  </si>
  <si>
    <t>82</t>
  </si>
  <si>
    <t>1.5.1.3.4</t>
  </si>
  <si>
    <t>2.07.04.12</t>
  </si>
  <si>
    <t>Прочие услуги  нотариальных контор</t>
  </si>
  <si>
    <t>1.5.1.4.</t>
  </si>
  <si>
    <t>Расходы на аудиторские и консультационные услуги</t>
  </si>
  <si>
    <t>83</t>
  </si>
  <si>
    <t>1.5.1.4.1</t>
  </si>
  <si>
    <t>2.07.04.13</t>
  </si>
  <si>
    <t>Прочие услуги Консультационные услуги</t>
  </si>
  <si>
    <t>консультационные услуги</t>
  </si>
  <si>
    <t>84</t>
  </si>
  <si>
    <t>1.5.1.4.2</t>
  </si>
  <si>
    <t>2.07.04.10</t>
  </si>
  <si>
    <t>Прочие услуги Аудиторские услуги</t>
  </si>
  <si>
    <t>аудиторские услуги</t>
  </si>
  <si>
    <t>1.5.1.5.</t>
  </si>
  <si>
    <t>Прочие услуги сторонних организаций</t>
  </si>
  <si>
    <t>85</t>
  </si>
  <si>
    <t>1.5.1.5.1</t>
  </si>
  <si>
    <t>2.07.04.14</t>
  </si>
  <si>
    <t>Прочие услуги Содержание кассовых аппаратов (стор.орг.)</t>
  </si>
  <si>
    <t>содержание  касс. аппаратов (стор. орг.)</t>
  </si>
  <si>
    <t>Итого содержание кассовых аппаратов</t>
  </si>
  <si>
    <t>127</t>
  </si>
  <si>
    <t>1.5.1.6.</t>
  </si>
  <si>
    <t>2.07.04.46</t>
  </si>
  <si>
    <t>Прочие услуги Сертификация качества э/эн</t>
  </si>
  <si>
    <t>Расходы на сертификацию</t>
  </si>
  <si>
    <t>86</t>
  </si>
  <si>
    <t>1.5.1.5.2</t>
  </si>
  <si>
    <t xml:space="preserve">2.07.04.15    </t>
  </si>
  <si>
    <t>Прочие услуги Поверка изм. Приборов</t>
  </si>
  <si>
    <t>поверка изм. приборов</t>
  </si>
  <si>
    <t>87</t>
  </si>
  <si>
    <t>1.5.1.5.3</t>
  </si>
  <si>
    <t xml:space="preserve">2.07.04.17  </t>
  </si>
  <si>
    <t>Прочие услуги Испытание и наладка оборудования</t>
  </si>
  <si>
    <t>ремонт, наладка, испытания высоковольтных выключателей</t>
  </si>
  <si>
    <t>88</t>
  </si>
  <si>
    <t>1.5.1.5.4</t>
  </si>
  <si>
    <t>2.07.04.18</t>
  </si>
  <si>
    <t>Прочие услуги Аттестация электротехнических лабораторий и высоковольтные испытания сторонними организациями</t>
  </si>
  <si>
    <t>аттестация электротехнических лабораторий и высоковольтных испытаний сторонними организациями</t>
  </si>
  <si>
    <t>90</t>
  </si>
  <si>
    <t>1.5.1.5.6</t>
  </si>
  <si>
    <t>2.07.04.20</t>
  </si>
  <si>
    <t>Прочие услуги Экспертиза ГПМ (стор. орг.)</t>
  </si>
  <si>
    <t>экспертиза ГПМ(стор.орган.)</t>
  </si>
  <si>
    <t>92</t>
  </si>
  <si>
    <t>1.5.1.5.8</t>
  </si>
  <si>
    <t>2.07.04.22</t>
  </si>
  <si>
    <t>Прочие услуги Техническое освидетельствование оборудования специализированными организациями</t>
  </si>
  <si>
    <t>техническое освидетельствование оборудования специализированными организациями</t>
  </si>
  <si>
    <t>Итого поверка и сертификация, экспертиза оборудования</t>
  </si>
  <si>
    <t>79</t>
  </si>
  <si>
    <t>1.5.1.2.2</t>
  </si>
  <si>
    <t>2.07.04.08</t>
  </si>
  <si>
    <t>Прочие услуги Техническое обслуживание приборов пожарной безопасности</t>
  </si>
  <si>
    <t>техническое обслуживание приборов пожарной безопасности</t>
  </si>
  <si>
    <t>89</t>
  </si>
  <si>
    <t>1.5.1.5.5</t>
  </si>
  <si>
    <t>2.07.04.19</t>
  </si>
  <si>
    <t>Прочие услуги Техническое обслуживание и ремонт приборов безопасности (автотранспорт)</t>
  </si>
  <si>
    <t>техническое обслуживание и ремонт приборов безопасности (стор. орг.)</t>
  </si>
  <si>
    <t>91</t>
  </si>
  <si>
    <t>1.5.1.5.7</t>
  </si>
  <si>
    <t>2.07.04.21</t>
  </si>
  <si>
    <t>Прочие услуги Техническое обслуживание и ремонт устройств телемеханики</t>
  </si>
  <si>
    <t xml:space="preserve"> техническое обслуживание и ремонт устройств РЗА и телемеханики</t>
  </si>
  <si>
    <t>93</t>
  </si>
  <si>
    <t>1.5.1.5.9</t>
  </si>
  <si>
    <t>2.07.04.23</t>
  </si>
  <si>
    <t>Прочие услуги Обслуживание телевизионных программ</t>
  </si>
  <si>
    <t>обслуживание телевизионных программ</t>
  </si>
  <si>
    <t>94</t>
  </si>
  <si>
    <t>1.5.1.5.10</t>
  </si>
  <si>
    <t>2.07.04.24</t>
  </si>
  <si>
    <t>Прочие услуги Техобслуживание бытовой техники</t>
  </si>
  <si>
    <t>техобслуживание: Бытовой техники</t>
  </si>
  <si>
    <t>1.5.1.5.11</t>
  </si>
  <si>
    <t>Прочие услуги Техобслуживание орг. техники</t>
  </si>
  <si>
    <t>техобслуживание: Орг.техники</t>
  </si>
  <si>
    <t>96</t>
  </si>
  <si>
    <t>1.5.1.5.12</t>
  </si>
  <si>
    <t>2.07.04.26</t>
  </si>
  <si>
    <t>Прочие услуги Техобслуживание АИИСКУЭ</t>
  </si>
  <si>
    <t>техобслуживание: АИИС КУЭ</t>
  </si>
  <si>
    <t>Итого техобслуживание</t>
  </si>
  <si>
    <t>97</t>
  </si>
  <si>
    <t>1.5.1.5.13</t>
  </si>
  <si>
    <t>2.07.04.28</t>
  </si>
  <si>
    <t>Прочие услуги Мероприятия по охране окр.среды (ПДО,ПДВ и др.)</t>
  </si>
  <si>
    <t>мероприятия по охране окр. среды (ПДО, ПДВ и др.)</t>
  </si>
  <si>
    <t>98</t>
  </si>
  <si>
    <t>1.5.1.5.14</t>
  </si>
  <si>
    <t>2.07.04.29</t>
  </si>
  <si>
    <t>Прочие услуги Демеркуризация и утилизация отходов</t>
  </si>
  <si>
    <t>демеркуризация  и утилизация отходов</t>
  </si>
  <si>
    <t>99</t>
  </si>
  <si>
    <t>1.5.1.5.15</t>
  </si>
  <si>
    <t>2.07.04.30</t>
  </si>
  <si>
    <t>Прочие услуги Утилизация шин</t>
  </si>
  <si>
    <t>Итого мероприятия по охране окр.среды</t>
  </si>
  <si>
    <t>100</t>
  </si>
  <si>
    <t>1.5.1.5.16</t>
  </si>
  <si>
    <t>2.07.04.31</t>
  </si>
  <si>
    <t>Прочие услуги Реклама в СМИ</t>
  </si>
  <si>
    <t>прочие обязательные публикации в СМИ</t>
  </si>
  <si>
    <t>101</t>
  </si>
  <si>
    <t>1.5.1.5.17</t>
  </si>
  <si>
    <t>2.07.04.32</t>
  </si>
  <si>
    <t>Прочие услуги СМИ по размещению объявлений и предупреждений</t>
  </si>
  <si>
    <t xml:space="preserve"> услуги  по размещению объявлений и предупреждений</t>
  </si>
  <si>
    <t>Итого СМИ</t>
  </si>
  <si>
    <t>102</t>
  </si>
  <si>
    <t>1.5.1.5.18</t>
  </si>
  <si>
    <t>2.07.04.33</t>
  </si>
  <si>
    <t>Прочие услуги  Оформление  земельных участков</t>
  </si>
  <si>
    <t>межевание земельных участков</t>
  </si>
  <si>
    <t>103</t>
  </si>
  <si>
    <t>1.5.1.5.19</t>
  </si>
  <si>
    <t>2.07.04.34</t>
  </si>
  <si>
    <t>Прочие услуги  Оформление тех. документации</t>
  </si>
  <si>
    <t>оформление тех. документации</t>
  </si>
  <si>
    <t>104</t>
  </si>
  <si>
    <t>1.5.1.5.20</t>
  </si>
  <si>
    <t>2.07.04.35</t>
  </si>
  <si>
    <t>Прочие услуги Оценка имущества</t>
  </si>
  <si>
    <t>оценка имущества</t>
  </si>
  <si>
    <t>105</t>
  </si>
  <si>
    <t>1.5.1.5.21</t>
  </si>
  <si>
    <t>2.07.04.36</t>
  </si>
  <si>
    <t>Прочие услуги Регистрация прав собственности</t>
  </si>
  <si>
    <t>регистрация прав собственности</t>
  </si>
  <si>
    <t>Итого оформление и регистрация имущества</t>
  </si>
  <si>
    <t>106</t>
  </si>
  <si>
    <t>1.5.1.5.22</t>
  </si>
  <si>
    <t>2.07.04.37</t>
  </si>
  <si>
    <t>Прочие услуги сторонних организаций по улучшению условий труда</t>
  </si>
  <si>
    <t>услуги сторонних организаций по улучшению условий труда</t>
  </si>
  <si>
    <t>107</t>
  </si>
  <si>
    <t>1.5.1.5.23</t>
  </si>
  <si>
    <t>2.07.04.40</t>
  </si>
  <si>
    <t>Прочие услуги типографии</t>
  </si>
  <si>
    <t>услуги типографии: бланки</t>
  </si>
  <si>
    <t>108</t>
  </si>
  <si>
    <t>1.5.1.5.24</t>
  </si>
  <si>
    <t>2.07.04.41</t>
  </si>
  <si>
    <t>Прочие услуги по контрольному съему показаний приборов учета (осуществляемые физическими лицами)</t>
  </si>
  <si>
    <t>услуги по контрольному съему показаний приборов учета (осуществляемые физическими лицами)</t>
  </si>
  <si>
    <t>109</t>
  </si>
  <si>
    <t>1.5.1.5.25</t>
  </si>
  <si>
    <t>2.07.04.42</t>
  </si>
  <si>
    <t>Прочие услуги по договорам подряда</t>
  </si>
  <si>
    <t>110</t>
  </si>
  <si>
    <t>1.5.1.5.26</t>
  </si>
  <si>
    <t xml:space="preserve">2.07.04.43  </t>
  </si>
  <si>
    <t>Прочие услуги почты</t>
  </si>
  <si>
    <t xml:space="preserve">услуги почты </t>
  </si>
  <si>
    <t>111</t>
  </si>
  <si>
    <t>1.5.1.5.27</t>
  </si>
  <si>
    <t>2.07.04.44</t>
  </si>
  <si>
    <t>Прочие услуги Расчеты экспертизы нормативных потерь</t>
  </si>
  <si>
    <t>расчет и  экспертизы нормативных потерь</t>
  </si>
  <si>
    <t>112</t>
  </si>
  <si>
    <t>1.5.1.5.28</t>
  </si>
  <si>
    <t>2.07.04.45</t>
  </si>
  <si>
    <t>Прочие услуги Техосмотр а/тр</t>
  </si>
  <si>
    <t>техосмотр а/тр</t>
  </si>
  <si>
    <t>113</t>
  </si>
  <si>
    <t>1.5.1.5.29</t>
  </si>
  <si>
    <t>2.07.04.47</t>
  </si>
  <si>
    <t>прочие услуги сторонних организаций</t>
  </si>
  <si>
    <t>114</t>
  </si>
  <si>
    <t>1.5.1.5.30</t>
  </si>
  <si>
    <t>2.07.04.48</t>
  </si>
  <si>
    <t>Прочие услуги по доставке груза</t>
  </si>
  <si>
    <t>115</t>
  </si>
  <si>
    <t>1.5.1.5.31</t>
  </si>
  <si>
    <t>2.07.04.49</t>
  </si>
  <si>
    <t>Прочие услуги сторонних транспортных организаций</t>
  </si>
  <si>
    <t>услуги сторонних транспортных организаций</t>
  </si>
  <si>
    <t>116</t>
  </si>
  <si>
    <t>1.5.1.5.32</t>
  </si>
  <si>
    <t xml:space="preserve">2.07.04.50    </t>
  </si>
  <si>
    <t>Прочие услуги Информационные услуги по ГСМ</t>
  </si>
  <si>
    <t>оплата информационных услуг по топливу (обслуживание пластиковых карт по топливу)</t>
  </si>
  <si>
    <t>117</t>
  </si>
  <si>
    <t>1.5.1.5.33</t>
  </si>
  <si>
    <t xml:space="preserve">2.07.04.51  </t>
  </si>
  <si>
    <t>Прочие услуги по проведению периодических испытаний и инспекционного контроля</t>
  </si>
  <si>
    <t>118</t>
  </si>
  <si>
    <t>1.5.1.5.34</t>
  </si>
  <si>
    <t>2.07.04.52</t>
  </si>
  <si>
    <t>Прочие услуги по промышленной безопасности опаснопроизводственных объектов</t>
  </si>
  <si>
    <t>119</t>
  </si>
  <si>
    <t>1.5.1.5.35</t>
  </si>
  <si>
    <t>2.07.04.53</t>
  </si>
  <si>
    <t>Прочие услуги по приобретению дополнительной мощности от смежных сетевых организаций</t>
  </si>
  <si>
    <t>120</t>
  </si>
  <si>
    <t>1.5.1.5.36</t>
  </si>
  <si>
    <t>2.07.04.54</t>
  </si>
  <si>
    <t>Прочие услуги по энергетическому обследованию электросетевого комплекса и объектов</t>
  </si>
  <si>
    <t>энергетическое обследование электросетевого комплекса и объектов</t>
  </si>
  <si>
    <t>121</t>
  </si>
  <si>
    <t>1.5.1.5.37</t>
  </si>
  <si>
    <t>2.07.04.56</t>
  </si>
  <si>
    <t>Прочие услуги по подписке</t>
  </si>
  <si>
    <t>122</t>
  </si>
  <si>
    <t>1.5.1.5.38</t>
  </si>
  <si>
    <t>2.07.04.57</t>
  </si>
  <si>
    <t>Прочие услуги Взносы в некоммерческие предприятия СРО (строительство)</t>
  </si>
  <si>
    <t>123</t>
  </si>
  <si>
    <t>1.5.1.5.39</t>
  </si>
  <si>
    <t>2.07.04.58</t>
  </si>
  <si>
    <t>Прочие услуги  по госпошлине (кроме судебных издержек)</t>
  </si>
  <si>
    <t>расходы по имущественным вопросам(кроме судебных расходов)</t>
  </si>
  <si>
    <t>124</t>
  </si>
  <si>
    <t>1.5.1.5.40</t>
  </si>
  <si>
    <t>2.07.04.59</t>
  </si>
  <si>
    <t>Прочие услуги Членские взносы в некоммерческие предприятия СРО</t>
  </si>
  <si>
    <t>125</t>
  </si>
  <si>
    <t>1.5.1.5.41</t>
  </si>
  <si>
    <t>2.07.04.60</t>
  </si>
  <si>
    <t xml:space="preserve">Прочие услуги по техническому обслуживанию устройств РЗА </t>
  </si>
  <si>
    <t>126</t>
  </si>
  <si>
    <t>1.5.1.5.42</t>
  </si>
  <si>
    <t>2.09.13</t>
  </si>
  <si>
    <t>ПР Участие в форумах, совещаниях, конференциях</t>
  </si>
  <si>
    <t>семинары, совещания, конференции, консультации</t>
  </si>
  <si>
    <t>1.5.1.5.43</t>
  </si>
  <si>
    <t>1.5.1.5.44</t>
  </si>
  <si>
    <t>1.5.1.5.45</t>
  </si>
  <si>
    <t>Страховые взносы  и отчисления от ПВ и соц. хар.</t>
  </si>
  <si>
    <t>Итого прочие услуги</t>
  </si>
  <si>
    <t>1.5.1.7.</t>
  </si>
  <si>
    <t>Расходы на командировки и представительские</t>
  </si>
  <si>
    <t>128</t>
  </si>
  <si>
    <t>1.5.1.7.1</t>
  </si>
  <si>
    <t xml:space="preserve">2.04.01       </t>
  </si>
  <si>
    <t>Командировочные расходы Суточные</t>
  </si>
  <si>
    <t>командировочные расходы - произв. поездки  всего</t>
  </si>
  <si>
    <t>129</t>
  </si>
  <si>
    <t>1.5.1.7.2</t>
  </si>
  <si>
    <t xml:space="preserve">2.04.02       </t>
  </si>
  <si>
    <t>Командировочные расходы Затраты на проезд</t>
  </si>
  <si>
    <t>130</t>
  </si>
  <si>
    <t>1.5.1.7.3</t>
  </si>
  <si>
    <t xml:space="preserve">2.04.03       </t>
  </si>
  <si>
    <t>Командировочные расходы Затраты на проживание</t>
  </si>
  <si>
    <t>131</t>
  </si>
  <si>
    <t>1.5.1.7.4</t>
  </si>
  <si>
    <t>2.04.04</t>
  </si>
  <si>
    <t>Командировочные расходы  Иные платежи и сборы</t>
  </si>
  <si>
    <t>1.5.1.8.</t>
  </si>
  <si>
    <t>Расходы на подготовку кадров</t>
  </si>
  <si>
    <t>132</t>
  </si>
  <si>
    <t>1.5.1.7.5</t>
  </si>
  <si>
    <t>2.04.06</t>
  </si>
  <si>
    <t>Расходы на сотр. Подготовка кадров (обязательное обучение)</t>
  </si>
  <si>
    <t>подготовка кадров (обязательное обучение) - командировочные расходы</t>
  </si>
  <si>
    <t>134</t>
  </si>
  <si>
    <t>1.5.1.8.1</t>
  </si>
  <si>
    <t>2.04.07</t>
  </si>
  <si>
    <t>Расходы на сотр. Повышение квалификации</t>
  </si>
  <si>
    <t>повышение квалификации</t>
  </si>
  <si>
    <t>1.5.1.9.</t>
  </si>
  <si>
    <t>Расходы на обеспечение нормальных условий труда и мер по технике безопасности</t>
  </si>
  <si>
    <t>135</t>
  </si>
  <si>
    <t>1.5.1.9.1</t>
  </si>
  <si>
    <t>2.04.12</t>
  </si>
  <si>
    <t>Расходы на сотр. Медицинский осмотр водителей(предрейсовый)</t>
  </si>
  <si>
    <t>медицинский осмотр водителей (предрейсовый)</t>
  </si>
  <si>
    <t>136</t>
  </si>
  <si>
    <t>1.5.1.9.2</t>
  </si>
  <si>
    <t>2.04.13</t>
  </si>
  <si>
    <t>Расходы на сотр. Медицинский осмотр водителей (периодический)</t>
  </si>
  <si>
    <t>медосмотр водителей периодический и при  поступлении на работу</t>
  </si>
  <si>
    <t>137</t>
  </si>
  <si>
    <t>1.5.1.9.3</t>
  </si>
  <si>
    <t>2.04.14</t>
  </si>
  <si>
    <t>Расходы на сотр. Медицинский осмотр при поступлении на работу</t>
  </si>
  <si>
    <t>медицинский осмотр сотрудников</t>
  </si>
  <si>
    <t>138</t>
  </si>
  <si>
    <t>1.5.1.9.4</t>
  </si>
  <si>
    <t>2.04.15</t>
  </si>
  <si>
    <t>Расходы на сотр. Медицинский осмотр сотрудников (периодический)</t>
  </si>
  <si>
    <t>139</t>
  </si>
  <si>
    <t>1.5.1.9.5</t>
  </si>
  <si>
    <t>2.07.04.38</t>
  </si>
  <si>
    <t>Прочие услуги Специальная оценка условий труда</t>
  </si>
  <si>
    <t>аттестация рабочих мест</t>
  </si>
  <si>
    <t>1.5.1.10.</t>
  </si>
  <si>
    <t>Расходы на страхование</t>
  </si>
  <si>
    <t>140</t>
  </si>
  <si>
    <t>1.5.1.10.1</t>
  </si>
  <si>
    <t>2.04.16</t>
  </si>
  <si>
    <t>Расходы на сотр. по добровольному страхованию работников</t>
  </si>
  <si>
    <t>расходы по   страхованию работников</t>
  </si>
  <si>
    <t>141</t>
  </si>
  <si>
    <t>1.5.1.10.2</t>
  </si>
  <si>
    <t xml:space="preserve">2.07.04.01    </t>
  </si>
  <si>
    <t>Прочие услуги Страхование зданий, сооружений и передаточных устройств</t>
  </si>
  <si>
    <t>страхование зданий, сооружений</t>
  </si>
  <si>
    <t>142</t>
  </si>
  <si>
    <t>1.5.1.10.3</t>
  </si>
  <si>
    <t xml:space="preserve">2.07.04.02   </t>
  </si>
  <si>
    <t>Прочие услуги Обязательное страхование а/тр (ОСАГО)</t>
  </si>
  <si>
    <t>обязательное страхование а/тр (ОСАГО)</t>
  </si>
  <si>
    <t>143</t>
  </si>
  <si>
    <t>1.5.1.10.4</t>
  </si>
  <si>
    <t xml:space="preserve">2.07.04.03 </t>
  </si>
  <si>
    <t>Прочие услуги Добровольное страхование автотранспорта</t>
  </si>
  <si>
    <t>добровольное страхование автотранспорта</t>
  </si>
  <si>
    <t>144</t>
  </si>
  <si>
    <t>1.5.1.10.5</t>
  </si>
  <si>
    <t>2.07.04.04</t>
  </si>
  <si>
    <t>Прочие услуги Страхование особо опасных объектов</t>
  </si>
  <si>
    <t>страхование особо опасных объектов</t>
  </si>
  <si>
    <t>145</t>
  </si>
  <si>
    <t>1.5.1.10.6</t>
  </si>
  <si>
    <t>2.07.04.05</t>
  </si>
  <si>
    <t>Прочие услуги Страхование АИИСКУЭ</t>
  </si>
  <si>
    <t>страхование объектов АИИС КУЭ</t>
  </si>
  <si>
    <t>146</t>
  </si>
  <si>
    <t>1.5.1.10.7</t>
  </si>
  <si>
    <t>2.07.04.06</t>
  </si>
  <si>
    <t>Прочие услуги Страхование рисков ответственности (конкурсы)</t>
  </si>
  <si>
    <t>страхование рисков ответственности</t>
  </si>
  <si>
    <t>1.5.1.11.</t>
  </si>
  <si>
    <t xml:space="preserve"> Прочие расходы по работникам </t>
  </si>
  <si>
    <t>147</t>
  </si>
  <si>
    <t>1.5.1.11.1</t>
  </si>
  <si>
    <t>2.04.08</t>
  </si>
  <si>
    <t>Расходы на сотр. Проездные билеты</t>
  </si>
  <si>
    <t>проездные билеты</t>
  </si>
  <si>
    <t>148</t>
  </si>
  <si>
    <t>1.5.1.11.2</t>
  </si>
  <si>
    <t xml:space="preserve">2.04.09    </t>
  </si>
  <si>
    <t>Расходы на сотр. Компенсация за использование личного а/тр</t>
  </si>
  <si>
    <t>компенсация за использование личного а/тр</t>
  </si>
  <si>
    <t>149</t>
  </si>
  <si>
    <t>1.5.1.11.3</t>
  </si>
  <si>
    <t xml:space="preserve">2.04.10       </t>
  </si>
  <si>
    <t>Расходы на сотр. Компенсационные выплаты (охрана труда)</t>
  </si>
  <si>
    <t>150</t>
  </si>
  <si>
    <t>1.5.1.11.4</t>
  </si>
  <si>
    <t>2.04.11</t>
  </si>
  <si>
    <t>Расходы на сотр. Расходы по больничному листу за счет работодателя</t>
  </si>
  <si>
    <t>расходы по больничному листу за счет работодателя</t>
  </si>
  <si>
    <t>1.5.1.11.5</t>
  </si>
  <si>
    <t>2.04.17</t>
  </si>
  <si>
    <t>ЗП Расходы на оплату жилья сотрудников</t>
  </si>
  <si>
    <t>1.5.1.12.</t>
  </si>
  <si>
    <t xml:space="preserve"> Коммунальные платежи </t>
  </si>
  <si>
    <t>151</t>
  </si>
  <si>
    <t>1.5.1.12.1</t>
  </si>
  <si>
    <t xml:space="preserve">2.07.01.03    </t>
  </si>
  <si>
    <t>Ком. услуги Водопотребление</t>
  </si>
  <si>
    <t>водопотребление, канализация</t>
  </si>
  <si>
    <t>152</t>
  </si>
  <si>
    <t>1.5.1.12.2</t>
  </si>
  <si>
    <t xml:space="preserve">2.07.01.04    </t>
  </si>
  <si>
    <t>Ком. услуги Вывоз мусора</t>
  </si>
  <si>
    <t>вывоз мусора</t>
  </si>
  <si>
    <t>153</t>
  </si>
  <si>
    <t>1.5.1.12.3</t>
  </si>
  <si>
    <t>2.07.01.05</t>
  </si>
  <si>
    <t>Ком. услуги Оплата за газ (хоз. нужды, отопление)</t>
  </si>
  <si>
    <t>оплата за газ (хоз. нужды, отопление)</t>
  </si>
  <si>
    <t>154</t>
  </si>
  <si>
    <t>1.5.1.12.4</t>
  </si>
  <si>
    <t>2.07.04.09</t>
  </si>
  <si>
    <t>Прочие услуги по оперативно-техническому обслуживанию имущества</t>
  </si>
  <si>
    <t>техническое обслуживание приборов и оборудования зданий, сооружений (стор.орг.)</t>
  </si>
  <si>
    <t>155</t>
  </si>
  <si>
    <t>1.5.1.13.1</t>
  </si>
  <si>
    <t>2.07.04.39</t>
  </si>
  <si>
    <t>Прочие услуги  Дератизация помещений</t>
  </si>
  <si>
    <t>дератизация помещений</t>
  </si>
  <si>
    <t>1.5.1.13.</t>
  </si>
  <si>
    <t xml:space="preserve"> Прочие расходы Представительские</t>
  </si>
  <si>
    <t xml:space="preserve"> Прочие расходы </t>
  </si>
  <si>
    <t>156</t>
  </si>
  <si>
    <t>1.5.1.13.2</t>
  </si>
  <si>
    <t>2.08.05</t>
  </si>
  <si>
    <t>Прочие расходы Представительские</t>
  </si>
  <si>
    <t>представительские расходы</t>
  </si>
  <si>
    <t>Итого Проценты к уплате</t>
  </si>
  <si>
    <t>157-158</t>
  </si>
  <si>
    <t>1.6.</t>
  </si>
  <si>
    <t>2.09.01</t>
  </si>
  <si>
    <t>Проценты к уплате (долгосрочные обязательства)</t>
  </si>
  <si>
    <t>Проценты за пользование кредитом</t>
  </si>
  <si>
    <t>2.09.02</t>
  </si>
  <si>
    <t>Проценты к уплате (краткосрочные обязательства)</t>
  </si>
  <si>
    <t>159</t>
  </si>
  <si>
    <t>1.7.</t>
  </si>
  <si>
    <t xml:space="preserve">2.07.01.01    </t>
  </si>
  <si>
    <t>Ком. услуги Расходы на электроэнергию (собственные нужды)</t>
  </si>
  <si>
    <t>Электроэнергия на хозяйственные нужды</t>
  </si>
  <si>
    <t>ИТОГО подконтрольных расходов</t>
  </si>
  <si>
    <t>160</t>
  </si>
  <si>
    <t>2.1.</t>
  </si>
  <si>
    <t>2.03.14</t>
  </si>
  <si>
    <t xml:space="preserve">Страховые взносы </t>
  </si>
  <si>
    <t>Отчисления на социальные нужды</t>
  </si>
  <si>
    <t>161</t>
  </si>
  <si>
    <t>2.2.</t>
  </si>
  <si>
    <t>2.02.01</t>
  </si>
  <si>
    <t>Амортизацонные отчисления</t>
  </si>
  <si>
    <t>Амортизационные отчисления</t>
  </si>
  <si>
    <t>2.3.</t>
  </si>
  <si>
    <t>Плата за аренду имущества и лизинг</t>
  </si>
  <si>
    <t>162</t>
  </si>
  <si>
    <t>2.3.1</t>
  </si>
  <si>
    <t xml:space="preserve">2.05.01       </t>
  </si>
  <si>
    <t>Лизинг АИИСКУЭ</t>
  </si>
  <si>
    <t>лизинг АИИС КУЭ</t>
  </si>
  <si>
    <t>163</t>
  </si>
  <si>
    <t>2.3.2</t>
  </si>
  <si>
    <t xml:space="preserve">2.05.02       </t>
  </si>
  <si>
    <t>Лизинг имущественного комплекса</t>
  </si>
  <si>
    <t>лизинг имущественного комплекса</t>
  </si>
  <si>
    <t>164</t>
  </si>
  <si>
    <t>2.3.3</t>
  </si>
  <si>
    <t xml:space="preserve">2.05.03       </t>
  </si>
  <si>
    <t>Лизинг автотранспорта</t>
  </si>
  <si>
    <t>лизинг автотранспорта</t>
  </si>
  <si>
    <t>165</t>
  </si>
  <si>
    <t>2.3.4</t>
  </si>
  <si>
    <t>2.05.04</t>
  </si>
  <si>
    <t>Лизинг АИСДУ</t>
  </si>
  <si>
    <t>лизинг  АИСДУ</t>
  </si>
  <si>
    <t>166</t>
  </si>
  <si>
    <t>2.3.5</t>
  </si>
  <si>
    <t xml:space="preserve">2.05.05       </t>
  </si>
  <si>
    <t>Аренда сетевых объектов (сторонние орг-ции)</t>
  </si>
  <si>
    <t>аренда сетевых объектов (сторонние орг-ции)</t>
  </si>
  <si>
    <t>167</t>
  </si>
  <si>
    <t>2.3.6</t>
  </si>
  <si>
    <t xml:space="preserve">2.05.06       </t>
  </si>
  <si>
    <t>Аренда автотранспортных средств</t>
  </si>
  <si>
    <t>аренда автотранспортных средств</t>
  </si>
  <si>
    <t>168</t>
  </si>
  <si>
    <t>2.3.7</t>
  </si>
  <si>
    <t xml:space="preserve">2.05.07       </t>
  </si>
  <si>
    <t>Аренда земельных участков</t>
  </si>
  <si>
    <t>аренда земельных участков</t>
  </si>
  <si>
    <t>169</t>
  </si>
  <si>
    <t>2.3.8</t>
  </si>
  <si>
    <t xml:space="preserve">2.05.08       </t>
  </si>
  <si>
    <t>Аренда прочего имущества (сторонние орг-ции)</t>
  </si>
  <si>
    <t>аренда прочего имущества (сторонние орг-ции)</t>
  </si>
  <si>
    <t>170</t>
  </si>
  <si>
    <t>2.3.9</t>
  </si>
  <si>
    <t xml:space="preserve">2.05.09       </t>
  </si>
  <si>
    <t>Аренда программного обеспечения</t>
  </si>
  <si>
    <t>аренда программного обеспечения</t>
  </si>
  <si>
    <t>171</t>
  </si>
  <si>
    <t>2.3.10</t>
  </si>
  <si>
    <t xml:space="preserve">2.05.10       </t>
  </si>
  <si>
    <t>Аренда компьютеров и оргтехники</t>
  </si>
  <si>
    <t>аренда компьютеров</t>
  </si>
  <si>
    <t>172</t>
  </si>
  <si>
    <t>2.3.11</t>
  </si>
  <si>
    <t>2.05.11</t>
  </si>
  <si>
    <t>Аренда муниципального имущественного комплекса</t>
  </si>
  <si>
    <t>аренда муниципального имущественного комплекса</t>
  </si>
  <si>
    <t>173</t>
  </si>
  <si>
    <t>2.3.12</t>
  </si>
  <si>
    <t>2.05.12</t>
  </si>
  <si>
    <t>Аренда (коммунальные услуги)</t>
  </si>
  <si>
    <t>2.4.</t>
  </si>
  <si>
    <t>Налоги</t>
  </si>
  <si>
    <t>Налоги,всего</t>
  </si>
  <si>
    <t>174</t>
  </si>
  <si>
    <t>2.4.1</t>
  </si>
  <si>
    <t xml:space="preserve">2.08.01     </t>
  </si>
  <si>
    <t>Прочие расходы Налог на землю</t>
  </si>
  <si>
    <t>Земельный налог</t>
  </si>
  <si>
    <t>175</t>
  </si>
  <si>
    <t>2.4.2</t>
  </si>
  <si>
    <t>2.08.02</t>
  </si>
  <si>
    <t>Прочие расходы Налог на транспорт</t>
  </si>
  <si>
    <t>Транспортный налог</t>
  </si>
  <si>
    <t>176</t>
  </si>
  <si>
    <t>2.4.3</t>
  </si>
  <si>
    <t>2.08.04</t>
  </si>
  <si>
    <t>Прочие расходы Налог на имущество</t>
  </si>
  <si>
    <t>Налог на имущество</t>
  </si>
  <si>
    <t>177</t>
  </si>
  <si>
    <t>2.4.4</t>
  </si>
  <si>
    <t>2.08.03</t>
  </si>
  <si>
    <t>Прочие расходы Сбор за негативное воздействие на окружающую среду</t>
  </si>
  <si>
    <t>Прочие налоги и сборы</t>
  </si>
  <si>
    <t>2.5</t>
  </si>
  <si>
    <t>Итого налог на прибыль</t>
  </si>
  <si>
    <t>178</t>
  </si>
  <si>
    <t>2.5.1</t>
  </si>
  <si>
    <t xml:space="preserve">2.11.01       </t>
  </si>
  <si>
    <t>Налог на прибыль текущего года</t>
  </si>
  <si>
    <t>Налог на прибыль</t>
  </si>
  <si>
    <t>219</t>
  </si>
  <si>
    <t>2.5.2</t>
  </si>
  <si>
    <t xml:space="preserve">2.11.02       </t>
  </si>
  <si>
    <t>Отложенные налоговые обязательства</t>
  </si>
  <si>
    <t>220</t>
  </si>
  <si>
    <t>2.5.3</t>
  </si>
  <si>
    <t>2.11.03</t>
  </si>
  <si>
    <t>Отложенные налоговые активы</t>
  </si>
  <si>
    <t>221</t>
  </si>
  <si>
    <t>2.5.4</t>
  </si>
  <si>
    <t>2.11.04</t>
  </si>
  <si>
    <t>Налоговые санкции</t>
  </si>
  <si>
    <t>222</t>
  </si>
  <si>
    <t>2.5.5</t>
  </si>
  <si>
    <t>2.11.05</t>
  </si>
  <si>
    <t>Налог на прибыль прошлых периодов</t>
  </si>
  <si>
    <t>223</t>
  </si>
  <si>
    <t>2.5.6</t>
  </si>
  <si>
    <t>2.11.06</t>
  </si>
  <si>
    <t xml:space="preserve">НДС </t>
  </si>
  <si>
    <t>Расходыв в виде сумм НДС</t>
  </si>
  <si>
    <t>224</t>
  </si>
  <si>
    <t>2.5.7</t>
  </si>
  <si>
    <t>2.11.07</t>
  </si>
  <si>
    <t>Постоянные налоговые обязательства</t>
  </si>
  <si>
    <t>2.6.</t>
  </si>
  <si>
    <t>Выпадающие доходы</t>
  </si>
  <si>
    <t>Выпадающие доходы/некомпенсированные затраты</t>
  </si>
  <si>
    <t>2.7.</t>
  </si>
  <si>
    <t>Капитальные вложения производственного характера*</t>
  </si>
  <si>
    <t>2.8.</t>
  </si>
  <si>
    <t>Теплоэнергия на хозяйственные нужды</t>
  </si>
  <si>
    <t>179</t>
  </si>
  <si>
    <t>2.8.1</t>
  </si>
  <si>
    <t xml:space="preserve">2.07.01.02    </t>
  </si>
  <si>
    <t>Ком. услуги Отопление (теплоэнергия), ГВС</t>
  </si>
  <si>
    <t>Теплоэнергия</t>
  </si>
  <si>
    <t>180</t>
  </si>
  <si>
    <t>2.9.</t>
  </si>
  <si>
    <t>2.07.04.55</t>
  </si>
  <si>
    <t>Прочие услуги по НИР</t>
  </si>
  <si>
    <t>Повышение энергоэффективности</t>
  </si>
  <si>
    <t>2.10.</t>
  </si>
  <si>
    <t>Внереализационные расходы</t>
  </si>
  <si>
    <t>181</t>
  </si>
  <si>
    <t>2.10.1</t>
  </si>
  <si>
    <t xml:space="preserve">2.09.04       </t>
  </si>
  <si>
    <t>ПР по услугам кредитных организаций</t>
  </si>
  <si>
    <t>Расходы на услуги банков</t>
  </si>
  <si>
    <t>2.10.2</t>
  </si>
  <si>
    <t>ПР по созданию резерва по сомнительным долгам</t>
  </si>
  <si>
    <t>Расходы на созданию резервов по сомнительным долгам</t>
  </si>
  <si>
    <t>2.10.3</t>
  </si>
  <si>
    <t>ПР по резерву под обесценение финансовых вложений</t>
  </si>
  <si>
    <t>Расходы на создание резервов под обесценение финансовых вложений</t>
  </si>
  <si>
    <t>184</t>
  </si>
  <si>
    <t>2.10.4</t>
  </si>
  <si>
    <t xml:space="preserve">2.09.03       </t>
  </si>
  <si>
    <t>ПР Инкассация</t>
  </si>
  <si>
    <t>Прочие банковские услуги</t>
  </si>
  <si>
    <t>2.11.</t>
  </si>
  <si>
    <t>Прочие расходы</t>
  </si>
  <si>
    <t>Прочие внереализационные расходы</t>
  </si>
  <si>
    <t>185</t>
  </si>
  <si>
    <t>2.11.1</t>
  </si>
  <si>
    <t>2.09.19</t>
  </si>
  <si>
    <t>ПР Другие обоснованные расходы</t>
  </si>
  <si>
    <t>186</t>
  </si>
  <si>
    <t>2.11.2</t>
  </si>
  <si>
    <t xml:space="preserve">2.09.05       </t>
  </si>
  <si>
    <t>ПР связанные с предоставлением имущества в аренду</t>
  </si>
  <si>
    <t>Расходы от услуг по субаренде, аренде</t>
  </si>
  <si>
    <t>187</t>
  </si>
  <si>
    <t>2.11.3</t>
  </si>
  <si>
    <t xml:space="preserve">2.09.06    </t>
  </si>
  <si>
    <t>ПР от реализации прочих активов</t>
  </si>
  <si>
    <t>Расходы от выбытия прочих активов</t>
  </si>
  <si>
    <t>188</t>
  </si>
  <si>
    <t>2.11.4</t>
  </si>
  <si>
    <t>2.09.07</t>
  </si>
  <si>
    <t>ПР от реализации ОС</t>
  </si>
  <si>
    <t>Расходы от реализации ОС</t>
  </si>
  <si>
    <t>189</t>
  </si>
  <si>
    <t>2.11.5</t>
  </si>
  <si>
    <t>2.09.08</t>
  </si>
  <si>
    <t>ПР от реализации акций</t>
  </si>
  <si>
    <t>Расходы от реализации ценных бумаг</t>
  </si>
  <si>
    <t>190</t>
  </si>
  <si>
    <t>2.11.6</t>
  </si>
  <si>
    <t xml:space="preserve">2.09.09       </t>
  </si>
  <si>
    <t>ПР от реализации векселей</t>
  </si>
  <si>
    <t>191</t>
  </si>
  <si>
    <t>2.11.7</t>
  </si>
  <si>
    <t>2.09.10</t>
  </si>
  <si>
    <t>ПР по списанию ОС</t>
  </si>
  <si>
    <t>Расходы по выбытию ОС</t>
  </si>
  <si>
    <t>192</t>
  </si>
  <si>
    <t>2.11.8</t>
  </si>
  <si>
    <t>2.09.11</t>
  </si>
  <si>
    <t>ПР на услуги регистратора</t>
  </si>
  <si>
    <t>Расходы по пров. собрания акционеров, услуги реестродержателя</t>
  </si>
  <si>
    <t>194</t>
  </si>
  <si>
    <t>2.11.9</t>
  </si>
  <si>
    <t>2.09.14</t>
  </si>
  <si>
    <t>ПР Штрафы, пени по договорам  от оказания услуг по технологическому присоединению</t>
  </si>
  <si>
    <t>Расходы в виде штрафов, пеней по договорным обязательствам</t>
  </si>
  <si>
    <t>195</t>
  </si>
  <si>
    <t>2.11.10</t>
  </si>
  <si>
    <t>2.09.15</t>
  </si>
  <si>
    <t>ПР по возмещению причиненного ущерба</t>
  </si>
  <si>
    <t>196</t>
  </si>
  <si>
    <t>2.11.11</t>
  </si>
  <si>
    <t>2.09.16</t>
  </si>
  <si>
    <t>ПР Убытки прошлых лет</t>
  </si>
  <si>
    <t>Расходы прошлых лет, выявленные в отчетном периоде</t>
  </si>
  <si>
    <t>197</t>
  </si>
  <si>
    <t>2.11.12</t>
  </si>
  <si>
    <t>2.09.17</t>
  </si>
  <si>
    <t>ПР по списанию дебиторской задолженности</t>
  </si>
  <si>
    <t>Расходы от списания дебиторской задолженности</t>
  </si>
  <si>
    <t>198</t>
  </si>
  <si>
    <t>2.11.13</t>
  </si>
  <si>
    <t>2.09.18</t>
  </si>
  <si>
    <t>ПР по курсовым разницам</t>
  </si>
  <si>
    <t>199</t>
  </si>
  <si>
    <t>2.11.14</t>
  </si>
  <si>
    <t>2.09.20</t>
  </si>
  <si>
    <t>ПР Суммы НДС, не принимаемые к вычету</t>
  </si>
  <si>
    <t>201</t>
  </si>
  <si>
    <t>2.11.15</t>
  </si>
  <si>
    <t>2.09.22</t>
  </si>
  <si>
    <t>ПР Мероприятия по проведению праздников</t>
  </si>
  <si>
    <t>Расходы по проведению праздничных мероприятий, подарки</t>
  </si>
  <si>
    <t>202</t>
  </si>
  <si>
    <t>2.11.16</t>
  </si>
  <si>
    <t>2.09.23</t>
  </si>
  <si>
    <t>ПР Подарки, поздравления сотрудников и партнеров</t>
  </si>
  <si>
    <t>203</t>
  </si>
  <si>
    <t>2.11.17</t>
  </si>
  <si>
    <t>2.09.24</t>
  </si>
  <si>
    <t>ПР Подарки для детей сотрудников</t>
  </si>
  <si>
    <t>204</t>
  </si>
  <si>
    <t>2.11.18</t>
  </si>
  <si>
    <t>2.09.25</t>
  </si>
  <si>
    <t>ПР по судебным издержкам (судебные расходы и госпошлина)</t>
  </si>
  <si>
    <t>Расходы по уплате госпошлины</t>
  </si>
  <si>
    <t>205</t>
  </si>
  <si>
    <t>2.11.19</t>
  </si>
  <si>
    <t>2.09.26</t>
  </si>
  <si>
    <t>ПР Штрафы административные</t>
  </si>
  <si>
    <t>208</t>
  </si>
  <si>
    <t>2.11.20</t>
  </si>
  <si>
    <t>2.09.29</t>
  </si>
  <si>
    <t>ПР Директорский фонд</t>
  </si>
  <si>
    <t>2.11.21</t>
  </si>
  <si>
    <t>ПР Спонсорская помощь</t>
  </si>
  <si>
    <t>209</t>
  </si>
  <si>
    <t>2.11.22</t>
  </si>
  <si>
    <t>2.09.31</t>
  </si>
  <si>
    <t>ПР по проведению смотра-конкурса</t>
  </si>
  <si>
    <t>210</t>
  </si>
  <si>
    <t>2.11.23</t>
  </si>
  <si>
    <t>2.09.33</t>
  </si>
  <si>
    <t xml:space="preserve">ПР Архитектурно-земельные услуги </t>
  </si>
  <si>
    <t>211</t>
  </si>
  <si>
    <t>2.11.24</t>
  </si>
  <si>
    <t>2.09.34</t>
  </si>
  <si>
    <t>ПР по содержанию ревизионной комиссии</t>
  </si>
  <si>
    <t>212</t>
  </si>
  <si>
    <t>2.11.25</t>
  </si>
  <si>
    <t>2.09.36</t>
  </si>
  <si>
    <t>ПВ Прочие премии из прибыли</t>
  </si>
  <si>
    <t>214</t>
  </si>
  <si>
    <t>2.11.26</t>
  </si>
  <si>
    <t>2.09.38</t>
  </si>
  <si>
    <t>ПВ членам Совета директоров</t>
  </si>
  <si>
    <t>215</t>
  </si>
  <si>
    <t>2.11.27</t>
  </si>
  <si>
    <t>2.09.39</t>
  </si>
  <si>
    <t>ПВ членам ревизионной комиссии</t>
  </si>
  <si>
    <t>2.11.28</t>
  </si>
  <si>
    <t>2.09.35</t>
  </si>
  <si>
    <t>Премия за выявление неучтенного потребления ЭЭ</t>
  </si>
  <si>
    <t>Премия за выявление неучтенного потребления</t>
  </si>
  <si>
    <t>217</t>
  </si>
  <si>
    <t>2.11.29</t>
  </si>
  <si>
    <t>2.10.01</t>
  </si>
  <si>
    <t>ПР Чрезвычайные</t>
  </si>
  <si>
    <t>Расходы чрезвычайные</t>
  </si>
  <si>
    <t>218</t>
  </si>
  <si>
    <t>2.11.30</t>
  </si>
  <si>
    <t>2.10.02</t>
  </si>
  <si>
    <t>ПР Резерв Генерального директора</t>
  </si>
  <si>
    <t>2.11.31</t>
  </si>
  <si>
    <t>ПР по организации НТО</t>
  </si>
  <si>
    <t>2.11.32</t>
  </si>
  <si>
    <t>ПР Прочие публикации в СМИ</t>
  </si>
  <si>
    <t>2.11.33</t>
  </si>
  <si>
    <t>ПР представительские (неподтвержденные документами)</t>
  </si>
  <si>
    <t>2.11.34</t>
  </si>
  <si>
    <t>ПР по проведению корпоративных совещаний с филиалами</t>
  </si>
  <si>
    <t>2.11.35</t>
  </si>
  <si>
    <t xml:space="preserve">ПР по изготовлению аудио-видео материалов и полиграфической продукции </t>
  </si>
  <si>
    <t>ИТОГО неподконтрольных расходов</t>
  </si>
  <si>
    <t>Справочно: амортизация, учитываемая при налогообложении</t>
  </si>
  <si>
    <t>ИТОГО неподконтрольных расходов без выпадающих доходов /некомпенсированных затрат</t>
  </si>
  <si>
    <t>НВВ всего</t>
  </si>
  <si>
    <t>тыс.руб</t>
  </si>
  <si>
    <t>Подконтрольные расходы</t>
  </si>
  <si>
    <t>Неподконтрольные расходы</t>
  </si>
  <si>
    <t>Расходы  (затраты) ФСК</t>
  </si>
  <si>
    <t xml:space="preserve">Содержание </t>
  </si>
  <si>
    <t xml:space="preserve">Потери электроэнергии </t>
  </si>
  <si>
    <t>Примечание: * По ожидаемым результатам Годового общего собрания акционеров, чистая прибыль по виду деятельности «оказание услуги по передаче электрической энергии» по итогам 2013 года не будет распределена на развитие производства (капитальные вложения производственного характера), а будет направлена на приобретение основных средств на развитие электросетевого комплекса.</t>
  </si>
  <si>
    <t>НВВ всего без выпадающих доходов / некомпенсированных затрат</t>
  </si>
  <si>
    <t xml:space="preserve">НВВ всего без выпадающих доходов / некомпенсированных затрат и капитальных вложений производственного характера </t>
  </si>
  <si>
    <t>себестоимость</t>
  </si>
  <si>
    <t>Источники финансирования  инвестиционной программы</t>
  </si>
  <si>
    <t>амортизационные отчисления</t>
  </si>
  <si>
    <t>капитальные вложения производственного характера (прибыль)</t>
  </si>
  <si>
    <t>Итого</t>
  </si>
  <si>
    <t>Всего</t>
  </si>
  <si>
    <t>показатели (индексы) для расчета коэффициента индексации</t>
  </si>
  <si>
    <t>второй долгосрочный период регулирования 2015 – 2019 годы</t>
  </si>
  <si>
    <t xml:space="preserve">1. </t>
  </si>
  <si>
    <t> 5.</t>
  </si>
  <si>
    <t>6.</t>
  </si>
  <si>
    <t>итого коэффициент индексации (расчитывается по формуле см таблицу и комментарии)</t>
  </si>
  <si>
    <t>лизинг производственных активов</t>
  </si>
  <si>
    <t>Всего инвестиционная программа с учетом лизинга</t>
  </si>
  <si>
    <t>выпадающие</t>
  </si>
  <si>
    <t>база</t>
  </si>
  <si>
    <t>расчетная величина капитальных вложений производственного характера</t>
  </si>
  <si>
    <t>НВВ на содержание</t>
  </si>
  <si>
    <t>максимальная мощность</t>
  </si>
  <si>
    <t>Плата за услуги на содержание электрических сетей в расчете на 1_______мощности</t>
  </si>
  <si>
    <t xml:space="preserve">НВВ на компенсацию технологичсекого расхода (потерь) </t>
  </si>
  <si>
    <t>полезный отпуск ээ</t>
  </si>
  <si>
    <t>расчетная область по подсчету 
 налога на прибыль и капитальных вложений производственного характера</t>
  </si>
  <si>
    <t>Ставка на оплату технологического расхода (потерь ) электрической энергии на ее передачу по сетям</t>
  </si>
  <si>
    <t>НВВ (база)</t>
  </si>
  <si>
    <t>НВВ (очищенная)</t>
  </si>
  <si>
    <t>лизинг</t>
  </si>
  <si>
    <t>аренда сетевых 
объектов (стор. орг.)</t>
  </si>
  <si>
    <t>расходы на финансирование капитальных вложений из прибыли</t>
  </si>
  <si>
    <t>выпадающие доходы</t>
  </si>
  <si>
    <t>налогооблагаемая база
 (капитальные вложения, ДВСХ, внереализационные расходы  вкл. в налогооблагаемую базу)</t>
  </si>
  <si>
    <r>
      <t>налог на прибыль</t>
    </r>
    <r>
      <rPr>
        <sz val="13"/>
        <color theme="5" tint="-0.249977111117893"/>
        <rFont val="Times New Roman"/>
        <family val="1"/>
        <charset val="204"/>
      </rPr>
      <t xml:space="preserve"> 20%</t>
    </r>
  </si>
  <si>
    <r>
      <t>максимально возможный уровень расходов на финансирование капитальных вложений производственного характера</t>
    </r>
    <r>
      <rPr>
        <sz val="13"/>
        <color rgb="FFFF0000"/>
        <rFont val="Times New Roman"/>
        <family val="1"/>
        <charset val="204"/>
      </rPr>
      <t xml:space="preserve"> </t>
    </r>
    <r>
      <rPr>
        <sz val="13"/>
        <color theme="5" tint="-0.249977111117893"/>
        <rFont val="Times New Roman"/>
        <family val="1"/>
        <charset val="204"/>
      </rPr>
      <t>12%</t>
    </r>
  </si>
  <si>
    <t>1.1.3.3.1.</t>
  </si>
  <si>
    <t>1.1.6</t>
  </si>
  <si>
    <t>Содержание кассовых аппаратов</t>
  </si>
  <si>
    <t>Поверка и сертификация, экспертиза оборудования</t>
  </si>
  <si>
    <t>Техобслуживание</t>
  </si>
  <si>
    <t>Мероприятия по охране окр.среды</t>
  </si>
  <si>
    <t>Оформление и регистрация имущества</t>
  </si>
  <si>
    <t>Прочие услуги</t>
  </si>
  <si>
    <t>1.1.3.3.2</t>
  </si>
  <si>
    <t>1.1.3.3.3</t>
  </si>
  <si>
    <t>1.1.3.3.4</t>
  </si>
  <si>
    <t>1.1.3.3.5</t>
  </si>
  <si>
    <t>1.1.3.3.6</t>
  </si>
  <si>
    <t>1.1.3.3.7</t>
  </si>
  <si>
    <t>1.1.3.3.8</t>
  </si>
  <si>
    <t>1.1.3.3.9</t>
  </si>
  <si>
    <t>1.1.3.3.10</t>
  </si>
  <si>
    <t>1.1.3.3.11</t>
  </si>
  <si>
    <t>1.1.3.3.12</t>
  </si>
  <si>
    <t>1.1.3.3.13</t>
  </si>
  <si>
    <t>1.1.3.3.14</t>
  </si>
  <si>
    <t>1.1.3.3.15</t>
  </si>
  <si>
    <t>1.1.3.3.16</t>
  </si>
  <si>
    <t>1.1.3.3.17</t>
  </si>
  <si>
    <t>Расходы на возврат и обслуживание долгосрочных заемных средств, направляемых на финансирование капитальных вложений</t>
  </si>
  <si>
    <t>1.2.12.1</t>
  </si>
  <si>
    <t>1.2.12.2</t>
  </si>
  <si>
    <t>1.2.12.3</t>
  </si>
  <si>
    <t>1.2.12.4</t>
  </si>
  <si>
    <t>факт **</t>
  </si>
  <si>
    <t>17,91
(от 05.09.2014 №579)</t>
  </si>
  <si>
    <t>Информация о программе в области энергосбережения и повышения энергетической эффективности АО "НЭСК-электросети" направлена в адрес ГКУ КК "Центр энергосбережений и новых технологий" письмом от 25.01.2016 № 14.3.2 НС-14/06.
Годовые отчетные формы направлены в Министерство энергетики РФ письмом от 19.02.2016 № 17.1 НС-10/83/1262, а также данная информация отражена в формате шаблона ЕИАС.</t>
  </si>
  <si>
    <t>Необходимая валовая выручка по регулируемым видам деятельности организации - всего**</t>
  </si>
  <si>
    <t>Выручка*</t>
  </si>
  <si>
    <t>Инвестиции, осуществляемые за счет тарифных источников***</t>
  </si>
  <si>
    <t>* - в целях сопоставления фактических и плановых показателей с учетом норм Основ ценообразования, по данной строке отражены расходы, уменьшающие налоговую базу налога на прибыль организаций (расходы, связанные с производством и реализацией продукции (услуг), и внереализационные расходы), и расходы, не учитываемые при определении налоговой базы налога на прибыль (относимые на прибыль после налогообложения);</t>
  </si>
  <si>
    <t>*** - финансирование за счет тарифных источников;</t>
  </si>
  <si>
    <t>**** - на основании данных , отраженных в форме бухгалтерской (финансовой) отчетности №1 "Бухгалтерский баланс" по всем видам деятельности</t>
  </si>
  <si>
    <t>Анализ финансовой устойчивости по величине излишка (недостатка) собственных оборотных средств****</t>
  </si>
  <si>
    <t>Расчетный объем услуг в части  обеспечения надежности</t>
  </si>
  <si>
    <t>1. Приказ РЭК-ДЦТ КК от 13.08.2014 №42/2014-э "Об утвержденни инвестиционной программы ОАО "НЭСК-электросети" на 2015-2019 годы" 
2. Приказ РЭК-ДЦТ КК от 03.09.2014 №46/2014-э "О внесении изменений в приказ региональной экономической комиссии-департамента цен и тарифов Краснодарского края от 13.08.2014 №42/2014-э "Об утвержденни инвестиционной программы ОАО "НЭСК-электросети" на 2015-2019 годы" 
3. Приказ РЭК-ДЦТ КК от 29.12.2014 №83/2014-э "О внесении изменения в приказ региональной энергетической комиссии-департамента цен и тарифов Краснодарского края от 13.08.2014 
№ 42/2014-э «Об утверждении инвестиционной программы АО«НЭСК-электросети на 2015-2019 годы»
4. Приказ РЭК-ДЦТ КК от 29.12.2015 №84/2015-э "Об утверждении инвестиционной программы АО "НЭСК-электросети" на 2016 год"</t>
  </si>
  <si>
    <t>1. Приказ РЭК-ДЦТ КК от 13.08.2014 №42/2014-э "Об утвержденни инвестиционной программы ОАО "НЭСК-электросети" на 2015-2019 годы" 
2. Приказ РЭК-ДЦТ КК от 03.09.2014 №46/2014-э "О внесении изменений в приказ региональной экономической комиссии-департамента цен и тарифов Краснодарского края от 13.08.2014 №42/2014-э "Об утвержденни инвестиционной программы ОАО "НЭСК-электросети" на 2015-2019 годы" 
3. Приказ РЭК-ДЦТ КК от 29.12.2014 №83/2014-э "О внесении изменения в приказ региональной энергетической комиссии-департамента цен и тарифов Краснодарского края от 13.08.2014 
№ 42/2014-э «Об утверждении инвестиционной программы АО«НЭСК-электросети на 2015-2019 годы»</t>
  </si>
  <si>
    <t>из формы 1.3.</t>
  </si>
  <si>
    <t>Таблица 1.6</t>
  </si>
  <si>
    <t>Расшифровка расходов субъекта естественных монополий, оказывающего услуги по передаче электроэнергии (мощности) по электрическим сетям, принадлежащим на праве собственности</t>
  </si>
  <si>
    <t>или ином законном основании территориальным сетевым организациям</t>
  </si>
  <si>
    <t>Заполняется:</t>
  </si>
  <si>
    <t>Субъектами естественных монополий, оказывающими услуги по передаче электроэнергии (мощности) по электрическим сетям, принадлежащим на праве собственности</t>
  </si>
  <si>
    <t>Период заполнения:</t>
  </si>
  <si>
    <t>Годовая, Квартальная</t>
  </si>
  <si>
    <t>Требования к заполнению:</t>
  </si>
  <si>
    <t>Заполняется отдельно по каждому субъекту РФ</t>
  </si>
  <si>
    <t>Организация:</t>
  </si>
  <si>
    <t>ОАО "НЭСК-электросети"</t>
  </si>
  <si>
    <t>Идентификационный номер налогоплательщика (ИНН):</t>
  </si>
  <si>
    <t>Местонахождение (адрес):</t>
  </si>
  <si>
    <t>г.Краснодар, ул.Северная, 247</t>
  </si>
  <si>
    <t>Субъект РФ:</t>
  </si>
  <si>
    <t>Краснодарский край</t>
  </si>
  <si>
    <t>Отчетный период:</t>
  </si>
  <si>
    <t>12 месяцев  2015 г</t>
  </si>
  <si>
    <t>Код показа-теля</t>
  </si>
  <si>
    <t>За отчетный период, всего по предприятию</t>
  </si>
  <si>
    <t>из графы 4:
по Субъекту РФ, указанному в заголовке формы</t>
  </si>
  <si>
    <t>из графы 5 по видам деятельности *</t>
  </si>
  <si>
    <t>За аналогичный период пре-дыдущего года, всего по предприятию</t>
  </si>
  <si>
    <t>из графы 10: по Субъекту РФ, указанному в заголовке формы</t>
  </si>
  <si>
    <t>из графы 10 по видам деятельности *</t>
  </si>
  <si>
    <t>Примечания:
принцип разделения показателей по субъектам РФ
и по видам деятельности согласно ОРД предприятия</t>
  </si>
  <si>
    <t>Передача
по расп-редели-тельным сетям</t>
  </si>
  <si>
    <t>Техноло-гическое присоеди-нение</t>
  </si>
  <si>
    <t>Передача
и техно-логичес-кое присоеди-нение</t>
  </si>
  <si>
    <t>Прочие виды деятель-ности</t>
  </si>
  <si>
    <t>8 (сумма
гр. 6 и 7)</t>
  </si>
  <si>
    <t>14 (сумма гр. 12 и 13)</t>
  </si>
  <si>
    <t>Расходы, учитываемые в целях налогообложения прибыли, всего, в том числе (сумма строк 110, 120, 130, 140, 150, 160, 170, 180, 190)</t>
  </si>
  <si>
    <t>Материальные расходы (сумма строк 111, 112, 113)</t>
  </si>
  <si>
    <t>Расходы на приобретение сырья и материалов</t>
  </si>
  <si>
    <t>Расходы на приобретение электрической энергии на компенсацию технологического расхода (потерь) электрической энергии в сетях, в том числе по уровням напряжения:</t>
  </si>
  <si>
    <t>ВН</t>
  </si>
  <si>
    <t>СН1</t>
  </si>
  <si>
    <t>СН2</t>
  </si>
  <si>
    <t>НН</t>
  </si>
  <si>
    <t>Расходы на приобретение электрической энергии на хозяйственные нужды</t>
  </si>
  <si>
    <t>Расходы на оплату услуг сторонних организаций (сумма строк 121, 122, 123, 124)</t>
  </si>
  <si>
    <t>Оплата услуг ОАО "ФСК ЕЭС"</t>
  </si>
  <si>
    <t>Оплата услуг по передаче электрической энергии, оказываемых другими сетевыми организациями</t>
  </si>
  <si>
    <t>Расходы на ремонт основных средств, выполняемые подрядным способом</t>
  </si>
  <si>
    <t>Управленческий персонал</t>
  </si>
  <si>
    <t>Специалисты и технические</t>
  </si>
  <si>
    <t>Основные производственные рабочие</t>
  </si>
  <si>
    <t>Справочно: среднесписочная численность промышленно-производственного персонала организации **</t>
  </si>
  <si>
    <t>чел.</t>
  </si>
  <si>
    <t>Расходы на выплату страховых взносов в Пенсионный фонд Российской Федерации, Фонд социального страхования Российской Федерации, Федеральный фонд обязательного медицинского страхования и территориальные фонды обязательного медицинского страхования</t>
  </si>
  <si>
    <t>Амортизация основных средств</t>
  </si>
  <si>
    <t>Аренда и лизинговые платежи (сумма строк 161, 162)</t>
  </si>
  <si>
    <t>Плата за аренду имущества</t>
  </si>
  <si>
    <t>Лизинговые платежи</t>
  </si>
  <si>
    <t>Налоги, уменьшающие налогооблагаемую базу по налогу на прибыль</t>
  </si>
  <si>
    <t>Расходы на выплату процентов по кредитам, уменьшающие налогооблагаемую базу по налогу на прибыль</t>
  </si>
  <si>
    <t>Расходы, не учитываемые в целях налогообложения прибыли, всего, в том числе (сумма строк 210, 220, 230, 240, 250)</t>
  </si>
  <si>
    <t>200</t>
  </si>
  <si>
    <t>Возврат заемных средств на цели инвестпрограммы</t>
  </si>
  <si>
    <t>Прибыль, направленная на инвестиции</t>
  </si>
  <si>
    <t>Прибыль, направленная на выплату дивидендов</t>
  </si>
  <si>
    <t>230</t>
  </si>
  <si>
    <t>Расходы социального характера из прибыли</t>
  </si>
  <si>
    <t>240</t>
  </si>
  <si>
    <t>Прочие расходы из прибыли в отчетном периоде</t>
  </si>
  <si>
    <t>250</t>
  </si>
  <si>
    <t>Расходы на уплату налога на прибыль</t>
  </si>
  <si>
    <t>300</t>
  </si>
  <si>
    <t>Справочные показатели:</t>
  </si>
  <si>
    <t>Из строки 100 прямые расходы</t>
  </si>
  <si>
    <t>400</t>
  </si>
  <si>
    <t>Из строки 100 косвенные расходы</t>
  </si>
  <si>
    <t>500</t>
  </si>
  <si>
    <t>Расходы на приобретение, сооружение и изготовление основных средств, а также на достройку, дооборудование, реконструкцию, модернизацию и техническое перевооружение основных средств</t>
  </si>
  <si>
    <t>600</t>
  </si>
  <si>
    <t>Расходы на ремонт основных средств (включая арендованные),
всего, в том числе:</t>
  </si>
  <si>
    <t>700</t>
  </si>
  <si>
    <t>материальные расходы</t>
  </si>
  <si>
    <t>расходы на оплату труда и выплату страховых</t>
  </si>
  <si>
    <t>расходы на ремонт основных средств, выполняемый подрядным способом</t>
  </si>
  <si>
    <t>прочие расходы</t>
  </si>
  <si>
    <t>Расходы на приобретение электрической энергии в целях компенсации коммерческого расхода (потерь) электрической энергии в сетях</t>
  </si>
  <si>
    <t>800</t>
  </si>
  <si>
    <r>
      <t>_____</t>
    </r>
    <r>
      <rPr>
        <b/>
        <sz val="6"/>
        <rFont val="Times New Roman"/>
        <family val="1"/>
        <charset val="204"/>
      </rPr>
      <t>*</t>
    </r>
    <r>
      <rPr>
        <b/>
        <sz val="6"/>
        <color indexed="9"/>
        <rFont val="Times New Roman"/>
        <family val="1"/>
        <charset val="204"/>
      </rPr>
      <t>_</t>
    </r>
    <r>
      <rPr>
        <b/>
        <sz val="6"/>
        <rFont val="Times New Roman"/>
        <family val="1"/>
        <charset val="204"/>
      </rPr>
      <t>Полное наименование видов деятельности:</t>
    </r>
  </si>
  <si>
    <r>
      <t>_______</t>
    </r>
    <r>
      <rPr>
        <sz val="6"/>
        <rFont val="Times New Roman"/>
        <family val="1"/>
        <charset val="204"/>
      </rPr>
      <t>гр. 6, 12 - оказание услуг по передаче электрической энергии (мощности) по единой национальной (общероссийской) электрической сети;</t>
    </r>
  </si>
  <si>
    <r>
      <t>_______</t>
    </r>
    <r>
      <rPr>
        <sz val="6"/>
        <rFont val="Times New Roman"/>
        <family val="1"/>
        <charset val="204"/>
      </rPr>
      <t>гр. 7, 13 - оказание услуг по технологическому присоединению к электрическим сетям.</t>
    </r>
  </si>
  <si>
    <r>
      <t>____</t>
    </r>
    <r>
      <rPr>
        <b/>
        <sz val="6"/>
        <rFont val="Times New Roman"/>
        <family val="1"/>
        <charset val="204"/>
      </rPr>
      <t>**</t>
    </r>
    <r>
      <rPr>
        <b/>
        <sz val="6"/>
        <color indexed="9"/>
        <rFont val="Times New Roman"/>
        <family val="1"/>
        <charset val="204"/>
      </rPr>
      <t>_</t>
    </r>
    <r>
      <rPr>
        <b/>
        <sz val="6"/>
        <rFont val="Times New Roman"/>
        <family val="1"/>
        <charset val="204"/>
      </rPr>
      <t>В целях настоящей таблицы под промышленно-производственным персоналом понимается персонал, расходы на оплату труда которого учитываются по счету 20 "Основное производство".</t>
    </r>
  </si>
  <si>
    <t>Приложение к таблице 1.6</t>
  </si>
  <si>
    <t>Расшифровка дебиторской задолженности, заемных средств и стоимости активов</t>
  </si>
  <si>
    <t>По состоянию на начало отчетного периода,
всего по предприятию</t>
  </si>
  <si>
    <t>По состоянию на конец отчетного периода,
всего по предприятию</t>
  </si>
  <si>
    <t>Дебиторская задолженность</t>
  </si>
  <si>
    <t>900</t>
  </si>
  <si>
    <t>в том числе по расчетам с покупателями и заказчиками</t>
  </si>
  <si>
    <t>Заемные средства, учитываемые в долгосрочных обязательствах, которые могут быть прямо отнесены на услуги по передаче электроэнергии по распределительным сетям и технологическое присоединение</t>
  </si>
  <si>
    <t>1000</t>
  </si>
  <si>
    <t>Заемные средства, учитываемые в краткосрочных обязательствах, которые могут быть прямо отнесены на услуги по передаче электроэнергии по распределительным сетям и технологическое присоединение</t>
  </si>
  <si>
    <t>1100</t>
  </si>
  <si>
    <t>Основные средства</t>
  </si>
  <si>
    <t>1200</t>
  </si>
  <si>
    <t>Арендованные основные средства</t>
  </si>
  <si>
    <t>1300</t>
  </si>
  <si>
    <t>Незавершенное строительство</t>
  </si>
  <si>
    <t>1400</t>
  </si>
  <si>
    <t>Руководитель</t>
  </si>
  <si>
    <t>Кулаков М.С.</t>
  </si>
  <si>
    <t>(подпись)</t>
  </si>
  <si>
    <t>(Фамилия, имя, отчество)</t>
  </si>
  <si>
    <t>Главный бухгалтер</t>
  </si>
  <si>
    <t>Гультаева В.А.</t>
  </si>
  <si>
    <t>Пояснения: графы 11,12,13 будут представлены до 12.10.2012</t>
  </si>
  <si>
    <t>Таблица 1.3</t>
  </si>
  <si>
    <t>Показатели раздельного учета доходов и расходов субъекта естественных монополий, оказывающего услуги по передаче электроэнергии (мощности) по электрическим сетям,</t>
  </si>
  <si>
    <t>принадлежащим на праве собственности или ином законном основании территориальным сетевым организациям, согласно форме "Отчет о прибылях и убытках"</t>
  </si>
  <si>
    <t>Субъектами естественных монополий, оказывающими услуги по передаче электроэнергии (мощности) по электрическим сетям, принадлежащим на праве собственности или ином законном основании</t>
  </si>
  <si>
    <t>территориальным сетевым организациям</t>
  </si>
  <si>
    <t>12 месяцев 2015 г</t>
  </si>
  <si>
    <t>из графы 4: по Субъекту РФ, указанному в заголовке
формы **</t>
  </si>
  <si>
    <t>За аналогичный период предыдущего года, всего по предприятию</t>
  </si>
  <si>
    <t>из графы 9: по Субъекту РФ, указанному в заголовке
формы **</t>
  </si>
  <si>
    <t>Примечания:
принцип разделения показателей
по субъектам РФ и по видам деятельности согласно ОРД предприятия</t>
  </si>
  <si>
    <t>Передача по распредели-тельным сетям</t>
  </si>
  <si>
    <t>Технологическое присоединение</t>
  </si>
  <si>
    <t>Прочие виды деятельности</t>
  </si>
  <si>
    <t>Выручка (нетто) от продажи товаров,</t>
  </si>
  <si>
    <t>010</t>
  </si>
  <si>
    <t>продукции, работ, услуг (за минусом налога</t>
  </si>
  <si>
    <t>на добавленную стоимость, акцизов</t>
  </si>
  <si>
    <t>и аналогичных обязательных платежей)</t>
  </si>
  <si>
    <t>Себестоимость проданных товаров,</t>
  </si>
  <si>
    <t>020</t>
  </si>
  <si>
    <t>продукции, работ, услуг</t>
  </si>
  <si>
    <t>Валовая прибыль</t>
  </si>
  <si>
    <t>030</t>
  </si>
  <si>
    <t>Коммерческие расходы</t>
  </si>
  <si>
    <t>040</t>
  </si>
  <si>
    <t>Управленческие расходы</t>
  </si>
  <si>
    <t>050</t>
  </si>
  <si>
    <t>060</t>
  </si>
  <si>
    <t>Доходы от участия в других организациях</t>
  </si>
  <si>
    <t>061</t>
  </si>
  <si>
    <t>Проценты к получению</t>
  </si>
  <si>
    <t>070</t>
  </si>
  <si>
    <t>Проценты к уплате</t>
  </si>
  <si>
    <t>080</t>
  </si>
  <si>
    <t>Прочие доходы</t>
  </si>
  <si>
    <t>090</t>
  </si>
  <si>
    <t>Прибыль до налогообложения</t>
  </si>
  <si>
    <t>Чистая прибыль</t>
  </si>
  <si>
    <t>Списание дебиторских и кредиторских</t>
  </si>
  <si>
    <t>задолженностей, по которым истек срок</t>
  </si>
  <si>
    <t>исковой давности</t>
  </si>
  <si>
    <t xml:space="preserve">Прибыль (убыток) прошлых лет, </t>
  </si>
  <si>
    <t>выявленная в отчетном году</t>
  </si>
  <si>
    <r>
      <t>_____</t>
    </r>
    <r>
      <rPr>
        <b/>
        <sz val="8"/>
        <rFont val="Times New Roman"/>
        <family val="1"/>
        <charset val="204"/>
      </rPr>
      <t>*</t>
    </r>
    <r>
      <rPr>
        <b/>
        <sz val="8"/>
        <color indexed="9"/>
        <rFont val="Times New Roman"/>
        <family val="1"/>
        <charset val="204"/>
      </rPr>
      <t>_</t>
    </r>
    <r>
      <rPr>
        <b/>
        <sz val="8"/>
        <rFont val="Times New Roman"/>
        <family val="1"/>
        <charset val="204"/>
      </rPr>
      <t>Полное наименование видов деятельности:</t>
    </r>
  </si>
  <si>
    <r>
      <t>_______</t>
    </r>
    <r>
      <rPr>
        <sz val="8"/>
        <rFont val="Times New Roman"/>
        <family val="1"/>
        <charset val="204"/>
      </rPr>
      <t>гр. 6, 11 - оказание услуг по передаче электрической энергии по электрическим сетям, принадлежащим на праве собственности или ином законном основании территориальным сетевым организациям;</t>
    </r>
  </si>
  <si>
    <r>
      <t>_______</t>
    </r>
    <r>
      <rPr>
        <sz val="8"/>
        <color indexed="8"/>
        <rFont val="Times New Roman"/>
        <family val="1"/>
        <charset val="204"/>
      </rPr>
      <t>г</t>
    </r>
    <r>
      <rPr>
        <sz val="8"/>
        <rFont val="Times New Roman"/>
        <family val="1"/>
        <charset val="204"/>
      </rPr>
      <t>р. 7, 12 - оказание услуг по технологическому присоединению к электрическим сетям.</t>
    </r>
  </si>
  <si>
    <r>
      <t>____</t>
    </r>
    <r>
      <rPr>
        <b/>
        <sz val="8"/>
        <rFont val="Times New Roman"/>
        <family val="1"/>
        <charset val="204"/>
      </rPr>
      <t>**</t>
    </r>
    <r>
      <rPr>
        <b/>
        <sz val="8"/>
        <color indexed="9"/>
        <rFont val="Times New Roman"/>
        <family val="1"/>
        <charset val="204"/>
      </rPr>
      <t>_</t>
    </r>
    <r>
      <rPr>
        <b/>
        <sz val="8"/>
        <rFont val="Times New Roman"/>
        <family val="1"/>
        <charset val="204"/>
      </rPr>
      <t>Заполняется субъектами естественных монополий, оказывающими услуги по  передаче электрической энергии по электрическим сетям, принадлежащим на праве  собственности или ином законном основании территориальным сетевым организациям, в нескольких субъектах РФ.</t>
    </r>
  </si>
  <si>
    <r>
      <t>______</t>
    </r>
    <r>
      <rPr>
        <b/>
        <sz val="8"/>
        <rFont val="Times New Roman"/>
        <family val="1"/>
        <charset val="204"/>
      </rPr>
      <t xml:space="preserve"> Для остальных субъектов естественных монополий графы 5 - 8, 10 - 13 заполняются в целом по предприятию.</t>
    </r>
  </si>
  <si>
    <t>Код</t>
  </si>
  <si>
    <t>Наименование статьи БДР</t>
  </si>
  <si>
    <t>факт 2012 г.</t>
  </si>
  <si>
    <t xml:space="preserve">РЭК </t>
  </si>
  <si>
    <t>план  (утвержденный на 01.01.13)</t>
  </si>
  <si>
    <t xml:space="preserve">факт 2013 г. </t>
  </si>
  <si>
    <t>РЭК на 01.01.2014</t>
  </si>
  <si>
    <t>ПЛАН  утвержденный (скорректированный) на 01.07.2014 г.</t>
  </si>
  <si>
    <t xml:space="preserve">1 полугодие ФАКТ </t>
  </si>
  <si>
    <t>3 квартал ПЛАН скорректированный</t>
  </si>
  <si>
    <t>4 квартал ПЛАН скорректированный</t>
  </si>
  <si>
    <t>9 мес. ПЛАН скорректированный</t>
  </si>
  <si>
    <t>9 мес. ФАКТ</t>
  </si>
  <si>
    <t>4 квартал ФАКТ</t>
  </si>
  <si>
    <t>ФАКТ 
2014 г.</t>
  </si>
  <si>
    <t>отклонение факта
от плана (скорр.на 01.07.2014 г.)</t>
  </si>
  <si>
    <t>РЭК на 2015 г. прогнозный расчет</t>
  </si>
  <si>
    <t>РЭК утвержденно на 01.01.2015г.</t>
  </si>
  <si>
    <t>ПЛАН утвержденный на 05.03.15 г.</t>
  </si>
  <si>
    <t>отклонение плана утвержденного на 05.03.2015 г. 
от РЭК на 01.01.2015 г.</t>
  </si>
  <si>
    <t xml:space="preserve">отклонение плана утвержденного на 05.03.2015 г.
 от факта 2014 г. </t>
  </si>
  <si>
    <t xml:space="preserve"> ПЛАН скорректированный после обсуждения на 10.08.15 г.</t>
  </si>
  <si>
    <t>отклонение плана скорр. на 10.08.2015 г. 
от РЭК на 01.01.2015 г.</t>
  </si>
  <si>
    <t>отклонение план скорр. на 10.08.2015 г.
 от плана утвержденного на 05.03.2015 г.</t>
  </si>
  <si>
    <t>отклонение плана скорр. на 10.08.2015 г. 
от факта 2014 г.</t>
  </si>
  <si>
    <t>ПЛАН (заявка ЦФУ)(с учетом факта 1 полугодия)</t>
  </si>
  <si>
    <t>отклонение план (заявка ЦФУ) от плана утвержденного на 05.03.2015 г.</t>
  </si>
  <si>
    <t>отклонение план (заявка ЦФУ) от плана скорректированного на 10.08.2015 г.</t>
  </si>
  <si>
    <t>ФАКТ                                                    2015 г.</t>
  </si>
  <si>
    <t>1 полугодие 2015 г.</t>
  </si>
  <si>
    <t xml:space="preserve">отклонение факта
 от плана утвержд. на 05.03.2015 г. (1 полугодие 2015 г.) </t>
  </si>
  <si>
    <t>1 квартал 2015 г.</t>
  </si>
  <si>
    <t>2 квартал 2015 г.</t>
  </si>
  <si>
    <t>ПЛАН 2 полугодие 2015 г. (утвержденный 05.03.2015г.)</t>
  </si>
  <si>
    <t>ПЛАН 2 полугодие 2015 г. (скорректированный) на 10.08.2015 г.</t>
  </si>
  <si>
    <t>отклонение плана скорр. на 10.08.2015 г.
от плана утвержденного на 05.03.2015 г. (2 полугодие 2015 г.)</t>
  </si>
  <si>
    <t>ПЛАН 2 полугодие 2015 г. (заявка ЦФУ)</t>
  </si>
  <si>
    <t xml:space="preserve">отклонение плана скорр. на 10.08.2015
от заявки ЦФУ (2 полугодие 2015 г.) </t>
  </si>
  <si>
    <t>3 квартал</t>
  </si>
  <si>
    <t>9 месяцев</t>
  </si>
  <si>
    <t>4 квартал</t>
  </si>
  <si>
    <t>2 полугодие 2015</t>
  </si>
  <si>
    <t>ФАКТ 2015 г. по данным бухгалтерии (24.03.2016)</t>
  </si>
  <si>
    <t>в т.ч. по видам деятельности по ф.1.6</t>
  </si>
  <si>
    <t>отклонение</t>
  </si>
  <si>
    <t>ЦФУ</t>
  </si>
  <si>
    <t>ЦФО</t>
  </si>
  <si>
    <t>группа расходов (затрат)</t>
  </si>
  <si>
    <t>Обязательные в т.ч:</t>
  </si>
  <si>
    <t>ремонтная 
программа</t>
  </si>
  <si>
    <t>План скорректированный редакция 15.02.2015г.
в том числе:</t>
  </si>
  <si>
    <t>алгоритм расчета</t>
  </si>
  <si>
    <t>Примечание</t>
  </si>
  <si>
    <t>РЭК на 01.11.2014</t>
  </si>
  <si>
    <t>план утвержденный на 05.03.2015</t>
  </si>
  <si>
    <t xml:space="preserve"> факт</t>
  </si>
  <si>
    <t>факт</t>
  </si>
  <si>
    <t>план скорр. на 10.08.2015</t>
  </si>
  <si>
    <t>ФАКТ</t>
  </si>
  <si>
    <t>отклонение ФАКТА от плана утвержд. на 05.03.15</t>
  </si>
  <si>
    <t>отклонение ФАКТА от плана скорр. на 10.08.15</t>
  </si>
  <si>
    <t xml:space="preserve">отклонение факта от плана утвержд. на 05.03.15 </t>
  </si>
  <si>
    <t>отклонение факта от плана скорр. на 10.08.15</t>
  </si>
  <si>
    <t xml:space="preserve">отклонение факта от плана скорр. на 10.08.15 </t>
  </si>
  <si>
    <t>сч.20</t>
  </si>
  <si>
    <t>сч23</t>
  </si>
  <si>
    <t>сч.91</t>
  </si>
  <si>
    <t>сч.90</t>
  </si>
  <si>
    <t>ПЭ</t>
  </si>
  <si>
    <t>ТП</t>
  </si>
  <si>
    <t>ПРУ</t>
  </si>
  <si>
    <t>ИТОГО</t>
  </si>
  <si>
    <t>строка</t>
  </si>
  <si>
    <t>1 квартал
 факт</t>
  </si>
  <si>
    <t>Б</t>
  </si>
  <si>
    <t>2=5+4</t>
  </si>
  <si>
    <t>10=6+9</t>
  </si>
  <si>
    <t>18=14+17</t>
  </si>
  <si>
    <t xml:space="preserve">1             </t>
  </si>
  <si>
    <t>ДОХОДЫ</t>
  </si>
  <si>
    <t>содержание записи</t>
  </si>
  <si>
    <r>
      <t xml:space="preserve">сумма </t>
    </r>
    <r>
      <rPr>
        <i/>
        <sz val="22"/>
        <rFont val="Times New Roman"/>
        <family val="1"/>
        <charset val="204"/>
      </rPr>
      <t>(без выручки на технологический расход потерь электроэнергии)</t>
    </r>
  </si>
  <si>
    <t>доля
 выручки, %</t>
  </si>
  <si>
    <r>
      <t>сумма</t>
    </r>
    <r>
      <rPr>
        <u/>
        <sz val="22"/>
        <color theme="1"/>
        <rFont val="Times New Roman"/>
        <family val="1"/>
        <charset val="204"/>
      </rPr>
      <t xml:space="preserve"> (</t>
    </r>
    <r>
      <rPr>
        <i/>
        <u/>
        <sz val="22"/>
        <color theme="1"/>
        <rFont val="Times New Roman"/>
        <family val="1"/>
        <charset val="204"/>
      </rPr>
      <t>без выручки на технологический расход потерь электроэнергии и прочих видов деятельности)</t>
    </r>
  </si>
  <si>
    <t>доля выручки, %</t>
  </si>
  <si>
    <t>1.01</t>
  </si>
  <si>
    <t>Выручка от основного вида деятельности</t>
  </si>
  <si>
    <t xml:space="preserve">4 508 690 тыс. руб. (содержание эл.сетей)  доля 93,16% + 331 178 тыс.руб. (технологическое присоединение) доля 6,84%= 4 839 868 тыс.руб. доля 100% </t>
  </si>
  <si>
    <t>пропорционально 
выручке от сновного вида деятельности</t>
  </si>
  <si>
    <t>1.01.01</t>
  </si>
  <si>
    <t>Выручка от оказания услуг по передаче ЭЭ</t>
  </si>
  <si>
    <t>Начальник отдела балансов и расчетов</t>
  </si>
  <si>
    <t>выручка от оказания услуг по передаче электрической энергии на содержание</t>
  </si>
  <si>
    <t>1.01.02</t>
  </si>
  <si>
    <t>Выручка от оказания услуг по технологическому присоединению</t>
  </si>
  <si>
    <t>Директор по капитальному строительству</t>
  </si>
  <si>
    <t>Начальник отдела технологических присоединений</t>
  </si>
  <si>
    <t>выручка от оказания услуг по технологическому присоединению</t>
  </si>
  <si>
    <t>4 508 690 тыс. руб. (ставка на содержание эл.сетей) доля 92,27% + 331 178 тыс.руб. (технологическое присоединение) доля 6,78%+ ПВД 36 925 доля 0,96% =4 876 793 тыс.руб. доля 100%</t>
  </si>
  <si>
    <t>пропроционально 
выручке по всем видам деятельности</t>
  </si>
  <si>
    <t>1.01.03</t>
  </si>
  <si>
    <t>Выручка от оказания прочих услуг</t>
  </si>
  <si>
    <t>выручка от оказания услуг по прочим видам деятельности</t>
  </si>
  <si>
    <t>1.01.03.01</t>
  </si>
  <si>
    <t>Начальник планово-экономического отдела</t>
  </si>
  <si>
    <t>1.01.03.02</t>
  </si>
  <si>
    <t>Выручка от обслуживания СНО</t>
  </si>
  <si>
    <t>Начальник производственно - технического отдела</t>
  </si>
  <si>
    <t>1.01.03.03</t>
  </si>
  <si>
    <t>Выручка от оказания автотранспортных услуг</t>
  </si>
  <si>
    <t>Начальник отдела механизации и транспорта</t>
  </si>
  <si>
    <t xml:space="preserve">1.02         </t>
  </si>
  <si>
    <t>Доходы по неосновному виду деятельности</t>
  </si>
  <si>
    <t>1.02.01</t>
  </si>
  <si>
    <t>Начальник финансового управления</t>
  </si>
  <si>
    <t>1.02.02</t>
  </si>
  <si>
    <t xml:space="preserve">Прочие доходы </t>
  </si>
  <si>
    <t>1.02.03</t>
  </si>
  <si>
    <t>Доходы от реализации активов</t>
  </si>
  <si>
    <t>Директор по имущественным отношениям</t>
  </si>
  <si>
    <t>Начальник управления имущественных отношений</t>
  </si>
  <si>
    <t>1.02.04</t>
  </si>
  <si>
    <t>Доходы от реализации ОС</t>
  </si>
  <si>
    <t>1.02.05</t>
  </si>
  <si>
    <t>Доходы от реализации акций</t>
  </si>
  <si>
    <t>Начальник отдела корпоративного управления</t>
  </si>
  <si>
    <t>1.02.06</t>
  </si>
  <si>
    <t>Доходы от реализации векселей</t>
  </si>
  <si>
    <t>1.02.07</t>
  </si>
  <si>
    <t>Доходы по резервам сомнительных долгов</t>
  </si>
  <si>
    <t>пропорционально сумме выручке ПЭ (содержание), ТП, ПРУ</t>
  </si>
  <si>
    <t>1.02.08</t>
  </si>
  <si>
    <t>Доходы от аренды,субаренды</t>
  </si>
  <si>
    <t>1.02.09</t>
  </si>
  <si>
    <t>Доходы прошлых периодов, выявленные в текущем периоде</t>
  </si>
  <si>
    <t>1.02.10</t>
  </si>
  <si>
    <t>Доходы от выявленного бездоговорного потребления ЭЭ</t>
  </si>
  <si>
    <t>Начальник службы учета электроэнергии</t>
  </si>
  <si>
    <t>1.02.11</t>
  </si>
  <si>
    <t>Доходы  по резерву под  обесценение финансовых вложений</t>
  </si>
  <si>
    <t>1.02.12</t>
  </si>
  <si>
    <t>Итого Доход:</t>
  </si>
  <si>
    <t>Переменные затраты:</t>
  </si>
  <si>
    <t xml:space="preserve">2             </t>
  </si>
  <si>
    <t>РАСХОДЫ</t>
  </si>
  <si>
    <t xml:space="preserve">2.01          </t>
  </si>
  <si>
    <t>Платежи по электроэнергии (переменные расходы)</t>
  </si>
  <si>
    <t>2.01.01</t>
  </si>
  <si>
    <t xml:space="preserve">Электроэнергия в целях компенсации технологического расхода потерь </t>
  </si>
  <si>
    <t>Итого Переменные:</t>
  </si>
  <si>
    <t>Постоянные затраты:</t>
  </si>
  <si>
    <t xml:space="preserve">2.02          </t>
  </si>
  <si>
    <t>Амортизация ОС</t>
  </si>
  <si>
    <t>Обязательные</t>
  </si>
  <si>
    <t>2.02.02</t>
  </si>
  <si>
    <t>Амортизация НМА</t>
  </si>
  <si>
    <t xml:space="preserve">2.03          </t>
  </si>
  <si>
    <t>Оплата труда и отчисления</t>
  </si>
  <si>
    <t xml:space="preserve">2.03.01       </t>
  </si>
  <si>
    <t>ЗП Окладная часть и прочая оплата труда (в т. ч. оплата по средн. заработку)</t>
  </si>
  <si>
    <t>Начальник отдела труда и заработной платы</t>
  </si>
  <si>
    <t>ФОТ</t>
  </si>
  <si>
    <t xml:space="preserve">2.03.02       </t>
  </si>
  <si>
    <t>ЗП Премия</t>
  </si>
  <si>
    <t xml:space="preserve">2.03.03       </t>
  </si>
  <si>
    <t>ЗП Доплаты (за особые условия труда, др. доплаты)</t>
  </si>
  <si>
    <t xml:space="preserve">2.03.04       </t>
  </si>
  <si>
    <t>ЗП Оплата сверхнормативного времени</t>
  </si>
  <si>
    <t xml:space="preserve">2.03.05    </t>
  </si>
  <si>
    <t>ЗП Премия за особо важное задание</t>
  </si>
  <si>
    <t>2.03.06</t>
  </si>
  <si>
    <t>ЗП Премия за снижение фактических потерь</t>
  </si>
  <si>
    <t xml:space="preserve">2.03.07      </t>
  </si>
  <si>
    <t>ЗП Премия по прочим видам деятельности</t>
  </si>
  <si>
    <t>2.03.08</t>
  </si>
  <si>
    <t>ЗП Материальная помощь к ежегодному отпуску</t>
  </si>
  <si>
    <t>2.03.09</t>
  </si>
  <si>
    <t>ЗП Единовременные выплаты по соглашению сторон</t>
  </si>
  <si>
    <t xml:space="preserve">2.03.10  </t>
  </si>
  <si>
    <t xml:space="preserve">ЗП Прочие выплаты </t>
  </si>
  <si>
    <t>2.03.11</t>
  </si>
  <si>
    <t>2.03.12</t>
  </si>
  <si>
    <t>ЗП Затраты на оплату труда по договорам подряда</t>
  </si>
  <si>
    <t>2.03.13</t>
  </si>
  <si>
    <t>ЗП Резерв на оплату отпусков (без страховых взносов)</t>
  </si>
  <si>
    <t>Главный бухгалтер; Директор по экономике</t>
  </si>
  <si>
    <t>Бухгалтерия; Начальник отдела труда и заработной платы</t>
  </si>
  <si>
    <t xml:space="preserve"> Страховые взносы и страховые отчисления</t>
  </si>
  <si>
    <t>Страховые взносы и отчисления</t>
  </si>
  <si>
    <t>2.03.15</t>
  </si>
  <si>
    <t>Страховые взносы с вознаграждения договорников прочих</t>
  </si>
  <si>
    <t>2.03.16</t>
  </si>
  <si>
    <t>Резерв страховых взносов и страховых отчислений на оплату отпусков</t>
  </si>
  <si>
    <t>2.03.17</t>
  </si>
  <si>
    <t>ЗП Затраты на оплату труда по договорам подряда (не сотрудники)</t>
  </si>
  <si>
    <t>Директор по реализации услуг; Главный инженер - технический директор; Директор по экономике; Начальник службы безопасности</t>
  </si>
  <si>
    <t>Начальник службы учета электроэнергии; Начальник отдела производственного контроля и охраны труда; Начальник планово-экономического отдела; Служба безопасности</t>
  </si>
  <si>
    <t xml:space="preserve">2.04          </t>
  </si>
  <si>
    <t>Прочие расходы по работникам</t>
  </si>
  <si>
    <t>Командировочные расходы  Суточные</t>
  </si>
  <si>
    <t>Помощник генерального директора</t>
  </si>
  <si>
    <t>Начальник административно-хозяйственного отдела</t>
  </si>
  <si>
    <t>пропорционально сумме выручке ПЭ (содержание), ТП</t>
  </si>
  <si>
    <t>Командировочные расходы  Затраты на проезд</t>
  </si>
  <si>
    <t>2.04.05</t>
  </si>
  <si>
    <t>Начальник отдела управления персоналом</t>
  </si>
  <si>
    <t>Расходы на сотр. Компенсационные выплаты  (охрана труда)</t>
  </si>
  <si>
    <t>Начальник отдела производственного контроля и охраны труда</t>
  </si>
  <si>
    <t xml:space="preserve">2.05          </t>
  </si>
  <si>
    <t>Аренда имущества</t>
  </si>
  <si>
    <t xml:space="preserve">2.06          </t>
  </si>
  <si>
    <t>Материальные расходы</t>
  </si>
  <si>
    <t>Начальник отдела организации управленческой деятельности</t>
  </si>
  <si>
    <t>ТМЦ Канц. расходы  прочие</t>
  </si>
  <si>
    <t>ТМЦ Канц. расходы  папки</t>
  </si>
  <si>
    <t>Начальник отдела информационных технологий</t>
  </si>
  <si>
    <t>Начальник отдела телемеханики и связи</t>
  </si>
  <si>
    <t>Начальник электротехнического отдела</t>
  </si>
  <si>
    <t>Специалист по мобилизационной подготовке, ГО и ЧС</t>
  </si>
  <si>
    <t>ТМЦ ТБ  материальные расходы, связанные с соблюдением техн. Безопасности</t>
  </si>
  <si>
    <t>Начальник отдела производственного контроля и охраны труда; начальник отдела механизации и транспорта</t>
  </si>
  <si>
    <t>ТМЦ ТБ спецодежда - комплекты,устойчивых к воздействию эл.дуги</t>
  </si>
  <si>
    <t xml:space="preserve">2.06.48       </t>
  </si>
  <si>
    <t>2.06.49</t>
  </si>
  <si>
    <t>2.06.50</t>
  </si>
  <si>
    <t>ТМЦ Материальные расходы по техприсоединению</t>
  </si>
  <si>
    <t>Служба безопасности</t>
  </si>
  <si>
    <t>Бланки договоров энергоснабжения</t>
  </si>
  <si>
    <t xml:space="preserve">2.07          </t>
  </si>
  <si>
    <t>Услуги сторонних организаций</t>
  </si>
  <si>
    <t xml:space="preserve">2.07.01       </t>
  </si>
  <si>
    <t>Коммунальные, другие платежи по содержанию зданий (стор.орг.)</t>
  </si>
  <si>
    <t>2.07.02</t>
  </si>
  <si>
    <t>Ремонты стор. орг., услуги подрядчиков</t>
  </si>
  <si>
    <t>Ремонт капитальный производственных объектов (стор. орг.)</t>
  </si>
  <si>
    <t>Начальник отдела релейной защиты и автоматики</t>
  </si>
  <si>
    <t>Ремонт мебели и быт. техники (стор.орг.)</t>
  </si>
  <si>
    <t>2.07.03</t>
  </si>
  <si>
    <t xml:space="preserve">2.07.04       </t>
  </si>
  <si>
    <t>Бухгалтерия</t>
  </si>
  <si>
    <t>Начальник управления правового обеспечения</t>
  </si>
  <si>
    <t>Прочие услуги Поверка измерительного оборудования</t>
  </si>
  <si>
    <t>Начальник отдела релейной защиты и автоматики; Начальник отдела механизации и транспорта</t>
  </si>
  <si>
    <t>2.07.04.25</t>
  </si>
  <si>
    <t>Прочие услуги Информационно-вычислительное обслуживание (прогр. обеспечение)</t>
  </si>
  <si>
    <t>Прочие услуги  Утилизация шин</t>
  </si>
  <si>
    <t>Начальник отдела по связям с общественностью</t>
  </si>
  <si>
    <t>Прочие услуги Расчет и экспертиза нормативных потерь</t>
  </si>
  <si>
    <t>Начальник отдела технической поддержки и контроля мощности</t>
  </si>
  <si>
    <t>Начальник электротехнического отдела, Начальник отдела релейной защиты и автоматики</t>
  </si>
  <si>
    <t xml:space="preserve">Прочие услуги по техническому обслуживания устройств РЗА </t>
  </si>
  <si>
    <t xml:space="preserve">2.08          </t>
  </si>
  <si>
    <t>Другие расходы из себестоимости</t>
  </si>
  <si>
    <t>2.08.01</t>
  </si>
  <si>
    <t>2.08.06</t>
  </si>
  <si>
    <t>Прочие расходы Фонд Главного инженера-технического директора</t>
  </si>
  <si>
    <t>2.08.07</t>
  </si>
  <si>
    <t>Прочие расходы Фонд Директора по реализации услуг</t>
  </si>
  <si>
    <t>2.08.08</t>
  </si>
  <si>
    <t>Прочие расходы фонд Директора по капитальному строительству</t>
  </si>
  <si>
    <t>Итого Постоянные:</t>
  </si>
  <si>
    <t>Операционные :</t>
  </si>
  <si>
    <t xml:space="preserve">2.09          </t>
  </si>
  <si>
    <t>Прочие расходы 2</t>
  </si>
  <si>
    <t>ПР Инкасация</t>
  </si>
  <si>
    <t>2.09.12</t>
  </si>
  <si>
    <t>ПР Штрафы, пени по договорам от оказания услуг по технологическому присоединению</t>
  </si>
  <si>
    <r>
      <t xml:space="preserve">ПР по списанию ТМЦ НП - 428637,87; пр ндс начисл - 425331,33; пв резерв на оплату отп - 2160924,65; пр от выявл бездог потребл - 21664,43; пр др обосн р/х - 3555989,29; </t>
    </r>
    <r>
      <rPr>
        <sz val="16"/>
        <color rgb="FFFF0000"/>
        <rFont val="Times New Roman"/>
        <family val="1"/>
        <charset val="204"/>
      </rPr>
      <t>пр налог на имущ -  132299; пр недостачи выявл при - 91235,58; пр по возвр авиабилетов - 24158,33; пр по командировкам - 103089,99; пр по провед собр акционер - 75741,52; -30 = 426494,42 (пр расходы к расш. к форме 2)</t>
    </r>
  </si>
  <si>
    <t>2.09.21</t>
  </si>
  <si>
    <t>ПР по вакцинации сотрудников</t>
  </si>
  <si>
    <t>2.09.27</t>
  </si>
  <si>
    <t>2.09.28</t>
  </si>
  <si>
    <t>ПР по содержанию отдела медицинского обеспечения</t>
  </si>
  <si>
    <t>2.09.30</t>
  </si>
  <si>
    <t>2.09.32</t>
  </si>
  <si>
    <t xml:space="preserve">ПР по резерву под обесценение финансовых вложений </t>
  </si>
  <si>
    <t xml:space="preserve">ПВ Премия за выявление неучтенного потребления ЭЭ </t>
  </si>
  <si>
    <t>Соц. хар. Материальная помощь к Дню Энергетика</t>
  </si>
  <si>
    <t>Соц. хар. Выплаты , награждения к Дню Энергетика</t>
  </si>
  <si>
    <t xml:space="preserve"> Страховые взносы и страховые отчисления от ПВ и соц. хар.</t>
  </si>
  <si>
    <t>2.09.54</t>
  </si>
  <si>
    <t>2.09.55</t>
  </si>
  <si>
    <t>ПР Представительские (не подтвержденные документами)</t>
  </si>
  <si>
    <t>2.09.56</t>
  </si>
  <si>
    <t>2.09.57</t>
  </si>
  <si>
    <t>ПР Штрафы, пени по договорам, кроме договоров от оказания услуг по технологическому присоединению</t>
  </si>
  <si>
    <t>2.09.58</t>
  </si>
  <si>
    <t>Итого Операционные:</t>
  </si>
  <si>
    <t>Чрезвычайные :</t>
  </si>
  <si>
    <t xml:space="preserve">2.10         </t>
  </si>
  <si>
    <t>Чрезвычайные расходы</t>
  </si>
  <si>
    <t>Итого Чрезвычайные:</t>
  </si>
  <si>
    <t>Налог на прибыль :</t>
  </si>
  <si>
    <t xml:space="preserve">2.11       </t>
  </si>
  <si>
    <t>Распределение прибыли, налоговые активы и обязательства</t>
  </si>
  <si>
    <t>Бухгалтерия; Начальник планово-экономического отдела</t>
  </si>
  <si>
    <t>подсчет</t>
  </si>
  <si>
    <t>Главный бухгалтер; Директор по финансам</t>
  </si>
  <si>
    <t>Бухгалтерия; Начальник финансового управления</t>
  </si>
  <si>
    <t>2.11.08</t>
  </si>
  <si>
    <t>Дивиденды (показатель, отражающий экономическую суть в бухгалтерском балансе Общества и влияющий на изменение величины капитала)</t>
  </si>
  <si>
    <t>Итого Налог на прибыль:</t>
  </si>
  <si>
    <t>Всего постоянных и переменных :</t>
  </si>
  <si>
    <t>Всего расходов без переменных :</t>
  </si>
  <si>
    <t>Чистая прибыль :</t>
  </si>
  <si>
    <t>EBITDA :</t>
  </si>
  <si>
    <t>НВВ :</t>
  </si>
  <si>
    <t xml:space="preserve">  - капитальные вложения производственного характера</t>
  </si>
  <si>
    <t>- повышение энергоэффективности</t>
  </si>
  <si>
    <t>- денежные выплаты социального характера (по Коллективному договору)</t>
  </si>
  <si>
    <t>- прочие расходы</t>
  </si>
  <si>
    <t>Прибыль от товарной продукции</t>
  </si>
  <si>
    <t>* статьи изменившие КБС</t>
  </si>
  <si>
    <t>иск. Статьи:</t>
  </si>
  <si>
    <t>техобслуживание: ККМ</t>
  </si>
  <si>
    <t>повышение квалификации - командировочные расходы</t>
  </si>
  <si>
    <t>НВВ утв.</t>
  </si>
  <si>
    <t>откл. (исключено из статей)</t>
  </si>
  <si>
    <t xml:space="preserve">ВСЕГО </t>
  </si>
  <si>
    <t>цфу-1</t>
  </si>
  <si>
    <t>цфу-2</t>
  </si>
  <si>
    <t>цфу-3</t>
  </si>
  <si>
    <t>цфу-4</t>
  </si>
  <si>
    <t>цфу-5</t>
  </si>
  <si>
    <t>цфу-6</t>
  </si>
  <si>
    <t>цфу-7</t>
  </si>
  <si>
    <t>цфу-8</t>
  </si>
  <si>
    <t>цфу-9</t>
  </si>
  <si>
    <t>цфу-10</t>
  </si>
  <si>
    <t>Обязательные расходы на содержание в т.ч
 (ремонтная программа)</t>
  </si>
  <si>
    <t xml:space="preserve"> Страховые взносы и отчисления</t>
  </si>
  <si>
    <t>Ремонтная программа</t>
  </si>
  <si>
    <t>Наименование</t>
  </si>
  <si>
    <t>План скорректированный
 редакция 15.02.2015г.</t>
  </si>
  <si>
    <t>План скорректированный редакция 15.02.2015г. 
в том числе:</t>
  </si>
  <si>
    <t>Сальдо доходов и расходов по резерву сомнительных долгов</t>
  </si>
  <si>
    <t>Бюджет доходов и расходов</t>
  </si>
  <si>
    <t>Показатели баланса электроэнергии</t>
  </si>
  <si>
    <t>План скорректированный редакция 15.02.2015г.</t>
  </si>
  <si>
    <t>№п/п</t>
  </si>
  <si>
    <t>показатель</t>
  </si>
  <si>
    <t>ед.изм.</t>
  </si>
  <si>
    <t>Прием электроэнергии в сеть</t>
  </si>
  <si>
    <t>тыс.кВтч.</t>
  </si>
  <si>
    <t>Величина норматива технологического расхода (потерь) электроэнергии</t>
  </si>
  <si>
    <t>Потери электроэнергии всетях</t>
  </si>
  <si>
    <t>Полезный отпуск электроэнергии</t>
  </si>
  <si>
    <t>Величина максимальной (разрешенной) мощности</t>
  </si>
  <si>
    <t>Выручка</t>
  </si>
  <si>
    <r>
      <t>По основной деятельности (</t>
    </r>
    <r>
      <rPr>
        <i/>
        <sz val="10"/>
        <rFont val="Times New Roman Cyr"/>
        <charset val="204"/>
      </rPr>
      <t>расшифровать по проектам</t>
    </r>
    <r>
      <rPr>
        <sz val="10"/>
        <rFont val="Times New Roman Cyr"/>
        <charset val="204"/>
      </rPr>
      <t>)</t>
    </r>
  </si>
  <si>
    <t>Ставки</t>
  </si>
  <si>
    <t>Услуги по передаче электрической энергии</t>
  </si>
  <si>
    <t>Услуги по технологическому присоединению</t>
  </si>
  <si>
    <t>Прочая основная деятельность</t>
  </si>
  <si>
    <t>Ставка на содержание электрических сетей - среднегодовая</t>
  </si>
  <si>
    <t>руб./ кВт*мес.</t>
  </si>
  <si>
    <t>По неосновной деятельности</t>
  </si>
  <si>
    <t>Ставка на оплату технологического расхода (потерь) - среднегодовая, в том числе:</t>
  </si>
  <si>
    <t>руб./кВтч</t>
  </si>
  <si>
    <t>Себестоимость продаж</t>
  </si>
  <si>
    <t>на 01.01.2015</t>
  </si>
  <si>
    <t>Расходы на содержание</t>
  </si>
  <si>
    <t>на 01.02.2015</t>
  </si>
  <si>
    <t xml:space="preserve"> 2.1.1</t>
  </si>
  <si>
    <t>Среднегодовой одноставочный тариф на оказание услуг по передаче электрической энергии,  в том числе:</t>
  </si>
  <si>
    <t xml:space="preserve"> 2.1.2</t>
  </si>
  <si>
    <t>3.1.</t>
  </si>
  <si>
    <t xml:space="preserve"> 2.1.3</t>
  </si>
  <si>
    <t>страховые взносы и отчисления</t>
  </si>
  <si>
    <t>3.2.</t>
  </si>
  <si>
    <t xml:space="preserve"> 2.1.4</t>
  </si>
  <si>
    <t>услуги сторонних организаций</t>
  </si>
  <si>
    <t xml:space="preserve"> 2.1.5</t>
  </si>
  <si>
    <t>Оказание услуг по технологическому присоединению</t>
  </si>
  <si>
    <t xml:space="preserve"> 2.1.6</t>
  </si>
  <si>
    <t>аренда имущества</t>
  </si>
  <si>
    <t xml:space="preserve"> 2.1.7</t>
  </si>
  <si>
    <t>2.2</t>
  </si>
  <si>
    <t>Энергоресурсы</t>
  </si>
  <si>
    <t>Объемы реализации, в том числе:</t>
  </si>
  <si>
    <t>Валовая прибыль, всего</t>
  </si>
  <si>
    <t>до 15 Квт</t>
  </si>
  <si>
    <t>свыше 15 кВт присоединяемая мощность по фиксированным тарифам</t>
  </si>
  <si>
    <t>кВт</t>
  </si>
  <si>
    <t>1.2.1.</t>
  </si>
  <si>
    <t>15-100 кВт</t>
  </si>
  <si>
    <t>Прибыль от продаж</t>
  </si>
  <si>
    <t>1.2.2.</t>
  </si>
  <si>
    <t>от 100 до 750 кВт</t>
  </si>
  <si>
    <t>7.</t>
  </si>
  <si>
    <t>1.2.3.</t>
  </si>
  <si>
    <t>свыше 750 кВт</t>
  </si>
  <si>
    <t>8.</t>
  </si>
  <si>
    <t>Выручка от оказания услуг по технологическому присоединению, в том числе:</t>
  </si>
  <si>
    <t>9.</t>
  </si>
  <si>
    <t>для потребителей до 15 кВт</t>
  </si>
  <si>
    <t>10.</t>
  </si>
  <si>
    <t>фиксированные тарифные ставки для потребителей от 15 до 100 кВт, от 100 до 750 кВт и свыше 750 кВт</t>
  </si>
  <si>
    <t>11.</t>
  </si>
  <si>
    <t>Прибыль (убыток) до налогообложения</t>
  </si>
  <si>
    <t>12.</t>
  </si>
  <si>
    <t>Изменение отложенных налоговых активов</t>
  </si>
  <si>
    <t>13.</t>
  </si>
  <si>
    <t>Изменение отложенных налоговых обязательств</t>
  </si>
  <si>
    <t>Плановые тарифные источники реализации  (финансирования, освоения, ввода) мероприятий инвестиционной программы (в рамках сметы на содержание электросетей, утвержденной РЭК-ДЦТ КК,  и сформированного бизнес-плана Общества)</t>
  </si>
  <si>
    <t>14.</t>
  </si>
  <si>
    <t>Текущий налог на прибыль</t>
  </si>
  <si>
    <t>15.</t>
  </si>
  <si>
    <t>Прочее</t>
  </si>
  <si>
    <t>16.</t>
  </si>
  <si>
    <t>17.</t>
  </si>
  <si>
    <t>Избыток (недостаток) средств</t>
  </si>
  <si>
    <t>РЭК</t>
  </si>
  <si>
    <t>БП</t>
  </si>
  <si>
    <t>Всего источников на реализацию инвестиционной программы</t>
  </si>
  <si>
    <t>тыс.руб. без НДС</t>
  </si>
  <si>
    <r>
      <t>Бюджет доходов и расходов</t>
    </r>
    <r>
      <rPr>
        <b/>
        <i/>
        <sz val="13"/>
        <color indexed="8"/>
        <rFont val="Times New Roman"/>
        <family val="1"/>
        <charset val="204"/>
      </rPr>
      <t xml:space="preserve"> (без учета выпадающих доходов)</t>
    </r>
  </si>
  <si>
    <t>чистая прибыль (капитальные вложения производственного характера)</t>
  </si>
  <si>
    <t>лизинг производственных активов, в том числе:</t>
  </si>
  <si>
    <t>1.3.1.</t>
  </si>
  <si>
    <t>лизинг АИИСКУЭ</t>
  </si>
  <si>
    <t>1.3.2.</t>
  </si>
  <si>
    <t>1.3.3.</t>
  </si>
  <si>
    <t>1.3.4.</t>
  </si>
  <si>
    <t>лизинг АИСДУ</t>
  </si>
  <si>
    <t>Всего источников на реализацию инвестиционной программы (без учета лизинга)</t>
  </si>
  <si>
    <t>№ для ТД</t>
  </si>
  <si>
    <t>2017 год</t>
  </si>
  <si>
    <t>комментарии</t>
  </si>
  <si>
    <t>ФАКТ ожидаемый (по данным бухгалтерии 05.02.16)</t>
  </si>
  <si>
    <t xml:space="preserve">факт по данным АО "НЭСК-электросети" </t>
  </si>
  <si>
    <t xml:space="preserve">в т.ч.  по услуге на передачу электроэнергии </t>
  </si>
  <si>
    <t>план (утв. органом регулирования) (2014г.)</t>
  </si>
  <si>
    <t>план (заявка)</t>
  </si>
  <si>
    <t>план утв. органом регулирования</t>
  </si>
  <si>
    <t>план (утв. органом регулирования) 
(2014 г.)</t>
  </si>
  <si>
    <t>предложение ЦФУ</t>
  </si>
  <si>
    <t>% инфляции (2017  предложение ЦФУ/2015 ожид.факт)</t>
  </si>
  <si>
    <t xml:space="preserve">абс. откл. предложение ЦФУ от план 2017 (утв. органом регулирования) </t>
  </si>
  <si>
    <t xml:space="preserve">предложение АО "НЭСК-электросети" </t>
  </si>
  <si>
    <t>13 = 12/5</t>
  </si>
  <si>
    <t>14 = 12-11</t>
  </si>
  <si>
    <t>26</t>
  </si>
  <si>
    <t xml:space="preserve">1. Приборы для техн. учета на ТП 10(6)/0,4 кВ для проведения пофидерного анализа и локализации очагов потерь в количестве – 730 шт. По решению руководства компании приобретение данных приборов и проведение пофидерного анализа является приоритетной задачей.
2. 1ф счётчики для замены у бытовых потребителей (инвалидов, ветеранов, малоимущих) в количестве – 2550 шт.
3. Токоограничивающие приборы учёта для прохождения летнего максимума нагрузок в количестве – 960 шт.  Не приобретение данных приборов может повлечь за собой аварии из-за перегруженности сетей в результате превышения потребителями разрешенной мощности и как следствие применение санкций к компании.
4. Приборы учёта для установки потребителям группы риска, для предотвращения хищения электроэнергии в количестве – 1210 шт. 
Не приобретение данного типа приборов напрямую влияет на увеличения фактических потерь компании, возникающих в результате хищения электроэнергии  и, как следствие, недополучение выручки предприятием.
5. Приборы учёта прямого и трансформаторного включения для установки потребителям, а так же приборы учёта для МКД в количестве 290 шт.        </t>
  </si>
  <si>
    <t>Обор-е для установки потребителям группы риска (ВПУ – 1160 шт., ВПУ с возможностью дистанционного съема – 2155 шт. ) Не выполнение плана по установке ВПУ – прямое не выполнение норматива потерь, что для компании не допустимо.  Кроме того установка ВПУ с возможностью дистанционного съема показаний позволит не выезжать на место для проведения контрольного съема показаний, а так же позволит экономить время на выполнение данных работ и сократит затраты на использование автотранспорта компании.</t>
  </si>
  <si>
    <t>в связи с эксплуатацией системы АИИСКУЭ в течение 10л., необходима замена приборов учета, трансформаторов тока, оборудования ИВК (ИБП, модемы, преобразователи интерфейсов)</t>
  </si>
  <si>
    <t>45</t>
  </si>
  <si>
    <t>46</t>
  </si>
  <si>
    <t>47</t>
  </si>
  <si>
    <t>48</t>
  </si>
  <si>
    <t>49</t>
  </si>
  <si>
    <t>50</t>
  </si>
  <si>
    <t>95</t>
  </si>
  <si>
    <t>в связи с внедрением в эксплуатацию системы АИСДУ</t>
  </si>
  <si>
    <t>затраты на оформление з/у при определении границ охранных зон согл. ПП РФ от 24.02.2009 №160. Филиалами устанавливаются ТП, собственником з/у под ТП яв-ся муниципальные образования. Необходимо оформить з/у, к-рые будут переданы в аренду согл. ст. 36 Земельного кодекса РФ.</t>
  </si>
  <si>
    <t>в связи с расторжением договора (Атлан)</t>
  </si>
  <si>
    <t>133</t>
  </si>
  <si>
    <t>обследование проводится 1 раз в 5 лет</t>
  </si>
  <si>
    <t>2.07.04.61</t>
  </si>
  <si>
    <t>Прочие услуги Клининговые и прочие услуги хоз. характера</t>
  </si>
  <si>
    <t>2.07.04.62</t>
  </si>
  <si>
    <t>Прочие услуги Прочее обслуживание автотранспортных средств</t>
  </si>
  <si>
    <t>1.5.1.5.46</t>
  </si>
  <si>
    <t>157</t>
  </si>
  <si>
    <t>158</t>
  </si>
  <si>
    <t>увеличение стоимости оказываемых услуг в связи с предоставленными проектами договоров филиалами с организациями, имеющими лицензию на вывоз ТБО, составленных во избежание образования состава административного правонарушения по ст. 8.2. КРФ от 30.12.2011№ 195-Ф3</t>
  </si>
  <si>
    <t>182</t>
  </si>
  <si>
    <t>183</t>
  </si>
  <si>
    <t>193</t>
  </si>
  <si>
    <t>206</t>
  </si>
  <si>
    <t>207</t>
  </si>
  <si>
    <t>225</t>
  </si>
  <si>
    <t>226</t>
  </si>
  <si>
    <t>227</t>
  </si>
  <si>
    <t>228</t>
  </si>
  <si>
    <t>229</t>
  </si>
  <si>
    <t>231</t>
  </si>
  <si>
    <t>232</t>
  </si>
  <si>
    <t>233</t>
  </si>
  <si>
    <t>234</t>
  </si>
  <si>
    <t>235</t>
  </si>
  <si>
    <t>236</t>
  </si>
  <si>
    <t>237</t>
  </si>
  <si>
    <t>238</t>
  </si>
  <si>
    <t>239</t>
  </si>
  <si>
    <t>241</t>
  </si>
  <si>
    <t>242</t>
  </si>
  <si>
    <t>243</t>
  </si>
  <si>
    <t>244</t>
  </si>
  <si>
    <t>245</t>
  </si>
  <si>
    <t>2.11.36</t>
  </si>
  <si>
    <t>246</t>
  </si>
  <si>
    <t>2.11.37</t>
  </si>
  <si>
    <t>247</t>
  </si>
  <si>
    <t>работы и услуги производственного характера (в том числе услуги сторонних организаций по содержанию сетей и распределительных устройств)</t>
  </si>
  <si>
    <t>1.1.3.3.18</t>
  </si>
  <si>
    <t>Прочие расходы СМИ</t>
  </si>
  <si>
    <t>план</t>
  </si>
  <si>
    <t>Другие внереализационные расходы</t>
  </si>
  <si>
    <t>2.3</t>
  </si>
  <si>
    <t>2.4</t>
  </si>
  <si>
    <t>Увеличение обусловлено  недоучетом в плановых величинах  экономически обоснованных затрат (расходов)  по причине  определения планируемой величины по фактическим затратам предыдущего периода регулирования в соответствии с Основами ценообразования.</t>
  </si>
  <si>
    <t>Увеличение обусловлено  недоучетом в плановых величинах  экономически обоснованных затрат (расходов)  по причине  применения органом регулирования при установлении индивидуальных тарифов на оказание услуг по передаче электрической энергии  для взаиморасчетов между сетевыми организациями сценарных условий  Правительства РФ, направленных на сдерживание роста тарифов на электрическую энергию для потребителей, а также без учета норм локально-распорядительных документов, действующих в Обществе.</t>
  </si>
  <si>
    <t>Рост фактических и относительных (условных единиц) величин обусловлен строительством новых объектов (электроустановок) напряжением (6-10-35 кВ) по инвестиционной программе и технологическому присоединению.</t>
  </si>
  <si>
    <t>Изменение обусловлено административной процедурой (процедура учитывает сроки и порядок документооборота) получения   разрешений Ростехнадзора  на допуск в эксплуатацию  электроустановок.</t>
  </si>
  <si>
    <t>форма 1.6., отклонение за счет услуг по контрольному съему показаний приборов учета и мед. Осмотру</t>
  </si>
  <si>
    <t>данные из форм 1.6, 1.3</t>
  </si>
  <si>
    <t>данные макета</t>
  </si>
  <si>
    <t>Информация о расходах отражена справочно, расчет расходов произведен в соответствии с нормой п.87 Основ ценообразования и нормативно-правовых актов в области государственного регулирования цен  и тарифов на электрическую энергию.</t>
  </si>
  <si>
    <t>Увеличение обусловлено  недоучетом в плановых величинах  экономически обоснованных затрат (расходов)  по причине  определения планируемого уровня расходов на 2015 год  методом индексации</t>
  </si>
  <si>
    <t>изменение обусловлено снижением налоговой базы по налогу на прибыль, расчет произведен в соответствии с действующим законодательством - глава 25 "Налог на прибыль" Налогового кодекса РФ, по ставке 20%</t>
  </si>
  <si>
    <t>руб./кВт·ч</t>
  </si>
  <si>
    <t>Приложение №1</t>
  </si>
  <si>
    <t>к предложению о размере цен (тарифов),
 долгосрочных параметров регулирования</t>
  </si>
  <si>
    <t>Раздел 2.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</si>
  <si>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Приложение №5</t>
  </si>
  <si>
    <t>Раздел 3. Цены (тарифы) по регулируемым видам деятельности организации</t>
  </si>
  <si>
    <t xml:space="preserve">Письмо в РЭК ДЦТ КК №10.НС-08/499/2658 от 31.03.2016 "О предоставлении отчета по инвестиционной программе"
</t>
  </si>
  <si>
    <t xml:space="preserve">Приложение 
к стандартам раскрытия информации
субъектами оптового и розничных
рынков электрической энергии
</t>
  </si>
  <si>
    <t>о размере цен (тарифов), долгосрочных параметров регулирования</t>
  </si>
  <si>
    <t>(расчетный период регулирования)</t>
  </si>
  <si>
    <t>(полное и сокращенное наименование юридического лица)</t>
  </si>
  <si>
    <t>Акционерное общество "НЭСК-электросети" (АО "НЭСК-электросети")</t>
  </si>
  <si>
    <t xml:space="preserve">
Раздел 1. Информация об организации</t>
  </si>
  <si>
    <r>
      <t xml:space="preserve">(вид цены (тарифа) на       </t>
    </r>
    <r>
      <rPr>
        <u/>
        <sz val="16"/>
        <color theme="1"/>
        <rFont val="Times New Roman"/>
        <family val="1"/>
        <charset val="204"/>
      </rPr>
      <t xml:space="preserve">                          2017 год                              </t>
    </r>
    <r>
      <rPr>
        <sz val="16"/>
        <color theme="1"/>
        <rFont val="Times New Roman"/>
        <family val="1"/>
        <charset val="204"/>
      </rPr>
      <t xml:space="preserve">
(расчетный период регулирования)
</t>
    </r>
  </si>
  <si>
    <t>** - по данной строке отражена необходимая валовая выручка на содержание электрических сетей;</t>
  </si>
  <si>
    <t>руб./МВт в мес.</t>
  </si>
  <si>
    <t>руб./МВт·ч</t>
  </si>
  <si>
    <t>наименование показателей</t>
  </si>
  <si>
    <t>фактические показатели за год, предшествующий базовому периоду
2015</t>
  </si>
  <si>
    <t>показатели, утвержденные на базовый период
2016</t>
  </si>
  <si>
    <t xml:space="preserve">показатели, утвержденные на 2015 год
приказом № 42/2015-э 
от 24.06.2015 </t>
  </si>
  <si>
    <t>показатели, утвержденные на 2016 год приказами № 88/2015-э от 29.12.2015, №1/2016-э от 13.01.2016</t>
  </si>
  <si>
    <t>350033, г. Краснодар, пер. Переправный, 13, офис 103 А</t>
  </si>
  <si>
    <t>230901001/230750001</t>
  </si>
  <si>
    <t>Краснянская Ольга Игоревна</t>
  </si>
  <si>
    <t>(861) 992-11-00</t>
  </si>
  <si>
    <t>(861) 992-10-99</t>
  </si>
  <si>
    <t>предложения (актуализация) на расчетный период регулирования
2017</t>
  </si>
  <si>
    <t xml:space="preserve">Программа по энергосбережению и повышению энергетической эффективности АО "НЭСК-электросети" на 2013 - 2017 годы, разработана на основании рекомендаций Энергетического паспорта ОАО "НЭСК-электросети" от ноября 2012 года. Утверждена в 2013 году Генеральным директором Общества. Направлена в РЭК - ДЦ и Т КК сопроводительными письмами: от 14.03.2013 № 26.1НС-05/0886; от 09.07.2013 № 26.1НС-05/2606; от 30.01.2014 № 6.2НС-15/37/2014. </t>
  </si>
  <si>
    <t>предложения (актуализация) на 2017 год</t>
  </si>
  <si>
    <t>АКТУАЛИЗИРОВАННОЕ ПРЕДЛОЖЕНИЕ</t>
  </si>
  <si>
    <t>Приложение №2</t>
  </si>
  <si>
    <t>к предложению о размере цен (тарифов),  долгосрочных параметров регулирования</t>
  </si>
  <si>
    <t>АО "НЭСК-электросети" не является членом отраслевого тарифного соглашения  в электроэнергетике РФ, так как  затраты и взносы по вступлению и нахождению в данном соглашении не учитываются при определении необходимой валовой выручки ввиду того, что они являются добровольными.</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</si>
</sst>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7" formatCode="#,##0.00&quot;р.&quot;;\-#,##0.00&quot;р.&quot;"/>
    <numFmt numFmtId="41" formatCode="_-* #,##0_р_._-;\-* #,##0_р_._-;_-* &quot;-&quot;_р_._-;_-@_-"/>
    <numFmt numFmtId="44" formatCode="_-* #,##0.00&quot;р.&quot;_-;\-* #,##0.00&quot;р.&quot;_-;_-* &quot;-&quot;??&quot;р.&quot;_-;_-@_-"/>
    <numFmt numFmtId="43" formatCode="_-* #,##0.00_р_._-;\-* #,##0.00_р_._-;_-* &quot;-&quot;??_р_._-;_-@_-"/>
    <numFmt numFmtId="164" formatCode="#,##0.0"/>
    <numFmt numFmtId="165" formatCode="#,##0.00_ ;\-#,##0.00\ "/>
    <numFmt numFmtId="166" formatCode="#,##0_ ;\-#,##0\ "/>
    <numFmt numFmtId="167" formatCode="0.0%"/>
    <numFmt numFmtId="168" formatCode="#,##0.000_ ;\-#,##0.000\ "/>
    <numFmt numFmtId="169" formatCode="#,##0.0000_ ;\-#,##0.0000\ "/>
    <numFmt numFmtId="170" formatCode="0.000"/>
    <numFmt numFmtId="171" formatCode="0_ ;\-0\ "/>
    <numFmt numFmtId="172" formatCode="0.0"/>
    <numFmt numFmtId="173" formatCode="_-* #,##0.00[$€-1]_-;\-* #,##0.00[$€-1]_-;_-* &quot;-&quot;??[$€-1]_-"/>
    <numFmt numFmtId="174" formatCode="0.0%_);\(0.0%\)"/>
    <numFmt numFmtId="175" formatCode="#,##0_);[Red]\(#,##0\)"/>
    <numFmt numFmtId="176" formatCode="#,##0;\(#,##0\)"/>
    <numFmt numFmtId="177" formatCode="_-* #,##0.00\ _$_-;\-* #,##0.00\ _$_-;_-* &quot;-&quot;??\ _$_-;_-@_-"/>
    <numFmt numFmtId="178" formatCode="#.##0\.00"/>
    <numFmt numFmtId="179" formatCode="#\.00"/>
    <numFmt numFmtId="180" formatCode="\$#\.00"/>
    <numFmt numFmtId="181" formatCode="#\."/>
    <numFmt numFmtId="182" formatCode="General_)"/>
    <numFmt numFmtId="183" formatCode="_-* #,##0&quot;đ.&quot;_-;\-* #,##0&quot;đ.&quot;_-;_-* &quot;-&quot;&quot;đ.&quot;_-;_-@_-"/>
    <numFmt numFmtId="184" formatCode="_-* #,##0.00&quot;đ.&quot;_-;\-* #,##0.00&quot;đ.&quot;_-;_-* &quot;-&quot;??&quot;đ.&quot;_-;_-@_-"/>
    <numFmt numFmtId="185" formatCode="&quot;$&quot;#,##0_);[Red]\(&quot;$&quot;#,##0\)"/>
    <numFmt numFmtId="186" formatCode="\$#,##0\ ;\(\$#,##0\)"/>
    <numFmt numFmtId="187" formatCode="#,##0.000[$р.-419];\-#,##0.000[$р.-419]"/>
    <numFmt numFmtId="188" formatCode="_-* #,##0.0\ _$_-;\-* #,##0.0\ _$_-;_-* &quot;-&quot;??\ _$_-;_-@_-"/>
    <numFmt numFmtId="189" formatCode="_([$€]* #,##0.00_);_([$€]* \(#,##0.00\);_([$€]* &quot;-&quot;??_);_(@_)"/>
    <numFmt numFmtId="190" formatCode="#,##0.0_);\(#,##0.0\)"/>
    <numFmt numFmtId="191" formatCode="#,##0_ ;[Red]\-#,##0\ "/>
    <numFmt numFmtId="192" formatCode="#,##0_);[Blue]\(#,##0\)"/>
    <numFmt numFmtId="193" formatCode="_-* #,##0_-;\-* #,##0_-;_-* &quot;-&quot;_-;_-@_-"/>
    <numFmt numFmtId="194" formatCode="_-* #,##0.00_-;\-* #,##0.00_-;_-* &quot;-&quot;??_-;_-@_-"/>
    <numFmt numFmtId="195" formatCode="#,##0__\ \ \ \ "/>
    <numFmt numFmtId="196" formatCode="_-&quot;£&quot;* #,##0_-;\-&quot;£&quot;* #,##0_-;_-&quot;£&quot;* &quot;-&quot;_-;_-@_-"/>
    <numFmt numFmtId="197" formatCode="_-&quot;£&quot;* #,##0.00_-;\-&quot;£&quot;* #,##0.00_-;_-&quot;£&quot;* &quot;-&quot;??_-;_-@_-"/>
    <numFmt numFmtId="198" formatCode="#,##0.0;[Red]#,##0.0"/>
    <numFmt numFmtId="199" formatCode="_-* #,##0_đ_._-;\-* #,##0_đ_._-;_-* &quot;-&quot;_đ_._-;_-@_-"/>
    <numFmt numFmtId="200" formatCode="_-* #,##0.00_đ_._-;\-* #,##0.00_đ_._-;_-* &quot;-&quot;??_đ_._-;_-@_-"/>
    <numFmt numFmtId="201" formatCode="\(#,##0.0\)"/>
    <numFmt numFmtId="202" formatCode="#,##0\ &quot;?.&quot;;\-#,##0\ &quot;?.&quot;"/>
    <numFmt numFmtId="203" formatCode="#,##0______;;&quot;------------      &quot;"/>
    <numFmt numFmtId="204" formatCode="#,##0.00_ ;[Red]\-#,##0.00\ "/>
    <numFmt numFmtId="205" formatCode="#,##0.000"/>
    <numFmt numFmtId="206" formatCode="0_)"/>
    <numFmt numFmtId="207" formatCode="_-* #,##0\ _р_._-;\-* #,##0\ _р_._-;_-* &quot;-&quot;\ _р_._-;_-@_-"/>
    <numFmt numFmtId="208" formatCode="_-* #,##0.00\ _р_._-;\-* #,##0.00\ _р_._-;_-* &quot;-&quot;??\ _р_._-;_-@_-"/>
    <numFmt numFmtId="209" formatCode="_(* #,##0.00_);_(* \(#,##0.00\);_(* &quot;-&quot;??_);_(@_)"/>
    <numFmt numFmtId="210" formatCode="_-* #,##0\ _$_-;\-* #,##0\ _$_-;_-* &quot;-&quot;\ _$_-;_-@_-"/>
    <numFmt numFmtId="211" formatCode="%#\.00"/>
    <numFmt numFmtId="212" formatCode="#,##0.000000"/>
    <numFmt numFmtId="213" formatCode="#,##0.0000000"/>
    <numFmt numFmtId="214" formatCode="#,##0.00000"/>
    <numFmt numFmtId="215" formatCode="0.0000"/>
  </numFmts>
  <fonts count="296">
    <font>
      <sz val="11"/>
      <color theme="1"/>
      <name val="Calibri"/>
      <family val="2"/>
      <scheme val="minor"/>
    </font>
    <font>
      <sz val="11"/>
      <color theme="1"/>
      <name val="Calibri"/>
      <family val="2"/>
      <charset val="204"/>
      <scheme val="minor"/>
    </font>
    <font>
      <sz val="11"/>
      <color theme="1"/>
      <name val="Calibri"/>
      <family val="2"/>
      <charset val="204"/>
      <scheme val="minor"/>
    </font>
    <font>
      <sz val="14"/>
      <color theme="1"/>
      <name val="Times New Roman"/>
      <family val="1"/>
      <charset val="204"/>
    </font>
    <font>
      <i/>
      <sz val="14"/>
      <color theme="1"/>
      <name val="Times New Roman"/>
      <family val="1"/>
      <charset val="204"/>
    </font>
    <font>
      <sz val="12"/>
      <color theme="1"/>
      <name val="Times New Roman"/>
      <family val="1"/>
      <charset val="204"/>
    </font>
    <font>
      <u/>
      <sz val="11"/>
      <color theme="10"/>
      <name val="Calibri"/>
      <family val="2"/>
      <scheme val="minor"/>
    </font>
    <font>
      <sz val="12"/>
      <name val="Times New Roman"/>
      <family val="1"/>
      <charset val="204"/>
    </font>
    <font>
      <b/>
      <sz val="14"/>
      <color theme="1"/>
      <name val="Times New Roman"/>
      <family val="1"/>
      <charset val="204"/>
    </font>
    <font>
      <sz val="11"/>
      <color theme="1"/>
      <name val="Times New Roman"/>
      <family val="1"/>
      <charset val="204"/>
    </font>
    <font>
      <sz val="8"/>
      <color theme="1"/>
      <name val="Times New Roman"/>
      <family val="1"/>
      <charset val="204"/>
    </font>
    <font>
      <sz val="10"/>
      <color theme="1"/>
      <name val="Times New Roman"/>
      <family val="1"/>
      <charset val="204"/>
    </font>
    <font>
      <b/>
      <sz val="16"/>
      <color theme="1"/>
      <name val="Times New Roman"/>
      <family val="1"/>
      <charset val="204"/>
    </font>
    <font>
      <b/>
      <sz val="14"/>
      <name val="Times New Roman"/>
      <family val="1"/>
      <charset val="204"/>
    </font>
    <font>
      <b/>
      <sz val="12"/>
      <name val="Times New Roman"/>
      <family val="1"/>
      <charset val="204"/>
    </font>
    <font>
      <sz val="10"/>
      <name val="Arial Cyr"/>
      <charset val="204"/>
    </font>
    <font>
      <sz val="10"/>
      <name val="Times New Roman"/>
      <family val="1"/>
      <charset val="204"/>
    </font>
    <font>
      <sz val="11"/>
      <name val="Times New Roman"/>
      <family val="1"/>
      <charset val="204"/>
    </font>
    <font>
      <sz val="10.5"/>
      <name val="Times New Roman"/>
      <family val="1"/>
      <charset val="204"/>
    </font>
    <font>
      <sz val="10"/>
      <color indexed="9"/>
      <name val="Times New Roman"/>
      <family val="1"/>
      <charset val="204"/>
    </font>
    <font>
      <sz val="8"/>
      <name val="Arial"/>
      <family val="2"/>
      <charset val="204"/>
    </font>
    <font>
      <sz val="14"/>
      <name val="Times New Roman"/>
      <family val="1"/>
      <charset val="204"/>
    </font>
    <font>
      <b/>
      <sz val="11"/>
      <name val="Times New Roman"/>
      <family val="1"/>
      <charset val="204"/>
    </font>
    <font>
      <b/>
      <sz val="10.5"/>
      <name val="Times New Roman"/>
      <family val="1"/>
      <charset val="204"/>
    </font>
    <font>
      <sz val="11"/>
      <color theme="1"/>
      <name val="Calibri"/>
      <family val="2"/>
      <scheme val="minor"/>
    </font>
    <font>
      <sz val="13"/>
      <color theme="1"/>
      <name val="Times New Roman"/>
      <family val="1"/>
      <charset val="204"/>
    </font>
    <font>
      <b/>
      <sz val="16"/>
      <color theme="0"/>
      <name val="Times New Roman"/>
      <family val="1"/>
      <charset val="204"/>
    </font>
    <font>
      <b/>
      <sz val="13"/>
      <color theme="0"/>
      <name val="Times New Roman"/>
      <family val="1"/>
      <charset val="204"/>
    </font>
    <font>
      <b/>
      <sz val="9"/>
      <name val="Tahoma"/>
      <family val="2"/>
      <charset val="204"/>
    </font>
    <font>
      <b/>
      <sz val="11"/>
      <color theme="0"/>
      <name val="Times New Roman"/>
      <family val="1"/>
      <charset val="204"/>
    </font>
    <font>
      <b/>
      <sz val="13"/>
      <name val="Times New Roman"/>
      <family val="1"/>
      <charset val="204"/>
    </font>
    <font>
      <b/>
      <sz val="13"/>
      <color theme="1"/>
      <name val="Times New Roman"/>
      <family val="1"/>
      <charset val="204"/>
    </font>
    <font>
      <sz val="13"/>
      <color theme="0"/>
      <name val="Times New Roman"/>
      <family val="1"/>
      <charset val="204"/>
    </font>
    <font>
      <sz val="11"/>
      <color theme="0"/>
      <name val="Times New Roman"/>
      <family val="1"/>
      <charset val="204"/>
    </font>
    <font>
      <b/>
      <sz val="14"/>
      <name val="Franklin Gothic Medium"/>
      <family val="2"/>
      <charset val="204"/>
    </font>
    <font>
      <sz val="13"/>
      <name val="Times New Roman"/>
      <family val="1"/>
      <charset val="204"/>
    </font>
    <font>
      <sz val="9"/>
      <name val="Tahoma"/>
      <family val="2"/>
      <charset val="204"/>
    </font>
    <font>
      <sz val="10"/>
      <name val="Arial"/>
      <family val="2"/>
      <charset val="204"/>
    </font>
    <font>
      <sz val="13"/>
      <color rgb="FFFF0000"/>
      <name val="Times New Roman"/>
      <family val="1"/>
      <charset val="204"/>
    </font>
    <font>
      <sz val="13"/>
      <color theme="4"/>
      <name val="Times New Roman"/>
      <family val="1"/>
      <charset val="204"/>
    </font>
    <font>
      <sz val="16"/>
      <color theme="1"/>
      <name val="Times New Roman"/>
      <family val="1"/>
      <charset val="204"/>
    </font>
    <font>
      <b/>
      <sz val="12.5"/>
      <name val="Times New Roman"/>
      <family val="1"/>
      <charset val="204"/>
    </font>
    <font>
      <b/>
      <sz val="12.5"/>
      <color rgb="FFFF0000"/>
      <name val="Times New Roman"/>
      <family val="1"/>
      <charset val="204"/>
    </font>
    <font>
      <sz val="12.5"/>
      <color theme="1"/>
      <name val="Times New Roman"/>
      <family val="1"/>
      <charset val="204"/>
    </font>
    <font>
      <b/>
      <sz val="12.5"/>
      <color theme="1"/>
      <name val="Times New Roman"/>
      <family val="1"/>
      <charset val="204"/>
    </font>
    <font>
      <sz val="12.5"/>
      <name val="Times New Roman"/>
      <family val="1"/>
      <charset val="204"/>
    </font>
    <font>
      <sz val="12.5"/>
      <color rgb="FFFF0000"/>
      <name val="Times New Roman"/>
      <family val="1"/>
      <charset val="204"/>
    </font>
    <font>
      <sz val="12.5"/>
      <color indexed="8"/>
      <name val="Times New Roman"/>
      <family val="1"/>
      <charset val="204"/>
    </font>
    <font>
      <i/>
      <sz val="12.5"/>
      <name val="Times New Roman"/>
      <family val="1"/>
      <charset val="204"/>
    </font>
    <font>
      <b/>
      <sz val="18"/>
      <color theme="1"/>
      <name val="Times New Roman"/>
      <family val="1"/>
      <charset val="204"/>
    </font>
    <font>
      <sz val="14"/>
      <color theme="5" tint="-0.249977111117893"/>
      <name val="Times New Roman"/>
      <family val="1"/>
      <charset val="204"/>
    </font>
    <font>
      <i/>
      <sz val="13"/>
      <color theme="1"/>
      <name val="Times New Roman"/>
      <family val="1"/>
      <charset val="204"/>
    </font>
    <font>
      <sz val="13"/>
      <color theme="5" tint="-0.249977111117893"/>
      <name val="Times New Roman"/>
      <family val="1"/>
      <charset val="204"/>
    </font>
    <font>
      <b/>
      <sz val="10"/>
      <color indexed="81"/>
      <name val="Tahoma"/>
      <family val="2"/>
      <charset val="204"/>
    </font>
    <font>
      <sz val="9"/>
      <color indexed="81"/>
      <name val="Tahoma"/>
      <family val="2"/>
      <charset val="204"/>
    </font>
    <font>
      <sz val="10"/>
      <color indexed="81"/>
      <name val="Tahoma"/>
      <family val="2"/>
      <charset val="204"/>
    </font>
    <font>
      <b/>
      <sz val="9"/>
      <color indexed="81"/>
      <name val="Tahoma"/>
      <family val="2"/>
      <charset val="204"/>
    </font>
    <font>
      <sz val="10"/>
      <name val="Helv"/>
    </font>
    <font>
      <sz val="10"/>
      <name val="Helv"/>
      <charset val="204"/>
    </font>
    <font>
      <sz val="8"/>
      <color indexed="12"/>
      <name val="Arial"/>
      <family val="2"/>
      <charset val="204"/>
    </font>
    <font>
      <sz val="11"/>
      <name val="?l?r ?o?S?V?b?N"/>
      <family val="3"/>
    </font>
    <font>
      <sz val="10"/>
      <name val="’†?S?V?b?N‘М"/>
      <family val="3"/>
      <charset val="128"/>
    </font>
    <font>
      <sz val="10"/>
      <color indexed="8"/>
      <name val="Arial"/>
      <family val="2"/>
      <charset val="204"/>
    </font>
    <font>
      <sz val="10"/>
      <color indexed="8"/>
      <name val="Verdana"/>
      <family val="2"/>
      <charset val="204"/>
    </font>
    <font>
      <sz val="10"/>
      <name val="Arial Cyr"/>
      <family val="2"/>
      <charset val="204"/>
    </font>
    <font>
      <sz val="10"/>
      <name val="Arial Cyr"/>
    </font>
    <font>
      <sz val="1"/>
      <color indexed="8"/>
      <name val="Courier"/>
      <family val="1"/>
      <charset val="204"/>
    </font>
    <font>
      <b/>
      <sz val="1"/>
      <color indexed="8"/>
      <name val="Courier"/>
      <family val="1"/>
      <charset val="204"/>
    </font>
    <font>
      <sz val="10"/>
      <name val="MS Sans Serif"/>
      <family val="2"/>
      <charset val="204"/>
    </font>
    <font>
      <sz val="11"/>
      <color indexed="8"/>
      <name val="Calibri"/>
      <family val="2"/>
      <charset val="204"/>
    </font>
    <font>
      <sz val="10"/>
      <color indexed="8"/>
      <name val="Arial Cyr"/>
      <family val="2"/>
      <charset val="204"/>
    </font>
    <font>
      <sz val="11"/>
      <color indexed="9"/>
      <name val="Calibri"/>
      <family val="2"/>
      <charset val="204"/>
    </font>
    <font>
      <sz val="10"/>
      <color indexed="9"/>
      <name val="Arial Cyr"/>
      <family val="2"/>
      <charset val="204"/>
    </font>
    <font>
      <sz val="10"/>
      <color indexed="9"/>
      <name val="Arial"/>
      <family val="2"/>
      <charset val="204"/>
    </font>
    <font>
      <u/>
      <sz val="10"/>
      <color indexed="12"/>
      <name val="Courier"/>
      <family val="1"/>
      <charset val="204"/>
    </font>
    <font>
      <u/>
      <sz val="10"/>
      <color indexed="12"/>
      <name val="Courier"/>
      <family val="3"/>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sz val="10"/>
      <name val="Tahoma"/>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u/>
      <sz val="10"/>
      <color indexed="36"/>
      <name val="Courier"/>
      <family val="1"/>
      <charset val="204"/>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sz val="8"/>
      <name val="Helv"/>
    </font>
    <font>
      <i/>
      <sz val="12"/>
      <name val="Tms Rmn"/>
      <charset val="204"/>
    </font>
    <font>
      <b/>
      <sz val="10"/>
      <color indexed="10"/>
      <name val="Arial Cyr"/>
      <family val="2"/>
      <charset val="204"/>
    </font>
    <font>
      <b/>
      <sz val="10"/>
      <color rgb="FF000000"/>
      <name val="Arial"/>
      <family val="2"/>
      <charset val="204"/>
    </font>
    <font>
      <b/>
      <sz val="6"/>
      <color rgb="FF000000"/>
      <name val="Arial"/>
      <family val="2"/>
      <charset val="204"/>
    </font>
    <font>
      <sz val="8"/>
      <color rgb="FF000000"/>
      <name val="Arial"/>
      <family val="2"/>
      <charset val="204"/>
    </font>
    <font>
      <sz val="7"/>
      <color rgb="FF000000"/>
      <name val="Arial"/>
      <family val="2"/>
      <charset val="204"/>
    </font>
    <font>
      <sz val="7"/>
      <color indexed="8"/>
      <name val="Arial"/>
      <family val="2"/>
      <charset val="204"/>
    </font>
    <font>
      <b/>
      <sz val="8"/>
      <color rgb="FF000000"/>
      <name val="Arial"/>
      <family val="2"/>
      <charset val="204"/>
    </font>
    <font>
      <sz val="9"/>
      <color rgb="FF000000"/>
      <name val="Arial"/>
      <family val="2"/>
      <charset val="204"/>
    </font>
    <font>
      <b/>
      <sz val="9"/>
      <color rgb="FF000000"/>
      <name val="Arial"/>
      <family val="2"/>
      <charset val="204"/>
    </font>
    <font>
      <i/>
      <sz val="6"/>
      <color rgb="FF000000"/>
      <name val="Arial"/>
      <family val="2"/>
      <charset val="204"/>
    </font>
    <font>
      <sz val="1"/>
      <color rgb="FF080000"/>
      <name val="Arial"/>
      <family val="2"/>
      <charset val="204"/>
    </font>
    <font>
      <sz val="6"/>
      <color rgb="FF000000"/>
      <name val="Arial"/>
      <family val="2"/>
      <charset val="204"/>
    </font>
    <font>
      <sz val="10"/>
      <color rgb="FF000000"/>
      <name val="Arial"/>
      <family val="2"/>
      <charset val="204"/>
    </font>
    <font>
      <sz val="8"/>
      <color rgb="FF080000"/>
      <name val="MS Sans Serif"/>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8"/>
      <name val="Arial Cyr"/>
      <family val="2"/>
      <charset val="204"/>
    </font>
    <font>
      <b/>
      <sz val="10"/>
      <color indexed="9"/>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sz val="11"/>
      <name val="Tahom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sz val="10"/>
      <color indexed="62"/>
      <name val="Arial Cyr"/>
      <family val="2"/>
      <charset val="204"/>
    </font>
    <font>
      <sz val="10"/>
      <color indexed="62"/>
      <name val="Arial"/>
      <family val="2"/>
      <charset val="204"/>
    </font>
    <font>
      <b/>
      <sz val="8"/>
      <name val="Arial CYR"/>
      <family val="2"/>
      <charset val="204"/>
    </font>
    <font>
      <b/>
      <sz val="10"/>
      <color indexed="63"/>
      <name val="Arial Cyr"/>
      <family val="2"/>
      <charset val="204"/>
    </font>
    <font>
      <b/>
      <sz val="10"/>
      <color indexed="63"/>
      <name val="Arial"/>
      <family val="2"/>
      <charset val="204"/>
    </font>
    <font>
      <b/>
      <sz val="10"/>
      <color indexed="52"/>
      <name val="Arial Cyr"/>
      <family val="2"/>
      <charset val="204"/>
    </font>
    <font>
      <b/>
      <sz val="10"/>
      <color indexed="52"/>
      <name val="Arial"/>
      <family val="2"/>
      <charset val="204"/>
    </font>
    <font>
      <b/>
      <sz val="11"/>
      <color rgb="FFFA7D00"/>
      <name val="Times New Roman"/>
      <family val="2"/>
      <charset val="204"/>
    </font>
    <font>
      <b/>
      <u/>
      <sz val="11"/>
      <color indexed="12"/>
      <name val="Arial"/>
      <family val="2"/>
      <charset val="204"/>
    </font>
    <font>
      <u/>
      <sz val="10"/>
      <color indexed="12"/>
      <name val="Arial"/>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5"/>
      <color indexed="56"/>
      <name val="Arial"/>
      <family val="2"/>
      <charset val="204"/>
    </font>
    <font>
      <b/>
      <sz val="15"/>
      <color indexed="56"/>
      <name val="Arial Cyr"/>
      <family val="2"/>
      <charset val="204"/>
    </font>
    <font>
      <b/>
      <sz val="13"/>
      <color indexed="56"/>
      <name val="Arial Cyr"/>
      <family val="2"/>
      <charset val="204"/>
    </font>
    <font>
      <b/>
      <sz val="13"/>
      <color indexed="56"/>
      <name val="Arial"/>
      <family val="2"/>
      <charset val="204"/>
    </font>
    <font>
      <b/>
      <sz val="11"/>
      <color indexed="56"/>
      <name val="Arial Cyr"/>
      <family val="2"/>
      <charset val="204"/>
    </font>
    <font>
      <b/>
      <sz val="11"/>
      <color indexed="56"/>
      <name val="Arial"/>
      <family val="2"/>
      <charset val="204"/>
    </font>
    <font>
      <b/>
      <sz val="18"/>
      <name val="Arial"/>
      <family val="2"/>
      <charset val="204"/>
    </font>
    <font>
      <b/>
      <sz val="12"/>
      <name val="Arial"/>
      <family val="2"/>
      <charset val="204"/>
    </font>
    <font>
      <b/>
      <sz val="14"/>
      <name val="Arial Cyr"/>
      <family val="2"/>
      <charset val="204"/>
    </font>
    <font>
      <b/>
      <sz val="10"/>
      <color indexed="8"/>
      <name val="Arial Cyr"/>
      <family val="2"/>
      <charset val="204"/>
    </font>
    <font>
      <b/>
      <sz val="10"/>
      <color indexed="8"/>
      <name val="Arial"/>
      <family val="2"/>
      <charset val="204"/>
    </font>
    <font>
      <b/>
      <sz val="10"/>
      <color indexed="9"/>
      <name val="Arial Cyr"/>
      <family val="2"/>
      <charset val="204"/>
    </font>
    <font>
      <b/>
      <sz val="10"/>
      <color indexed="9"/>
      <name val="Arial"/>
      <family val="2"/>
      <charset val="204"/>
    </font>
    <font>
      <b/>
      <sz val="14"/>
      <name val="Arial"/>
      <family val="2"/>
      <charset val="204"/>
    </font>
    <font>
      <b/>
      <sz val="10"/>
      <name val="Arial Cyr"/>
      <charset val="204"/>
    </font>
    <font>
      <sz val="10"/>
      <color indexed="60"/>
      <name val="Arial Cyr"/>
      <family val="2"/>
      <charset val="204"/>
    </font>
    <font>
      <sz val="10"/>
      <color indexed="60"/>
      <name val="Arial"/>
      <family val="2"/>
      <charset val="204"/>
    </font>
    <font>
      <sz val="12"/>
      <name val="Arial Cyr"/>
      <family val="2"/>
      <charset val="204"/>
    </font>
    <font>
      <sz val="8"/>
      <name val="Arial"/>
      <family val="2"/>
    </font>
    <font>
      <sz val="10"/>
      <color theme="1"/>
      <name val="Arial"/>
      <family val="2"/>
      <charset val="204"/>
    </font>
    <font>
      <sz val="10"/>
      <color indexed="64"/>
      <name val="Arial"/>
      <family val="2"/>
      <charset val="204"/>
    </font>
    <font>
      <sz val="11"/>
      <color theme="1"/>
      <name val="Times New Roman"/>
      <family val="2"/>
      <charset val="204"/>
    </font>
    <font>
      <sz val="11"/>
      <color indexed="8"/>
      <name val="Helvetica Neue"/>
    </font>
    <font>
      <sz val="10"/>
      <color theme="1"/>
      <name val="Arial Cyr"/>
      <family val="2"/>
      <charset val="204"/>
    </font>
    <font>
      <sz val="11"/>
      <color theme="1"/>
      <name val="Calibri"/>
      <family val="2"/>
      <charset val="204"/>
    </font>
    <font>
      <sz val="10"/>
      <color theme="1"/>
      <name val="Times New Roman"/>
      <family val="2"/>
      <charset val="204"/>
    </font>
    <font>
      <b/>
      <i/>
      <sz val="10"/>
      <color indexed="10"/>
      <name val="Arial Cyr"/>
      <family val="2"/>
      <charset val="204"/>
    </font>
    <font>
      <sz val="10"/>
      <color indexed="20"/>
      <name val="Arial Cyr"/>
      <family val="2"/>
      <charset val="204"/>
    </font>
    <font>
      <sz val="10"/>
      <color indexed="20"/>
      <name val="Arial"/>
      <family val="2"/>
      <charset val="204"/>
    </font>
    <font>
      <b/>
      <sz val="11"/>
      <name val="Arial Cyr"/>
      <family val="2"/>
      <charset val="204"/>
    </font>
    <font>
      <sz val="11"/>
      <name val="Times New Roman Cyr"/>
      <family val="1"/>
      <charset val="204"/>
    </font>
    <font>
      <i/>
      <sz val="10"/>
      <color indexed="23"/>
      <name val="Arial Cyr"/>
      <family val="2"/>
      <charset val="204"/>
    </font>
    <font>
      <i/>
      <sz val="10"/>
      <color indexed="23"/>
      <name val="Arial"/>
      <family val="2"/>
      <charset val="204"/>
    </font>
    <font>
      <b/>
      <i/>
      <sz val="14"/>
      <color indexed="57"/>
      <name val="Arial Cyr"/>
      <family val="2"/>
      <charset val="204"/>
    </font>
    <font>
      <sz val="10"/>
      <color indexed="8"/>
      <name val="Times New Roman Cyr"/>
      <family val="1"/>
      <charset val="204"/>
    </font>
    <font>
      <sz val="10"/>
      <color indexed="52"/>
      <name val="Arial Cyr"/>
      <family val="2"/>
      <charset val="204"/>
    </font>
    <font>
      <sz val="10"/>
      <color indexed="52"/>
      <name val="Arial"/>
      <family val="2"/>
      <charset val="204"/>
    </font>
    <font>
      <sz val="14"/>
      <name val="Arial Cyr"/>
      <family val="2"/>
      <charset val="204"/>
    </font>
    <font>
      <sz val="12"/>
      <color indexed="24"/>
      <name val="Arial"/>
      <family val="2"/>
      <charset val="204"/>
    </font>
    <font>
      <sz val="10"/>
      <color indexed="10"/>
      <name val="Arial Cyr"/>
      <family val="2"/>
      <charset val="204"/>
    </font>
    <font>
      <sz val="10"/>
      <color indexed="10"/>
      <name val="Arial"/>
      <family val="2"/>
      <charset val="204"/>
    </font>
    <font>
      <sz val="11"/>
      <color indexed="8"/>
      <name val="Calibri"/>
      <family val="2"/>
    </font>
    <font>
      <sz val="10"/>
      <color indexed="17"/>
      <name val="Arial Cyr"/>
      <family val="2"/>
      <charset val="204"/>
    </font>
    <font>
      <sz val="10"/>
      <color indexed="17"/>
      <name val="Arial"/>
      <family val="2"/>
      <charset val="204"/>
    </font>
    <font>
      <i/>
      <sz val="10.5"/>
      <name val="Times New Roman"/>
      <family val="1"/>
      <charset val="204"/>
    </font>
    <font>
      <sz val="11"/>
      <color rgb="FF9C6500"/>
      <name val="Calibri"/>
      <family val="2"/>
      <charset val="204"/>
      <scheme val="minor"/>
    </font>
    <font>
      <b/>
      <sz val="6"/>
      <name val="Times New Roman"/>
      <family val="1"/>
      <charset val="204"/>
    </font>
    <font>
      <sz val="9"/>
      <name val="Times New Roman"/>
      <family val="1"/>
      <charset val="204"/>
    </font>
    <font>
      <b/>
      <sz val="7"/>
      <name val="Times New Roman"/>
      <family val="1"/>
      <charset val="204"/>
    </font>
    <font>
      <sz val="7"/>
      <name val="Times New Roman"/>
      <family val="1"/>
      <charset val="204"/>
    </font>
    <font>
      <sz val="6"/>
      <name val="Times New Roman"/>
      <family val="1"/>
      <charset val="204"/>
    </font>
    <font>
      <b/>
      <sz val="6"/>
      <color indexed="9"/>
      <name val="Times New Roman"/>
      <family val="1"/>
      <charset val="204"/>
    </font>
    <font>
      <sz val="6"/>
      <color indexed="9"/>
      <name val="Times New Roman"/>
      <family val="1"/>
      <charset val="204"/>
    </font>
    <font>
      <b/>
      <sz val="10"/>
      <name val="Times New Roman"/>
      <family val="1"/>
      <charset val="204"/>
    </font>
    <font>
      <b/>
      <sz val="8"/>
      <name val="Times New Roman"/>
      <family val="1"/>
      <charset val="204"/>
    </font>
    <font>
      <sz val="8"/>
      <name val="Times New Roman"/>
      <family val="1"/>
      <charset val="204"/>
    </font>
    <font>
      <b/>
      <sz val="8"/>
      <color indexed="9"/>
      <name val="Times New Roman"/>
      <family val="1"/>
      <charset val="204"/>
    </font>
    <font>
      <sz val="8"/>
      <color indexed="9"/>
      <name val="Times New Roman"/>
      <family val="1"/>
      <charset val="204"/>
    </font>
    <font>
      <sz val="8"/>
      <color indexed="8"/>
      <name val="Times New Roman"/>
      <family val="1"/>
      <charset val="204"/>
    </font>
    <font>
      <b/>
      <i/>
      <sz val="22"/>
      <name val="Times New Roman"/>
      <family val="1"/>
      <charset val="204"/>
    </font>
    <font>
      <b/>
      <sz val="22"/>
      <color theme="1"/>
      <name val="Times New Roman"/>
      <family val="1"/>
      <charset val="204"/>
    </font>
    <font>
      <sz val="22"/>
      <color theme="1"/>
      <name val="Times New Roman"/>
      <family val="1"/>
      <charset val="204"/>
    </font>
    <font>
      <b/>
      <i/>
      <sz val="22"/>
      <color theme="1"/>
      <name val="Times New Roman"/>
      <family val="1"/>
      <charset val="204"/>
    </font>
    <font>
      <b/>
      <i/>
      <sz val="26"/>
      <name val="Times New Roman"/>
      <family val="1"/>
      <charset val="204"/>
    </font>
    <font>
      <b/>
      <i/>
      <sz val="11"/>
      <color theme="1"/>
      <name val="Times New Roman"/>
      <family val="1"/>
      <charset val="204"/>
    </font>
    <font>
      <b/>
      <i/>
      <sz val="20"/>
      <color theme="1"/>
      <name val="Times New Roman"/>
      <family val="1"/>
      <charset val="204"/>
    </font>
    <font>
      <b/>
      <i/>
      <sz val="20"/>
      <name val="Times New Roman"/>
      <family val="1"/>
      <charset val="204"/>
    </font>
    <font>
      <b/>
      <i/>
      <sz val="11"/>
      <name val="Times New Roman"/>
      <family val="1"/>
      <charset val="204"/>
    </font>
    <font>
      <b/>
      <sz val="22"/>
      <name val="Times New Roman"/>
      <family val="1"/>
      <charset val="204"/>
    </font>
    <font>
      <sz val="22"/>
      <name val="Times New Roman"/>
      <family val="1"/>
      <charset val="204"/>
    </font>
    <font>
      <i/>
      <sz val="22"/>
      <name val="Times New Roman"/>
      <family val="1"/>
      <charset val="204"/>
    </font>
    <font>
      <u/>
      <sz val="22"/>
      <color theme="1"/>
      <name val="Times New Roman"/>
      <family val="1"/>
      <charset val="204"/>
    </font>
    <font>
      <i/>
      <u/>
      <sz val="22"/>
      <color theme="1"/>
      <name val="Times New Roman"/>
      <family val="1"/>
      <charset val="204"/>
    </font>
    <font>
      <sz val="20"/>
      <color theme="1"/>
      <name val="Times New Roman"/>
      <family val="1"/>
      <charset val="204"/>
    </font>
    <font>
      <sz val="22"/>
      <color indexed="21"/>
      <name val="Arial"/>
      <family val="2"/>
    </font>
    <font>
      <i/>
      <sz val="22"/>
      <color theme="1"/>
      <name val="Times New Roman"/>
      <family val="1"/>
      <charset val="204"/>
    </font>
    <font>
      <b/>
      <sz val="11"/>
      <color theme="1"/>
      <name val="Times New Roman"/>
      <family val="1"/>
      <charset val="204"/>
    </font>
    <font>
      <b/>
      <sz val="20"/>
      <color theme="1"/>
      <name val="Times New Roman"/>
      <family val="1"/>
      <charset val="204"/>
    </font>
    <font>
      <b/>
      <u/>
      <sz val="22"/>
      <name val="Times New Roman"/>
      <family val="1"/>
      <charset val="204"/>
    </font>
    <font>
      <sz val="20"/>
      <name val="Times New Roman"/>
      <family val="1"/>
      <charset val="204"/>
    </font>
    <font>
      <sz val="22"/>
      <color rgb="FFFF0000"/>
      <name val="Times New Roman"/>
      <family val="1"/>
      <charset val="204"/>
    </font>
    <font>
      <sz val="11"/>
      <color rgb="FFFF0000"/>
      <name val="Times New Roman"/>
      <family val="1"/>
      <charset val="204"/>
    </font>
    <font>
      <sz val="20"/>
      <color rgb="FFFF0000"/>
      <name val="Times New Roman"/>
      <family val="1"/>
      <charset val="204"/>
    </font>
    <font>
      <sz val="22"/>
      <color indexed="8"/>
      <name val="Times New Roman"/>
      <family val="1"/>
      <charset val="204"/>
    </font>
    <font>
      <sz val="22"/>
      <name val="Arial"/>
      <family val="2"/>
    </font>
    <font>
      <sz val="22"/>
      <color theme="1"/>
      <name val="Calibri"/>
      <family val="2"/>
      <charset val="204"/>
      <scheme val="minor"/>
    </font>
    <font>
      <sz val="16"/>
      <color rgb="FFFF0000"/>
      <name val="Times New Roman"/>
      <family val="1"/>
      <charset val="204"/>
    </font>
    <font>
      <sz val="11"/>
      <color rgb="FF9C6500"/>
      <name val="Times New Roman"/>
      <family val="1"/>
      <charset val="204"/>
    </font>
    <font>
      <i/>
      <sz val="10"/>
      <name val="Times New Roman Cyr"/>
      <charset val="204"/>
    </font>
    <font>
      <b/>
      <sz val="10"/>
      <name val="Times New Roman Cyr"/>
      <charset val="204"/>
    </font>
    <font>
      <b/>
      <i/>
      <u/>
      <sz val="11"/>
      <color theme="1"/>
      <name val="Times New Roman"/>
      <family val="1"/>
      <charset val="204"/>
    </font>
    <font>
      <sz val="10"/>
      <name val="Times New Roman Cyr"/>
      <charset val="204"/>
    </font>
    <font>
      <sz val="10"/>
      <color indexed="8"/>
      <name val="Times New Roman"/>
      <family val="1"/>
      <charset val="204"/>
    </font>
    <font>
      <b/>
      <sz val="13"/>
      <color indexed="8"/>
      <name val="Times New Roman"/>
      <family val="1"/>
    </font>
    <font>
      <b/>
      <i/>
      <sz val="10"/>
      <name val="Times New Roman"/>
      <family val="1"/>
      <charset val="204"/>
    </font>
    <font>
      <b/>
      <sz val="10"/>
      <name val="Times New Roman Cyr"/>
      <family val="1"/>
      <charset val="204"/>
    </font>
    <font>
      <i/>
      <sz val="10"/>
      <color theme="1"/>
      <name val="Times New Roman Cyr"/>
      <charset val="204"/>
    </font>
    <font>
      <b/>
      <i/>
      <sz val="13"/>
      <color indexed="8"/>
      <name val="Times New Roman"/>
      <family val="1"/>
      <charset val="204"/>
    </font>
    <font>
      <sz val="10"/>
      <name val="Arial"/>
      <family val="2"/>
      <charset val="204"/>
    </font>
    <font>
      <b/>
      <sz val="10"/>
      <name val="Arial"/>
      <family val="2"/>
      <charset val="204"/>
    </font>
    <font>
      <b/>
      <sz val="10.5"/>
      <color rgb="FFFF0000"/>
      <name val="Times New Roman"/>
      <family val="1"/>
      <charset val="204"/>
    </font>
    <font>
      <b/>
      <sz val="12"/>
      <color theme="1"/>
      <name val="Times New Roman"/>
      <family val="1"/>
      <charset val="204"/>
    </font>
    <font>
      <sz val="8"/>
      <color theme="1"/>
      <name val="Calibri"/>
      <family val="2"/>
      <scheme val="minor"/>
    </font>
    <font>
      <sz val="16"/>
      <color theme="1"/>
      <name val="Calibri"/>
      <family val="2"/>
      <scheme val="minor"/>
    </font>
    <font>
      <u/>
      <sz val="16"/>
      <color theme="1"/>
      <name val="Times New Roman"/>
      <family val="1"/>
      <charset val="204"/>
    </font>
    <font>
      <b/>
      <u/>
      <sz val="15"/>
      <color theme="1"/>
      <name val="Times New Roman"/>
      <family val="1"/>
      <charset val="204"/>
    </font>
    <font>
      <b/>
      <u/>
      <sz val="15"/>
      <color theme="1"/>
      <name val="Calibri"/>
      <family val="2"/>
      <scheme val="minor"/>
    </font>
    <font>
      <sz val="15"/>
      <color theme="1"/>
      <name val="Times New Roman"/>
      <family val="1"/>
      <charset val="204"/>
    </font>
    <font>
      <sz val="15"/>
      <name val="Times New Roman"/>
      <family val="1"/>
      <charset val="204"/>
    </font>
    <font>
      <sz val="24"/>
      <color theme="1"/>
      <name val="Times New Roman"/>
      <family val="1"/>
      <charset val="204"/>
    </font>
  </fonts>
  <fills count="88">
    <fill>
      <patternFill patternType="none"/>
    </fill>
    <fill>
      <patternFill patternType="gray125"/>
    </fill>
    <fill>
      <patternFill patternType="solid">
        <fgColor theme="0"/>
        <bgColor indexed="64"/>
      </patternFill>
    </fill>
    <fill>
      <patternFill patternType="solid">
        <fgColor rgb="FFF2F2F2"/>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indexed="4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indexed="22"/>
        <bgColor indexed="64"/>
      </patternFill>
    </fill>
    <fill>
      <patternFill patternType="solid">
        <fgColor indexed="42"/>
        <bgColor indexed="64"/>
      </patternFill>
    </fill>
    <fill>
      <patternFill patternType="solid">
        <fgColor indexed="3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indexed="9"/>
      </patternFill>
    </fill>
    <fill>
      <patternFill patternType="solid">
        <fgColor rgb="FFDAE2E4"/>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solid">
        <fgColor rgb="FFCCFFCC"/>
        <bgColor indexed="64"/>
      </patternFill>
    </fill>
    <fill>
      <patternFill patternType="solid">
        <fgColor indexed="47"/>
        <bgColor indexed="64"/>
      </patternFill>
    </fill>
    <fill>
      <patternFill patternType="solid">
        <fgColor rgb="FFFFEB9C"/>
      </patternFill>
    </fill>
    <fill>
      <patternFill patternType="solid">
        <fgColor theme="9" tint="0.39997558519241921"/>
        <bgColor indexed="64"/>
      </patternFill>
    </fill>
    <fill>
      <patternFill patternType="solid">
        <fgColor theme="6" tint="0.39997558519241921"/>
        <bgColor indexed="64"/>
      </patternFill>
    </fill>
    <fill>
      <patternFill patternType="solid">
        <fgColor rgb="FFB1EDDF"/>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indexed="9"/>
        <bgColor indexed="64"/>
      </patternFill>
    </fill>
    <fill>
      <patternFill patternType="solid">
        <fgColor rgb="FFAFC5F7"/>
        <bgColor indexed="64"/>
      </patternFill>
    </fill>
    <fill>
      <patternFill patternType="solid">
        <fgColor rgb="FF00B0F0"/>
        <bgColor indexed="64"/>
      </patternFill>
    </fill>
    <fill>
      <patternFill patternType="solid">
        <fgColor theme="8" tint="0.59999389629810485"/>
        <bgColor indexed="64"/>
      </patternFill>
    </fill>
    <fill>
      <patternFill patternType="solid">
        <fgColor rgb="FF33CCCC"/>
        <bgColor indexed="64"/>
      </patternFill>
    </fill>
    <fill>
      <patternFill patternType="solid">
        <fgColor rgb="FFFBB5FD"/>
        <bgColor indexed="64"/>
      </patternFill>
    </fill>
    <fill>
      <patternFill patternType="solid">
        <fgColor rgb="FF00B050"/>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style="thin">
        <color indexed="9"/>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bottom style="hair">
        <color indexed="64"/>
      </bottom>
      <diagonal/>
    </border>
    <border>
      <left style="medium">
        <color indexed="64"/>
      </left>
      <right style="medium">
        <color indexed="64"/>
      </right>
      <top style="hair">
        <color indexed="64"/>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13154">
    <xf numFmtId="0" fontId="0" fillId="0" borderId="0"/>
    <xf numFmtId="0" fontId="6" fillId="0" borderId="0" applyNumberFormat="0" applyFill="0" applyBorder="0" applyAlignment="0" applyProtection="0"/>
    <xf numFmtId="0" fontId="15" fillId="0" borderId="0"/>
    <xf numFmtId="0" fontId="20" fillId="0" borderId="0"/>
    <xf numFmtId="0" fontId="24" fillId="0" borderId="0"/>
    <xf numFmtId="0" fontId="15" fillId="0" borderId="0"/>
    <xf numFmtId="0" fontId="28" fillId="0" borderId="16" applyBorder="0">
      <alignment horizontal="center" vertical="center" wrapText="1"/>
    </xf>
    <xf numFmtId="0" fontId="34" fillId="0" borderId="0" applyBorder="0">
      <alignment horizontal="center" vertical="center" wrapText="1"/>
    </xf>
    <xf numFmtId="9" fontId="24" fillId="0" borderId="0" applyFont="0" applyFill="0" applyBorder="0" applyAlignment="0" applyProtection="0"/>
    <xf numFmtId="4" fontId="36" fillId="7" borderId="1" applyBorder="0">
      <alignment horizontal="right"/>
    </xf>
    <xf numFmtId="9" fontId="37" fillId="0" borderId="0" applyFont="0" applyFill="0" applyBorder="0" applyAlignment="0" applyProtection="0"/>
    <xf numFmtId="0" fontId="37" fillId="0" borderId="0"/>
    <xf numFmtId="0" fontId="24" fillId="0" borderId="0"/>
    <xf numFmtId="0" fontId="57" fillId="0" borderId="0"/>
    <xf numFmtId="173" fontId="57" fillId="0" borderId="0"/>
    <xf numFmtId="0" fontId="58" fillId="0" borderId="0"/>
    <xf numFmtId="0" fontId="37" fillId="0" borderId="0"/>
    <xf numFmtId="0" fontId="37" fillId="0" borderId="0"/>
    <xf numFmtId="0" fontId="37" fillId="0" borderId="0"/>
    <xf numFmtId="0" fontId="37" fillId="0" borderId="0"/>
    <xf numFmtId="167" fontId="20" fillId="0" borderId="0">
      <alignment vertical="top"/>
    </xf>
    <xf numFmtId="167" fontId="59" fillId="0" borderId="0">
      <alignment vertical="top"/>
    </xf>
    <xf numFmtId="174" fontId="59" fillId="16" borderId="0">
      <alignment vertical="top"/>
    </xf>
    <xf numFmtId="167" fontId="59" fillId="17" borderId="0">
      <alignment vertical="top"/>
    </xf>
    <xf numFmtId="40" fontId="60" fillId="0" borderId="0" applyFont="0" applyFill="0" applyBorder="0" applyAlignment="0" applyProtection="0"/>
    <xf numFmtId="0" fontId="61" fillId="0" borderId="0"/>
    <xf numFmtId="0" fontId="58" fillId="0" borderId="0"/>
    <xf numFmtId="0" fontId="57" fillId="0" borderId="0"/>
    <xf numFmtId="0" fontId="58" fillId="0" borderId="0"/>
    <xf numFmtId="0" fontId="62" fillId="0" borderId="0">
      <alignment vertical="top"/>
    </xf>
    <xf numFmtId="0" fontId="57"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176" fontId="37" fillId="7" borderId="2">
      <alignment wrapText="1"/>
      <protection locked="0"/>
    </xf>
    <xf numFmtId="0" fontId="63" fillId="18" borderId="53" applyNumberFormat="0">
      <alignment readingOrder="1"/>
      <protection locked="0"/>
    </xf>
    <xf numFmtId="0" fontId="64" fillId="0" borderId="0"/>
    <xf numFmtId="0" fontId="57" fillId="0" borderId="0"/>
    <xf numFmtId="0" fontId="58" fillId="0" borderId="0"/>
    <xf numFmtId="173" fontId="58" fillId="0" borderId="0"/>
    <xf numFmtId="0" fontId="57" fillId="0" borderId="0"/>
    <xf numFmtId="175" fontId="20" fillId="0" borderId="0">
      <alignment vertical="top"/>
    </xf>
    <xf numFmtId="175" fontId="20" fillId="0" borderId="0">
      <alignment vertical="top"/>
    </xf>
    <xf numFmtId="0" fontId="58" fillId="0" borderId="0"/>
    <xf numFmtId="173" fontId="58" fillId="0" borderId="0"/>
    <xf numFmtId="0" fontId="58" fillId="0" borderId="0"/>
    <xf numFmtId="173" fontId="58" fillId="0" borderId="0"/>
    <xf numFmtId="0" fontId="58" fillId="0" borderId="0"/>
    <xf numFmtId="173" fontId="58" fillId="0" borderId="0"/>
    <xf numFmtId="0" fontId="58" fillId="0" borderId="0"/>
    <xf numFmtId="0" fontId="58" fillId="0" borderId="0"/>
    <xf numFmtId="0" fontId="65" fillId="0" borderId="0"/>
    <xf numFmtId="0" fontId="57" fillId="0" borderId="0"/>
    <xf numFmtId="173" fontId="57" fillId="0" borderId="0"/>
    <xf numFmtId="175" fontId="20" fillId="0" borderId="0">
      <alignment vertical="top"/>
    </xf>
    <xf numFmtId="0" fontId="58" fillId="0" borderId="0"/>
    <xf numFmtId="0" fontId="58" fillId="0" borderId="0"/>
    <xf numFmtId="0" fontId="57" fillId="0" borderId="0"/>
    <xf numFmtId="175" fontId="20" fillId="0" borderId="0">
      <alignment vertical="top"/>
    </xf>
    <xf numFmtId="0" fontId="57" fillId="0" borderId="0"/>
    <xf numFmtId="0" fontId="58" fillId="0" borderId="0"/>
    <xf numFmtId="0" fontId="57"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57" fillId="0" borderId="0"/>
    <xf numFmtId="173" fontId="57" fillId="0" borderId="0"/>
    <xf numFmtId="0" fontId="57" fillId="0" borderId="0"/>
    <xf numFmtId="173" fontId="57" fillId="0" borderId="0"/>
    <xf numFmtId="0" fontId="58" fillId="0" borderId="0"/>
    <xf numFmtId="173" fontId="58" fillId="0" borderId="0"/>
    <xf numFmtId="0" fontId="58" fillId="0" borderId="0"/>
    <xf numFmtId="173" fontId="58" fillId="0" borderId="0"/>
    <xf numFmtId="0" fontId="58"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58" fillId="0" borderId="0"/>
    <xf numFmtId="173" fontId="58" fillId="0" borderId="0"/>
    <xf numFmtId="0" fontId="58" fillId="0" borderId="0"/>
    <xf numFmtId="0" fontId="58" fillId="0" borderId="0"/>
    <xf numFmtId="0" fontId="58" fillId="0" borderId="0"/>
    <xf numFmtId="173" fontId="58" fillId="0" borderId="0"/>
    <xf numFmtId="0" fontId="58" fillId="0" borderId="0"/>
    <xf numFmtId="173" fontId="58" fillId="0" borderId="0"/>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5"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58" fillId="0" borderId="0"/>
    <xf numFmtId="175" fontId="20" fillId="0" borderId="0">
      <alignment vertical="top"/>
    </xf>
    <xf numFmtId="0" fontId="57" fillId="0" borderId="0"/>
    <xf numFmtId="0" fontId="57" fillId="0" borderId="0"/>
    <xf numFmtId="0" fontId="58" fillId="0" borderId="0"/>
    <xf numFmtId="0" fontId="58" fillId="0" borderId="0"/>
    <xf numFmtId="173" fontId="58" fillId="0" borderId="0"/>
    <xf numFmtId="0" fontId="57" fillId="0" borderId="0"/>
    <xf numFmtId="0" fontId="58" fillId="0" borderId="0"/>
    <xf numFmtId="0" fontId="57" fillId="0" borderId="0"/>
    <xf numFmtId="173" fontId="57" fillId="0" borderId="0"/>
    <xf numFmtId="0" fontId="57" fillId="0" borderId="0"/>
    <xf numFmtId="173" fontId="57" fillId="0" borderId="0"/>
    <xf numFmtId="0" fontId="58" fillId="0" borderId="0"/>
    <xf numFmtId="0" fontId="58" fillId="0" borderId="0"/>
    <xf numFmtId="0" fontId="58" fillId="0" borderId="0"/>
    <xf numFmtId="173" fontId="58" fillId="0" borderId="0"/>
    <xf numFmtId="0" fontId="58" fillId="0" borderId="0"/>
    <xf numFmtId="0" fontId="57" fillId="0" borderId="0"/>
    <xf numFmtId="173" fontId="57" fillId="0" borderId="0"/>
    <xf numFmtId="0" fontId="57" fillId="0" borderId="0"/>
    <xf numFmtId="173" fontId="57" fillId="0" borderId="0"/>
    <xf numFmtId="0" fontId="57" fillId="0" borderId="0"/>
    <xf numFmtId="0" fontId="15" fillId="0" borderId="0"/>
    <xf numFmtId="0" fontId="58" fillId="0" borderId="0"/>
    <xf numFmtId="173" fontId="58" fillId="0" borderId="0"/>
    <xf numFmtId="177" fontId="15" fillId="0" borderId="0" applyFont="0" applyFill="0" applyBorder="0" applyAlignment="0" applyProtection="0"/>
    <xf numFmtId="178" fontId="66" fillId="0" borderId="0">
      <protection locked="0"/>
    </xf>
    <xf numFmtId="179" fontId="66" fillId="0" borderId="0">
      <protection locked="0"/>
    </xf>
    <xf numFmtId="44" fontId="66" fillId="0" borderId="0">
      <protection locked="0"/>
    </xf>
    <xf numFmtId="178" fontId="66" fillId="0" borderId="0">
      <protection locked="0"/>
    </xf>
    <xf numFmtId="44" fontId="66" fillId="0" borderId="0">
      <protection locked="0"/>
    </xf>
    <xf numFmtId="179" fontId="66" fillId="0" borderId="0">
      <protection locked="0"/>
    </xf>
    <xf numFmtId="44" fontId="66" fillId="0" borderId="0">
      <protection locked="0"/>
    </xf>
    <xf numFmtId="180" fontId="66" fillId="0" borderId="0">
      <protection locked="0"/>
    </xf>
    <xf numFmtId="181" fontId="66" fillId="0" borderId="54">
      <protection locked="0"/>
    </xf>
    <xf numFmtId="0" fontId="67" fillId="0" borderId="0">
      <protection locked="0"/>
    </xf>
    <xf numFmtId="181" fontId="67" fillId="0" borderId="0">
      <protection locked="0"/>
    </xf>
    <xf numFmtId="0" fontId="67" fillId="0" borderId="0">
      <protection locked="0"/>
    </xf>
    <xf numFmtId="181" fontId="67" fillId="0" borderId="0">
      <protection locked="0"/>
    </xf>
    <xf numFmtId="0" fontId="66" fillId="0" borderId="54">
      <protection locked="0"/>
    </xf>
    <xf numFmtId="181" fontId="66" fillId="0" borderId="54">
      <protection locked="0"/>
    </xf>
    <xf numFmtId="0" fontId="68" fillId="19" borderId="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70"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2"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70"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2"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70"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2"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70"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2"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70"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2"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70"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2"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70"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2"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70"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2"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8"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2"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70"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2"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70"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2"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71" fillId="30"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2" fillId="30" borderId="0" applyNumberFormat="0" applyBorder="0" applyAlignment="0" applyProtection="0"/>
    <xf numFmtId="0" fontId="71" fillId="30" borderId="0" applyNumberFormat="0" applyBorder="0" applyAlignment="0" applyProtection="0"/>
    <xf numFmtId="0" fontId="73"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2" fillId="27" borderId="0" applyNumberFormat="0" applyBorder="0" applyAlignment="0" applyProtection="0"/>
    <xf numFmtId="0" fontId="71" fillId="27" borderId="0" applyNumberFormat="0" applyBorder="0" applyAlignment="0" applyProtection="0"/>
    <xf numFmtId="0" fontId="73"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2" fillId="28" borderId="0" applyNumberFormat="0" applyBorder="0" applyAlignment="0" applyProtection="0"/>
    <xf numFmtId="0" fontId="71" fillId="28" borderId="0" applyNumberFormat="0" applyBorder="0" applyAlignment="0" applyProtection="0"/>
    <xf numFmtId="0" fontId="73"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2" fillId="31" borderId="0" applyNumberFormat="0" applyBorder="0" applyAlignment="0" applyProtection="0"/>
    <xf numFmtId="0" fontId="71" fillId="31" borderId="0" applyNumberFormat="0" applyBorder="0" applyAlignment="0" applyProtection="0"/>
    <xf numFmtId="0" fontId="73"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2" fillId="32" borderId="0" applyNumberFormat="0" applyBorder="0" applyAlignment="0" applyProtection="0"/>
    <xf numFmtId="0" fontId="71" fillId="32" borderId="0" applyNumberFormat="0" applyBorder="0" applyAlignment="0" applyProtection="0"/>
    <xf numFmtId="0" fontId="73"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2" fillId="33" borderId="0" applyNumberFormat="0" applyBorder="0" applyAlignment="0" applyProtection="0"/>
    <xf numFmtId="0" fontId="71" fillId="33" borderId="0" applyNumberFormat="0" applyBorder="0" applyAlignment="0" applyProtection="0"/>
    <xf numFmtId="0" fontId="73"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7" borderId="0" applyNumberFormat="0" applyBorder="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65" fillId="0" borderId="0"/>
    <xf numFmtId="182" fontId="64" fillId="0" borderId="55">
      <protection locked="0"/>
    </xf>
    <xf numFmtId="183" fontId="15" fillId="0" borderId="0" applyFont="0" applyFill="0" applyBorder="0" applyAlignment="0" applyProtection="0"/>
    <xf numFmtId="184" fontId="15" fillId="0" borderId="0" applyFont="0" applyFill="0" applyBorder="0" applyAlignment="0" applyProtection="0"/>
    <xf numFmtId="0" fontId="76" fillId="21" borderId="0" applyNumberFormat="0" applyBorder="0" applyAlignment="0" applyProtection="0"/>
    <xf numFmtId="10" fontId="77" fillId="0" borderId="0" applyNumberFormat="0" applyFill="0" applyBorder="0" applyAlignment="0"/>
    <xf numFmtId="0" fontId="78" fillId="0" borderId="0"/>
    <xf numFmtId="0" fontId="79" fillId="38" borderId="53" applyNumberFormat="0" applyAlignment="0" applyProtection="0"/>
    <xf numFmtId="0" fontId="79" fillId="38" borderId="53" applyNumberFormat="0" applyAlignment="0" applyProtection="0"/>
    <xf numFmtId="0" fontId="80" fillId="0" borderId="53" applyNumberFormat="0" applyAlignment="0">
      <protection locked="0"/>
    </xf>
    <xf numFmtId="0" fontId="81" fillId="39" borderId="56" applyNumberFormat="0" applyAlignment="0" applyProtection="0"/>
    <xf numFmtId="0" fontId="82" fillId="0" borderId="1">
      <alignment horizontal="left" vertical="center"/>
    </xf>
    <xf numFmtId="41" fontId="37"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xf numFmtId="43" fontId="37" fillId="0" borderId="0" applyFont="0" applyFill="0" applyBorder="0" applyAlignment="0" applyProtection="0"/>
    <xf numFmtId="3" fontId="84" fillId="0" borderId="0" applyFont="0" applyFill="0" applyBorder="0" applyAlignment="0" applyProtection="0"/>
    <xf numFmtId="182" fontId="85" fillId="40" borderId="55"/>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0" fontId="83" fillId="0" borderId="0" applyFont="0" applyFill="0" applyBorder="0" applyAlignment="0" applyProtection="0">
      <alignment horizontal="right"/>
    </xf>
    <xf numFmtId="0" fontId="83" fillId="0" borderId="0" applyFont="0" applyFill="0" applyBorder="0" applyAlignment="0" applyProtection="0">
      <alignment horizontal="right"/>
    </xf>
    <xf numFmtId="44" fontId="15" fillId="0" borderId="0" applyFont="0" applyFill="0" applyBorder="0" applyAlignment="0" applyProtection="0"/>
    <xf numFmtId="186" fontId="84" fillId="0" borderId="0" applyFont="0" applyFill="0" applyBorder="0" applyAlignment="0" applyProtection="0"/>
    <xf numFmtId="0" fontId="83" fillId="0" borderId="0" applyFill="0" applyBorder="0" applyProtection="0">
      <alignment vertical="center"/>
    </xf>
    <xf numFmtId="0" fontId="84" fillId="0" borderId="0" applyFont="0" applyFill="0" applyBorder="0" applyAlignment="0" applyProtection="0"/>
    <xf numFmtId="0" fontId="83" fillId="0" borderId="0" applyFont="0" applyFill="0" applyBorder="0" applyAlignment="0" applyProtection="0"/>
    <xf numFmtId="14" fontId="86" fillId="0" borderId="0">
      <alignment vertical="top"/>
    </xf>
    <xf numFmtId="187" fontId="15" fillId="0" borderId="0" applyFont="0" applyFill="0" applyBorder="0" applyAlignment="0" applyProtection="0"/>
    <xf numFmtId="188" fontId="15" fillId="0" borderId="0" applyFont="0" applyFill="0" applyBorder="0" applyAlignment="0" applyProtection="0"/>
    <xf numFmtId="0" fontId="83" fillId="0" borderId="57" applyNumberFormat="0" applyFont="0" applyFill="0" applyAlignment="0" applyProtection="0"/>
    <xf numFmtId="0" fontId="87" fillId="0" borderId="0" applyNumberFormat="0" applyFill="0" applyBorder="0" applyAlignment="0" applyProtection="0"/>
    <xf numFmtId="175" fontId="88" fillId="0" borderId="0">
      <alignment vertical="top"/>
    </xf>
    <xf numFmtId="175" fontId="88" fillId="0" borderId="0">
      <alignment vertical="top"/>
    </xf>
    <xf numFmtId="38" fontId="88" fillId="0" borderId="0">
      <alignment vertical="top"/>
    </xf>
    <xf numFmtId="173" fontId="21" fillId="0" borderId="0" applyFont="0" applyFill="0" applyBorder="0" applyAlignment="0" applyProtection="0"/>
    <xf numFmtId="189" fontId="37" fillId="0" borderId="0" applyFont="0" applyFill="0" applyBorder="0" applyAlignment="0" applyProtection="0"/>
    <xf numFmtId="173" fontId="86" fillId="0" borderId="0" applyFont="0" applyFill="0" applyBorder="0" applyAlignment="0" applyProtection="0"/>
    <xf numFmtId="173" fontId="21"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189" fontId="37" fillId="0" borderId="0" applyFont="0" applyFill="0" applyBorder="0" applyAlignment="0" applyProtection="0"/>
    <xf numFmtId="37" fontId="37" fillId="0" borderId="0"/>
    <xf numFmtId="37" fontId="37" fillId="0" borderId="0"/>
    <xf numFmtId="37" fontId="37" fillId="0" borderId="0"/>
    <xf numFmtId="37" fontId="37" fillId="0" borderId="0"/>
    <xf numFmtId="0" fontId="69" fillId="0" borderId="0"/>
    <xf numFmtId="0" fontId="89" fillId="0" borderId="0" applyNumberFormat="0" applyFill="0" applyBorder="0" applyAlignment="0" applyProtection="0"/>
    <xf numFmtId="172" fontId="90" fillId="0" borderId="0" applyFill="0" applyBorder="0" applyAlignment="0" applyProtection="0"/>
    <xf numFmtId="172" fontId="20" fillId="0" borderId="0" applyFill="0" applyBorder="0" applyAlignment="0" applyProtection="0"/>
    <xf numFmtId="172" fontId="91" fillId="0" borderId="0" applyFill="0" applyBorder="0" applyAlignment="0" applyProtection="0"/>
    <xf numFmtId="172" fontId="92" fillId="0" borderId="0" applyFill="0" applyBorder="0" applyAlignment="0" applyProtection="0"/>
    <xf numFmtId="172" fontId="93" fillId="0" borderId="0" applyFill="0" applyBorder="0" applyAlignment="0" applyProtection="0"/>
    <xf numFmtId="172" fontId="94" fillId="0" borderId="0" applyFill="0" applyBorder="0" applyAlignment="0" applyProtection="0"/>
    <xf numFmtId="172" fontId="95" fillId="0" borderId="0" applyFill="0" applyBorder="0" applyAlignment="0" applyProtection="0"/>
    <xf numFmtId="2" fontId="84" fillId="0" borderId="0" applyFont="0" applyFill="0" applyBorder="0" applyAlignment="0" applyProtection="0"/>
    <xf numFmtId="0" fontId="96" fillId="0" borderId="0">
      <alignment vertical="center"/>
    </xf>
    <xf numFmtId="0" fontId="97" fillId="0" borderId="0" applyNumberFormat="0" applyFill="0" applyBorder="0" applyAlignment="0" applyProtection="0">
      <alignment vertical="top"/>
      <protection locked="0"/>
    </xf>
    <xf numFmtId="0" fontId="98" fillId="0" borderId="0" applyFill="0" applyBorder="0" applyProtection="0">
      <alignment horizontal="left"/>
    </xf>
    <xf numFmtId="0" fontId="99" fillId="22" borderId="0" applyNumberFormat="0" applyBorder="0" applyAlignment="0" applyProtection="0"/>
    <xf numFmtId="167" fontId="100" fillId="17" borderId="1" applyNumberFormat="0" applyFont="0" applyBorder="0" applyAlignment="0" applyProtection="0"/>
    <xf numFmtId="0" fontId="83" fillId="0" borderId="0" applyFont="0" applyFill="0" applyBorder="0" applyAlignment="0" applyProtection="0">
      <alignment horizontal="right"/>
    </xf>
    <xf numFmtId="190" fontId="101" fillId="17" borderId="0" applyNumberFormat="0" applyFont="0" applyAlignment="0"/>
    <xf numFmtId="0" fontId="102" fillId="0" borderId="0" applyProtection="0">
      <alignment horizontal="right"/>
    </xf>
    <xf numFmtId="0" fontId="80" fillId="38" borderId="53" applyNumberFormat="0" applyAlignment="0"/>
    <xf numFmtId="0" fontId="103" fillId="0" borderId="0">
      <alignment vertical="top"/>
    </xf>
    <xf numFmtId="0" fontId="104" fillId="0" borderId="0" applyNumberFormat="0" applyFill="0" applyBorder="0" applyAlignment="0" applyProtection="0"/>
    <xf numFmtId="0" fontId="105" fillId="0" borderId="58" applyNumberFormat="0" applyFill="0" applyAlignment="0" applyProtection="0"/>
    <xf numFmtId="0" fontId="106" fillId="0" borderId="0" applyNumberFormat="0" applyFill="0" applyBorder="0" applyAlignment="0" applyProtection="0"/>
    <xf numFmtId="0" fontId="107"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0" applyNumberFormat="0" applyFill="0" applyBorder="0" applyAlignment="0" applyProtection="0"/>
    <xf numFmtId="2" fontId="109" fillId="41" borderId="0" applyAlignment="0">
      <alignment horizontal="right"/>
      <protection locked="0"/>
    </xf>
    <xf numFmtId="175" fontId="110" fillId="0" borderId="0">
      <alignment vertical="top"/>
    </xf>
    <xf numFmtId="175" fontId="110" fillId="0" borderId="0">
      <alignment vertical="top"/>
    </xf>
    <xf numFmtId="38" fontId="110" fillId="0" borderId="0">
      <alignment vertical="top"/>
    </xf>
    <xf numFmtId="0" fontId="111" fillId="0" borderId="0" applyNumberFormat="0" applyFill="0" applyBorder="0" applyAlignment="0" applyProtection="0">
      <alignment vertical="top"/>
      <protection locked="0"/>
    </xf>
    <xf numFmtId="182" fontId="96" fillId="0" borderId="0"/>
    <xf numFmtId="0" fontId="37"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191" fontId="114" fillId="0" borderId="1">
      <alignment horizontal="center" vertical="center" wrapText="1"/>
    </xf>
    <xf numFmtId="0" fontId="115" fillId="25" borderId="53" applyNumberFormat="0" applyAlignment="0" applyProtection="0"/>
    <xf numFmtId="0" fontId="115" fillId="25" borderId="53" applyNumberFormat="0" applyAlignment="0" applyProtection="0"/>
    <xf numFmtId="0" fontId="116" fillId="0" borderId="0" applyFill="0" applyBorder="0" applyProtection="0">
      <alignment vertical="center"/>
    </xf>
    <xf numFmtId="0" fontId="116" fillId="0" borderId="0" applyFill="0" applyBorder="0" applyProtection="0">
      <alignment vertical="center"/>
    </xf>
    <xf numFmtId="0" fontId="116" fillId="0" borderId="0" applyFill="0" applyBorder="0" applyProtection="0">
      <alignment vertical="center"/>
    </xf>
    <xf numFmtId="0" fontId="116" fillId="0" borderId="0" applyFill="0" applyBorder="0" applyProtection="0">
      <alignment vertical="center"/>
    </xf>
    <xf numFmtId="175" fontId="59" fillId="0" borderId="0">
      <alignment vertical="top"/>
    </xf>
    <xf numFmtId="175" fontId="59" fillId="16" borderId="0">
      <alignment vertical="top"/>
    </xf>
    <xf numFmtId="175" fontId="59" fillId="16" borderId="0">
      <alignment vertical="top"/>
    </xf>
    <xf numFmtId="38" fontId="59" fillId="16" borderId="0">
      <alignment vertical="top"/>
    </xf>
    <xf numFmtId="175" fontId="59" fillId="0" borderId="0">
      <alignment vertical="top"/>
    </xf>
    <xf numFmtId="192" fontId="59" fillId="17" borderId="0">
      <alignment vertical="top"/>
    </xf>
    <xf numFmtId="38" fontId="59" fillId="0" borderId="0">
      <alignment vertical="top"/>
    </xf>
    <xf numFmtId="0" fontId="117" fillId="0" borderId="61" applyNumberFormat="0" applyFill="0" applyAlignment="0" applyProtection="0"/>
    <xf numFmtId="193" fontId="118" fillId="0" borderId="0" applyFont="0" applyFill="0" applyBorder="0" applyAlignment="0" applyProtection="0"/>
    <xf numFmtId="194" fontId="118" fillId="0" borderId="0" applyFont="0" applyFill="0" applyBorder="0" applyAlignment="0" applyProtection="0"/>
    <xf numFmtId="193" fontId="118" fillId="0" borderId="0" applyFont="0" applyFill="0" applyBorder="0" applyAlignment="0" applyProtection="0"/>
    <xf numFmtId="194" fontId="118" fillId="0" borderId="0" applyFont="0" applyFill="0" applyBorder="0" applyAlignment="0" applyProtection="0"/>
    <xf numFmtId="195" fontId="119" fillId="0" borderId="1">
      <alignment horizontal="right"/>
      <protection locked="0"/>
    </xf>
    <xf numFmtId="196" fontId="118" fillId="0" borderId="0" applyFont="0" applyFill="0" applyBorder="0" applyAlignment="0" applyProtection="0"/>
    <xf numFmtId="197" fontId="118" fillId="0" borderId="0" applyFont="0" applyFill="0" applyBorder="0" applyAlignment="0" applyProtection="0"/>
    <xf numFmtId="196" fontId="118" fillId="0" borderId="0" applyFont="0" applyFill="0" applyBorder="0" applyAlignment="0" applyProtection="0"/>
    <xf numFmtId="197" fontId="118" fillId="0" borderId="0" applyFont="0" applyFill="0" applyBorder="0" applyAlignment="0" applyProtection="0"/>
    <xf numFmtId="0" fontId="83" fillId="0" borderId="0" applyFont="0" applyFill="0" applyBorder="0" applyAlignment="0" applyProtection="0">
      <alignment horizontal="right"/>
    </xf>
    <xf numFmtId="0" fontId="83" fillId="0" borderId="0" applyFill="0" applyBorder="0" applyProtection="0">
      <alignment vertical="center"/>
    </xf>
    <xf numFmtId="0" fontId="83" fillId="0" borderId="0" applyFont="0" applyFill="0" applyBorder="0" applyAlignment="0" applyProtection="0">
      <alignment horizontal="right"/>
    </xf>
    <xf numFmtId="3" fontId="15" fillId="0" borderId="15" applyFont="0" applyBorder="0">
      <alignment horizontal="center" vertical="center"/>
    </xf>
    <xf numFmtId="0" fontId="120" fillId="42" borderId="0" applyNumberFormat="0" applyBorder="0" applyAlignment="0" applyProtection="0"/>
    <xf numFmtId="0" fontId="68" fillId="0" borderId="62"/>
    <xf numFmtId="0" fontId="121" fillId="0" borderId="0" applyNumberFormat="0" applyFill="0" applyBorder="0" applyAlignment="0" applyProtection="0"/>
    <xf numFmtId="0" fontId="37" fillId="0" borderId="0"/>
    <xf numFmtId="0" fontId="37" fillId="0" borderId="0"/>
    <xf numFmtId="0" fontId="37" fillId="0" borderId="0"/>
    <xf numFmtId="0" fontId="37" fillId="0" borderId="0"/>
    <xf numFmtId="0" fontId="121" fillId="0" borderId="0" applyNumberFormat="0" applyFill="0" applyBorder="0" applyAlignment="0" applyProtection="0"/>
    <xf numFmtId="0" fontId="15" fillId="0" borderId="0"/>
    <xf numFmtId="0" fontId="15" fillId="0" borderId="0"/>
    <xf numFmtId="0" fontId="15" fillId="0" borderId="0"/>
    <xf numFmtId="0" fontId="15" fillId="0"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lignment horizontal="right"/>
    </xf>
    <xf numFmtId="0" fontId="15" fillId="0" borderId="0"/>
    <xf numFmtId="0" fontId="123" fillId="0" borderId="0"/>
    <xf numFmtId="0" fontId="83" fillId="0" borderId="0" applyFill="0" applyBorder="0" applyProtection="0">
      <alignment vertical="center"/>
    </xf>
    <xf numFmtId="0" fontId="124" fillId="0" borderId="0"/>
    <xf numFmtId="0" fontId="37" fillId="0" borderId="0"/>
    <xf numFmtId="0" fontId="57" fillId="0" borderId="0"/>
    <xf numFmtId="0" fontId="36" fillId="43" borderId="63" applyNumberFormat="0" applyFont="0" applyAlignment="0" applyProtection="0"/>
    <xf numFmtId="0" fontId="36" fillId="43" borderId="63" applyNumberFormat="0" applyFont="0" applyAlignment="0" applyProtection="0"/>
    <xf numFmtId="198" fontId="15" fillId="0" borderId="0" applyFont="0" applyAlignment="0">
      <alignment horizontal="center"/>
    </xf>
    <xf numFmtId="199" fontId="15" fillId="0" borderId="0" applyFont="0" applyFill="0" applyBorder="0" applyAlignment="0" applyProtection="0"/>
    <xf numFmtId="200" fontId="15" fillId="0" borderId="0" applyFont="0" applyFill="0" applyBorder="0" applyAlignment="0" applyProtection="0"/>
    <xf numFmtId="0" fontId="100" fillId="0" borderId="0"/>
    <xf numFmtId="201" fontId="100" fillId="0" borderId="0" applyFont="0" applyFill="0" applyBorder="0" applyAlignment="0" applyProtection="0"/>
    <xf numFmtId="202" fontId="100" fillId="0" borderId="0" applyFont="0" applyFill="0" applyBorder="0" applyAlignment="0" applyProtection="0"/>
    <xf numFmtId="0" fontId="125" fillId="38" borderId="64" applyNumberFormat="0" applyAlignment="0" applyProtection="0"/>
    <xf numFmtId="0" fontId="125" fillId="38" borderId="64" applyNumberFormat="0" applyAlignment="0" applyProtection="0"/>
    <xf numFmtId="1" fontId="126" fillId="0" borderId="0" applyProtection="0">
      <alignment horizontal="right" vertical="center"/>
    </xf>
    <xf numFmtId="49" fontId="127" fillId="0" borderId="5" applyFill="0" applyProtection="0">
      <alignment vertical="center"/>
    </xf>
    <xf numFmtId="9" fontId="37" fillId="0" borderId="0" applyFont="0" applyFill="0" applyBorder="0" applyAlignment="0" applyProtection="0"/>
    <xf numFmtId="0" fontId="83" fillId="0" borderId="0" applyFill="0" applyBorder="0" applyProtection="0">
      <alignment vertical="center"/>
    </xf>
    <xf numFmtId="37" fontId="128" fillId="7" borderId="33"/>
    <xf numFmtId="37" fontId="128" fillId="7" borderId="33"/>
    <xf numFmtId="0" fontId="129" fillId="0" borderId="0" applyNumberFormat="0">
      <alignment horizontal="left"/>
    </xf>
    <xf numFmtId="203" fontId="130" fillId="0" borderId="65" applyBorder="0">
      <alignment horizontal="right"/>
      <protection locked="0"/>
    </xf>
    <xf numFmtId="49" fontId="131" fillId="0" borderId="1" applyNumberFormat="0">
      <alignment horizontal="left" vertical="center"/>
    </xf>
    <xf numFmtId="0" fontId="132" fillId="44" borderId="0">
      <alignment horizontal="center" vertical="top"/>
    </xf>
    <xf numFmtId="0" fontId="133" fillId="44" borderId="0">
      <alignment horizontal="right" vertical="top"/>
    </xf>
    <xf numFmtId="0" fontId="134" fillId="44" borderId="0">
      <alignment horizontal="left" vertical="top"/>
    </xf>
    <xf numFmtId="0" fontId="134" fillId="44" borderId="0">
      <alignment horizontal="right" vertical="top"/>
    </xf>
    <xf numFmtId="0" fontId="135" fillId="44" borderId="0">
      <alignment horizontal="left" vertical="top"/>
    </xf>
    <xf numFmtId="0" fontId="136" fillId="45" borderId="0">
      <alignment horizontal="right"/>
    </xf>
    <xf numFmtId="0" fontId="137" fillId="44" borderId="0">
      <alignment horizontal="right" vertical="center"/>
    </xf>
    <xf numFmtId="0" fontId="137" fillId="44" borderId="0">
      <alignment horizontal="right" vertical="top"/>
    </xf>
    <xf numFmtId="0" fontId="138" fillId="44" borderId="0">
      <alignment horizontal="left" vertical="top"/>
    </xf>
    <xf numFmtId="0" fontId="139" fillId="44" borderId="0">
      <alignment horizontal="right" vertical="top"/>
    </xf>
    <xf numFmtId="0" fontId="140" fillId="44" borderId="0">
      <alignment horizontal="right" vertical="center"/>
    </xf>
    <xf numFmtId="0" fontId="141" fillId="44" borderId="0">
      <alignment horizontal="left" vertical="top"/>
    </xf>
    <xf numFmtId="0" fontId="134" fillId="44" borderId="0">
      <alignment horizontal="center" vertical="center"/>
    </xf>
    <xf numFmtId="0" fontId="142" fillId="44" borderId="0">
      <alignment horizontal="center" vertical="center"/>
    </xf>
    <xf numFmtId="0" fontId="143" fillId="46" borderId="0">
      <alignment horizontal="center" vertical="top"/>
    </xf>
    <xf numFmtId="0" fontId="136" fillId="45" borderId="0">
      <alignment horizontal="right" vertical="center"/>
    </xf>
    <xf numFmtId="0" fontId="136" fillId="45" borderId="0">
      <alignment horizontal="right" vertical="center"/>
    </xf>
    <xf numFmtId="0" fontId="132" fillId="44" borderId="0">
      <alignment horizontal="left" vertical="top"/>
    </xf>
    <xf numFmtId="0" fontId="144" fillId="44" borderId="0">
      <alignment horizontal="left" vertical="top"/>
    </xf>
    <xf numFmtId="0" fontId="145" fillId="0" borderId="66">
      <alignment vertical="center"/>
    </xf>
    <xf numFmtId="4" fontId="146" fillId="7" borderId="64" applyNumberFormat="0" applyProtection="0">
      <alignment vertical="center"/>
    </xf>
    <xf numFmtId="4" fontId="146"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8" fillId="56" borderId="64" applyNumberFormat="0" applyProtection="0">
      <alignment horizontal="left" vertical="center" indent="1"/>
    </xf>
    <xf numFmtId="4" fontId="148" fillId="56" borderId="64" applyNumberFormat="0" applyProtection="0">
      <alignment horizontal="left" vertical="center" indent="1"/>
    </xf>
    <xf numFmtId="4" fontId="146" fillId="57" borderId="67" applyNumberFormat="0" applyProtection="0">
      <alignment horizontal="left" vertical="center" indent="1"/>
    </xf>
    <xf numFmtId="4" fontId="146" fillId="57" borderId="67" applyNumberFormat="0" applyProtection="0">
      <alignment horizontal="left" vertical="center" indent="1"/>
    </xf>
    <xf numFmtId="4" fontId="149" fillId="58" borderId="0"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15" fillId="0" borderId="0"/>
    <xf numFmtId="4" fontId="146" fillId="61" borderId="64" applyNumberFormat="0" applyProtection="0">
      <alignment vertical="center"/>
    </xf>
    <xf numFmtId="4" fontId="146"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57" borderId="64" applyNumberFormat="0" applyProtection="0">
      <alignment horizontal="right" vertical="center"/>
    </xf>
    <xf numFmtId="4" fontId="146"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150" fillId="0" borderId="0"/>
    <xf numFmtId="4" fontId="151" fillId="57" borderId="64" applyNumberFormat="0" applyProtection="0">
      <alignment horizontal="right" vertical="center"/>
    </xf>
    <xf numFmtId="4" fontId="151" fillId="57" borderId="64" applyNumberFormat="0" applyProtection="0">
      <alignment horizontal="right" vertical="center"/>
    </xf>
    <xf numFmtId="0" fontId="152" fillId="0" borderId="0">
      <alignment horizontal="left" vertical="center" wrapText="1"/>
    </xf>
    <xf numFmtId="0" fontId="37" fillId="0" borderId="0"/>
    <xf numFmtId="0" fontId="57" fillId="0" borderId="0"/>
    <xf numFmtId="2" fontId="153" fillId="62" borderId="68" applyProtection="0"/>
    <xf numFmtId="2" fontId="153" fillId="62" borderId="68" applyProtection="0"/>
    <xf numFmtId="2" fontId="73" fillId="0" borderId="0" applyFill="0" applyBorder="0" applyProtection="0"/>
    <xf numFmtId="2" fontId="63" fillId="0" borderId="0" applyFill="0" applyBorder="0" applyProtection="0"/>
    <xf numFmtId="2" fontId="63" fillId="63" borderId="68" applyProtection="0"/>
    <xf numFmtId="2" fontId="63" fillId="64" borderId="68" applyProtection="0"/>
    <xf numFmtId="2" fontId="63" fillId="65" borderId="68" applyProtection="0"/>
    <xf numFmtId="2" fontId="63" fillId="65" borderId="68" applyProtection="0">
      <alignment horizontal="center"/>
    </xf>
    <xf numFmtId="2" fontId="63" fillId="64" borderId="68" applyProtection="0">
      <alignment horizontal="center"/>
    </xf>
    <xf numFmtId="0" fontId="154" fillId="0" borderId="0" applyBorder="0" applyProtection="0">
      <alignment vertical="center"/>
    </xf>
    <xf numFmtId="0" fontId="154" fillId="0" borderId="5" applyBorder="0" applyProtection="0">
      <alignment horizontal="right" vertical="center"/>
    </xf>
    <xf numFmtId="0" fontId="155" fillId="66" borderId="0" applyBorder="0" applyProtection="0">
      <alignment horizontal="centerContinuous" vertical="center"/>
    </xf>
    <xf numFmtId="0" fontId="155" fillId="67" borderId="5" applyBorder="0" applyProtection="0">
      <alignment horizontal="centerContinuous" vertical="center"/>
    </xf>
    <xf numFmtId="0" fontId="156" fillId="0" borderId="0"/>
    <xf numFmtId="175" fontId="157" fillId="68" borderId="0">
      <alignment horizontal="right" vertical="top"/>
    </xf>
    <xf numFmtId="175" fontId="157" fillId="68" borderId="0">
      <alignment horizontal="right" vertical="top"/>
    </xf>
    <xf numFmtId="38" fontId="157" fillId="68" borderId="0">
      <alignment horizontal="right" vertical="top"/>
    </xf>
    <xf numFmtId="0" fontId="124" fillId="0" borderId="0"/>
    <xf numFmtId="0" fontId="158" fillId="0" borderId="0" applyFill="0" applyBorder="0" applyProtection="0">
      <alignment horizontal="left"/>
    </xf>
    <xf numFmtId="0" fontId="98" fillId="0" borderId="32" applyFill="0" applyBorder="0" applyProtection="0">
      <alignment horizontal="left" vertical="top"/>
    </xf>
    <xf numFmtId="0" fontId="159" fillId="0" borderId="0">
      <alignment horizontal="centerContinuous"/>
    </xf>
    <xf numFmtId="0" fontId="160" fillId="0" borderId="32" applyFill="0" applyBorder="0" applyProtection="0"/>
    <xf numFmtId="0" fontId="160" fillId="0" borderId="0"/>
    <xf numFmtId="0" fontId="161" fillId="0" borderId="0" applyFill="0" applyBorder="0" applyProtection="0"/>
    <xf numFmtId="0" fontId="162" fillId="0" borderId="0"/>
    <xf numFmtId="0" fontId="163" fillId="0" borderId="0" applyNumberFormat="0" applyFill="0" applyBorder="0" applyAlignment="0" applyProtection="0"/>
    <xf numFmtId="49" fontId="164" fillId="60" borderId="69" applyNumberFormat="0">
      <alignment horizontal="center" vertical="center"/>
    </xf>
    <xf numFmtId="0" fontId="84" fillId="0" borderId="70" applyNumberFormat="0" applyFont="0" applyFill="0" applyAlignment="0" applyProtection="0"/>
    <xf numFmtId="0" fontId="165" fillId="0" borderId="71" applyNumberFormat="0" applyFill="0" applyAlignment="0" applyProtection="0"/>
    <xf numFmtId="0" fontId="166" fillId="0" borderId="57" applyFill="0" applyBorder="0" applyProtection="0">
      <alignment vertical="center"/>
    </xf>
    <xf numFmtId="0" fontId="167" fillId="0" borderId="0">
      <alignment horizontal="fill"/>
    </xf>
    <xf numFmtId="0" fontId="100" fillId="0" borderId="0"/>
    <xf numFmtId="0" fontId="168" fillId="0" borderId="0" applyNumberFormat="0" applyFill="0" applyBorder="0" applyAlignment="0" applyProtection="0"/>
    <xf numFmtId="0" fontId="169" fillId="0" borderId="5" applyBorder="0" applyProtection="0">
      <alignment horizontal="right"/>
    </xf>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2" fillId="34" borderId="0" applyNumberFormat="0" applyBorder="0" applyAlignment="0" applyProtection="0"/>
    <xf numFmtId="0" fontId="71" fillId="34" borderId="0" applyNumberFormat="0" applyBorder="0" applyAlignment="0" applyProtection="0"/>
    <xf numFmtId="0" fontId="73"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2" fillId="35" borderId="0" applyNumberFormat="0" applyBorder="0" applyAlignment="0" applyProtection="0"/>
    <xf numFmtId="0" fontId="71" fillId="35" borderId="0" applyNumberFormat="0" applyBorder="0" applyAlignment="0" applyProtection="0"/>
    <xf numFmtId="0" fontId="73"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2" fillId="36" borderId="0" applyNumberFormat="0" applyBorder="0" applyAlignment="0" applyProtection="0"/>
    <xf numFmtId="0" fontId="71" fillId="36" borderId="0" applyNumberFormat="0" applyBorder="0" applyAlignment="0" applyProtection="0"/>
    <xf numFmtId="0" fontId="73"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2" fillId="31" borderId="0" applyNumberFormat="0" applyBorder="0" applyAlignment="0" applyProtection="0"/>
    <xf numFmtId="0" fontId="71" fillId="31" borderId="0" applyNumberFormat="0" applyBorder="0" applyAlignment="0" applyProtection="0"/>
    <xf numFmtId="0" fontId="73"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2" fillId="32" borderId="0" applyNumberFormat="0" applyBorder="0" applyAlignment="0" applyProtection="0"/>
    <xf numFmtId="0" fontId="71" fillId="32" borderId="0" applyNumberFormat="0" applyBorder="0" applyAlignment="0" applyProtection="0"/>
    <xf numFmtId="0" fontId="73"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2" fillId="37" borderId="0" applyNumberFormat="0" applyBorder="0" applyAlignment="0" applyProtection="0"/>
    <xf numFmtId="0" fontId="71" fillId="37" borderId="0" applyNumberFormat="0" applyBorder="0" applyAlignment="0" applyProtection="0"/>
    <xf numFmtId="0" fontId="73"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0" fontId="71" fillId="37" borderId="0" applyNumberFormat="0" applyBorder="0" applyAlignment="0" applyProtection="0"/>
    <xf numFmtId="182" fontId="64" fillId="0" borderId="55">
      <protection locked="0"/>
    </xf>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70"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71"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3" fontId="172" fillId="0" borderId="0">
      <alignment horizontal="center" vertical="center" textRotation="90" wrapText="1"/>
    </xf>
    <xf numFmtId="168" fontId="64" fillId="0" borderId="1">
      <alignment vertical="top" wrapText="1"/>
    </xf>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73"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74"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5"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6"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7" fillId="3" borderId="14"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8"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204" fontId="181" fillId="0" borderId="1">
      <alignment vertical="top" wrapText="1"/>
    </xf>
    <xf numFmtId="4" fontId="182" fillId="0" borderId="1">
      <alignment horizontal="left" vertical="center"/>
    </xf>
    <xf numFmtId="4" fontId="182" fillId="0" borderId="1"/>
    <xf numFmtId="4" fontId="182" fillId="69" borderId="1"/>
    <xf numFmtId="4" fontId="182" fillId="70" borderId="1"/>
    <xf numFmtId="4" fontId="183" fillId="71" borderId="1"/>
    <xf numFmtId="4" fontId="184" fillId="16" borderId="1"/>
    <xf numFmtId="4" fontId="185" fillId="0" borderId="1">
      <alignment horizontal="center" wrapText="1"/>
    </xf>
    <xf numFmtId="204" fontId="182" fillId="0" borderId="1"/>
    <xf numFmtId="204" fontId="181" fillId="0" borderId="1">
      <alignment horizontal="center" vertical="center" wrapText="1"/>
    </xf>
    <xf numFmtId="204" fontId="181" fillId="0" borderId="1">
      <alignment vertical="top" wrapText="1"/>
    </xf>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5" fillId="0" borderId="0" applyFont="0" applyFill="0" applyBorder="0" applyAlignment="0" applyProtection="0"/>
    <xf numFmtId="44" fontId="6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34" fillId="0" borderId="0" applyBorder="0">
      <alignment horizontal="center" vertical="center" wrapText="1"/>
    </xf>
    <xf numFmtId="0" fontId="105" fillId="0" borderId="58" applyNumberFormat="0" applyFill="0" applyAlignment="0" applyProtection="0"/>
    <xf numFmtId="0" fontId="186"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87"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5" fillId="0" borderId="58"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88" fillId="0" borderId="59" applyNumberFormat="0" applyFill="0" applyAlignment="0" applyProtection="0"/>
    <xf numFmtId="0" fontId="107" fillId="0" borderId="59" applyNumberFormat="0" applyFill="0" applyAlignment="0" applyProtection="0"/>
    <xf numFmtId="0" fontId="189"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7"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0"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91" fillId="0" borderId="60" applyNumberFormat="0" applyFill="0" applyAlignment="0" applyProtection="0"/>
    <xf numFmtId="0" fontId="190" fillId="0" borderId="60" applyNumberFormat="0" applyFill="0" applyAlignment="0" applyProtection="0"/>
    <xf numFmtId="0" fontId="190"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90" fillId="0" borderId="0" applyNumberFormat="0" applyFill="0" applyBorder="0" applyAlignment="0" applyProtection="0"/>
    <xf numFmtId="0" fontId="108" fillId="0" borderId="0" applyNumberFormat="0" applyFill="0" applyBorder="0" applyAlignment="0" applyProtection="0"/>
    <xf numFmtId="0" fontId="19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xf numFmtId="182" fontId="85" fillId="40" borderId="55"/>
    <xf numFmtId="4" fontId="36" fillId="7" borderId="1" applyBorder="0">
      <alignment horizontal="right"/>
    </xf>
    <xf numFmtId="49" fontId="194" fillId="0" borderId="0" applyBorder="0">
      <alignment vertical="center"/>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9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96"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3" fontId="85" fillId="0" borderId="1" applyBorder="0">
      <alignment vertical="center"/>
    </xf>
    <xf numFmtId="3" fontId="85" fillId="0" borderId="1" applyBorder="0">
      <alignment vertical="center"/>
    </xf>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197" fillId="39" borderId="56" applyNumberFormat="0" applyAlignment="0" applyProtection="0"/>
    <xf numFmtId="0" fontId="81" fillId="39" borderId="56" applyNumberFormat="0" applyAlignment="0" applyProtection="0"/>
    <xf numFmtId="0" fontId="198"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81" fillId="39" borderId="56" applyNumberFormat="0" applyAlignment="0" applyProtection="0"/>
    <xf numFmtId="0" fontId="15" fillId="0" borderId="0">
      <alignment wrapText="1"/>
    </xf>
    <xf numFmtId="0" fontId="193" fillId="0" borderId="0">
      <alignment horizontal="center" vertical="top" wrapText="1"/>
    </xf>
    <xf numFmtId="0" fontId="199" fillId="0" borderId="0">
      <alignment horizontal="center" vertical="center" wrapText="1"/>
    </xf>
    <xf numFmtId="0" fontId="199" fillId="0" borderId="0">
      <alignment horizontal="centerContinuous" vertical="center" wrapText="1"/>
    </xf>
    <xf numFmtId="0" fontId="199" fillId="0" borderId="0">
      <alignment horizontal="center" vertical="center" wrapText="1"/>
    </xf>
    <xf numFmtId="173" fontId="193" fillId="0" borderId="0">
      <alignment horizontal="center" vertical="top"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0" fontId="121" fillId="17" borderId="0" applyFill="0">
      <alignment wrapText="1"/>
    </xf>
    <xf numFmtId="205" fontId="200" fillId="17" borderId="1">
      <alignment wrapText="1"/>
    </xf>
    <xf numFmtId="205" fontId="200" fillId="17" borderId="1">
      <alignment wrapText="1"/>
    </xf>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7" fontId="72" fillId="0" borderId="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201" fillId="42" borderId="0" applyNumberFormat="0" applyBorder="0" applyAlignment="0" applyProtection="0"/>
    <xf numFmtId="0" fontId="120" fillId="42" borderId="0" applyNumberFormat="0" applyBorder="0" applyAlignment="0" applyProtection="0"/>
    <xf numFmtId="0" fontId="202"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0" fontId="120" fillId="42" borderId="0" applyNumberFormat="0" applyBorder="0" applyAlignment="0" applyProtection="0"/>
    <xf numFmtId="49" fontId="172" fillId="0" borderId="1">
      <alignment horizontal="right" vertical="top" wrapText="1"/>
    </xf>
    <xf numFmtId="172" fontId="203" fillId="0" borderId="0">
      <alignment horizontal="right" vertical="top" wrapText="1"/>
    </xf>
    <xf numFmtId="0" fontId="37" fillId="0" borderId="0"/>
    <xf numFmtId="0" fontId="204" fillId="0" borderId="0"/>
    <xf numFmtId="0" fontId="37" fillId="0" borderId="0"/>
    <xf numFmtId="0" fontId="37" fillId="0" borderId="0"/>
    <xf numFmtId="0" fontId="37" fillId="0" borderId="0"/>
    <xf numFmtId="0" fontId="37" fillId="0" borderId="0"/>
    <xf numFmtId="0" fontId="69" fillId="0" borderId="0"/>
    <xf numFmtId="0" fontId="37" fillId="0" borderId="0"/>
    <xf numFmtId="0" fontId="37" fillId="0" borderId="0"/>
    <xf numFmtId="0" fontId="37" fillId="0" borderId="0"/>
    <xf numFmtId="0" fontId="37" fillId="0" borderId="0"/>
    <xf numFmtId="49" fontId="36" fillId="0" borderId="0" applyBorder="0">
      <alignment vertical="top"/>
    </xf>
    <xf numFmtId="0" fontId="37" fillId="0" borderId="0"/>
    <xf numFmtId="0" fontId="37" fillId="0" borderId="0"/>
    <xf numFmtId="0" fontId="37" fillId="0" borderId="0"/>
    <xf numFmtId="0" fontId="204" fillId="0" borderId="0"/>
    <xf numFmtId="49" fontId="36" fillId="0" borderId="0" applyBorder="0">
      <alignment vertical="top"/>
    </xf>
    <xf numFmtId="0" fontId="69" fillId="0" borderId="0"/>
    <xf numFmtId="0" fontId="204" fillId="0" borderId="0"/>
    <xf numFmtId="0" fontId="37" fillId="0" borderId="0"/>
    <xf numFmtId="0" fontId="37" fillId="0" borderId="0"/>
    <xf numFmtId="0" fontId="37" fillId="0" borderId="0"/>
    <xf numFmtId="0" fontId="37" fillId="0" borderId="0"/>
    <xf numFmtId="0" fontId="205" fillId="0" borderId="0"/>
    <xf numFmtId="0" fontId="206" fillId="0" borderId="0"/>
    <xf numFmtId="0" fontId="206"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7" fillId="0" borderId="0"/>
    <xf numFmtId="0" fontId="69" fillId="0" borderId="0"/>
    <xf numFmtId="0" fontId="80" fillId="0" borderId="0"/>
    <xf numFmtId="0" fontId="204" fillId="0" borderId="0"/>
    <xf numFmtId="0" fontId="69" fillId="0" borderId="0"/>
    <xf numFmtId="0" fontId="80" fillId="0" borderId="0"/>
    <xf numFmtId="0" fontId="20" fillId="0" borderId="0"/>
    <xf numFmtId="0" fontId="204" fillId="0" borderId="0"/>
    <xf numFmtId="0" fontId="69" fillId="0" borderId="0"/>
    <xf numFmtId="0" fontId="208" fillId="0" borderId="0" applyNumberFormat="0" applyFill="0" applyBorder="0" applyProtection="0">
      <alignment vertical="top"/>
    </xf>
    <xf numFmtId="0" fontId="80" fillId="0" borderId="0"/>
    <xf numFmtId="0" fontId="207" fillId="0" borderId="0"/>
    <xf numFmtId="0" fontId="209" fillId="0" borderId="0"/>
    <xf numFmtId="0" fontId="24" fillId="0" borderId="0"/>
    <xf numFmtId="0" fontId="69"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15" fillId="0" borderId="0"/>
    <xf numFmtId="0" fontId="37" fillId="0" borderId="0"/>
    <xf numFmtId="0" fontId="37"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09" fillId="0" borderId="0"/>
    <xf numFmtId="0" fontId="2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69" fillId="0" borderId="0"/>
    <xf numFmtId="0" fontId="69"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69" fillId="0" borderId="0"/>
    <xf numFmtId="0" fontId="37" fillId="0" borderId="0"/>
    <xf numFmtId="0" fontId="37" fillId="0" borderId="0"/>
    <xf numFmtId="0" fontId="37" fillId="0" borderId="0"/>
    <xf numFmtId="0" fontId="204" fillId="0" borderId="0"/>
    <xf numFmtId="0" fontId="37" fillId="0" borderId="0"/>
    <xf numFmtId="0" fontId="37" fillId="0" borderId="0"/>
    <xf numFmtId="0" fontId="37" fillId="0" borderId="0"/>
    <xf numFmtId="0" fontId="69" fillId="0" borderId="0"/>
    <xf numFmtId="0" fontId="2" fillId="0" borderId="0"/>
    <xf numFmtId="0" fontId="69" fillId="0" borderId="0"/>
    <xf numFmtId="0" fontId="15"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49" fontId="36" fillId="0" borderId="0" applyBorder="0">
      <alignment vertical="top"/>
    </xf>
    <xf numFmtId="0" fontId="69" fillId="0" borderId="0"/>
    <xf numFmtId="0" fontId="69" fillId="0" borderId="0"/>
    <xf numFmtId="0" fontId="24" fillId="0" borderId="0"/>
    <xf numFmtId="0" fontId="15" fillId="0" borderId="0"/>
    <xf numFmtId="0" fontId="69" fillId="0" borderId="0"/>
    <xf numFmtId="0" fontId="69" fillId="0" borderId="0"/>
    <xf numFmtId="0" fontId="69" fillId="0" borderId="0"/>
    <xf numFmtId="0" fontId="69" fillId="0" borderId="0"/>
    <xf numFmtId="0" fontId="20" fillId="0" borderId="0">
      <alignment horizontal="left"/>
    </xf>
    <xf numFmtId="0" fontId="69" fillId="0" borderId="0"/>
    <xf numFmtId="0" fontId="69"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69" fillId="0" borderId="0"/>
    <xf numFmtId="0" fontId="37" fillId="0" borderId="0"/>
    <xf numFmtId="0" fontId="37" fillId="0" borderId="0"/>
    <xf numFmtId="0" fontId="24" fillId="0" borderId="0"/>
    <xf numFmtId="0" fontId="37" fillId="0" borderId="0"/>
    <xf numFmtId="0" fontId="37" fillId="0" borderId="0"/>
    <xf numFmtId="49" fontId="36" fillId="0" borderId="0" applyBorder="0">
      <alignment vertical="top"/>
    </xf>
    <xf numFmtId="0" fontId="3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37" fillId="0" borderId="0"/>
    <xf numFmtId="0" fontId="3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08"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15" fillId="0" borderId="0"/>
    <xf numFmtId="0" fontId="204"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7" fillId="0" borderId="0"/>
    <xf numFmtId="0" fontId="37"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36" fillId="0" borderId="0" applyBorder="0">
      <alignment vertical="top"/>
    </xf>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08" fillId="0" borderId="0" applyNumberFormat="0" applyFill="0" applyBorder="0" applyProtection="0">
      <alignment vertical="top"/>
    </xf>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15"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15" fillId="0" borderId="0"/>
    <xf numFmtId="0" fontId="37" fillId="0" borderId="0"/>
    <xf numFmtId="0" fontId="2" fillId="0" borderId="0"/>
    <xf numFmtId="0" fontId="2" fillId="0" borderId="0"/>
    <xf numFmtId="0" fontId="2" fillId="0" borderId="0"/>
    <xf numFmtId="0" fontId="2" fillId="0" borderId="0"/>
    <xf numFmtId="0" fontId="37"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07" fillId="0" borderId="0"/>
    <xf numFmtId="0" fontId="207" fillId="0" borderId="0"/>
    <xf numFmtId="0" fontId="2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07" fillId="0" borderId="0"/>
    <xf numFmtId="0" fontId="37" fillId="0" borderId="0"/>
    <xf numFmtId="0" fontId="37" fillId="0" borderId="0"/>
    <xf numFmtId="0" fontId="2" fillId="0" borderId="0"/>
    <xf numFmtId="0" fontId="2" fillId="0" borderId="0"/>
    <xf numFmtId="0" fontId="2" fillId="0" borderId="0"/>
    <xf numFmtId="0" fontId="2" fillId="0" borderId="0"/>
    <xf numFmtId="206" fontId="96" fillId="0" borderId="0"/>
    <xf numFmtId="0" fontId="37" fillId="0" borderId="0"/>
    <xf numFmtId="0" fontId="2" fillId="0" borderId="0"/>
    <xf numFmtId="0" fontId="37"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10"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49" fontId="36" fillId="0" borderId="0" applyBorder="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1" fillId="0" borderId="0"/>
    <xf numFmtId="0" fontId="7"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04" fillId="0" borderId="0"/>
    <xf numFmtId="0" fontId="37" fillId="0" borderId="0"/>
    <xf numFmtId="0" fontId="37"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1" fontId="212" fillId="0" borderId="1">
      <alignment horizontal="left" vertical="center"/>
    </xf>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213" fillId="21" borderId="0" applyNumberFormat="0" applyBorder="0" applyAlignment="0" applyProtection="0"/>
    <xf numFmtId="0" fontId="76" fillId="21" borderId="0" applyNumberFormat="0" applyBorder="0" applyAlignment="0" applyProtection="0"/>
    <xf numFmtId="0" fontId="214"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15" fillId="0" borderId="0" applyFont="0" applyFill="0" applyBorder="0" applyProtection="0">
      <alignment horizontal="center" vertical="center" wrapText="1"/>
    </xf>
    <xf numFmtId="0" fontId="15" fillId="0" borderId="0" applyNumberFormat="0" applyFont="0" applyFill="0" applyBorder="0" applyProtection="0">
      <alignment horizontal="justify" vertical="center" wrapText="1"/>
    </xf>
    <xf numFmtId="204" fontId="215" fillId="0" borderId="1">
      <alignment vertical="top"/>
    </xf>
    <xf numFmtId="172" fontId="216" fillId="7" borderId="33" applyNumberFormat="0" applyBorder="0" applyAlignment="0">
      <alignment vertical="center"/>
      <protection locked="0"/>
    </xf>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17" fillId="0" borderId="0" applyNumberFormat="0" applyFill="0" applyBorder="0" applyAlignment="0" applyProtection="0"/>
    <xf numFmtId="0" fontId="89" fillId="0" borderId="0" applyNumberFormat="0" applyFill="0" applyBorder="0" applyAlignment="0" applyProtection="0"/>
    <xf numFmtId="0" fontId="218"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2"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49" fontId="183" fillId="0" borderId="2">
      <alignment horizontal="left" vertical="center"/>
    </xf>
    <xf numFmtId="9" fontId="1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70"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4" fillId="0" borderId="0" applyFill="0" applyBorder="0" applyAlignment="0" applyProtection="0"/>
    <xf numFmtId="9" fontId="1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9" fillId="0" borderId="0" applyFont="0" applyFill="0" applyBorder="0" applyAlignment="0" applyProtection="0"/>
    <xf numFmtId="9" fontId="15" fillId="0" borderId="0" applyFont="0" applyFill="0" applyBorder="0" applyAlignment="0" applyProtection="0"/>
    <xf numFmtId="170" fontId="219" fillId="0" borderId="1"/>
    <xf numFmtId="0" fontId="15" fillId="0" borderId="1" applyNumberFormat="0" applyFont="0" applyFill="0" applyAlignment="0" applyProtection="0"/>
    <xf numFmtId="3" fontId="220" fillId="72" borderId="2">
      <alignment horizontal="justify" vertical="center"/>
    </xf>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221" fillId="0" borderId="61" applyNumberFormat="0" applyFill="0" applyAlignment="0" applyProtection="0"/>
    <xf numFmtId="0" fontId="117" fillId="0" borderId="61" applyNumberFormat="0" applyFill="0" applyAlignment="0" applyProtection="0"/>
    <xf numFmtId="0" fontId="222"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117" fillId="0" borderId="61" applyNumberFormat="0" applyFill="0" applyAlignment="0" applyProtection="0"/>
    <xf numFmtId="0" fontId="57" fillId="0" borderId="0"/>
    <xf numFmtId="0" fontId="62" fillId="0" borderId="0">
      <alignment vertical="top"/>
    </xf>
    <xf numFmtId="175" fontId="20" fillId="0" borderId="0">
      <alignment vertical="top"/>
    </xf>
    <xf numFmtId="175" fontId="20" fillId="0" borderId="0">
      <alignment vertical="top"/>
    </xf>
    <xf numFmtId="38" fontId="20" fillId="0" borderId="0">
      <alignment vertical="top"/>
    </xf>
    <xf numFmtId="0" fontId="62" fillId="0" borderId="0">
      <alignment vertical="top"/>
    </xf>
    <xf numFmtId="0" fontId="57" fillId="0" borderId="0"/>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0" fontId="62" fillId="0" borderId="0">
      <alignment vertical="top"/>
    </xf>
    <xf numFmtId="175" fontId="20" fillId="0" borderId="0">
      <alignment vertical="top"/>
    </xf>
    <xf numFmtId="3" fontId="16" fillId="73" borderId="72">
      <alignment horizontal="right" vertical="center"/>
    </xf>
    <xf numFmtId="49" fontId="203" fillId="0" borderId="0"/>
    <xf numFmtId="49" fontId="223" fillId="0" borderId="0">
      <alignment vertical="top"/>
    </xf>
    <xf numFmtId="3" fontId="224" fillId="0" borderId="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172" fontId="121" fillId="0" borderId="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25" fillId="0" borderId="0" applyNumberFormat="0" applyFill="0" applyBorder="0" applyAlignment="0" applyProtection="0"/>
    <xf numFmtId="0" fontId="168" fillId="0" borderId="0" applyNumberFormat="0" applyFill="0" applyBorder="0" applyAlignment="0" applyProtection="0"/>
    <xf numFmtId="0" fontId="22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49" fontId="121" fillId="0" borderId="0">
      <alignment horizontal="center"/>
    </xf>
    <xf numFmtId="207" fontId="15" fillId="0" borderId="0" applyFont="0" applyFill="0" applyBorder="0" applyAlignment="0" applyProtection="0"/>
    <xf numFmtId="208" fontId="15" fillId="0" borderId="0" applyFont="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2" fontId="121" fillId="0" borderId="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27" fillId="0" borderId="0" applyFont="0" applyFill="0" applyBorder="0" applyAlignment="0" applyProtection="0"/>
    <xf numFmtId="43" fontId="227"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9" fillId="0" borderId="0" applyFont="0" applyFill="0" applyBorder="0" applyAlignment="0" applyProtection="0"/>
    <xf numFmtId="209" fontId="37" fillId="0" borderId="0" applyFont="0" applyFill="0" applyBorder="0" applyAlignment="0" applyProtection="0"/>
    <xf numFmtId="43" fontId="15" fillId="0" borderId="0" applyFont="0" applyFill="0" applyBorder="0" applyAlignment="0" applyProtection="0"/>
    <xf numFmtId="208" fontId="37" fillId="0" borderId="0" applyFont="0" applyFill="0" applyBorder="0" applyAlignment="0" applyProtection="0"/>
    <xf numFmtId="43" fontId="22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43" fontId="22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43" fontId="227" fillId="0" borderId="0" applyFont="0" applyFill="0" applyBorder="0" applyAlignment="0" applyProtection="0"/>
    <xf numFmtId="43" fontId="24" fillId="0" borderId="0" applyFont="0" applyFill="0" applyBorder="0" applyAlignment="0" applyProtection="0"/>
    <xf numFmtId="43" fontId="227" fillId="0" borderId="0" applyFont="0" applyFill="0" applyBorder="0" applyAlignment="0" applyProtection="0"/>
    <xf numFmtId="43" fontId="24"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43" fontId="69" fillId="0" borderId="0" applyFont="0" applyFill="0" applyBorder="0" applyAlignment="0" applyProtection="0"/>
    <xf numFmtId="43" fontId="227" fillId="0" borderId="0" applyFont="0" applyFill="0" applyBorder="0" applyAlignment="0" applyProtection="0"/>
    <xf numFmtId="208" fontId="15" fillId="0" borderId="0" applyFont="0" applyFill="0" applyBorder="0" applyAlignment="0" applyProtection="0"/>
    <xf numFmtId="43" fontId="227" fillId="0" borderId="0" applyFont="0" applyFill="0" applyBorder="0" applyAlignment="0" applyProtection="0"/>
    <xf numFmtId="43" fontId="37" fillId="0" borderId="0" applyFont="0" applyFill="0" applyBorder="0" applyAlignment="0" applyProtection="0"/>
    <xf numFmtId="43" fontId="22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208" fontId="15" fillId="0" borderId="0" applyFont="0" applyFill="0" applyBorder="0" applyAlignment="0" applyProtection="0"/>
    <xf numFmtId="43" fontId="2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0" fontId="15" fillId="0" borderId="0" applyFont="0" applyFill="0" applyBorder="0" applyAlignment="0" applyProtection="0"/>
    <xf numFmtId="4" fontId="36" fillId="17" borderId="0" applyBorder="0">
      <alignment horizontal="right"/>
    </xf>
    <xf numFmtId="4" fontId="36" fillId="17" borderId="0" applyFont="0" applyBorder="0">
      <alignment horizontal="right"/>
    </xf>
    <xf numFmtId="4" fontId="36" fillId="17" borderId="0" applyBorder="0">
      <alignment horizontal="right"/>
    </xf>
    <xf numFmtId="4" fontId="36" fillId="17" borderId="0" applyFont="0" applyBorder="0">
      <alignment horizontal="right"/>
    </xf>
    <xf numFmtId="4" fontId="36" fillId="17" borderId="0" applyBorder="0">
      <alignment horizontal="right"/>
    </xf>
    <xf numFmtId="4" fontId="36" fillId="17" borderId="17" applyBorder="0">
      <alignment horizontal="right"/>
    </xf>
    <xf numFmtId="4" fontId="36" fillId="74" borderId="17" applyBorder="0">
      <alignment horizontal="right"/>
    </xf>
    <xf numFmtId="4" fontId="36" fillId="74" borderId="17" applyBorder="0">
      <alignment horizontal="right"/>
    </xf>
    <xf numFmtId="4" fontId="36" fillId="17" borderId="17" applyBorder="0">
      <alignment horizontal="right"/>
    </xf>
    <xf numFmtId="4" fontId="36" fillId="74" borderId="22" applyBorder="0">
      <alignment horizontal="right"/>
    </xf>
    <xf numFmtId="4" fontId="36" fillId="17" borderId="1" applyFont="0" applyBorder="0">
      <alignment horizontal="right"/>
    </xf>
    <xf numFmtId="4" fontId="36" fillId="74" borderId="22" applyBorder="0">
      <alignment horizontal="right"/>
    </xf>
    <xf numFmtId="4" fontId="36" fillId="17" borderId="1" applyFont="0" applyBorder="0">
      <alignment horizontal="right"/>
    </xf>
    <xf numFmtId="4" fontId="36" fillId="17" borderId="1" applyFont="0" applyBorder="0">
      <alignment horizontal="right"/>
    </xf>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228" fillId="22" borderId="0" applyNumberFormat="0" applyBorder="0" applyAlignment="0" applyProtection="0"/>
    <xf numFmtId="0" fontId="99" fillId="22" borderId="0" applyNumberFormat="0" applyBorder="0" applyAlignment="0" applyProtection="0"/>
    <xf numFmtId="0" fontId="22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165" fontId="64" fillId="0" borderId="2">
      <alignment vertical="top" wrapText="1"/>
    </xf>
    <xf numFmtId="164" fontId="15" fillId="0" borderId="1" applyFont="0" applyFill="0" applyBorder="0" applyProtection="0">
      <alignment horizontal="center" vertical="center"/>
    </xf>
    <xf numFmtId="164" fontId="15" fillId="0" borderId="1" applyFont="0" applyFill="0" applyBorder="0" applyProtection="0">
      <alignment horizontal="center" vertical="center"/>
    </xf>
    <xf numFmtId="3" fontId="15" fillId="0" borderId="0" applyFont="0" applyBorder="0">
      <alignment horizontal="center"/>
    </xf>
    <xf numFmtId="44" fontId="66" fillId="0" borderId="0">
      <protection locked="0"/>
    </xf>
    <xf numFmtId="211" fontId="66" fillId="0" borderId="0">
      <protection locked="0"/>
    </xf>
    <xf numFmtId="49" fontId="181" fillId="0" borderId="1">
      <alignment horizontal="center" vertical="center" wrapText="1"/>
    </xf>
    <xf numFmtId="0" fontId="64" fillId="0" borderId="1" applyBorder="0">
      <alignment horizontal="center" vertical="center" wrapText="1"/>
    </xf>
    <xf numFmtId="0" fontId="64" fillId="0" borderId="1" applyBorder="0">
      <alignment horizontal="center" vertical="center" wrapText="1"/>
    </xf>
    <xf numFmtId="49" fontId="181" fillId="0" borderId="1">
      <alignment horizontal="center" vertical="center" wrapText="1"/>
    </xf>
    <xf numFmtId="49" fontId="152" fillId="0" borderId="1" applyNumberFormat="0" applyFill="0" applyAlignment="0" applyProtection="0"/>
    <xf numFmtId="205" fontId="15" fillId="0" borderId="0"/>
    <xf numFmtId="0" fontId="165" fillId="0" borderId="71" applyNumberFormat="0" applyFill="0" applyAlignment="0" applyProtection="0"/>
    <xf numFmtId="0" fontId="165" fillId="0" borderId="71" applyNumberFormat="0" applyFill="0" applyAlignment="0" applyProtection="0"/>
    <xf numFmtId="0" fontId="76" fillId="21" borderId="0" applyNumberFormat="0" applyBorder="0" applyAlignment="0" applyProtection="0"/>
    <xf numFmtId="0" fontId="99" fillId="22" borderId="0" applyNumberFormat="0" applyBorder="0" applyAlignment="0" applyProtection="0"/>
    <xf numFmtId="0" fontId="69" fillId="43" borderId="63" applyNumberFormat="0" applyFont="0" applyAlignment="0" applyProtection="0"/>
    <xf numFmtId="0" fontId="69" fillId="43" borderId="63" applyNumberFormat="0" applyFont="0" applyAlignment="0" applyProtection="0"/>
    <xf numFmtId="0" fontId="15" fillId="0" borderId="0"/>
    <xf numFmtId="0" fontId="69" fillId="0" borderId="0"/>
    <xf numFmtId="0" fontId="117" fillId="0" borderId="61" applyNumberFormat="0" applyFill="0" applyAlignment="0" applyProtection="0"/>
    <xf numFmtId="0" fontId="81" fillId="39" borderId="56" applyNumberFormat="0" applyAlignment="0" applyProtection="0"/>
    <xf numFmtId="0" fontId="168" fillId="0" borderId="0" applyNumberFormat="0" applyFill="0" applyBorder="0" applyAlignment="0" applyProtection="0"/>
    <xf numFmtId="0" fontId="15" fillId="0" borderId="0"/>
    <xf numFmtId="0" fontId="37" fillId="0" borderId="0"/>
    <xf numFmtId="0" fontId="37" fillId="0" borderId="0"/>
    <xf numFmtId="0" fontId="37" fillId="0" borderId="0"/>
    <xf numFmtId="0" fontId="37" fillId="0" borderId="0"/>
    <xf numFmtId="0" fontId="231" fillId="75" borderId="0" applyNumberFormat="0" applyBorder="0" applyAlignment="0" applyProtection="0"/>
    <xf numFmtId="0" fontId="1" fillId="0" borderId="0"/>
    <xf numFmtId="43" fontId="1" fillId="0" borderId="0" applyFont="0" applyFill="0" applyBorder="0" applyAlignment="0" applyProtection="0"/>
    <xf numFmtId="0" fontId="20" fillId="0" borderId="0">
      <alignment horizontal="left"/>
    </xf>
    <xf numFmtId="0" fontId="20" fillId="0" borderId="0">
      <alignment horizontal="left"/>
    </xf>
    <xf numFmtId="0" fontId="204" fillId="0" borderId="0"/>
    <xf numFmtId="0" fontId="1" fillId="0" borderId="0"/>
    <xf numFmtId="0" fontId="1" fillId="0" borderId="0"/>
    <xf numFmtId="0" fontId="63" fillId="18" borderId="53" applyNumberFormat="0">
      <alignment readingOrder="1"/>
      <protection locked="0"/>
    </xf>
    <xf numFmtId="178" fontId="66" fillId="0" borderId="0">
      <protection locked="0"/>
    </xf>
    <xf numFmtId="179" fontId="66" fillId="0" borderId="0">
      <protection locked="0"/>
    </xf>
    <xf numFmtId="180" fontId="66" fillId="0" borderId="0">
      <protection locked="0"/>
    </xf>
    <xf numFmtId="181" fontId="67" fillId="0" borderId="0">
      <protection locked="0"/>
    </xf>
    <xf numFmtId="181" fontId="67" fillId="0" borderId="0">
      <protection locked="0"/>
    </xf>
    <xf numFmtId="181" fontId="66" fillId="0" borderId="54">
      <protection locked="0"/>
    </xf>
    <xf numFmtId="0" fontId="73" fillId="30"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5" fillId="0" borderId="0" applyNumberFormat="0" applyFill="0" applyBorder="0" applyAlignment="0" applyProtection="0">
      <alignment vertical="top"/>
      <protection locked="0"/>
    </xf>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80" fillId="0" borderId="53" applyNumberFormat="0" applyAlignment="0">
      <protection locked="0"/>
    </xf>
    <xf numFmtId="173" fontId="86" fillId="0" borderId="0" applyFont="0" applyFill="0" applyBorder="0" applyAlignment="0" applyProtection="0"/>
    <xf numFmtId="167" fontId="100" fillId="17" borderId="95" applyNumberFormat="0" applyFont="0" applyBorder="0" applyAlignment="0" applyProtection="0"/>
    <xf numFmtId="0" fontId="80" fillId="38" borderId="53" applyNumberFormat="0" applyAlignment="0"/>
    <xf numFmtId="0" fontId="105" fillId="0" borderId="58" applyNumberFormat="0" applyFill="0" applyAlignment="0" applyProtection="0"/>
    <xf numFmtId="0" fontId="107"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13" fillId="0" borderId="0" applyNumberFormat="0" applyFill="0" applyBorder="0" applyAlignment="0" applyProtection="0">
      <alignment vertical="top"/>
      <protection locked="0"/>
    </xf>
    <xf numFmtId="191" fontId="114" fillId="0" borderId="95">
      <alignment horizontal="center" vertical="center" wrapText="1"/>
    </xf>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195" fontId="119" fillId="0" borderId="95">
      <alignment horizontal="right"/>
      <protection locked="0"/>
    </xf>
    <xf numFmtId="3" fontId="15" fillId="0" borderId="15" applyFont="0" applyBorder="0">
      <alignment horizontal="center" vertical="center"/>
    </xf>
    <xf numFmtId="0" fontId="36" fillId="43" borderId="63" applyNumberFormat="0" applyFont="0" applyAlignment="0" applyProtection="0"/>
    <xf numFmtId="0" fontId="36" fillId="43" borderId="63" applyNumberFormat="0" applyFont="0" applyAlignment="0" applyProtection="0"/>
    <xf numFmtId="0" fontId="36" fillId="43" borderId="63" applyNumberFormat="0" applyFont="0" applyAlignment="0" applyProtection="0"/>
    <xf numFmtId="0" fontId="36" fillId="43" borderId="63" applyNumberFormat="0" applyFon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45" fillId="0" borderId="66">
      <alignment vertical="center"/>
    </xf>
    <xf numFmtId="4" fontId="146" fillId="7" borderId="64" applyNumberFormat="0" applyProtection="0">
      <alignment vertical="center"/>
    </xf>
    <xf numFmtId="4" fontId="146" fillId="7" borderId="64" applyNumberFormat="0" applyProtection="0">
      <alignment vertical="center"/>
    </xf>
    <xf numFmtId="4" fontId="146" fillId="7" borderId="64" applyNumberFormat="0" applyProtection="0">
      <alignment vertical="center"/>
    </xf>
    <xf numFmtId="4" fontId="146"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7" fillId="7" borderId="64" applyNumberFormat="0" applyProtection="0">
      <alignment vertical="center"/>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4" fontId="146" fillId="7"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7"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8"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49"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0"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1"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2"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3"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4"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6" fillId="55" borderId="64" applyNumberFormat="0" applyProtection="0">
      <alignment horizontal="right" vertical="center"/>
    </xf>
    <xf numFmtId="4" fontId="148" fillId="56" borderId="64" applyNumberFormat="0" applyProtection="0">
      <alignment horizontal="left" vertical="center" indent="1"/>
    </xf>
    <xf numFmtId="4" fontId="148" fillId="56" borderId="64" applyNumberFormat="0" applyProtection="0">
      <alignment horizontal="left" vertical="center" indent="1"/>
    </xf>
    <xf numFmtId="4" fontId="148" fillId="56" borderId="64" applyNumberFormat="0" applyProtection="0">
      <alignment horizontal="left" vertical="center" indent="1"/>
    </xf>
    <xf numFmtId="4" fontId="148" fillId="56"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7"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4" fontId="62"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59"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60"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6"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46" fillId="61" borderId="64" applyNumberFormat="0" applyProtection="0">
      <alignment vertical="center"/>
    </xf>
    <xf numFmtId="4" fontId="146" fillId="61" borderId="64" applyNumberFormat="0" applyProtection="0">
      <alignment vertical="center"/>
    </xf>
    <xf numFmtId="4" fontId="146" fillId="61" borderId="64" applyNumberFormat="0" applyProtection="0">
      <alignment vertical="center"/>
    </xf>
    <xf numFmtId="4" fontId="146"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7" fillId="61" borderId="64" applyNumberFormat="0" applyProtection="0">
      <alignment vertical="center"/>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61" borderId="64" applyNumberFormat="0" applyProtection="0">
      <alignment horizontal="left" vertical="center" indent="1"/>
    </xf>
    <xf numFmtId="4" fontId="146" fillId="57" borderId="64" applyNumberFormat="0" applyProtection="0">
      <alignment horizontal="right" vertical="center"/>
    </xf>
    <xf numFmtId="4" fontId="146" fillId="57" borderId="64" applyNumberFormat="0" applyProtection="0">
      <alignment horizontal="right" vertical="center"/>
    </xf>
    <xf numFmtId="4" fontId="146" fillId="57" borderId="64" applyNumberFormat="0" applyProtection="0">
      <alignment horizontal="right" vertical="center"/>
    </xf>
    <xf numFmtId="4" fontId="146"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4" fontId="147" fillId="57" borderId="64" applyNumberFormat="0" applyProtection="0">
      <alignment horizontal="right" vertical="center"/>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0" fontId="37" fillId="18" borderId="64" applyNumberFormat="0" applyProtection="0">
      <alignment horizontal="left" vertical="center" indent="1"/>
    </xf>
    <xf numFmtId="4" fontId="151" fillId="57" borderId="64" applyNumberFormat="0" applyProtection="0">
      <alignment horizontal="right" vertical="center"/>
    </xf>
    <xf numFmtId="4" fontId="151" fillId="57" borderId="64" applyNumberFormat="0" applyProtection="0">
      <alignment horizontal="right" vertical="center"/>
    </xf>
    <xf numFmtId="4" fontId="151" fillId="57" borderId="64" applyNumberFormat="0" applyProtection="0">
      <alignment horizontal="right" vertical="center"/>
    </xf>
    <xf numFmtId="4" fontId="151" fillId="57" borderId="64" applyNumberFormat="0" applyProtection="0">
      <alignment horizontal="right" vertical="center"/>
    </xf>
    <xf numFmtId="2" fontId="153" fillId="62" borderId="68" applyProtection="0"/>
    <xf numFmtId="2" fontId="153" fillId="62" borderId="68" applyProtection="0"/>
    <xf numFmtId="2" fontId="63" fillId="63" borderId="68" applyProtection="0"/>
    <xf numFmtId="2" fontId="63" fillId="64" borderId="68" applyProtection="0"/>
    <xf numFmtId="2" fontId="63" fillId="65" borderId="68" applyProtection="0"/>
    <xf numFmtId="2" fontId="63" fillId="65" borderId="68" applyProtection="0">
      <alignment horizontal="center"/>
    </xf>
    <xf numFmtId="2" fontId="63" fillId="64" borderId="68" applyProtection="0">
      <alignment horizontal="center"/>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73"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7" borderId="0" applyNumberFormat="0" applyBorder="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71" fillId="25" borderId="53" applyNumberFormat="0" applyAlignment="0" applyProtection="0"/>
    <xf numFmtId="0" fontId="171"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15" fillId="25" borderId="53"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74" fillId="38" borderId="64" applyNumberFormat="0" applyAlignment="0" applyProtection="0"/>
    <xf numFmtId="0" fontId="174"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125" fillId="38" borderId="64"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76" fillId="38" borderId="53" applyNumberFormat="0" applyAlignment="0" applyProtection="0"/>
    <xf numFmtId="0" fontId="176"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79" fillId="38" borderId="53" applyNumberFormat="0" applyAlignment="0" applyProtection="0"/>
    <xf numFmtId="0" fontId="186" fillId="0" borderId="58" applyNumberFormat="0" applyFill="0" applyAlignment="0" applyProtection="0"/>
    <xf numFmtId="0" fontId="189" fillId="0" borderId="59"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91" fillId="0" borderId="60" applyNumberFormat="0" applyFill="0" applyAlignment="0" applyProtection="0"/>
    <xf numFmtId="0" fontId="190" fillId="0" borderId="60" applyNumberFormat="0" applyFill="0" applyAlignment="0" applyProtection="0"/>
    <xf numFmtId="0" fontId="108" fillId="0" borderId="60" applyNumberFormat="0" applyFill="0" applyAlignment="0" applyProtection="0"/>
    <xf numFmtId="0" fontId="191"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08" fillId="0" borderId="60" applyNumberFormat="0" applyFill="0" applyAlignment="0" applyProtection="0"/>
    <xf numFmtId="0" fontId="191" fillId="0" borderId="0" applyNumberFormat="0" applyFill="0" applyBorder="0" applyAlignment="0" applyProtection="0"/>
    <xf numFmtId="0" fontId="28" fillId="0" borderId="16" applyBorder="0">
      <alignment horizontal="center" vertical="center" wrapText="1"/>
    </xf>
    <xf numFmtId="0" fontId="28" fillId="0" borderId="16" applyBorder="0">
      <alignment horizontal="center" vertical="center" wrapText="1"/>
    </xf>
    <xf numFmtId="0" fontId="28" fillId="0" borderId="16" applyBorder="0">
      <alignment horizontal="center" vertical="center" wrapText="1"/>
    </xf>
    <xf numFmtId="4" fontId="36" fillId="7" borderId="95" applyBorder="0">
      <alignment horizontal="right"/>
    </xf>
    <xf numFmtId="4" fontId="36" fillId="7" borderId="95" applyBorder="0">
      <alignment horizontal="right"/>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96" fillId="0" borderId="71" applyNumberFormat="0" applyFill="0" applyAlignment="0" applyProtection="0"/>
    <xf numFmtId="0" fontId="196"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3" fontId="85" fillId="0" borderId="95" applyBorder="0">
      <alignment vertical="center"/>
    </xf>
    <xf numFmtId="3" fontId="85" fillId="0" borderId="95" applyBorder="0">
      <alignment vertical="center"/>
    </xf>
    <xf numFmtId="0" fontId="198" fillId="39" borderId="56" applyNumberFormat="0" applyAlignment="0" applyProtection="0"/>
    <xf numFmtId="205" fontId="200" fillId="17" borderId="95">
      <alignment wrapText="1"/>
    </xf>
    <xf numFmtId="205" fontId="200" fillId="17" borderId="95">
      <alignment wrapText="1"/>
    </xf>
    <xf numFmtId="0" fontId="202" fillId="42" borderId="0" applyNumberFormat="0" applyBorder="0" applyAlignment="0" applyProtection="0"/>
    <xf numFmtId="49" fontId="172" fillId="0" borderId="95">
      <alignment horizontal="right" vertical="top" wrapText="1"/>
    </xf>
    <xf numFmtId="0" fontId="24" fillId="0" borderId="0"/>
    <xf numFmtId="0" fontId="24" fillId="0" borderId="0"/>
    <xf numFmtId="0" fontId="1" fillId="0" borderId="0"/>
    <xf numFmtId="0" fontId="1" fillId="0" borderId="0"/>
    <xf numFmtId="0" fontId="204" fillId="0" borderId="0"/>
    <xf numFmtId="0" fontId="204" fillId="0" borderId="0"/>
    <xf numFmtId="0" fontId="204" fillId="0" borderId="0"/>
    <xf numFmtId="0" fontId="208" fillId="0" borderId="0" applyNumberFormat="0" applyFill="0" applyBorder="0" applyProtection="0">
      <alignment vertical="top"/>
    </xf>
    <xf numFmtId="0" fontId="37" fillId="0" borderId="0"/>
    <xf numFmtId="0" fontId="209" fillId="0" borderId="0"/>
    <xf numFmtId="0" fontId="1" fillId="0" borderId="0"/>
    <xf numFmtId="0" fontId="1" fillId="0" borderId="0"/>
    <xf numFmtId="0" fontId="1" fillId="0" borderId="0"/>
    <xf numFmtId="0" fontId="1" fillId="0" borderId="0"/>
    <xf numFmtId="0" fontId="37" fillId="0" borderId="0"/>
    <xf numFmtId="0" fontId="15" fillId="0" borderId="0"/>
    <xf numFmtId="0" fontId="37" fillId="0" borderId="0"/>
    <xf numFmtId="0" fontId="1" fillId="0" borderId="0"/>
    <xf numFmtId="0" fontId="1" fillId="0" borderId="0"/>
    <xf numFmtId="0" fontId="1" fillId="0" borderId="0"/>
    <xf numFmtId="0" fontId="1" fillId="0" borderId="0"/>
    <xf numFmtId="0" fontId="204" fillId="0" borderId="0"/>
    <xf numFmtId="49" fontId="36" fillId="0" borderId="0" applyBorder="0">
      <alignment vertical="top"/>
    </xf>
    <xf numFmtId="49" fontId="36" fillId="0" borderId="0" applyBorder="0">
      <alignment vertical="top"/>
    </xf>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4"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209" fillId="0" borderId="0"/>
    <xf numFmtId="49" fontId="36" fillId="0" borderId="0" applyBorder="0">
      <alignment vertical="top"/>
    </xf>
    <xf numFmtId="0" fontId="1" fillId="0" borderId="0"/>
    <xf numFmtId="0" fontId="204" fillId="0" borderId="0"/>
    <xf numFmtId="49" fontId="36" fillId="0" borderId="0" applyBorder="0">
      <alignment vertical="top"/>
    </xf>
    <xf numFmtId="0" fontId="37" fillId="0" borderId="0"/>
    <xf numFmtId="0" fontId="37" fillId="0" borderId="0"/>
    <xf numFmtId="0" fontId="37" fillId="0" borderId="0"/>
    <xf numFmtId="0" fontId="37" fillId="0" borderId="0"/>
    <xf numFmtId="49" fontId="36" fillId="0" borderId="0" applyBorder="0">
      <alignment vertical="top"/>
    </xf>
    <xf numFmtId="0" fontId="15" fillId="0" borderId="0"/>
    <xf numFmtId="0" fontId="1" fillId="0" borderId="0"/>
    <xf numFmtId="0" fontId="1" fillId="0" borderId="0"/>
    <xf numFmtId="0" fontId="15" fillId="0" borderId="0"/>
    <xf numFmtId="0" fontId="1" fillId="0" borderId="0"/>
    <xf numFmtId="0" fontId="1" fillId="0" borderId="0"/>
    <xf numFmtId="0" fontId="37" fillId="0" borderId="0"/>
    <xf numFmtId="1" fontId="212" fillId="0" borderId="95">
      <alignment horizontal="left" vertical="center"/>
    </xf>
    <xf numFmtId="0" fontId="214" fillId="21" borderId="0" applyNumberFormat="0" applyBorder="0" applyAlignment="0" applyProtection="0"/>
    <xf numFmtId="204" fontId="215" fillId="0" borderId="95">
      <alignment vertical="top"/>
    </xf>
    <xf numFmtId="0" fontId="218" fillId="0" borderId="0" applyNumberFormat="0" applyFill="0" applyBorder="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15" fillId="43" borderId="63" applyNumberFormat="0" applyFont="0" applyAlignment="0" applyProtection="0"/>
    <xf numFmtId="0" fontId="15"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2"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62"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0" fontId="37" fillId="43" borderId="63" applyNumberFormat="0" applyFont="0" applyAlignment="0" applyProtection="0"/>
    <xf numFmtId="9" fontId="1" fillId="0" borderId="0" applyFont="0" applyFill="0" applyBorder="0" applyAlignment="0" applyProtection="0"/>
    <xf numFmtId="9" fontId="15" fillId="0" borderId="0" applyFont="0" applyFill="0" applyBorder="0" applyAlignment="0" applyProtection="0"/>
    <xf numFmtId="9" fontId="70" fillId="0" borderId="0" applyFont="0" applyFill="0" applyBorder="0" applyAlignment="0" applyProtection="0"/>
    <xf numFmtId="9" fontId="15" fillId="0" borderId="0" applyFont="0" applyFill="0" applyBorder="0" applyAlignment="0" applyProtection="0"/>
    <xf numFmtId="9" fontId="64" fillId="0" borderId="0" applyFill="0" applyBorder="0" applyAlignment="0" applyProtection="0"/>
    <xf numFmtId="0" fontId="222" fillId="0" borderId="61" applyNumberFormat="0" applyFill="0" applyAlignment="0" applyProtection="0"/>
    <xf numFmtId="0" fontId="22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 fontId="36" fillId="17" borderId="0" applyBorder="0">
      <alignment horizontal="right"/>
    </xf>
    <xf numFmtId="4" fontId="36" fillId="17" borderId="0" applyFont="0" applyBorder="0">
      <alignment horizontal="right"/>
    </xf>
    <xf numFmtId="4" fontId="36" fillId="74" borderId="17" applyBorder="0">
      <alignment horizontal="right"/>
    </xf>
    <xf numFmtId="4" fontId="36" fillId="17" borderId="17" applyBorder="0">
      <alignment horizontal="right"/>
    </xf>
    <xf numFmtId="4" fontId="36" fillId="74" borderId="17" applyBorder="0">
      <alignment horizontal="right"/>
    </xf>
    <xf numFmtId="4" fontId="36" fillId="74" borderId="17" applyBorder="0">
      <alignment horizontal="right"/>
    </xf>
    <xf numFmtId="4" fontId="36" fillId="74" borderId="17" applyBorder="0">
      <alignment horizontal="right"/>
    </xf>
    <xf numFmtId="4" fontId="36" fillId="74" borderId="22" applyBorder="0">
      <alignment horizontal="right"/>
    </xf>
    <xf numFmtId="4" fontId="36" fillId="17" borderId="1" applyFont="0" applyBorder="0">
      <alignment horizontal="right"/>
    </xf>
    <xf numFmtId="0" fontId="229" fillId="22" borderId="0" applyNumberFormat="0" applyBorder="0" applyAlignment="0" applyProtection="0"/>
    <xf numFmtId="164" fontId="15" fillId="0" borderId="1" applyFont="0" applyFill="0" applyBorder="0" applyProtection="0">
      <alignment horizontal="center" vertical="center"/>
    </xf>
    <xf numFmtId="211" fontId="66" fillId="0" borderId="0">
      <protection locked="0"/>
    </xf>
    <xf numFmtId="0" fontId="64" fillId="0" borderId="1" applyBorder="0">
      <alignment horizontal="center" vertical="center" wrapText="1"/>
    </xf>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165" fillId="0" borderId="71" applyNumberFormat="0" applyFill="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69" fillId="43" borderId="63" applyNumberFormat="0" applyFont="0" applyAlignment="0" applyProtection="0"/>
    <xf numFmtId="0" fontId="28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847">
    <xf numFmtId="0" fontId="0" fillId="0" borderId="0" xfId="0"/>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2" borderId="1" xfId="0"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3" fillId="2" borderId="0" xfId="0" applyFont="1" applyFill="1" applyAlignment="1">
      <alignment wrapText="1"/>
    </xf>
    <xf numFmtId="0" fontId="3" fillId="0" borderId="0" xfId="0" applyFont="1" applyAlignment="1">
      <alignment horizontal="center" vertical="center" wrapText="1"/>
    </xf>
    <xf numFmtId="0" fontId="3" fillId="0" borderId="0" xfId="0" applyFont="1" applyAlignment="1">
      <alignment horizontal="right" wrapText="1"/>
    </xf>
    <xf numFmtId="0" fontId="3" fillId="0" borderId="0" xfId="0" applyFont="1" applyAlignment="1">
      <alignment horizontal="center" vertical="center" wrapText="1"/>
    </xf>
    <xf numFmtId="49" fontId="3" fillId="2" borderId="1" xfId="0" applyNumberFormat="1" applyFont="1" applyFill="1" applyBorder="1" applyAlignment="1">
      <alignment horizontal="center" vertical="center" wrapText="1"/>
    </xf>
    <xf numFmtId="49" fontId="3" fillId="0" borderId="0" xfId="0" applyNumberFormat="1" applyFont="1" applyAlignment="1">
      <alignment horizontal="center" vertical="center" wrapText="1"/>
    </xf>
    <xf numFmtId="49" fontId="3" fillId="2" borderId="2" xfId="0" applyNumberFormat="1" applyFont="1" applyFill="1" applyBorder="1" applyAlignment="1">
      <alignment vertical="center" wrapText="1"/>
    </xf>
    <xf numFmtId="49" fontId="3" fillId="2" borderId="3" xfId="0" applyNumberFormat="1" applyFont="1" applyFill="1" applyBorder="1" applyAlignment="1">
      <alignment vertical="center" wrapText="1"/>
    </xf>
    <xf numFmtId="0" fontId="5" fillId="2" borderId="0" xfId="0" applyFont="1" applyFill="1" applyAlignment="1">
      <alignment wrapText="1"/>
    </xf>
    <xf numFmtId="0" fontId="5" fillId="0" borderId="0" xfId="0" applyFont="1" applyAlignment="1">
      <alignment wrapText="1"/>
    </xf>
    <xf numFmtId="0" fontId="5" fillId="2" borderId="0" xfId="0" applyFont="1" applyFill="1" applyAlignment="1">
      <alignment horizontal="center" vertical="center" wrapText="1"/>
    </xf>
    <xf numFmtId="0" fontId="3" fillId="0" borderId="0" xfId="0" applyFont="1" applyAlignment="1">
      <alignment horizontal="center" vertical="center" wrapText="1"/>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4" fontId="8" fillId="2" borderId="1" xfId="0" applyNumberFormat="1" applyFont="1" applyFill="1" applyBorder="1" applyAlignment="1">
      <alignment horizontal="center" vertical="center" wrapText="1"/>
    </xf>
    <xf numFmtId="0" fontId="8" fillId="0" borderId="0" xfId="0" applyFont="1" applyAlignment="1">
      <alignment wrapText="1"/>
    </xf>
    <xf numFmtId="0" fontId="9" fillId="0" borderId="0" xfId="0" applyFont="1" applyAlignment="1">
      <alignment horizontal="center" vertical="center" wrapText="1"/>
    </xf>
    <xf numFmtId="4" fontId="9" fillId="0" borderId="1" xfId="0" applyNumberFormat="1" applyFont="1" applyBorder="1" applyAlignment="1">
      <alignment horizontal="center" vertical="center" wrapText="1"/>
    </xf>
    <xf numFmtId="0" fontId="9" fillId="0" borderId="0" xfId="0" applyFont="1" applyAlignment="1">
      <alignment wrapText="1"/>
    </xf>
    <xf numFmtId="0" fontId="10" fillId="2" borderId="0" xfId="0" applyFont="1" applyFill="1" applyAlignment="1">
      <alignment wrapText="1"/>
    </xf>
    <xf numFmtId="0" fontId="10" fillId="0" borderId="0" xfId="0" applyFont="1" applyAlignment="1">
      <alignment wrapText="1"/>
    </xf>
    <xf numFmtId="0" fontId="11" fillId="0" borderId="0" xfId="0" applyFont="1" applyAlignment="1">
      <alignment wrapText="1"/>
    </xf>
    <xf numFmtId="0" fontId="11" fillId="0" borderId="0" xfId="0" applyFont="1" applyAlignment="1">
      <alignment horizontal="right" wrapText="1"/>
    </xf>
    <xf numFmtId="0" fontId="9" fillId="0" borderId="1" xfId="0" applyFont="1" applyBorder="1" applyAlignment="1">
      <alignment horizontal="justify" vertical="center" wrapText="1"/>
    </xf>
    <xf numFmtId="0" fontId="8" fillId="2" borderId="1" xfId="0" applyFont="1" applyFill="1" applyBorder="1" applyAlignment="1">
      <alignment horizontal="justify" vertical="center" wrapText="1"/>
    </xf>
    <xf numFmtId="0" fontId="3" fillId="2" borderId="1" xfId="0" applyFont="1" applyFill="1" applyBorder="1" applyAlignment="1">
      <alignment horizontal="justify" vertical="center" wrapText="1"/>
    </xf>
    <xf numFmtId="0" fontId="4" fillId="2" borderId="1" xfId="0" applyFont="1" applyFill="1" applyBorder="1" applyAlignment="1">
      <alignment horizontal="justify" vertical="center" wrapText="1"/>
    </xf>
    <xf numFmtId="0" fontId="16" fillId="0" borderId="0" xfId="2" applyFont="1"/>
    <xf numFmtId="0" fontId="17" fillId="0" borderId="0" xfId="2" applyFont="1"/>
    <xf numFmtId="0" fontId="7" fillId="0" borderId="0" xfId="2" applyFont="1"/>
    <xf numFmtId="0" fontId="17" fillId="0" borderId="0" xfId="2" applyFont="1" applyAlignment="1">
      <alignment horizontal="left"/>
    </xf>
    <xf numFmtId="0" fontId="18" fillId="0" borderId="0" xfId="2" applyFont="1"/>
    <xf numFmtId="0" fontId="18" fillId="0" borderId="10" xfId="2" applyFont="1" applyBorder="1" applyAlignment="1">
      <alignment horizontal="center" vertical="center"/>
    </xf>
    <xf numFmtId="0" fontId="18" fillId="0" borderId="11" xfId="2" applyFont="1" applyBorder="1" applyAlignment="1">
      <alignment horizontal="left" vertical="center" wrapText="1"/>
    </xf>
    <xf numFmtId="0" fontId="18" fillId="0" borderId="1" xfId="2" applyFont="1" applyBorder="1" applyAlignment="1">
      <alignment horizontal="center" vertical="center"/>
    </xf>
    <xf numFmtId="0" fontId="18" fillId="0" borderId="1" xfId="2" applyFont="1" applyBorder="1" applyAlignment="1">
      <alignment horizontal="justify" vertical="center" wrapText="1"/>
    </xf>
    <xf numFmtId="0" fontId="18" fillId="0" borderId="6" xfId="2"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23" fillId="0" borderId="6" xfId="2" applyFont="1" applyBorder="1" applyAlignment="1">
      <alignment horizontal="center" vertical="center"/>
    </xf>
    <xf numFmtId="14" fontId="23" fillId="0" borderId="6" xfId="2" applyNumberFormat="1" applyFont="1" applyBorder="1" applyAlignment="1">
      <alignment horizontal="center" vertical="center"/>
    </xf>
    <xf numFmtId="0" fontId="18" fillId="0" borderId="10" xfId="2" applyFont="1" applyBorder="1" applyAlignment="1">
      <alignment horizontal="center" vertical="center"/>
    </xf>
    <xf numFmtId="0" fontId="18" fillId="0" borderId="6" xfId="2" applyFont="1" applyBorder="1" applyAlignment="1">
      <alignment horizontal="center" vertical="center"/>
    </xf>
    <xf numFmtId="0" fontId="18" fillId="0" borderId="11" xfId="2" applyFont="1" applyBorder="1" applyAlignment="1">
      <alignment horizontal="left" vertical="center" wrapText="1"/>
    </xf>
    <xf numFmtId="165" fontId="25" fillId="2" borderId="0" xfId="4" applyNumberFormat="1" applyFont="1" applyFill="1"/>
    <xf numFmtId="165" fontId="26" fillId="2" borderId="0" xfId="4" applyNumberFormat="1" applyFont="1" applyFill="1" applyBorder="1" applyAlignment="1"/>
    <xf numFmtId="165" fontId="12" fillId="2" borderId="0" xfId="4" applyNumberFormat="1" applyFont="1" applyFill="1" applyBorder="1" applyAlignment="1"/>
    <xf numFmtId="166" fontId="22" fillId="2" borderId="0" xfId="6" applyNumberFormat="1" applyFont="1" applyFill="1" applyBorder="1" applyAlignment="1" applyProtection="1">
      <alignment horizontal="center" vertical="center" wrapText="1"/>
    </xf>
    <xf numFmtId="166" fontId="29" fillId="2" borderId="0" xfId="6" applyNumberFormat="1" applyFont="1" applyFill="1" applyBorder="1" applyAlignment="1" applyProtection="1">
      <alignment horizontal="center" vertical="center" wrapText="1"/>
    </xf>
    <xf numFmtId="165" fontId="32" fillId="2" borderId="0" xfId="4" applyNumberFormat="1" applyFont="1" applyFill="1" applyBorder="1"/>
    <xf numFmtId="166" fontId="22" fillId="4" borderId="24" xfId="6" applyNumberFormat="1" applyFont="1" applyFill="1" applyBorder="1" applyAlignment="1" applyProtection="1">
      <alignment horizontal="center" vertical="center" wrapText="1"/>
    </xf>
    <xf numFmtId="165" fontId="25" fillId="4" borderId="24" xfId="4" applyNumberFormat="1" applyFont="1" applyFill="1" applyBorder="1"/>
    <xf numFmtId="165" fontId="32" fillId="2" borderId="0" xfId="5" applyNumberFormat="1" applyFont="1" applyFill="1" applyBorder="1" applyAlignment="1" applyProtection="1">
      <alignment horizontal="center" vertical="center"/>
    </xf>
    <xf numFmtId="165" fontId="32" fillId="2" borderId="0" xfId="5" applyNumberFormat="1" applyFont="1" applyFill="1" applyBorder="1" applyAlignment="1" applyProtection="1">
      <alignment horizontal="center" vertical="center" wrapText="1"/>
    </xf>
    <xf numFmtId="166" fontId="33" fillId="2" borderId="0" xfId="6" applyNumberFormat="1" applyFont="1" applyFill="1" applyBorder="1" applyAlignment="1" applyProtection="1">
      <alignment horizontal="center" vertical="center" wrapText="1"/>
    </xf>
    <xf numFmtId="165" fontId="30" fillId="5" borderId="26" xfId="5" applyNumberFormat="1" applyFont="1" applyFill="1" applyBorder="1" applyAlignment="1" applyProtection="1">
      <alignment horizontal="center" vertical="center"/>
    </xf>
    <xf numFmtId="165" fontId="30" fillId="2" borderId="3" xfId="5" applyNumberFormat="1" applyFont="1" applyFill="1" applyBorder="1" applyAlignment="1" applyProtection="1">
      <alignment horizontal="center" vertical="center" wrapText="1"/>
    </xf>
    <xf numFmtId="166" fontId="22" fillId="2" borderId="3" xfId="6" applyNumberFormat="1" applyFont="1" applyFill="1" applyBorder="1" applyAlignment="1" applyProtection="1">
      <alignment horizontal="center" vertical="center" wrapText="1"/>
    </xf>
    <xf numFmtId="166" fontId="22" fillId="2" borderId="27" xfId="6" applyNumberFormat="1" applyFont="1" applyFill="1" applyBorder="1" applyAlignment="1" applyProtection="1">
      <alignment horizontal="center" vertical="center" wrapText="1"/>
    </xf>
    <xf numFmtId="165" fontId="25" fillId="2" borderId="0" xfId="4" applyNumberFormat="1" applyFont="1" applyFill="1" applyBorder="1"/>
    <xf numFmtId="165" fontId="32" fillId="2" borderId="0" xfId="4" applyNumberFormat="1" applyFont="1" applyFill="1" applyBorder="1" applyAlignment="1"/>
    <xf numFmtId="165" fontId="32" fillId="2" borderId="0" xfId="7" applyNumberFormat="1" applyFont="1" applyFill="1" applyBorder="1" applyAlignment="1" applyProtection="1">
      <alignment horizontal="left" vertical="center" wrapText="1"/>
    </xf>
    <xf numFmtId="167" fontId="32" fillId="2" borderId="0" xfId="8" applyNumberFormat="1" applyFont="1" applyFill="1" applyBorder="1" applyAlignment="1" applyProtection="1">
      <alignment horizontal="center" vertical="center"/>
    </xf>
    <xf numFmtId="165" fontId="35" fillId="5" borderId="28" xfId="7" applyNumberFormat="1" applyFont="1" applyFill="1" applyBorder="1" applyAlignment="1" applyProtection="1">
      <alignment horizontal="left" vertical="center" wrapText="1"/>
    </xf>
    <xf numFmtId="165" fontId="35" fillId="2" borderId="1" xfId="5" applyNumberFormat="1" applyFont="1" applyFill="1" applyBorder="1" applyAlignment="1" applyProtection="1">
      <alignment horizontal="center" vertical="center"/>
    </xf>
    <xf numFmtId="167" fontId="35" fillId="2" borderId="1" xfId="8" applyNumberFormat="1" applyFont="1" applyFill="1" applyBorder="1" applyAlignment="1" applyProtection="1">
      <alignment horizontal="center" vertical="center"/>
    </xf>
    <xf numFmtId="165" fontId="25" fillId="2" borderId="1" xfId="4" applyNumberFormat="1" applyFont="1" applyFill="1" applyBorder="1"/>
    <xf numFmtId="167" fontId="35" fillId="2" borderId="0" xfId="8" applyNumberFormat="1" applyFont="1" applyFill="1" applyBorder="1" applyAlignment="1" applyProtection="1">
      <alignment horizontal="center" vertical="center"/>
    </xf>
    <xf numFmtId="10" fontId="32" fillId="2" borderId="0" xfId="8" applyNumberFormat="1" applyFont="1" applyFill="1" applyBorder="1" applyAlignment="1" applyProtection="1">
      <alignment horizontal="center" vertical="center"/>
    </xf>
    <xf numFmtId="10" fontId="35" fillId="2" borderId="1" xfId="8" applyNumberFormat="1" applyFont="1" applyFill="1" applyBorder="1" applyAlignment="1" applyProtection="1">
      <alignment horizontal="center" vertical="center"/>
    </xf>
    <xf numFmtId="10" fontId="35" fillId="6" borderId="1" xfId="8" applyNumberFormat="1" applyFont="1" applyFill="1" applyBorder="1" applyAlignment="1" applyProtection="1">
      <alignment horizontal="center" vertical="center"/>
    </xf>
    <xf numFmtId="165" fontId="25" fillId="6" borderId="1" xfId="4" applyNumberFormat="1" applyFont="1" applyFill="1" applyBorder="1"/>
    <xf numFmtId="165" fontId="32" fillId="2" borderId="0" xfId="9" applyNumberFormat="1" applyFont="1" applyFill="1" applyBorder="1" applyAlignment="1">
      <alignment horizontal="center" vertical="center"/>
    </xf>
    <xf numFmtId="165" fontId="35" fillId="2" borderId="1" xfId="9" applyNumberFormat="1" applyFont="1" applyFill="1" applyBorder="1" applyAlignment="1">
      <alignment horizontal="center" vertical="center"/>
    </xf>
    <xf numFmtId="165" fontId="35" fillId="2" borderId="29" xfId="9" applyNumberFormat="1" applyFont="1" applyFill="1" applyBorder="1" applyAlignment="1">
      <alignment horizontal="center" vertical="center"/>
    </xf>
    <xf numFmtId="165" fontId="35" fillId="2" borderId="0" xfId="9" applyNumberFormat="1" applyFont="1" applyFill="1" applyBorder="1" applyAlignment="1">
      <alignment horizontal="center" vertical="center"/>
    </xf>
    <xf numFmtId="10" fontId="35" fillId="8" borderId="1" xfId="8" applyNumberFormat="1" applyFont="1" applyFill="1" applyBorder="1" applyAlignment="1" applyProtection="1">
      <alignment horizontal="center" vertical="center"/>
    </xf>
    <xf numFmtId="10" fontId="35" fillId="8" borderId="29" xfId="8" applyNumberFormat="1" applyFont="1" applyFill="1" applyBorder="1" applyAlignment="1" applyProtection="1">
      <alignment horizontal="center" vertical="center"/>
    </xf>
    <xf numFmtId="10" fontId="35" fillId="2" borderId="0" xfId="8" applyNumberFormat="1" applyFont="1" applyFill="1" applyBorder="1" applyAlignment="1" applyProtection="1">
      <alignment horizontal="center" vertical="center"/>
    </xf>
    <xf numFmtId="165" fontId="32" fillId="2" borderId="0" xfId="5" applyNumberFormat="1" applyFont="1" applyFill="1" applyBorder="1" applyAlignment="1" applyProtection="1">
      <alignment horizontal="left" vertical="center" wrapText="1"/>
    </xf>
    <xf numFmtId="165" fontId="35" fillId="5" borderId="28" xfId="5" applyNumberFormat="1" applyFont="1" applyFill="1" applyBorder="1" applyAlignment="1" applyProtection="1">
      <alignment horizontal="left" vertical="center" wrapText="1"/>
    </xf>
    <xf numFmtId="165" fontId="35" fillId="2" borderId="1" xfId="5" applyNumberFormat="1" applyFont="1" applyFill="1" applyBorder="1" applyAlignment="1" applyProtection="1">
      <alignment horizontal="center" vertical="center" wrapText="1"/>
    </xf>
    <xf numFmtId="9" fontId="35" fillId="6" borderId="1" xfId="10" applyFont="1" applyFill="1" applyBorder="1" applyAlignment="1" applyProtection="1">
      <alignment horizontal="center" vertical="center"/>
    </xf>
    <xf numFmtId="165" fontId="35" fillId="2" borderId="0" xfId="5" applyNumberFormat="1" applyFont="1" applyFill="1" applyBorder="1" applyAlignment="1" applyProtection="1">
      <alignment horizontal="center" vertical="center"/>
    </xf>
    <xf numFmtId="9" fontId="32" fillId="2" borderId="0" xfId="10" applyFont="1" applyFill="1" applyBorder="1" applyAlignment="1" applyProtection="1">
      <alignment horizontal="center" vertical="center"/>
    </xf>
    <xf numFmtId="165" fontId="32" fillId="2" borderId="0" xfId="5" applyNumberFormat="1" applyFont="1" applyFill="1" applyBorder="1" applyAlignment="1" applyProtection="1">
      <alignment horizontal="left" vertical="center"/>
    </xf>
    <xf numFmtId="168" fontId="32" fillId="2" borderId="0" xfId="5" applyNumberFormat="1" applyFont="1" applyFill="1" applyBorder="1" applyAlignment="1" applyProtection="1">
      <alignment horizontal="center" vertical="center" wrapText="1"/>
    </xf>
    <xf numFmtId="169" fontId="32" fillId="2" borderId="0" xfId="5" applyNumberFormat="1" applyFont="1" applyFill="1" applyBorder="1" applyAlignment="1" applyProtection="1">
      <alignment horizontal="center" vertical="center" wrapText="1"/>
    </xf>
    <xf numFmtId="165" fontId="35" fillId="5" borderId="23" xfId="5" applyNumberFormat="1" applyFont="1" applyFill="1" applyBorder="1" applyAlignment="1" applyProtection="1">
      <alignment horizontal="left" vertical="center" wrapText="1"/>
    </xf>
    <xf numFmtId="165" fontId="35" fillId="2" borderId="24" xfId="5" applyNumberFormat="1" applyFont="1" applyFill="1" applyBorder="1" applyAlignment="1" applyProtection="1">
      <alignment horizontal="center" vertical="center" wrapText="1"/>
    </xf>
    <xf numFmtId="167" fontId="35" fillId="2" borderId="24" xfId="8" applyNumberFormat="1" applyFont="1" applyFill="1" applyBorder="1" applyAlignment="1" applyProtection="1">
      <alignment horizontal="center" vertical="center"/>
    </xf>
    <xf numFmtId="168" fontId="35" fillId="2" borderId="24" xfId="5" applyNumberFormat="1" applyFont="1" applyFill="1" applyBorder="1" applyAlignment="1" applyProtection="1">
      <alignment horizontal="center" vertical="center" wrapText="1"/>
    </xf>
    <xf numFmtId="169" fontId="38" fillId="2" borderId="25" xfId="5" applyNumberFormat="1" applyFont="1" applyFill="1" applyBorder="1" applyAlignment="1" applyProtection="1">
      <alignment horizontal="center" vertical="center" wrapText="1"/>
    </xf>
    <xf numFmtId="168" fontId="38" fillId="2" borderId="25" xfId="5" applyNumberFormat="1" applyFont="1" applyFill="1" applyBorder="1" applyAlignment="1" applyProtection="1">
      <alignment horizontal="center" vertical="center" wrapText="1"/>
    </xf>
    <xf numFmtId="168" fontId="35" fillId="2" borderId="0" xfId="5" applyNumberFormat="1" applyFont="1" applyFill="1" applyBorder="1" applyAlignment="1" applyProtection="1">
      <alignment horizontal="center" vertical="center" wrapText="1"/>
    </xf>
    <xf numFmtId="169" fontId="25" fillId="2" borderId="0" xfId="4" applyNumberFormat="1" applyFont="1" applyFill="1"/>
    <xf numFmtId="169" fontId="38" fillId="2" borderId="0" xfId="5" applyNumberFormat="1" applyFont="1" applyFill="1" applyBorder="1" applyAlignment="1" applyProtection="1">
      <alignment horizontal="center" vertical="center" wrapText="1"/>
    </xf>
    <xf numFmtId="49" fontId="25" fillId="2" borderId="0" xfId="4" applyNumberFormat="1" applyFont="1" applyFill="1" applyAlignment="1">
      <alignment horizontal="center"/>
    </xf>
    <xf numFmtId="165" fontId="25" fillId="2" borderId="0" xfId="4" applyNumberFormat="1" applyFont="1" applyFill="1" applyAlignment="1">
      <alignment horizontal="center"/>
    </xf>
    <xf numFmtId="165" fontId="25" fillId="2" borderId="0" xfId="4" applyNumberFormat="1" applyFont="1" applyFill="1" applyAlignment="1"/>
    <xf numFmtId="49" fontId="25" fillId="0" borderId="0" xfId="4" applyNumberFormat="1" applyFont="1" applyFill="1" applyAlignment="1">
      <alignment horizontal="center"/>
    </xf>
    <xf numFmtId="165" fontId="25" fillId="0" borderId="0" xfId="4" applyNumberFormat="1" applyFont="1" applyFill="1" applyAlignment="1">
      <alignment horizontal="center"/>
    </xf>
    <xf numFmtId="165" fontId="25" fillId="0" borderId="0" xfId="4" applyNumberFormat="1" applyFont="1" applyFill="1" applyAlignment="1"/>
    <xf numFmtId="165" fontId="25" fillId="0" borderId="0" xfId="4" applyNumberFormat="1" applyFont="1" applyFill="1"/>
    <xf numFmtId="165" fontId="30" fillId="0" borderId="0" xfId="5" applyNumberFormat="1" applyFont="1" applyFill="1" applyBorder="1" applyAlignment="1" applyProtection="1">
      <alignment horizontal="center"/>
    </xf>
    <xf numFmtId="165" fontId="39" fillId="0" borderId="0" xfId="4" applyNumberFormat="1" applyFont="1" applyFill="1"/>
    <xf numFmtId="169" fontId="39" fillId="0" borderId="0" xfId="4" applyNumberFormat="1" applyFont="1" applyFill="1"/>
    <xf numFmtId="49" fontId="40" fillId="0" borderId="0" xfId="4" applyNumberFormat="1" applyFont="1" applyFill="1" applyAlignment="1">
      <alignment horizontal="center"/>
    </xf>
    <xf numFmtId="165" fontId="40" fillId="2" borderId="0" xfId="4" applyNumberFormat="1" applyFont="1" applyFill="1"/>
    <xf numFmtId="0" fontId="37" fillId="0" borderId="9" xfId="11" applyBorder="1" applyAlignment="1">
      <alignment horizontal="center" vertical="center" wrapText="1"/>
    </xf>
    <xf numFmtId="0" fontId="14" fillId="0" borderId="4" xfId="11" applyFont="1" applyBorder="1" applyAlignment="1">
      <alignment horizontal="center" vertical="center" wrapText="1"/>
    </xf>
    <xf numFmtId="165" fontId="41" fillId="0" borderId="10" xfId="6" applyNumberFormat="1" applyFont="1" applyFill="1" applyBorder="1" applyAlignment="1" applyProtection="1">
      <alignment horizontal="center" vertical="center" wrapText="1"/>
    </xf>
    <xf numFmtId="165" fontId="41" fillId="0" borderId="6" xfId="6" applyNumberFormat="1" applyFont="1" applyFill="1" applyBorder="1" applyAlignment="1" applyProtection="1">
      <alignment horizontal="center" vertical="center" wrapText="1"/>
    </xf>
    <xf numFmtId="165" fontId="41" fillId="0" borderId="11" xfId="6" applyNumberFormat="1" applyFont="1" applyFill="1" applyBorder="1" applyAlignment="1" applyProtection="1">
      <alignment horizontal="center" vertical="center" wrapText="1"/>
    </xf>
    <xf numFmtId="49" fontId="41" fillId="0" borderId="1" xfId="6" applyNumberFormat="1" applyFont="1" applyFill="1" applyBorder="1" applyAlignment="1" applyProtection="1">
      <alignment horizontal="center" vertical="center" wrapText="1"/>
    </xf>
    <xf numFmtId="0" fontId="37" fillId="0" borderId="1" xfId="11" applyBorder="1" applyAlignment="1">
      <alignment horizontal="center" vertical="center" wrapText="1"/>
    </xf>
    <xf numFmtId="165" fontId="41" fillId="0" borderId="1" xfId="6" applyNumberFormat="1" applyFont="1" applyFill="1" applyBorder="1" applyAlignment="1" applyProtection="1">
      <alignment horizontal="center" vertical="center" wrapText="1"/>
    </xf>
    <xf numFmtId="165" fontId="41" fillId="10" borderId="1" xfId="6" applyNumberFormat="1" applyFont="1" applyFill="1" applyBorder="1" applyAlignment="1" applyProtection="1">
      <alignment horizontal="center" vertical="center" wrapText="1"/>
    </xf>
    <xf numFmtId="165" fontId="41" fillId="8" borderId="1" xfId="6" applyNumberFormat="1" applyFont="1" applyFill="1" applyBorder="1" applyAlignment="1" applyProtection="1">
      <alignment horizontal="center" vertical="center" wrapText="1"/>
    </xf>
    <xf numFmtId="165" fontId="41" fillId="11" borderId="1" xfId="6" applyNumberFormat="1" applyFont="1" applyFill="1" applyBorder="1" applyAlignment="1" applyProtection="1">
      <alignment horizontal="center" vertical="center" wrapText="1"/>
    </xf>
    <xf numFmtId="0" fontId="13" fillId="0" borderId="1" xfId="6" applyFont="1" applyFill="1" applyBorder="1" applyAlignment="1">
      <alignment horizontal="center" vertical="center" wrapText="1"/>
    </xf>
    <xf numFmtId="49" fontId="30" fillId="0" borderId="10" xfId="6" applyNumberFormat="1" applyFont="1" applyFill="1" applyBorder="1" applyAlignment="1" applyProtection="1">
      <alignment horizontal="center" vertical="center" wrapText="1"/>
    </xf>
    <xf numFmtId="166" fontId="41" fillId="0" borderId="1" xfId="6" applyNumberFormat="1" applyFont="1" applyFill="1" applyBorder="1" applyAlignment="1" applyProtection="1">
      <alignment horizontal="center" vertical="center" wrapText="1"/>
    </xf>
    <xf numFmtId="166" fontId="41" fillId="0" borderId="1" xfId="6" applyNumberFormat="1" applyFont="1" applyFill="1" applyBorder="1" applyAlignment="1" applyProtection="1">
      <alignment vertical="center" wrapText="1"/>
    </xf>
    <xf numFmtId="166" fontId="13" fillId="0" borderId="1" xfId="6" applyNumberFormat="1" applyFont="1" applyFill="1" applyBorder="1" applyAlignment="1">
      <alignment horizontal="center" vertical="center" wrapText="1"/>
    </xf>
    <xf numFmtId="166" fontId="13" fillId="0" borderId="1" xfId="6" applyNumberFormat="1" applyFont="1" applyFill="1" applyBorder="1" applyAlignment="1">
      <alignment horizontal="justify" vertical="center" wrapText="1"/>
    </xf>
    <xf numFmtId="166" fontId="41" fillId="0" borderId="3" xfId="6" applyNumberFormat="1" applyFont="1" applyFill="1" applyBorder="1" applyAlignment="1" applyProtection="1">
      <alignment horizontal="center" vertical="center" wrapText="1"/>
    </xf>
    <xf numFmtId="166" fontId="41" fillId="10" borderId="3" xfId="6" applyNumberFormat="1" applyFont="1" applyFill="1" applyBorder="1" applyAlignment="1" applyProtection="1">
      <alignment horizontal="center" vertical="center" wrapText="1"/>
    </xf>
    <xf numFmtId="166" fontId="41" fillId="0" borderId="13" xfId="6" applyNumberFormat="1" applyFont="1" applyFill="1" applyBorder="1" applyAlignment="1">
      <alignment horizontal="center" vertical="center" wrapText="1"/>
    </xf>
    <xf numFmtId="166" fontId="41" fillId="11" borderId="3" xfId="6" applyNumberFormat="1" applyFont="1" applyFill="1" applyBorder="1" applyAlignment="1" applyProtection="1">
      <alignment horizontal="center" vertical="center" wrapText="1"/>
    </xf>
    <xf numFmtId="0" fontId="13" fillId="0" borderId="3" xfId="6" applyFont="1" applyFill="1" applyBorder="1" applyAlignment="1">
      <alignment horizontal="center" vertical="center" wrapText="1"/>
    </xf>
    <xf numFmtId="49" fontId="25" fillId="0" borderId="10" xfId="4" applyNumberFormat="1" applyFont="1" applyFill="1" applyBorder="1" applyAlignment="1">
      <alignment horizontal="center"/>
    </xf>
    <xf numFmtId="165" fontId="41" fillId="0" borderId="1" xfId="5" applyNumberFormat="1" applyFont="1" applyFill="1" applyBorder="1" applyAlignment="1" applyProtection="1">
      <alignment horizontal="center" vertical="center"/>
    </xf>
    <xf numFmtId="165" fontId="43" fillId="0" borderId="1" xfId="4" applyNumberFormat="1" applyFont="1" applyFill="1" applyBorder="1" applyAlignment="1">
      <alignment horizontal="left" vertical="center"/>
    </xf>
    <xf numFmtId="165" fontId="41" fillId="0" borderId="1" xfId="5" applyNumberFormat="1" applyFont="1" applyFill="1" applyBorder="1" applyAlignment="1" applyProtection="1">
      <alignment vertical="center" wrapText="1"/>
    </xf>
    <xf numFmtId="165" fontId="43" fillId="0" borderId="1" xfId="4" applyNumberFormat="1" applyFont="1" applyFill="1" applyBorder="1" applyAlignment="1">
      <alignment horizontal="center" vertical="center"/>
    </xf>
    <xf numFmtId="165" fontId="44" fillId="0" borderId="1" xfId="4" applyNumberFormat="1" applyFont="1" applyFill="1" applyBorder="1" applyAlignment="1">
      <alignment horizontal="center" vertical="center"/>
    </xf>
    <xf numFmtId="165" fontId="44" fillId="10" borderId="1" xfId="4" applyNumberFormat="1" applyFont="1" applyFill="1" applyBorder="1" applyAlignment="1">
      <alignment horizontal="center" vertical="center"/>
    </xf>
    <xf numFmtId="165" fontId="44" fillId="11" borderId="1" xfId="4" applyNumberFormat="1" applyFont="1" applyFill="1" applyBorder="1" applyAlignment="1">
      <alignment horizontal="center" vertical="center"/>
    </xf>
    <xf numFmtId="49" fontId="43" fillId="0" borderId="1" xfId="2" applyNumberFormat="1" applyFont="1" applyFill="1" applyBorder="1" applyAlignment="1">
      <alignment horizontal="left" vertical="center"/>
    </xf>
    <xf numFmtId="0" fontId="43" fillId="0" borderId="1" xfId="2" applyNumberFormat="1" applyFont="1" applyFill="1" applyBorder="1" applyAlignment="1">
      <alignment horizontal="justify" vertical="center" wrapText="1"/>
    </xf>
    <xf numFmtId="165" fontId="45" fillId="0" borderId="1" xfId="4" applyNumberFormat="1" applyFont="1" applyFill="1" applyBorder="1" applyAlignment="1">
      <alignment vertical="center" wrapText="1"/>
    </xf>
    <xf numFmtId="165" fontId="43" fillId="10" borderId="1" xfId="4" applyNumberFormat="1" applyFont="1" applyFill="1" applyBorder="1" applyAlignment="1">
      <alignment horizontal="center" vertical="center"/>
    </xf>
    <xf numFmtId="165" fontId="43" fillId="11" borderId="1" xfId="4" applyNumberFormat="1" applyFont="1" applyFill="1" applyBorder="1" applyAlignment="1">
      <alignment horizontal="center" vertical="center"/>
    </xf>
    <xf numFmtId="49" fontId="25" fillId="0" borderId="7" xfId="4" applyNumberFormat="1" applyFont="1" applyFill="1" applyBorder="1" applyAlignment="1">
      <alignment horizontal="center"/>
    </xf>
    <xf numFmtId="49" fontId="31" fillId="0" borderId="10" xfId="4" applyNumberFormat="1" applyFont="1" applyFill="1" applyBorder="1" applyAlignment="1">
      <alignment horizontal="right"/>
    </xf>
    <xf numFmtId="165" fontId="44" fillId="0" borderId="1" xfId="4" applyNumberFormat="1" applyFont="1" applyFill="1" applyBorder="1" applyAlignment="1">
      <alignment horizontal="right" vertical="center"/>
    </xf>
    <xf numFmtId="49" fontId="44" fillId="0" borderId="1" xfId="2" applyNumberFormat="1" applyFont="1" applyFill="1" applyBorder="1" applyAlignment="1">
      <alignment horizontal="right" vertical="center"/>
    </xf>
    <xf numFmtId="0" fontId="44" fillId="0" borderId="10" xfId="2" applyNumberFormat="1" applyFont="1" applyFill="1" applyBorder="1" applyAlignment="1">
      <alignment horizontal="right" vertical="center" wrapText="1"/>
    </xf>
    <xf numFmtId="0" fontId="44" fillId="0" borderId="6" xfId="2" applyNumberFormat="1" applyFont="1" applyFill="1" applyBorder="1" applyAlignment="1">
      <alignment horizontal="right" vertical="center" wrapText="1"/>
    </xf>
    <xf numFmtId="0" fontId="44" fillId="0" borderId="11" xfId="2" applyNumberFormat="1" applyFont="1" applyFill="1" applyBorder="1" applyAlignment="1">
      <alignment horizontal="right" vertical="center" wrapText="1"/>
    </xf>
    <xf numFmtId="165" fontId="44" fillId="10" borderId="1" xfId="4" applyNumberFormat="1" applyFont="1" applyFill="1" applyBorder="1" applyAlignment="1">
      <alignment horizontal="right" vertical="center"/>
    </xf>
    <xf numFmtId="165" fontId="44" fillId="11" borderId="1" xfId="4" applyNumberFormat="1" applyFont="1" applyFill="1" applyBorder="1" applyAlignment="1">
      <alignment horizontal="right" vertical="center"/>
    </xf>
    <xf numFmtId="165" fontId="31" fillId="2" borderId="0" xfId="4" applyNumberFormat="1" applyFont="1" applyFill="1" applyAlignment="1">
      <alignment horizontal="right"/>
    </xf>
    <xf numFmtId="0" fontId="45" fillId="0" borderId="1" xfId="2" applyNumberFormat="1" applyFont="1" applyFill="1" applyBorder="1" applyAlignment="1">
      <alignment horizontal="justify" vertical="center" wrapText="1"/>
    </xf>
    <xf numFmtId="165" fontId="46" fillId="0" borderId="1" xfId="4" applyNumberFormat="1" applyFont="1" applyFill="1" applyBorder="1" applyAlignment="1">
      <alignment vertical="center" wrapText="1"/>
    </xf>
    <xf numFmtId="0" fontId="43" fillId="0" borderId="1" xfId="2" applyNumberFormat="1" applyFont="1" applyFill="1" applyBorder="1" applyAlignment="1">
      <alignment horizontal="left" vertical="center" wrapText="1"/>
    </xf>
    <xf numFmtId="165" fontId="45" fillId="0" borderId="1" xfId="4" applyNumberFormat="1" applyFont="1" applyFill="1" applyBorder="1" applyAlignment="1">
      <alignment horizontal="left" vertical="center" wrapText="1"/>
    </xf>
    <xf numFmtId="165" fontId="43" fillId="8" borderId="1" xfId="4" applyNumberFormat="1" applyFont="1" applyFill="1" applyBorder="1" applyAlignment="1">
      <alignment horizontal="center" vertical="center"/>
    </xf>
    <xf numFmtId="165" fontId="43" fillId="2" borderId="1" xfId="4" applyNumberFormat="1" applyFont="1" applyFill="1" applyBorder="1" applyAlignment="1">
      <alignment horizontal="center" vertical="center"/>
    </xf>
    <xf numFmtId="165" fontId="44" fillId="8" borderId="1" xfId="4" applyNumberFormat="1" applyFont="1" applyFill="1" applyBorder="1" applyAlignment="1">
      <alignment horizontal="center" vertical="center"/>
    </xf>
    <xf numFmtId="49" fontId="41" fillId="0" borderId="1" xfId="5" applyNumberFormat="1" applyFont="1" applyFill="1" applyBorder="1" applyAlignment="1" applyProtection="1">
      <alignment horizontal="center" vertical="center"/>
    </xf>
    <xf numFmtId="165" fontId="41" fillId="2" borderId="1" xfId="4" applyNumberFormat="1" applyFont="1" applyFill="1" applyBorder="1" applyAlignment="1">
      <alignment horizontal="center" vertical="center"/>
    </xf>
    <xf numFmtId="49" fontId="43" fillId="0" borderId="1" xfId="2" applyNumberFormat="1" applyFont="1" applyFill="1" applyBorder="1" applyAlignment="1">
      <alignment horizontal="left" vertical="center" wrapText="1"/>
    </xf>
    <xf numFmtId="165" fontId="41" fillId="0" borderId="1" xfId="4" applyNumberFormat="1" applyFont="1" applyFill="1" applyBorder="1" applyAlignment="1">
      <alignment vertical="center" wrapText="1"/>
    </xf>
    <xf numFmtId="165" fontId="41" fillId="0" borderId="1" xfId="4" applyNumberFormat="1" applyFont="1" applyFill="1" applyBorder="1" applyAlignment="1">
      <alignment horizontal="center" vertical="center"/>
    </xf>
    <xf numFmtId="165" fontId="41" fillId="10" borderId="1" xfId="4" applyNumberFormat="1" applyFont="1" applyFill="1" applyBorder="1" applyAlignment="1">
      <alignment horizontal="center" vertical="center"/>
    </xf>
    <xf numFmtId="165" fontId="41" fillId="11" borderId="1" xfId="4" applyNumberFormat="1" applyFont="1" applyFill="1" applyBorder="1" applyAlignment="1">
      <alignment horizontal="center" vertical="center"/>
    </xf>
    <xf numFmtId="49" fontId="43" fillId="0" borderId="1" xfId="4" applyNumberFormat="1" applyFont="1" applyFill="1" applyBorder="1" applyAlignment="1">
      <alignment horizontal="center" vertical="center"/>
    </xf>
    <xf numFmtId="165" fontId="43" fillId="0" borderId="1" xfId="4" applyNumberFormat="1" applyFont="1" applyFill="1" applyBorder="1" applyAlignment="1">
      <alignment vertical="center"/>
    </xf>
    <xf numFmtId="165" fontId="45" fillId="0" borderId="1" xfId="5" applyNumberFormat="1" applyFont="1" applyFill="1" applyBorder="1" applyAlignment="1" applyProtection="1">
      <alignment horizontal="center" vertical="center" wrapText="1"/>
    </xf>
    <xf numFmtId="165" fontId="45" fillId="0" borderId="1" xfId="4" applyNumberFormat="1" applyFont="1" applyFill="1" applyBorder="1" applyAlignment="1">
      <alignment horizontal="center" vertical="center"/>
    </xf>
    <xf numFmtId="165" fontId="45" fillId="10" borderId="1" xfId="4" applyNumberFormat="1" applyFont="1" applyFill="1" applyBorder="1" applyAlignment="1">
      <alignment horizontal="center" vertical="center"/>
    </xf>
    <xf numFmtId="165" fontId="45" fillId="11" borderId="1" xfId="4" applyNumberFormat="1" applyFont="1" applyFill="1" applyBorder="1" applyAlignment="1">
      <alignment horizontal="center" vertical="center"/>
    </xf>
    <xf numFmtId="165" fontId="45" fillId="2" borderId="1" xfId="4" applyNumberFormat="1" applyFont="1" applyFill="1" applyBorder="1" applyAlignment="1">
      <alignment horizontal="center" vertical="center"/>
    </xf>
    <xf numFmtId="49" fontId="45" fillId="0" borderId="1" xfId="2" applyNumberFormat="1" applyFont="1" applyFill="1" applyBorder="1" applyAlignment="1">
      <alignment horizontal="left" vertical="center"/>
    </xf>
    <xf numFmtId="0" fontId="43" fillId="0" borderId="4" xfId="2" applyNumberFormat="1" applyFont="1" applyFill="1" applyBorder="1" applyAlignment="1">
      <alignment horizontal="justify" vertical="center" wrapText="1"/>
    </xf>
    <xf numFmtId="165" fontId="41" fillId="0" borderId="1" xfId="5" applyNumberFormat="1" applyFont="1" applyFill="1" applyBorder="1" applyAlignment="1" applyProtection="1">
      <alignment vertical="center"/>
    </xf>
    <xf numFmtId="165" fontId="45" fillId="0" borderId="1" xfId="5" applyNumberFormat="1" applyFont="1" applyFill="1" applyBorder="1" applyAlignment="1" applyProtection="1">
      <alignment horizontal="left" vertical="center"/>
    </xf>
    <xf numFmtId="165" fontId="41" fillId="0" borderId="1" xfId="4" applyNumberFormat="1" applyFont="1" applyFill="1" applyBorder="1" applyAlignment="1">
      <alignment horizontal="left" vertical="center" wrapText="1"/>
    </xf>
    <xf numFmtId="165" fontId="41" fillId="0" borderId="1" xfId="5" applyNumberFormat="1" applyFont="1" applyFill="1" applyBorder="1" applyAlignment="1" applyProtection="1">
      <alignment horizontal="left" vertical="center" wrapText="1"/>
    </xf>
    <xf numFmtId="0" fontId="43" fillId="0" borderId="1" xfId="2" applyNumberFormat="1" applyFont="1" applyFill="1" applyBorder="1" applyAlignment="1">
      <alignment horizontal="justify" vertical="center"/>
    </xf>
    <xf numFmtId="2" fontId="47" fillId="0" borderId="1" xfId="11" applyNumberFormat="1" applyFont="1" applyFill="1" applyBorder="1" applyAlignment="1">
      <alignment horizontal="justify" vertical="center" wrapText="1"/>
    </xf>
    <xf numFmtId="165" fontId="31" fillId="2" borderId="0" xfId="4" applyNumberFormat="1" applyFont="1" applyFill="1"/>
    <xf numFmtId="49" fontId="31" fillId="0" borderId="10" xfId="4" applyNumberFormat="1" applyFont="1" applyFill="1" applyBorder="1" applyAlignment="1">
      <alignment horizontal="center"/>
    </xf>
    <xf numFmtId="165" fontId="44" fillId="0" borderId="1" xfId="4" applyNumberFormat="1" applyFont="1" applyFill="1" applyBorder="1" applyAlignment="1">
      <alignment horizontal="left" vertical="center"/>
    </xf>
    <xf numFmtId="165" fontId="41" fillId="2" borderId="1" xfId="4" applyNumberFormat="1" applyFont="1" applyFill="1" applyBorder="1" applyAlignment="1">
      <alignment horizontal="right" vertical="center"/>
    </xf>
    <xf numFmtId="165" fontId="45" fillId="0" borderId="1" xfId="5" applyNumberFormat="1" applyFont="1" applyFill="1" applyBorder="1" applyAlignment="1" applyProtection="1">
      <alignment horizontal="center" vertical="center"/>
    </xf>
    <xf numFmtId="165" fontId="45" fillId="0" borderId="1" xfId="5" applyNumberFormat="1" applyFont="1" applyFill="1" applyBorder="1" applyAlignment="1" applyProtection="1">
      <alignment horizontal="left" vertical="center" wrapText="1"/>
    </xf>
    <xf numFmtId="49" fontId="25" fillId="0" borderId="12" xfId="4" applyNumberFormat="1" applyFont="1" applyFill="1" applyBorder="1" applyAlignment="1">
      <alignment horizontal="center"/>
    </xf>
    <xf numFmtId="49" fontId="43" fillId="2" borderId="1" xfId="2" applyNumberFormat="1" applyFont="1" applyFill="1" applyBorder="1" applyAlignment="1">
      <alignment horizontal="left" vertical="center"/>
    </xf>
    <xf numFmtId="0" fontId="43" fillId="2" borderId="1" xfId="2" applyNumberFormat="1" applyFont="1" applyFill="1" applyBorder="1" applyAlignment="1">
      <alignment horizontal="justify" vertical="center" wrapText="1"/>
    </xf>
    <xf numFmtId="165" fontId="25" fillId="11" borderId="0" xfId="4" applyNumberFormat="1" applyFont="1" applyFill="1"/>
    <xf numFmtId="49" fontId="45" fillId="11" borderId="1" xfId="2" applyNumberFormat="1" applyFont="1" applyFill="1" applyBorder="1" applyAlignment="1">
      <alignment horizontal="left" vertical="center"/>
    </xf>
    <xf numFmtId="0" fontId="44" fillId="11" borderId="1" xfId="2" applyNumberFormat="1" applyFont="1" applyFill="1" applyBorder="1" applyAlignment="1">
      <alignment horizontal="right" vertical="center" wrapText="1"/>
    </xf>
    <xf numFmtId="165" fontId="45" fillId="11" borderId="1" xfId="4" applyNumberFormat="1" applyFont="1" applyFill="1" applyBorder="1" applyAlignment="1">
      <alignment vertical="center" wrapText="1"/>
    </xf>
    <xf numFmtId="165" fontId="41" fillId="11" borderId="1" xfId="4" applyNumberFormat="1" applyFont="1" applyFill="1" applyBorder="1" applyAlignment="1">
      <alignment horizontal="right" vertical="center"/>
    </xf>
    <xf numFmtId="165" fontId="41" fillId="10" borderId="1" xfId="4" applyNumberFormat="1" applyFont="1" applyFill="1" applyBorder="1" applyAlignment="1">
      <alignment horizontal="right" vertical="center"/>
    </xf>
    <xf numFmtId="165" fontId="41" fillId="11" borderId="4" xfId="4" applyNumberFormat="1" applyFont="1" applyFill="1" applyBorder="1" applyAlignment="1">
      <alignment horizontal="center" vertical="center"/>
    </xf>
    <xf numFmtId="165" fontId="41" fillId="11" borderId="4" xfId="4" applyNumberFormat="1" applyFont="1" applyFill="1" applyBorder="1" applyAlignment="1">
      <alignment horizontal="right" vertical="center"/>
    </xf>
    <xf numFmtId="0" fontId="44" fillId="0" borderId="1" xfId="2" applyNumberFormat="1" applyFont="1" applyFill="1" applyBorder="1" applyAlignment="1">
      <alignment horizontal="justify" vertical="center" wrapText="1"/>
    </xf>
    <xf numFmtId="165" fontId="44" fillId="11" borderId="4" xfId="4" applyNumberFormat="1" applyFont="1" applyFill="1" applyBorder="1" applyAlignment="1">
      <alignment horizontal="center" vertical="center"/>
    </xf>
    <xf numFmtId="165" fontId="44" fillId="11" borderId="3" xfId="4" applyNumberFormat="1" applyFont="1" applyFill="1" applyBorder="1" applyAlignment="1">
      <alignment horizontal="center" vertical="center"/>
    </xf>
    <xf numFmtId="49" fontId="25" fillId="8" borderId="10" xfId="4" applyNumberFormat="1" applyFont="1" applyFill="1" applyBorder="1" applyAlignment="1">
      <alignment horizontal="center"/>
    </xf>
    <xf numFmtId="165" fontId="45" fillId="8" borderId="1" xfId="5" applyNumberFormat="1" applyFont="1" applyFill="1" applyBorder="1" applyAlignment="1" applyProtection="1">
      <alignment vertical="center"/>
    </xf>
    <xf numFmtId="165" fontId="41" fillId="8" borderId="1" xfId="5" applyNumberFormat="1" applyFont="1" applyFill="1" applyBorder="1" applyAlignment="1" applyProtection="1">
      <alignment horizontal="center" vertical="center" wrapText="1"/>
    </xf>
    <xf numFmtId="165" fontId="25" fillId="8" borderId="0" xfId="4" applyNumberFormat="1" applyFont="1" applyFill="1"/>
    <xf numFmtId="49" fontId="43" fillId="0" borderId="1" xfId="2" applyNumberFormat="1" applyFont="1" applyFill="1" applyBorder="1" applyAlignment="1">
      <alignment vertical="center"/>
    </xf>
    <xf numFmtId="165" fontId="45" fillId="0" borderId="1" xfId="6" applyNumberFormat="1" applyFont="1" applyFill="1" applyBorder="1" applyAlignment="1" applyProtection="1">
      <alignment horizontal="center" vertical="center" wrapText="1"/>
    </xf>
    <xf numFmtId="165" fontId="41" fillId="0" borderId="1" xfId="5" applyNumberFormat="1" applyFont="1" applyFill="1" applyBorder="1" applyAlignment="1" applyProtection="1">
      <alignment horizontal="center" vertical="center" wrapText="1"/>
    </xf>
    <xf numFmtId="49" fontId="25" fillId="12" borderId="10" xfId="4" applyNumberFormat="1" applyFont="1" applyFill="1" applyBorder="1" applyAlignment="1">
      <alignment horizontal="center"/>
    </xf>
    <xf numFmtId="165" fontId="41" fillId="12" borderId="1" xfId="5" applyNumberFormat="1" applyFont="1" applyFill="1" applyBorder="1" applyAlignment="1" applyProtection="1">
      <alignment horizontal="center" vertical="center"/>
    </xf>
    <xf numFmtId="165" fontId="41" fillId="12" borderId="1" xfId="5" applyNumberFormat="1" applyFont="1" applyFill="1" applyBorder="1" applyAlignment="1" applyProtection="1">
      <alignment vertical="center"/>
    </xf>
    <xf numFmtId="165" fontId="41" fillId="12" borderId="1" xfId="5" applyNumberFormat="1" applyFont="1" applyFill="1" applyBorder="1" applyAlignment="1" applyProtection="1">
      <alignment vertical="center" wrapText="1"/>
    </xf>
    <xf numFmtId="165" fontId="45" fillId="12" borderId="1" xfId="5" applyNumberFormat="1" applyFont="1" applyFill="1" applyBorder="1" applyAlignment="1" applyProtection="1">
      <alignment horizontal="center" vertical="center" wrapText="1"/>
    </xf>
    <xf numFmtId="165" fontId="44" fillId="12" borderId="1" xfId="4" applyNumberFormat="1" applyFont="1" applyFill="1" applyBorder="1" applyAlignment="1">
      <alignment horizontal="center" vertical="center"/>
    </xf>
    <xf numFmtId="165" fontId="25" fillId="12" borderId="0" xfId="4" applyNumberFormat="1" applyFont="1" applyFill="1"/>
    <xf numFmtId="165" fontId="48" fillId="0" borderId="1" xfId="4" applyNumberFormat="1" applyFont="1" applyFill="1" applyBorder="1" applyAlignment="1">
      <alignment vertical="center" wrapText="1"/>
    </xf>
    <xf numFmtId="165" fontId="48" fillId="0" borderId="1" xfId="5" applyNumberFormat="1" applyFont="1" applyFill="1" applyBorder="1" applyAlignment="1" applyProtection="1">
      <alignment horizontal="left" vertical="center" wrapText="1"/>
    </xf>
    <xf numFmtId="49" fontId="45" fillId="0" borderId="1" xfId="2" applyNumberFormat="1" applyFont="1" applyFill="1" applyBorder="1" applyAlignment="1">
      <alignment vertical="center"/>
    </xf>
    <xf numFmtId="49" fontId="31" fillId="12" borderId="10" xfId="4" applyNumberFormat="1" applyFont="1" applyFill="1" applyBorder="1" applyAlignment="1">
      <alignment horizontal="center"/>
    </xf>
    <xf numFmtId="49" fontId="44" fillId="12" borderId="1" xfId="4" applyNumberFormat="1" applyFont="1" applyFill="1" applyBorder="1" applyAlignment="1">
      <alignment horizontal="center" vertical="center"/>
    </xf>
    <xf numFmtId="49" fontId="41" fillId="12" borderId="1" xfId="2" applyNumberFormat="1" applyFont="1" applyFill="1" applyBorder="1" applyAlignment="1">
      <alignment vertical="center"/>
    </xf>
    <xf numFmtId="0" fontId="41" fillId="12" borderId="1" xfId="2" applyNumberFormat="1" applyFont="1" applyFill="1" applyBorder="1" applyAlignment="1">
      <alignment horizontal="justify" vertical="center" wrapText="1"/>
    </xf>
    <xf numFmtId="165" fontId="45" fillId="0" borderId="1" xfId="5" applyNumberFormat="1" applyFont="1" applyFill="1" applyBorder="1" applyAlignment="1" applyProtection="1">
      <alignment vertical="center" wrapText="1"/>
    </xf>
    <xf numFmtId="49" fontId="43" fillId="0" borderId="1" xfId="2" applyNumberFormat="1" applyFont="1" applyFill="1" applyBorder="1" applyAlignment="1">
      <alignment horizontal="justify" vertical="center"/>
    </xf>
    <xf numFmtId="165" fontId="44" fillId="12" borderId="1" xfId="4" applyNumberFormat="1" applyFont="1" applyFill="1" applyBorder="1" applyAlignment="1">
      <alignment vertical="center"/>
    </xf>
    <xf numFmtId="0" fontId="44" fillId="12" borderId="1" xfId="2" applyNumberFormat="1" applyFont="1" applyFill="1" applyBorder="1" applyAlignment="1">
      <alignment horizontal="justify" vertical="center" wrapText="1"/>
    </xf>
    <xf numFmtId="165" fontId="41" fillId="12" borderId="1" xfId="5" applyNumberFormat="1" applyFont="1" applyFill="1" applyBorder="1" applyAlignment="1" applyProtection="1">
      <alignment horizontal="center" vertical="center" wrapText="1"/>
    </xf>
    <xf numFmtId="165" fontId="31" fillId="12" borderId="0" xfId="4" applyNumberFormat="1" applyFont="1" applyFill="1"/>
    <xf numFmtId="165" fontId="43" fillId="12" borderId="1" xfId="4" applyNumberFormat="1" applyFont="1" applyFill="1" applyBorder="1" applyAlignment="1">
      <alignment vertical="center"/>
    </xf>
    <xf numFmtId="165" fontId="41" fillId="2" borderId="1" xfId="5" applyNumberFormat="1" applyFont="1" applyFill="1" applyBorder="1" applyAlignment="1" applyProtection="1">
      <alignment horizontal="center" vertical="center"/>
    </xf>
    <xf numFmtId="49" fontId="43" fillId="2" borderId="1" xfId="2" applyNumberFormat="1" applyFont="1" applyFill="1" applyBorder="1" applyAlignment="1">
      <alignment vertical="center"/>
    </xf>
    <xf numFmtId="165" fontId="41" fillId="2" borderId="1" xfId="5" applyNumberFormat="1" applyFont="1" applyFill="1" applyBorder="1" applyAlignment="1" applyProtection="1">
      <alignment vertical="center" wrapText="1"/>
    </xf>
    <xf numFmtId="49" fontId="43" fillId="2" borderId="1" xfId="4" applyNumberFormat="1" applyFont="1" applyFill="1" applyBorder="1" applyAlignment="1">
      <alignment horizontal="center" vertical="center"/>
    </xf>
    <xf numFmtId="49" fontId="43" fillId="2" borderId="1" xfId="2" applyNumberFormat="1" applyFont="1" applyFill="1" applyBorder="1" applyAlignment="1">
      <alignment horizontal="justify" vertical="center"/>
    </xf>
    <xf numFmtId="165" fontId="25" fillId="13" borderId="0" xfId="4" applyNumberFormat="1" applyFont="1" applyFill="1"/>
    <xf numFmtId="49" fontId="45" fillId="2" borderId="1" xfId="5" applyNumberFormat="1" applyFont="1" applyFill="1" applyBorder="1" applyAlignment="1" applyProtection="1">
      <alignment vertical="center"/>
    </xf>
    <xf numFmtId="0" fontId="45" fillId="2" borderId="1" xfId="2" applyNumberFormat="1" applyFont="1" applyFill="1" applyBorder="1" applyAlignment="1">
      <alignment horizontal="justify" vertical="center" wrapText="1"/>
    </xf>
    <xf numFmtId="49" fontId="43" fillId="2" borderId="1" xfId="11" applyNumberFormat="1" applyFont="1" applyFill="1" applyBorder="1" applyAlignment="1">
      <alignment horizontal="justify" vertical="center"/>
    </xf>
    <xf numFmtId="49" fontId="43" fillId="0" borderId="1" xfId="11" applyNumberFormat="1" applyFont="1" applyFill="1" applyBorder="1" applyAlignment="1">
      <alignment horizontal="justify" vertical="center"/>
    </xf>
    <xf numFmtId="165" fontId="43" fillId="8" borderId="1" xfId="4" applyNumberFormat="1" applyFont="1" applyFill="1" applyBorder="1" applyAlignment="1">
      <alignment vertical="center"/>
    </xf>
    <xf numFmtId="165" fontId="43" fillId="10" borderId="1" xfId="4" applyNumberFormat="1" applyFont="1" applyFill="1" applyBorder="1" applyAlignment="1">
      <alignment vertical="center"/>
    </xf>
    <xf numFmtId="165" fontId="43" fillId="11" borderId="1" xfId="4" applyNumberFormat="1" applyFont="1" applyFill="1" applyBorder="1" applyAlignment="1">
      <alignment vertical="center"/>
    </xf>
    <xf numFmtId="49" fontId="31" fillId="11" borderId="10" xfId="4" applyNumberFormat="1" applyFont="1" applyFill="1" applyBorder="1" applyAlignment="1">
      <alignment horizontal="center"/>
    </xf>
    <xf numFmtId="165" fontId="44" fillId="11" borderId="1" xfId="4" applyNumberFormat="1" applyFont="1" applyFill="1" applyBorder="1" applyAlignment="1">
      <alignment vertical="center"/>
    </xf>
    <xf numFmtId="165" fontId="41" fillId="11" borderId="1" xfId="5" applyNumberFormat="1" applyFont="1" applyFill="1" applyBorder="1" applyAlignment="1" applyProtection="1">
      <alignment horizontal="justify" vertical="center" wrapText="1"/>
    </xf>
    <xf numFmtId="165" fontId="41" fillId="11" borderId="1" xfId="5" applyNumberFormat="1" applyFont="1" applyFill="1" applyBorder="1" applyAlignment="1" applyProtection="1">
      <alignment horizontal="center" vertical="center" wrapText="1"/>
    </xf>
    <xf numFmtId="165" fontId="31" fillId="11" borderId="0" xfId="4" applyNumberFormat="1" applyFont="1" applyFill="1"/>
    <xf numFmtId="165" fontId="41" fillId="8" borderId="1" xfId="5" applyNumberFormat="1" applyFont="1" applyFill="1" applyBorder="1" applyAlignment="1" applyProtection="1">
      <alignment horizontal="center" vertical="center"/>
    </xf>
    <xf numFmtId="49" fontId="25" fillId="0" borderId="0" xfId="4" applyNumberFormat="1" applyFont="1" applyFill="1" applyBorder="1" applyAlignment="1">
      <alignment horizontal="center"/>
    </xf>
    <xf numFmtId="165" fontId="44" fillId="0" borderId="10" xfId="4" applyNumberFormat="1" applyFont="1" applyFill="1" applyBorder="1" applyAlignment="1">
      <alignment horizontal="center" vertical="center"/>
    </xf>
    <xf numFmtId="165" fontId="43" fillId="0" borderId="6" xfId="4" applyNumberFormat="1" applyFont="1" applyFill="1" applyBorder="1" applyAlignment="1">
      <alignment vertical="center"/>
    </xf>
    <xf numFmtId="165" fontId="41" fillId="0" borderId="11" xfId="5" applyNumberFormat="1" applyFont="1" applyFill="1" applyBorder="1" applyAlignment="1" applyProtection="1">
      <alignment horizontal="center" vertical="center"/>
    </xf>
    <xf numFmtId="49" fontId="25" fillId="14" borderId="0" xfId="4" applyNumberFormat="1" applyFont="1" applyFill="1" applyBorder="1" applyAlignment="1">
      <alignment horizontal="center"/>
    </xf>
    <xf numFmtId="165" fontId="44" fillId="14" borderId="10" xfId="4" applyNumberFormat="1" applyFont="1" applyFill="1" applyBorder="1" applyAlignment="1">
      <alignment horizontal="center" vertical="center"/>
    </xf>
    <xf numFmtId="165" fontId="43" fillId="14" borderId="6" xfId="4" applyNumberFormat="1" applyFont="1" applyFill="1" applyBorder="1" applyAlignment="1">
      <alignment vertical="center"/>
    </xf>
    <xf numFmtId="165" fontId="41" fillId="14" borderId="11" xfId="5" applyNumberFormat="1" applyFont="1" applyFill="1" applyBorder="1" applyAlignment="1" applyProtection="1">
      <alignment horizontal="center" vertical="center"/>
    </xf>
    <xf numFmtId="165" fontId="41" fillId="14" borderId="1" xfId="5" applyNumberFormat="1" applyFont="1" applyFill="1" applyBorder="1" applyAlignment="1" applyProtection="1">
      <alignment horizontal="center" vertical="center"/>
    </xf>
    <xf numFmtId="165" fontId="41" fillId="14" borderId="1" xfId="5" applyNumberFormat="1" applyFont="1" applyFill="1" applyBorder="1" applyAlignment="1" applyProtection="1">
      <alignment horizontal="center" vertical="center" wrapText="1"/>
    </xf>
    <xf numFmtId="165" fontId="44" fillId="14" borderId="1" xfId="4" applyNumberFormat="1" applyFont="1" applyFill="1" applyBorder="1" applyAlignment="1">
      <alignment horizontal="center" vertical="center"/>
    </xf>
    <xf numFmtId="165" fontId="44" fillId="13" borderId="1" xfId="4" applyNumberFormat="1" applyFont="1" applyFill="1" applyBorder="1" applyAlignment="1">
      <alignment horizontal="center" vertical="center"/>
    </xf>
    <xf numFmtId="165" fontId="25" fillId="14" borderId="0" xfId="4" applyNumberFormat="1" applyFont="1" applyFill="1"/>
    <xf numFmtId="165" fontId="25" fillId="0" borderId="1" xfId="4" applyNumberFormat="1" applyFont="1" applyFill="1" applyBorder="1" applyAlignment="1">
      <alignment wrapText="1"/>
    </xf>
    <xf numFmtId="165" fontId="25" fillId="0" borderId="1" xfId="4" applyNumberFormat="1" applyFont="1" applyFill="1" applyBorder="1" applyAlignment="1">
      <alignment horizontal="left" wrapText="1"/>
    </xf>
    <xf numFmtId="165" fontId="25" fillId="10" borderId="1" xfId="4" applyNumberFormat="1" applyFont="1" applyFill="1" applyBorder="1" applyAlignment="1">
      <alignment horizontal="left" wrapText="1"/>
    </xf>
    <xf numFmtId="165" fontId="25" fillId="0" borderId="1" xfId="4" applyNumberFormat="1" applyFont="1" applyFill="1" applyBorder="1" applyAlignment="1">
      <alignment horizontal="center" wrapText="1"/>
    </xf>
    <xf numFmtId="165" fontId="25" fillId="11" borderId="1" xfId="4" applyNumberFormat="1" applyFont="1" applyFill="1" applyBorder="1" applyAlignment="1">
      <alignment horizontal="left" wrapText="1"/>
    </xf>
    <xf numFmtId="0" fontId="14" fillId="0" borderId="1" xfId="11" applyFont="1" applyBorder="1" applyAlignment="1">
      <alignment horizontal="center" vertical="center" wrapText="1"/>
    </xf>
    <xf numFmtId="165" fontId="7" fillId="2" borderId="1" xfId="7" applyNumberFormat="1" applyFont="1" applyFill="1" applyBorder="1" applyAlignment="1" applyProtection="1">
      <alignment vertical="center" wrapText="1"/>
    </xf>
    <xf numFmtId="0" fontId="37" fillId="0" borderId="1" xfId="11" applyBorder="1" applyAlignment="1">
      <alignment vertical="center" wrapText="1"/>
    </xf>
    <xf numFmtId="0" fontId="7" fillId="0" borderId="1" xfId="11" applyFont="1" applyBorder="1" applyAlignment="1">
      <alignment horizontal="center" vertical="center" wrapText="1"/>
    </xf>
    <xf numFmtId="165" fontId="25" fillId="2" borderId="1" xfId="12" applyNumberFormat="1" applyFont="1" applyFill="1" applyBorder="1"/>
    <xf numFmtId="2" fontId="7" fillId="0" borderId="1" xfId="10" applyNumberFormat="1" applyFont="1" applyBorder="1" applyAlignment="1">
      <alignment horizontal="center" vertical="center" wrapText="1"/>
    </xf>
    <xf numFmtId="2" fontId="7" fillId="11" borderId="1" xfId="10" applyNumberFormat="1" applyFont="1" applyFill="1" applyBorder="1" applyAlignment="1">
      <alignment horizontal="center" vertical="center" wrapText="1"/>
    </xf>
    <xf numFmtId="170" fontId="7" fillId="0" borderId="1" xfId="10" applyNumberFormat="1" applyFont="1" applyBorder="1" applyAlignment="1">
      <alignment horizontal="center" vertical="center" wrapText="1"/>
    </xf>
    <xf numFmtId="165" fontId="41" fillId="8" borderId="1" xfId="5" applyNumberFormat="1" applyFont="1" applyFill="1" applyBorder="1" applyAlignment="1" applyProtection="1">
      <alignment horizontal="justify" vertical="center" wrapText="1"/>
    </xf>
    <xf numFmtId="49" fontId="25" fillId="2" borderId="0" xfId="4" applyNumberFormat="1" applyFont="1" applyFill="1" applyBorder="1" applyAlignment="1">
      <alignment horizontal="center"/>
    </xf>
    <xf numFmtId="165" fontId="43" fillId="2" borderId="0" xfId="4" applyNumberFormat="1" applyFont="1" applyFill="1" applyBorder="1" applyAlignment="1">
      <alignment horizontal="center" vertical="center"/>
    </xf>
    <xf numFmtId="165" fontId="43" fillId="2" borderId="0" xfId="4" applyNumberFormat="1" applyFont="1" applyFill="1" applyBorder="1" applyAlignment="1">
      <alignment vertical="center"/>
    </xf>
    <xf numFmtId="165" fontId="41" fillId="2" borderId="0" xfId="5" applyNumberFormat="1" applyFont="1" applyFill="1" applyBorder="1" applyAlignment="1" applyProtection="1">
      <alignment horizontal="center" vertical="center"/>
    </xf>
    <xf numFmtId="165" fontId="41" fillId="2" borderId="0" xfId="5" applyNumberFormat="1" applyFont="1" applyFill="1" applyBorder="1" applyAlignment="1" applyProtection="1">
      <alignment horizontal="center" vertical="center" wrapText="1"/>
    </xf>
    <xf numFmtId="165" fontId="44" fillId="2" borderId="0" xfId="4" applyNumberFormat="1" applyFont="1" applyFill="1" applyBorder="1" applyAlignment="1">
      <alignment horizontal="center" vertical="center"/>
    </xf>
    <xf numFmtId="165" fontId="12" fillId="2" borderId="0" xfId="4" applyNumberFormat="1" applyFont="1" applyFill="1" applyBorder="1" applyAlignment="1">
      <alignment horizontal="center" vertical="center"/>
    </xf>
    <xf numFmtId="165" fontId="43" fillId="0" borderId="17" xfId="4" applyNumberFormat="1" applyFont="1" applyFill="1" applyBorder="1" applyAlignment="1">
      <alignment horizontal="center" vertical="center"/>
    </xf>
    <xf numFmtId="165" fontId="43" fillId="0" borderId="18" xfId="4" applyNumberFormat="1" applyFont="1" applyFill="1" applyBorder="1" applyAlignment="1">
      <alignment vertical="center"/>
    </xf>
    <xf numFmtId="165" fontId="45" fillId="0" borderId="18" xfId="5" applyNumberFormat="1" applyFont="1" applyFill="1" applyBorder="1" applyAlignment="1" applyProtection="1">
      <alignment horizontal="left" vertical="center"/>
    </xf>
    <xf numFmtId="165" fontId="45" fillId="0" borderId="18" xfId="5" applyNumberFormat="1" applyFont="1" applyFill="1" applyBorder="1" applyAlignment="1" applyProtection="1">
      <alignment horizontal="center" vertical="center" wrapText="1"/>
    </xf>
    <xf numFmtId="165" fontId="43" fillId="0" borderId="18" xfId="4" applyNumberFormat="1" applyFont="1" applyFill="1" applyBorder="1" applyAlignment="1">
      <alignment horizontal="center" vertical="center"/>
    </xf>
    <xf numFmtId="165" fontId="43" fillId="0" borderId="28" xfId="4" applyNumberFormat="1" applyFont="1" applyFill="1" applyBorder="1" applyAlignment="1">
      <alignment horizontal="center" vertical="center"/>
    </xf>
    <xf numFmtId="165" fontId="41" fillId="0" borderId="1" xfId="5" applyNumberFormat="1" applyFont="1" applyFill="1" applyBorder="1" applyAlignment="1" applyProtection="1">
      <alignment horizontal="right" vertical="center" wrapText="1"/>
    </xf>
    <xf numFmtId="165" fontId="44" fillId="0" borderId="29" xfId="4" applyNumberFormat="1" applyFont="1" applyFill="1" applyBorder="1" applyAlignment="1">
      <alignment horizontal="center" vertical="center"/>
    </xf>
    <xf numFmtId="165" fontId="31" fillId="0" borderId="31" xfId="4" applyNumberFormat="1" applyFont="1" applyFill="1" applyBorder="1" applyAlignment="1">
      <alignment wrapText="1"/>
    </xf>
    <xf numFmtId="49" fontId="49" fillId="2" borderId="0" xfId="4" applyNumberFormat="1" applyFont="1" applyFill="1" applyAlignment="1">
      <alignment horizontal="center"/>
    </xf>
    <xf numFmtId="0" fontId="7" fillId="0" borderId="2" xfId="11" applyFont="1" applyFill="1" applyBorder="1" applyAlignment="1">
      <alignment horizontal="center" vertical="center" wrapText="1"/>
    </xf>
    <xf numFmtId="0" fontId="37" fillId="0" borderId="0" xfId="11" applyFill="1" applyBorder="1" applyAlignment="1">
      <alignment horizontal="center" vertical="center" wrapText="1"/>
    </xf>
    <xf numFmtId="165" fontId="49" fillId="0" borderId="0" xfId="4" applyNumberFormat="1" applyFont="1" applyFill="1"/>
    <xf numFmtId="165" fontId="49" fillId="2" borderId="0" xfId="4" applyNumberFormat="1" applyFont="1" applyFill="1"/>
    <xf numFmtId="0" fontId="37" fillId="0" borderId="9" xfId="11" applyFill="1" applyBorder="1" applyAlignment="1">
      <alignment horizontal="center" vertical="center" wrapText="1"/>
    </xf>
    <xf numFmtId="0" fontId="7" fillId="0" borderId="9" xfId="11" applyFont="1" applyFill="1" applyBorder="1" applyAlignment="1">
      <alignment horizontal="center" vertical="center" wrapText="1"/>
    </xf>
    <xf numFmtId="0" fontId="7" fillId="0" borderId="0" xfId="11" applyFont="1" applyFill="1" applyBorder="1" applyAlignment="1">
      <alignment horizontal="center" vertical="center" wrapText="1"/>
    </xf>
    <xf numFmtId="0" fontId="37" fillId="0" borderId="33" xfId="11" applyFill="1" applyBorder="1" applyAlignment="1">
      <alignment horizontal="center" vertical="center" wrapText="1"/>
    </xf>
    <xf numFmtId="0" fontId="37" fillId="0" borderId="3" xfId="11" applyFill="1" applyBorder="1" applyAlignment="1">
      <alignment horizontal="center" vertical="center" wrapText="1"/>
    </xf>
    <xf numFmtId="49" fontId="37" fillId="0" borderId="3" xfId="11" applyNumberFormat="1" applyFont="1" applyFill="1" applyBorder="1" applyAlignment="1">
      <alignment horizontal="center" vertical="center" wrapText="1"/>
    </xf>
    <xf numFmtId="0" fontId="37" fillId="0" borderId="3" xfId="11" applyFont="1" applyFill="1" applyBorder="1" applyAlignment="1">
      <alignment horizontal="center" vertical="center" wrapText="1"/>
    </xf>
    <xf numFmtId="0" fontId="37" fillId="0" borderId="13" xfId="11" applyFont="1" applyFill="1" applyBorder="1" applyAlignment="1">
      <alignment horizontal="center" vertical="center" wrapText="1"/>
    </xf>
    <xf numFmtId="0" fontId="37" fillId="0" borderId="13" xfId="11" applyFill="1" applyBorder="1" applyAlignment="1">
      <alignment horizontal="center" vertical="center" wrapText="1"/>
    </xf>
    <xf numFmtId="0" fontId="7" fillId="0" borderId="1" xfId="11" applyFont="1" applyFill="1" applyBorder="1" applyAlignment="1">
      <alignment horizontal="center" vertical="center"/>
    </xf>
    <xf numFmtId="165" fontId="25" fillId="0" borderId="1" xfId="12" applyNumberFormat="1" applyFont="1" applyFill="1" applyBorder="1"/>
    <xf numFmtId="172" fontId="7" fillId="0" borderId="1" xfId="10" applyNumberFormat="1" applyFont="1" applyFill="1" applyBorder="1" applyAlignment="1">
      <alignment horizontal="center" vertical="center" wrapText="1"/>
    </xf>
    <xf numFmtId="172" fontId="7" fillId="0" borderId="0" xfId="10" applyNumberFormat="1" applyFont="1" applyFill="1" applyBorder="1" applyAlignment="1">
      <alignment horizontal="center" vertical="center" wrapText="1"/>
    </xf>
    <xf numFmtId="0" fontId="7" fillId="0" borderId="1" xfId="11" applyFont="1" applyFill="1" applyBorder="1" applyAlignment="1">
      <alignment horizontal="center" vertical="center" wrapText="1"/>
    </xf>
    <xf numFmtId="165" fontId="25" fillId="0" borderId="1"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2" fontId="7" fillId="0" borderId="1" xfId="10" applyNumberFormat="1" applyFont="1" applyFill="1" applyBorder="1" applyAlignment="1">
      <alignment horizontal="center" vertical="center" wrapText="1"/>
    </xf>
    <xf numFmtId="2" fontId="7" fillId="0" borderId="0" xfId="10" applyNumberFormat="1" applyFont="1" applyFill="1" applyBorder="1" applyAlignment="1">
      <alignment horizontal="center" vertical="center" wrapText="1"/>
    </xf>
    <xf numFmtId="2" fontId="7" fillId="0" borderId="4" xfId="10" applyNumberFormat="1" applyFont="1" applyFill="1" applyBorder="1" applyAlignment="1">
      <alignment horizontal="center" vertical="center" wrapText="1"/>
    </xf>
    <xf numFmtId="170" fontId="7" fillId="0" borderId="1" xfId="10" applyNumberFormat="1" applyFont="1" applyFill="1" applyBorder="1" applyAlignment="1">
      <alignment horizontal="center" vertical="center" wrapText="1"/>
    </xf>
    <xf numFmtId="170" fontId="7" fillId="0" borderId="0" xfId="10" applyNumberFormat="1" applyFont="1" applyFill="1" applyBorder="1" applyAlignment="1">
      <alignment horizontal="center" vertical="center" wrapText="1"/>
    </xf>
    <xf numFmtId="165" fontId="43" fillId="0" borderId="23" xfId="4" applyNumberFormat="1" applyFont="1" applyFill="1" applyBorder="1" applyAlignment="1">
      <alignment horizontal="center" vertical="center"/>
    </xf>
    <xf numFmtId="165" fontId="43" fillId="0" borderId="24" xfId="4" applyNumberFormat="1" applyFont="1" applyFill="1" applyBorder="1" applyAlignment="1">
      <alignment vertical="center"/>
    </xf>
    <xf numFmtId="165" fontId="45" fillId="0" borderId="24" xfId="5" applyNumberFormat="1" applyFont="1" applyFill="1" applyBorder="1" applyAlignment="1" applyProtection="1">
      <alignment vertical="center" wrapText="1"/>
    </xf>
    <xf numFmtId="165" fontId="41" fillId="0" borderId="25" xfId="5" applyNumberFormat="1" applyFont="1" applyFill="1" applyBorder="1" applyAlignment="1" applyProtection="1">
      <alignment horizontal="center" vertical="center" wrapText="1"/>
    </xf>
    <xf numFmtId="165" fontId="41" fillId="0" borderId="31" xfId="5" applyNumberFormat="1" applyFont="1" applyFill="1" applyBorder="1" applyAlignment="1" applyProtection="1">
      <alignment horizontal="center" vertical="center" wrapText="1"/>
    </xf>
    <xf numFmtId="165" fontId="43" fillId="0" borderId="24" xfId="4" applyNumberFormat="1" applyFont="1" applyFill="1" applyBorder="1" applyAlignment="1">
      <alignment horizontal="center" vertical="center"/>
    </xf>
    <xf numFmtId="165" fontId="43" fillId="0" borderId="34" xfId="4" applyNumberFormat="1" applyFont="1" applyFill="1" applyBorder="1" applyAlignment="1">
      <alignment horizontal="center" vertical="center"/>
    </xf>
    <xf numFmtId="165" fontId="43" fillId="0" borderId="35" xfId="4" applyNumberFormat="1" applyFont="1" applyFill="1" applyBorder="1" applyAlignment="1">
      <alignment horizontal="center" vertical="center"/>
    </xf>
    <xf numFmtId="165" fontId="43" fillId="0" borderId="36" xfId="4" applyNumberFormat="1" applyFont="1" applyFill="1" applyBorder="1" applyAlignment="1">
      <alignment horizontal="center" vertical="center"/>
    </xf>
    <xf numFmtId="165" fontId="43" fillId="0" borderId="0" xfId="4" applyNumberFormat="1" applyFont="1" applyFill="1" applyBorder="1" applyAlignment="1">
      <alignment horizontal="center" vertical="center"/>
    </xf>
    <xf numFmtId="165" fontId="43" fillId="0" borderId="37" xfId="4" applyNumberFormat="1" applyFont="1" applyFill="1" applyBorder="1" applyAlignment="1">
      <alignment horizontal="center" vertical="center"/>
    </xf>
    <xf numFmtId="165" fontId="41" fillId="0" borderId="24" xfId="5" applyNumberFormat="1" applyFont="1" applyFill="1" applyBorder="1" applyAlignment="1" applyProtection="1">
      <alignment vertical="center" wrapText="1"/>
    </xf>
    <xf numFmtId="165" fontId="44" fillId="0" borderId="23" xfId="4" applyNumberFormat="1" applyFont="1" applyFill="1" applyBorder="1" applyAlignment="1">
      <alignment horizontal="center" vertical="center"/>
    </xf>
    <xf numFmtId="165" fontId="44" fillId="0" borderId="24" xfId="4" applyNumberFormat="1" applyFont="1" applyFill="1" applyBorder="1" applyAlignment="1">
      <alignment horizontal="center" vertical="center"/>
    </xf>
    <xf numFmtId="165" fontId="44" fillId="0" borderId="38" xfId="4" applyNumberFormat="1" applyFont="1" applyFill="1" applyBorder="1" applyAlignment="1">
      <alignment horizontal="center" vertical="center"/>
    </xf>
    <xf numFmtId="165" fontId="44" fillId="0" borderId="39" xfId="4" applyNumberFormat="1" applyFont="1" applyFill="1" applyBorder="1" applyAlignment="1">
      <alignment horizontal="center" vertical="center"/>
    </xf>
    <xf numFmtId="165" fontId="44" fillId="0" borderId="40" xfId="4" applyNumberFormat="1" applyFont="1" applyFill="1" applyBorder="1" applyAlignment="1">
      <alignment horizontal="center" vertical="center"/>
    </xf>
    <xf numFmtId="165" fontId="44" fillId="0" borderId="41" xfId="4" applyNumberFormat="1" applyFont="1" applyFill="1" applyBorder="1" applyAlignment="1">
      <alignment horizontal="center" vertical="center"/>
    </xf>
    <xf numFmtId="165" fontId="44" fillId="0" borderId="15" xfId="4" applyNumberFormat="1" applyFont="1" applyFill="1" applyBorder="1" applyAlignment="1">
      <alignment horizontal="center" vertical="center"/>
    </xf>
    <xf numFmtId="165" fontId="44" fillId="0" borderId="37" xfId="4" applyNumberFormat="1" applyFont="1" applyFill="1" applyBorder="1" applyAlignment="1">
      <alignment horizontal="center" vertical="center"/>
    </xf>
    <xf numFmtId="165" fontId="44" fillId="0" borderId="0" xfId="4" applyNumberFormat="1" applyFont="1" applyFill="1" applyBorder="1" applyAlignment="1">
      <alignment horizontal="center" vertical="center"/>
    </xf>
    <xf numFmtId="165" fontId="41" fillId="2" borderId="24" xfId="5" applyNumberFormat="1" applyFont="1" applyFill="1" applyBorder="1" applyAlignment="1" applyProtection="1">
      <alignment vertical="center" wrapText="1"/>
    </xf>
    <xf numFmtId="165" fontId="44" fillId="11" borderId="24" xfId="4" applyNumberFormat="1" applyFont="1" applyFill="1" applyBorder="1" applyAlignment="1">
      <alignment horizontal="center" vertical="center"/>
    </xf>
    <xf numFmtId="165" fontId="44" fillId="0" borderId="42" xfId="4" applyNumberFormat="1" applyFont="1" applyFill="1" applyBorder="1" applyAlignment="1">
      <alignment horizontal="center" vertical="center"/>
    </xf>
    <xf numFmtId="165" fontId="44" fillId="15" borderId="24" xfId="4" applyNumberFormat="1" applyFont="1" applyFill="1" applyBorder="1" applyAlignment="1">
      <alignment horizontal="center" vertical="center"/>
    </xf>
    <xf numFmtId="165" fontId="44" fillId="15" borderId="0" xfId="4" applyNumberFormat="1" applyFont="1" applyFill="1" applyBorder="1" applyAlignment="1">
      <alignment horizontal="center" vertical="center"/>
    </xf>
    <xf numFmtId="165" fontId="25" fillId="2" borderId="0" xfId="4" applyNumberFormat="1" applyFont="1" applyFill="1" applyAlignment="1">
      <alignment wrapText="1"/>
    </xf>
    <xf numFmtId="165" fontId="25" fillId="2" borderId="1" xfId="4" applyNumberFormat="1" applyFont="1" applyFill="1" applyBorder="1" applyAlignment="1">
      <alignment horizontal="center"/>
    </xf>
    <xf numFmtId="165" fontId="25" fillId="2" borderId="1" xfId="4" applyNumberFormat="1" applyFont="1" applyFill="1" applyBorder="1" applyAlignment="1"/>
    <xf numFmtId="165" fontId="25" fillId="8" borderId="1" xfId="4" applyNumberFormat="1" applyFont="1" applyFill="1" applyBorder="1"/>
    <xf numFmtId="165" fontId="25" fillId="2" borderId="1" xfId="4" applyNumberFormat="1" applyFont="1" applyFill="1" applyBorder="1" applyAlignment="1">
      <alignment wrapText="1"/>
    </xf>
    <xf numFmtId="169" fontId="25" fillId="2" borderId="43" xfId="4" applyNumberFormat="1" applyFont="1" applyFill="1" applyBorder="1"/>
    <xf numFmtId="169" fontId="25" fillId="4" borderId="17" xfId="4" applyNumberFormat="1" applyFont="1" applyFill="1" applyBorder="1"/>
    <xf numFmtId="169" fontId="25" fillId="4" borderId="18" xfId="4" applyNumberFormat="1" applyFont="1" applyFill="1" applyBorder="1"/>
    <xf numFmtId="169" fontId="25" fillId="4" borderId="22" xfId="4" applyNumberFormat="1" applyFont="1" applyFill="1" applyBorder="1"/>
    <xf numFmtId="165" fontId="25" fillId="2" borderId="11" xfId="4" applyNumberFormat="1" applyFont="1" applyFill="1" applyBorder="1"/>
    <xf numFmtId="165" fontId="25" fillId="2" borderId="10" xfId="4" applyNumberFormat="1" applyFont="1" applyFill="1" applyBorder="1"/>
    <xf numFmtId="169" fontId="25" fillId="4" borderId="44" xfId="4" applyNumberFormat="1" applyFont="1" applyFill="1" applyBorder="1"/>
    <xf numFmtId="169" fontId="25" fillId="4" borderId="0" xfId="4" applyNumberFormat="1" applyFont="1" applyFill="1" applyBorder="1"/>
    <xf numFmtId="169" fontId="25" fillId="2" borderId="45" xfId="4" applyNumberFormat="1" applyFont="1" applyFill="1" applyBorder="1"/>
    <xf numFmtId="165" fontId="35" fillId="2" borderId="28" xfId="4" applyNumberFormat="1" applyFont="1" applyFill="1" applyBorder="1"/>
    <xf numFmtId="165" fontId="35" fillId="2" borderId="1" xfId="4" applyNumberFormat="1" applyFont="1" applyFill="1" applyBorder="1"/>
    <xf numFmtId="165" fontId="35" fillId="2" borderId="29" xfId="4" applyNumberFormat="1" applyFont="1" applyFill="1" applyBorder="1"/>
    <xf numFmtId="165" fontId="35" fillId="2" borderId="46" xfId="4" applyNumberFormat="1" applyFont="1" applyFill="1" applyBorder="1"/>
    <xf numFmtId="165" fontId="35" fillId="2" borderId="0" xfId="4" applyNumberFormat="1" applyFont="1" applyFill="1" applyBorder="1"/>
    <xf numFmtId="165" fontId="51" fillId="2" borderId="45" xfId="4" applyNumberFormat="1" applyFont="1" applyFill="1" applyBorder="1" applyAlignment="1">
      <alignment horizontal="right"/>
    </xf>
    <xf numFmtId="165" fontId="51" fillId="2" borderId="45" xfId="4" applyNumberFormat="1" applyFont="1" applyFill="1" applyBorder="1" applyAlignment="1">
      <alignment horizontal="right" wrapText="1"/>
    </xf>
    <xf numFmtId="165" fontId="25" fillId="2" borderId="45" xfId="4" applyNumberFormat="1" applyFont="1" applyFill="1" applyBorder="1"/>
    <xf numFmtId="165" fontId="25" fillId="2" borderId="28" xfId="4" applyNumberFormat="1" applyFont="1" applyFill="1" applyBorder="1"/>
    <xf numFmtId="165" fontId="25" fillId="2" borderId="29" xfId="4" applyNumberFormat="1" applyFont="1" applyFill="1" applyBorder="1"/>
    <xf numFmtId="165" fontId="25" fillId="2" borderId="46" xfId="4" applyNumberFormat="1" applyFont="1" applyFill="1" applyBorder="1"/>
    <xf numFmtId="165" fontId="25" fillId="2" borderId="47" xfId="4" applyNumberFormat="1" applyFont="1" applyFill="1" applyBorder="1" applyAlignment="1">
      <alignment wrapText="1"/>
    </xf>
    <xf numFmtId="165" fontId="25" fillId="4" borderId="48" xfId="4" applyNumberFormat="1" applyFont="1" applyFill="1" applyBorder="1"/>
    <xf numFmtId="165" fontId="25" fillId="4" borderId="4" xfId="4" applyNumberFormat="1" applyFont="1" applyFill="1" applyBorder="1"/>
    <xf numFmtId="165" fontId="25" fillId="4" borderId="49" xfId="4" applyNumberFormat="1" applyFont="1" applyFill="1" applyBorder="1"/>
    <xf numFmtId="165" fontId="25" fillId="4" borderId="0" xfId="4" applyNumberFormat="1" applyFont="1" applyFill="1" applyBorder="1"/>
    <xf numFmtId="165" fontId="25" fillId="2" borderId="38" xfId="4" applyNumberFormat="1" applyFont="1" applyFill="1" applyBorder="1"/>
    <xf numFmtId="165" fontId="25" fillId="4" borderId="50" xfId="4" applyNumberFormat="1" applyFont="1" applyFill="1" applyBorder="1"/>
    <xf numFmtId="165" fontId="25" fillId="4" borderId="39" xfId="4" applyNumberFormat="1" applyFont="1" applyFill="1" applyBorder="1"/>
    <xf numFmtId="165" fontId="25" fillId="4" borderId="51" xfId="4" applyNumberFormat="1" applyFont="1" applyFill="1" applyBorder="1"/>
    <xf numFmtId="165" fontId="25" fillId="4" borderId="52" xfId="4" applyNumberFormat="1" applyFont="1" applyFill="1" applyBorder="1"/>
    <xf numFmtId="165" fontId="25" fillId="2" borderId="38" xfId="4" applyNumberFormat="1" applyFont="1" applyFill="1" applyBorder="1" applyAlignment="1">
      <alignment wrapText="1"/>
    </xf>
    <xf numFmtId="165" fontId="25" fillId="2" borderId="50" xfId="4" applyNumberFormat="1" applyFont="1" applyFill="1" applyBorder="1"/>
    <xf numFmtId="165" fontId="25" fillId="2" borderId="39" xfId="4" applyNumberFormat="1" applyFont="1" applyFill="1" applyBorder="1"/>
    <xf numFmtId="165" fontId="25" fillId="2" borderId="51" xfId="4" applyNumberFormat="1" applyFont="1" applyFill="1" applyBorder="1"/>
    <xf numFmtId="165" fontId="25" fillId="2" borderId="52" xfId="4" applyNumberFormat="1" applyFont="1" applyFill="1" applyBorder="1"/>
    <xf numFmtId="165" fontId="41" fillId="11" borderId="1" xfId="5" applyNumberFormat="1" applyFont="1" applyFill="1" applyBorder="1" applyAlignment="1" applyProtection="1">
      <alignment horizontal="left" vertical="center" wrapText="1"/>
    </xf>
    <xf numFmtId="0" fontId="44" fillId="11" borderId="10" xfId="2" applyNumberFormat="1" applyFont="1" applyFill="1" applyBorder="1" applyAlignment="1">
      <alignment horizontal="right" vertical="center" wrapText="1"/>
    </xf>
    <xf numFmtId="4" fontId="3" fillId="2" borderId="10" xfId="0" applyNumberFormat="1" applyFont="1" applyFill="1" applyBorder="1" applyAlignment="1">
      <alignment horizontal="justify" vertical="center" wrapText="1"/>
    </xf>
    <xf numFmtId="4" fontId="3" fillId="0" borderId="0" xfId="0" applyNumberFormat="1" applyFont="1" applyAlignment="1">
      <alignment wrapText="1"/>
    </xf>
    <xf numFmtId="4" fontId="3" fillId="0" borderId="1" xfId="0" applyNumberFormat="1" applyFont="1" applyFill="1" applyBorder="1" applyAlignment="1">
      <alignment horizontal="center" vertical="center" wrapText="1"/>
    </xf>
    <xf numFmtId="4" fontId="18" fillId="0" borderId="0" xfId="2" applyNumberFormat="1" applyFont="1"/>
    <xf numFmtId="205" fontId="18" fillId="0" borderId="0" xfId="2" applyNumberFormat="1" applyFont="1"/>
    <xf numFmtId="165" fontId="25" fillId="2" borderId="1" xfId="4" applyNumberFormat="1" applyFont="1" applyFill="1" applyBorder="1" applyAlignment="1">
      <alignment horizontal="center"/>
    </xf>
    <xf numFmtId="165" fontId="12" fillId="2" borderId="0" xfId="4" applyNumberFormat="1" applyFont="1" applyFill="1" applyBorder="1" applyAlignment="1">
      <alignment horizontal="center" vertical="center"/>
    </xf>
    <xf numFmtId="165" fontId="44" fillId="0" borderId="1" xfId="4" applyNumberFormat="1" applyFont="1" applyFill="1" applyBorder="1" applyAlignment="1">
      <alignment horizontal="center" vertical="center"/>
    </xf>
    <xf numFmtId="165" fontId="45" fillId="2" borderId="1" xfId="4" applyNumberFormat="1" applyFont="1" applyFill="1" applyBorder="1" applyAlignment="1">
      <alignment horizontal="center" vertical="center"/>
    </xf>
    <xf numFmtId="165" fontId="45" fillId="0" borderId="1" xfId="5" applyNumberFormat="1" applyFont="1" applyFill="1" applyBorder="1" applyAlignment="1" applyProtection="1">
      <alignment horizontal="center" vertical="center" wrapText="1"/>
    </xf>
    <xf numFmtId="165" fontId="45" fillId="0" borderId="1" xfId="4" applyNumberFormat="1" applyFont="1" applyFill="1" applyBorder="1" applyAlignment="1">
      <alignment horizontal="left" vertical="center" wrapText="1"/>
    </xf>
    <xf numFmtId="165" fontId="43" fillId="0" borderId="1" xfId="4" applyNumberFormat="1" applyFont="1" applyFill="1" applyBorder="1" applyAlignment="1">
      <alignment horizontal="center" vertical="center"/>
    </xf>
    <xf numFmtId="49" fontId="25" fillId="0" borderId="7" xfId="4" applyNumberFormat="1" applyFont="1" applyFill="1" applyBorder="1" applyAlignment="1">
      <alignment horizontal="center"/>
    </xf>
    <xf numFmtId="49" fontId="25" fillId="0" borderId="12" xfId="4" applyNumberFormat="1" applyFont="1" applyFill="1" applyBorder="1" applyAlignment="1">
      <alignment horizontal="center"/>
    </xf>
    <xf numFmtId="165" fontId="41" fillId="0" borderId="1" xfId="5" applyNumberFormat="1" applyFont="1" applyFill="1" applyBorder="1" applyAlignment="1" applyProtection="1">
      <alignment horizontal="center" vertical="center"/>
    </xf>
    <xf numFmtId="165" fontId="41" fillId="0" borderId="1" xfId="5" applyNumberFormat="1" applyFont="1" applyFill="1" applyBorder="1" applyAlignment="1" applyProtection="1">
      <alignment horizontal="left" vertical="center" wrapText="1"/>
    </xf>
    <xf numFmtId="165" fontId="41" fillId="0" borderId="1" xfId="6" applyNumberFormat="1" applyFont="1" applyFill="1" applyBorder="1" applyAlignment="1" applyProtection="1">
      <alignment horizontal="center" vertical="center" wrapText="1"/>
    </xf>
    <xf numFmtId="49" fontId="30" fillId="0" borderId="10" xfId="6" applyNumberFormat="1" applyFont="1" applyFill="1" applyBorder="1" applyAlignment="1" applyProtection="1">
      <alignment horizontal="center" vertical="center" wrapText="1"/>
    </xf>
    <xf numFmtId="166" fontId="22" fillId="4" borderId="24" xfId="6" applyNumberFormat="1" applyFont="1" applyFill="1" applyBorder="1" applyAlignment="1" applyProtection="1">
      <alignment horizontal="center" vertical="center" wrapText="1"/>
    </xf>
    <xf numFmtId="165" fontId="31" fillId="4" borderId="21" xfId="4" applyNumberFormat="1" applyFont="1" applyFill="1" applyBorder="1" applyAlignment="1">
      <alignment horizontal="center"/>
    </xf>
    <xf numFmtId="166" fontId="29" fillId="2" borderId="0" xfId="6" applyNumberFormat="1" applyFont="1" applyFill="1" applyBorder="1" applyAlignment="1" applyProtection="1">
      <alignment horizontal="center" vertical="center" wrapText="1"/>
    </xf>
    <xf numFmtId="3" fontId="18" fillId="0" borderId="0" xfId="2" applyNumberFormat="1" applyFont="1"/>
    <xf numFmtId="0" fontId="23" fillId="0" borderId="0" xfId="2" applyFont="1"/>
    <xf numFmtId="3" fontId="23" fillId="0" borderId="0" xfId="2" applyNumberFormat="1" applyFont="1"/>
    <xf numFmtId="0" fontId="18" fillId="0" borderId="10" xfId="2" applyFont="1" applyBorder="1" applyAlignment="1">
      <alignment horizontal="center" vertical="center"/>
    </xf>
    <xf numFmtId="0" fontId="18" fillId="0" borderId="11" xfId="2" applyFont="1" applyBorder="1" applyAlignment="1">
      <alignment horizontal="left" vertical="center" wrapText="1"/>
    </xf>
    <xf numFmtId="0" fontId="232" fillId="0" borderId="0" xfId="2" applyNumberFormat="1" applyFont="1" applyBorder="1" applyAlignment="1">
      <alignment horizontal="left"/>
    </xf>
    <xf numFmtId="0" fontId="232" fillId="0" borderId="0" xfId="2" applyNumberFormat="1" applyFont="1" applyBorder="1" applyAlignment="1">
      <alignment horizontal="right"/>
    </xf>
    <xf numFmtId="0" fontId="233" fillId="0" borderId="0" xfId="2" applyNumberFormat="1" applyFont="1" applyBorder="1" applyAlignment="1">
      <alignment horizontal="left"/>
    </xf>
    <xf numFmtId="0" fontId="235" fillId="0" borderId="0" xfId="2" applyNumberFormat="1" applyFont="1" applyBorder="1" applyAlignment="1">
      <alignment horizontal="left"/>
    </xf>
    <xf numFmtId="0" fontId="236" fillId="0" borderId="0" xfId="2" applyNumberFormat="1" applyFont="1" applyBorder="1" applyAlignment="1">
      <alignment horizontal="left"/>
    </xf>
    <xf numFmtId="49" fontId="236" fillId="0" borderId="0" xfId="2" applyNumberFormat="1" applyFont="1" applyBorder="1" applyAlignment="1">
      <alignment horizontal="left" wrapText="1"/>
    </xf>
    <xf numFmtId="49" fontId="235" fillId="0" borderId="0" xfId="2" applyNumberFormat="1" applyFont="1" applyBorder="1" applyAlignment="1">
      <alignment horizontal="left" wrapText="1"/>
    </xf>
    <xf numFmtId="0" fontId="232" fillId="0" borderId="0" xfId="2" applyNumberFormat="1" applyFont="1" applyBorder="1" applyAlignment="1">
      <alignment horizontal="center" vertical="center" wrapText="1"/>
    </xf>
    <xf numFmtId="0" fontId="232" fillId="0" borderId="0" xfId="2" applyNumberFormat="1" applyFont="1" applyBorder="1" applyAlignment="1">
      <alignment horizontal="center" vertical="top"/>
    </xf>
    <xf numFmtId="0" fontId="236" fillId="0" borderId="0" xfId="2" applyNumberFormat="1" applyFont="1" applyBorder="1" applyAlignment="1">
      <alignment horizontal="left" vertical="center"/>
    </xf>
    <xf numFmtId="0" fontId="232" fillId="0" borderId="0" xfId="2" applyNumberFormat="1" applyFont="1" applyBorder="1" applyAlignment="1">
      <alignment horizontal="left" vertical="center"/>
    </xf>
    <xf numFmtId="0" fontId="16" fillId="0" borderId="0" xfId="2" applyNumberFormat="1" applyFont="1" applyBorder="1" applyAlignment="1">
      <alignment horizontal="left"/>
    </xf>
    <xf numFmtId="0" fontId="237" fillId="0" borderId="0" xfId="2" applyNumberFormat="1" applyFont="1" applyBorder="1" applyAlignment="1">
      <alignment horizontal="left" vertical="center"/>
    </xf>
    <xf numFmtId="0" fontId="238" fillId="0" borderId="0" xfId="2" applyNumberFormat="1" applyFont="1" applyBorder="1" applyAlignment="1">
      <alignment horizontal="left"/>
    </xf>
    <xf numFmtId="0" fontId="237" fillId="0" borderId="0" xfId="2" applyNumberFormat="1" applyFont="1" applyBorder="1" applyAlignment="1">
      <alignment horizontal="left"/>
    </xf>
    <xf numFmtId="0" fontId="232" fillId="0" borderId="0" xfId="2" applyNumberFormat="1" applyFont="1" applyBorder="1" applyAlignment="1">
      <alignment horizontal="center" vertical="center"/>
    </xf>
    <xf numFmtId="3" fontId="16" fillId="0" borderId="0" xfId="2" applyNumberFormat="1" applyFont="1" applyBorder="1" applyAlignment="1">
      <alignment horizontal="left"/>
    </xf>
    <xf numFmtId="0" fontId="239" fillId="0" borderId="0" xfId="2" applyNumberFormat="1" applyFont="1" applyBorder="1" applyAlignment="1">
      <alignment horizontal="left"/>
    </xf>
    <xf numFmtId="0" fontId="239" fillId="0" borderId="0" xfId="2" applyNumberFormat="1" applyFont="1" applyBorder="1" applyAlignment="1">
      <alignment horizontal="right"/>
    </xf>
    <xf numFmtId="0" fontId="17" fillId="0" borderId="0" xfId="2" applyNumberFormat="1" applyFont="1" applyBorder="1" applyAlignment="1">
      <alignment horizontal="left"/>
    </xf>
    <xf numFmtId="49" fontId="16" fillId="0" borderId="0" xfId="2" applyNumberFormat="1" applyFont="1" applyBorder="1" applyAlignment="1">
      <alignment horizontal="left" wrapText="1"/>
    </xf>
    <xf numFmtId="0" fontId="240" fillId="0" borderId="0" xfId="2" applyNumberFormat="1" applyFont="1" applyBorder="1" applyAlignment="1">
      <alignment horizontal="center" vertical="center" wrapText="1"/>
    </xf>
    <xf numFmtId="0" fontId="240" fillId="0" borderId="0" xfId="2" applyNumberFormat="1" applyFont="1" applyBorder="1" applyAlignment="1">
      <alignment horizontal="center" vertical="top"/>
    </xf>
    <xf numFmtId="0" fontId="241" fillId="0" borderId="7" xfId="2" applyNumberFormat="1" applyFont="1" applyBorder="1" applyAlignment="1">
      <alignment horizontal="left" vertical="center"/>
    </xf>
    <xf numFmtId="0" fontId="241" fillId="0" borderId="0" xfId="2" applyNumberFormat="1" applyFont="1" applyBorder="1" applyAlignment="1">
      <alignment horizontal="left" vertical="center"/>
    </xf>
    <xf numFmtId="0" fontId="241" fillId="0" borderId="32" xfId="2" applyNumberFormat="1" applyFont="1" applyBorder="1" applyAlignment="1">
      <alignment horizontal="left" vertical="center"/>
    </xf>
    <xf numFmtId="0" fontId="241" fillId="0" borderId="12" xfId="2" applyNumberFormat="1" applyFont="1" applyBorder="1" applyAlignment="1">
      <alignment horizontal="left" vertical="center"/>
    </xf>
    <xf numFmtId="0" fontId="241" fillId="0" borderId="7" xfId="2" applyNumberFormat="1" applyFont="1" applyFill="1" applyBorder="1" applyAlignment="1">
      <alignment horizontal="left" vertical="center"/>
    </xf>
    <xf numFmtId="0" fontId="241" fillId="0" borderId="0" xfId="2" applyNumberFormat="1" applyFont="1" applyFill="1" applyBorder="1" applyAlignment="1">
      <alignment horizontal="left" vertical="center"/>
    </xf>
    <xf numFmtId="0" fontId="241" fillId="0" borderId="12" xfId="2" applyNumberFormat="1" applyFont="1" applyFill="1" applyBorder="1" applyAlignment="1">
      <alignment horizontal="left" vertical="center"/>
    </xf>
    <xf numFmtId="0" fontId="241" fillId="0" borderId="10" xfId="2" applyNumberFormat="1" applyFont="1" applyFill="1" applyBorder="1" applyAlignment="1">
      <alignment horizontal="left" vertical="center"/>
    </xf>
    <xf numFmtId="0" fontId="240" fillId="0" borderId="10" xfId="2" applyNumberFormat="1" applyFont="1" applyFill="1" applyBorder="1" applyAlignment="1">
      <alignment horizontal="left" vertical="center"/>
    </xf>
    <xf numFmtId="0" fontId="240" fillId="0" borderId="0" xfId="2" applyNumberFormat="1" applyFont="1" applyFill="1" applyBorder="1" applyAlignment="1">
      <alignment horizontal="left" vertical="center"/>
    </xf>
    <xf numFmtId="0" fontId="241" fillId="0" borderId="0" xfId="2" applyNumberFormat="1" applyFont="1" applyBorder="1" applyAlignment="1">
      <alignment horizontal="left"/>
    </xf>
    <xf numFmtId="0" fontId="242" fillId="0" borderId="0" xfId="2" applyNumberFormat="1" applyFont="1" applyBorder="1" applyAlignment="1">
      <alignment horizontal="left"/>
    </xf>
    <xf numFmtId="0" fontId="240" fillId="0" borderId="0" xfId="2" applyNumberFormat="1" applyFont="1" applyBorder="1" applyAlignment="1">
      <alignment horizontal="left"/>
    </xf>
    <xf numFmtId="0" fontId="243" fillId="0" borderId="0" xfId="2" applyNumberFormat="1" applyFont="1" applyBorder="1" applyAlignment="1">
      <alignment horizontal="left"/>
    </xf>
    <xf numFmtId="0" fontId="240" fillId="0" borderId="0" xfId="2" applyNumberFormat="1" applyFont="1" applyBorder="1" applyAlignment="1">
      <alignment horizontal="left" vertical="center"/>
    </xf>
    <xf numFmtId="0" fontId="240" fillId="0" borderId="0" xfId="2" applyNumberFormat="1" applyFont="1" applyBorder="1" applyAlignment="1">
      <alignment horizontal="center" vertical="center"/>
    </xf>
    <xf numFmtId="49" fontId="240" fillId="0" borderId="0" xfId="2" applyNumberFormat="1" applyFont="1" applyBorder="1" applyAlignment="1">
      <alignment horizontal="center" vertical="center"/>
    </xf>
    <xf numFmtId="49" fontId="246" fillId="15" borderId="1" xfId="4662" applyNumberFormat="1" applyFont="1" applyFill="1" applyBorder="1" applyAlignment="1">
      <alignment horizontal="center" vertical="center"/>
    </xf>
    <xf numFmtId="49" fontId="246" fillId="5" borderId="0" xfId="4662" applyNumberFormat="1" applyFont="1" applyFill="1" applyBorder="1" applyAlignment="1">
      <alignment horizontal="center" vertical="center"/>
    </xf>
    <xf numFmtId="0" fontId="247" fillId="0" borderId="0" xfId="4662" applyFont="1"/>
    <xf numFmtId="0" fontId="9" fillId="0" borderId="0" xfId="4662" applyFont="1"/>
    <xf numFmtId="0" fontId="247" fillId="0" borderId="0" xfId="4662" applyFont="1" applyAlignment="1">
      <alignment vertical="center"/>
    </xf>
    <xf numFmtId="4" fontId="247" fillId="0" borderId="0" xfId="4662" applyNumberFormat="1" applyFont="1" applyAlignment="1">
      <alignment vertical="center"/>
    </xf>
    <xf numFmtId="4" fontId="9" fillId="0" borderId="0" xfId="4662" applyNumberFormat="1" applyFont="1" applyAlignment="1">
      <alignment horizontal="left"/>
    </xf>
    <xf numFmtId="0" fontId="9" fillId="0" borderId="0" xfId="4662" applyFont="1" applyAlignment="1">
      <alignment horizontal="left"/>
    </xf>
    <xf numFmtId="43" fontId="9" fillId="0" borderId="0" xfId="4663" applyFont="1"/>
    <xf numFmtId="43" fontId="247" fillId="0" borderId="0" xfId="4663" applyFont="1"/>
    <xf numFmtId="43" fontId="9" fillId="0" borderId="0" xfId="4662" applyNumberFormat="1" applyFont="1"/>
    <xf numFmtId="2" fontId="9" fillId="0" borderId="0" xfId="4662" applyNumberFormat="1" applyFont="1"/>
    <xf numFmtId="0" fontId="245" fillId="77" borderId="1" xfId="4662" applyFont="1" applyFill="1" applyBorder="1" applyAlignment="1">
      <alignment vertical="center"/>
    </xf>
    <xf numFmtId="0" fontId="248" fillId="0" borderId="0" xfId="4662" applyFont="1"/>
    <xf numFmtId="4" fontId="245" fillId="0" borderId="4" xfId="4664" applyNumberFormat="1" applyFont="1" applyFill="1" applyBorder="1" applyAlignment="1">
      <alignment horizontal="center" vertical="center" wrapText="1"/>
    </xf>
    <xf numFmtId="0" fontId="250" fillId="6" borderId="0" xfId="4662" applyFont="1" applyFill="1"/>
    <xf numFmtId="0" fontId="250" fillId="0" borderId="0" xfId="4662" applyFont="1"/>
    <xf numFmtId="0" fontId="251" fillId="0" borderId="0" xfId="4662" applyFont="1"/>
    <xf numFmtId="4" fontId="245" fillId="77" borderId="1" xfId="4664" applyNumberFormat="1" applyFont="1" applyFill="1" applyBorder="1" applyAlignment="1">
      <alignment horizontal="center" vertical="center" wrapText="1"/>
    </xf>
    <xf numFmtId="4" fontId="245" fillId="5" borderId="1" xfId="4664" applyNumberFormat="1" applyFont="1" applyFill="1" applyBorder="1" applyAlignment="1">
      <alignment horizontal="center" vertical="center" wrapText="1"/>
    </xf>
    <xf numFmtId="4" fontId="245" fillId="0" borderId="1" xfId="4664" applyNumberFormat="1" applyFont="1" applyFill="1" applyBorder="1" applyAlignment="1">
      <alignment horizontal="center" vertical="center" wrapText="1"/>
    </xf>
    <xf numFmtId="4" fontId="252" fillId="5" borderId="1" xfId="4664" applyNumberFormat="1" applyFont="1" applyFill="1" applyBorder="1" applyAlignment="1">
      <alignment horizontal="center" vertical="center" wrapText="1"/>
    </xf>
    <xf numFmtId="4" fontId="252" fillId="5" borderId="4" xfId="4664" applyNumberFormat="1" applyFont="1" applyFill="1" applyBorder="1" applyAlignment="1">
      <alignment horizontal="center" vertical="center" wrapText="1"/>
    </xf>
    <xf numFmtId="4" fontId="245" fillId="5" borderId="3" xfId="4664" applyNumberFormat="1" applyFont="1" applyFill="1" applyBorder="1" applyAlignment="1">
      <alignment horizontal="center" vertical="center" wrapText="1"/>
    </xf>
    <xf numFmtId="4" fontId="249" fillId="9" borderId="3" xfId="4664" applyNumberFormat="1" applyFont="1" applyFill="1" applyBorder="1" applyAlignment="1">
      <alignment horizontal="center" vertical="center" wrapText="1"/>
    </xf>
    <xf numFmtId="4" fontId="245" fillId="0" borderId="3" xfId="4664" applyNumberFormat="1" applyFont="1" applyFill="1" applyBorder="1" applyAlignment="1">
      <alignment horizontal="center" vertical="center" wrapText="1"/>
    </xf>
    <xf numFmtId="4" fontId="253" fillId="79" borderId="1" xfId="4664" applyNumberFormat="1" applyFont="1" applyFill="1" applyBorder="1" applyAlignment="1">
      <alignment horizontal="center" vertical="center" wrapText="1"/>
    </xf>
    <xf numFmtId="4" fontId="249" fillId="8" borderId="3" xfId="4664" applyNumberFormat="1" applyFont="1" applyFill="1" applyBorder="1" applyAlignment="1">
      <alignment horizontal="center" vertical="center" wrapText="1"/>
    </xf>
    <xf numFmtId="49" fontId="245" fillId="80" borderId="3" xfId="4662" applyNumberFormat="1" applyFont="1" applyFill="1" applyBorder="1" applyAlignment="1">
      <alignment horizontal="center" vertical="center" wrapText="1"/>
    </xf>
    <xf numFmtId="0" fontId="245" fillId="80" borderId="3" xfId="4662" applyNumberFormat="1" applyFont="1" applyFill="1" applyBorder="1" applyAlignment="1">
      <alignment horizontal="center" vertical="center" wrapText="1"/>
    </xf>
    <xf numFmtId="0" fontId="245" fillId="80" borderId="1" xfId="4664" applyFont="1" applyFill="1" applyBorder="1" applyAlignment="1">
      <alignment horizontal="center" vertical="center" wrapText="1"/>
    </xf>
    <xf numFmtId="3" fontId="245" fillId="80" borderId="1" xfId="4664" applyNumberFormat="1" applyFont="1" applyFill="1" applyBorder="1" applyAlignment="1">
      <alignment horizontal="center" vertical="center" wrapText="1"/>
    </xf>
    <xf numFmtId="3" fontId="245" fillId="2" borderId="1" xfId="4664" applyNumberFormat="1" applyFont="1" applyFill="1" applyBorder="1" applyAlignment="1">
      <alignment horizontal="center" vertical="center" wrapText="1"/>
    </xf>
    <xf numFmtId="3" fontId="245" fillId="79" borderId="1" xfId="4664" applyNumberFormat="1" applyFont="1" applyFill="1" applyBorder="1" applyAlignment="1">
      <alignment horizontal="center" vertical="center" wrapText="1"/>
    </xf>
    <xf numFmtId="3" fontId="245" fillId="78" borderId="1" xfId="4664" applyNumberFormat="1" applyFont="1" applyFill="1" applyBorder="1" applyAlignment="1">
      <alignment horizontal="center" vertical="center" wrapText="1"/>
    </xf>
    <xf numFmtId="3" fontId="245" fillId="0" borderId="1" xfId="4664" applyNumberFormat="1" applyFont="1" applyFill="1" applyBorder="1" applyAlignment="1">
      <alignment horizontal="center" vertical="center" wrapText="1"/>
    </xf>
    <xf numFmtId="3" fontId="245" fillId="11" borderId="1" xfId="4664" applyNumberFormat="1" applyFont="1" applyFill="1" applyBorder="1" applyAlignment="1">
      <alignment horizontal="center" vertical="center" wrapText="1"/>
    </xf>
    <xf numFmtId="0" fontId="248" fillId="2" borderId="0" xfId="4662" applyFont="1" applyFill="1"/>
    <xf numFmtId="3" fontId="245" fillId="0" borderId="3" xfId="4664" applyNumberFormat="1" applyFont="1" applyFill="1" applyBorder="1" applyAlignment="1">
      <alignment horizontal="center" vertical="center" wrapText="1"/>
    </xf>
    <xf numFmtId="0" fontId="250" fillId="2" borderId="3" xfId="4662" applyNumberFormat="1" applyFont="1" applyFill="1" applyBorder="1" applyAlignment="1">
      <alignment horizontal="center" vertical="center" wrapText="1"/>
    </xf>
    <xf numFmtId="0" fontId="250" fillId="2" borderId="1" xfId="4662" applyFont="1" applyFill="1" applyBorder="1"/>
    <xf numFmtId="4" fontId="253" fillId="6" borderId="1" xfId="4664" applyNumberFormat="1" applyFont="1" applyFill="1" applyBorder="1" applyAlignment="1">
      <alignment horizontal="center" vertical="center" wrapText="1"/>
    </xf>
    <xf numFmtId="0" fontId="250" fillId="2" borderId="0" xfId="4662" applyFont="1" applyFill="1"/>
    <xf numFmtId="0" fontId="251" fillId="2" borderId="0" xfId="4662" applyFont="1" applyFill="1"/>
    <xf numFmtId="49" fontId="254" fillId="10" borderId="1" xfId="4662" applyNumberFormat="1" applyFont="1" applyFill="1" applyBorder="1" applyAlignment="1">
      <alignment horizontal="left" vertical="center"/>
    </xf>
    <xf numFmtId="0" fontId="254" fillId="10" borderId="1" xfId="4662" applyNumberFormat="1" applyFont="1" applyFill="1" applyBorder="1" applyAlignment="1">
      <alignment horizontal="left" vertical="center" wrapText="1"/>
    </xf>
    <xf numFmtId="4" fontId="254" fillId="10" borderId="1" xfId="4665" applyNumberFormat="1" applyFont="1" applyFill="1" applyBorder="1" applyAlignment="1">
      <alignment vertical="center"/>
    </xf>
    <xf numFmtId="0" fontId="9" fillId="10" borderId="1" xfId="4662" applyFont="1" applyFill="1" applyBorder="1" applyAlignment="1">
      <alignment horizontal="left"/>
    </xf>
    <xf numFmtId="4" fontId="9" fillId="0" borderId="1" xfId="4662" applyNumberFormat="1" applyFont="1" applyBorder="1"/>
    <xf numFmtId="0" fontId="9" fillId="0" borderId="1" xfId="4662" applyFont="1" applyBorder="1"/>
    <xf numFmtId="4" fontId="22" fillId="10" borderId="1" xfId="4665" applyNumberFormat="1" applyFont="1" applyFill="1" applyBorder="1" applyAlignment="1">
      <alignment vertical="center"/>
    </xf>
    <xf numFmtId="4" fontId="245" fillId="10" borderId="1" xfId="4665" applyNumberFormat="1" applyFont="1" applyFill="1" applyBorder="1" applyAlignment="1">
      <alignment horizontal="center" vertical="center"/>
    </xf>
    <xf numFmtId="4" fontId="255" fillId="10" borderId="7" xfId="4665" applyNumberFormat="1" applyFont="1" applyFill="1" applyBorder="1" applyAlignment="1">
      <alignment vertical="center" wrapText="1"/>
    </xf>
    <xf numFmtId="4" fontId="255" fillId="10" borderId="7" xfId="4665" applyNumberFormat="1" applyFont="1" applyFill="1" applyBorder="1" applyAlignment="1">
      <alignment horizontal="center" vertical="center" wrapText="1"/>
    </xf>
    <xf numFmtId="4" fontId="255" fillId="10" borderId="1" xfId="4665" applyNumberFormat="1" applyFont="1" applyFill="1" applyBorder="1" applyAlignment="1">
      <alignment horizontal="center" vertical="center" wrapText="1"/>
    </xf>
    <xf numFmtId="0" fontId="250" fillId="0" borderId="4" xfId="4662" applyFont="1" applyBorder="1" applyAlignment="1">
      <alignment vertical="center"/>
    </xf>
    <xf numFmtId="0" fontId="259" fillId="0" borderId="0" xfId="4662" applyFont="1"/>
    <xf numFmtId="4" fontId="260" fillId="81" borderId="0" xfId="4666" applyNumberFormat="1" applyFont="1" applyFill="1" applyBorder="1" applyAlignment="1">
      <alignment horizontal="right" vertical="top" wrapText="1"/>
    </xf>
    <xf numFmtId="4" fontId="254" fillId="10" borderId="7" xfId="4665" applyNumberFormat="1" applyFont="1" applyFill="1" applyBorder="1" applyAlignment="1">
      <alignment horizontal="right" vertical="center"/>
    </xf>
    <xf numFmtId="49" fontId="247" fillId="0" borderId="1" xfId="4662" applyNumberFormat="1" applyFont="1" applyFill="1" applyBorder="1" applyAlignment="1">
      <alignment horizontal="left" vertical="center"/>
    </xf>
    <xf numFmtId="0" fontId="247" fillId="0" borderId="1" xfId="4662" applyNumberFormat="1" applyFont="1" applyFill="1" applyBorder="1" applyAlignment="1">
      <alignment horizontal="left" vertical="center" wrapText="1"/>
    </xf>
    <xf numFmtId="4" fontId="255" fillId="0" borderId="1" xfId="4662" applyNumberFormat="1" applyFont="1" applyFill="1" applyBorder="1" applyAlignment="1">
      <alignment vertical="center"/>
    </xf>
    <xf numFmtId="4" fontId="255" fillId="0" borderId="1" xfId="4667" applyNumberFormat="1" applyFont="1" applyFill="1" applyBorder="1" applyAlignment="1">
      <alignment vertical="center"/>
    </xf>
    <xf numFmtId="4" fontId="255" fillId="78" borderId="1" xfId="4662" applyNumberFormat="1" applyFont="1" applyFill="1" applyBorder="1" applyAlignment="1">
      <alignment vertical="center"/>
    </xf>
    <xf numFmtId="4" fontId="255" fillId="2" borderId="1" xfId="4662" applyNumberFormat="1" applyFont="1" applyFill="1" applyBorder="1" applyAlignment="1">
      <alignment vertical="center"/>
    </xf>
    <xf numFmtId="4" fontId="9" fillId="0" borderId="1" xfId="4662" applyNumberFormat="1" applyFont="1" applyFill="1" applyBorder="1" applyAlignment="1">
      <alignment horizontal="left" vertical="center" wrapText="1"/>
    </xf>
    <xf numFmtId="4" fontId="9" fillId="0" borderId="1" xfId="4662" applyNumberFormat="1" applyFont="1" applyFill="1" applyBorder="1"/>
    <xf numFmtId="0" fontId="9" fillId="0" borderId="1" xfId="4662" applyFont="1" applyFill="1" applyBorder="1"/>
    <xf numFmtId="4" fontId="35" fillId="0" borderId="1" xfId="4662" applyNumberFormat="1" applyFont="1" applyFill="1" applyBorder="1" applyAlignment="1">
      <alignment vertical="center"/>
    </xf>
    <xf numFmtId="0" fontId="247" fillId="0" borderId="1" xfId="4662" applyFont="1" applyFill="1" applyBorder="1" applyAlignment="1">
      <alignment horizontal="justify" vertical="center"/>
    </xf>
    <xf numFmtId="43" fontId="247" fillId="0" borderId="1" xfId="4663" applyFont="1" applyFill="1" applyBorder="1" applyAlignment="1">
      <alignment horizontal="justify" vertical="center"/>
    </xf>
    <xf numFmtId="4" fontId="247" fillId="0" borderId="1" xfId="4662" applyNumberFormat="1" applyFont="1" applyFill="1" applyBorder="1" applyAlignment="1">
      <alignment horizontal="center" vertical="center"/>
    </xf>
    <xf numFmtId="43" fontId="247" fillId="0" borderId="1" xfId="4663" applyFont="1" applyFill="1" applyBorder="1" applyAlignment="1">
      <alignment vertical="center"/>
    </xf>
    <xf numFmtId="0" fontId="9" fillId="0" borderId="0" xfId="4662" applyFont="1" applyFill="1"/>
    <xf numFmtId="0" fontId="259" fillId="0" borderId="0" xfId="4662" applyFont="1" applyFill="1"/>
    <xf numFmtId="0" fontId="247" fillId="0" borderId="0" xfId="4662" applyFont="1" applyFill="1"/>
    <xf numFmtId="49" fontId="247" fillId="2" borderId="1" xfId="4662" applyNumberFormat="1" applyFont="1" applyFill="1" applyBorder="1" applyAlignment="1">
      <alignment horizontal="left" vertical="center"/>
    </xf>
    <xf numFmtId="0" fontId="247" fillId="2" borderId="1" xfId="4662" applyNumberFormat="1" applyFont="1" applyFill="1" applyBorder="1" applyAlignment="1">
      <alignment horizontal="left" vertical="center" wrapText="1"/>
    </xf>
    <xf numFmtId="4" fontId="255" fillId="2" borderId="1" xfId="4664" applyNumberFormat="1" applyFont="1" applyFill="1" applyBorder="1" applyAlignment="1">
      <alignment vertical="center"/>
    </xf>
    <xf numFmtId="4" fontId="255" fillId="2" borderId="1" xfId="4667" applyNumberFormat="1" applyFont="1" applyFill="1" applyBorder="1" applyAlignment="1">
      <alignment vertical="center"/>
    </xf>
    <xf numFmtId="4" fontId="247" fillId="0" borderId="0" xfId="4662" applyNumberFormat="1" applyFont="1" applyFill="1" applyBorder="1"/>
    <xf numFmtId="4" fontId="9" fillId="2" borderId="1" xfId="4662" applyNumberFormat="1" applyFont="1" applyFill="1" applyBorder="1" applyAlignment="1">
      <alignment horizontal="left" vertical="center" wrapText="1"/>
    </xf>
    <xf numFmtId="0" fontId="17" fillId="2" borderId="1" xfId="4662" applyFont="1" applyFill="1" applyBorder="1" applyAlignment="1">
      <alignment horizontal="left" vertical="top" wrapText="1"/>
    </xf>
    <xf numFmtId="4" fontId="35" fillId="2" borderId="1" xfId="4662" applyNumberFormat="1" applyFont="1" applyFill="1" applyBorder="1" applyAlignment="1">
      <alignment vertical="center"/>
    </xf>
    <xf numFmtId="0" fontId="247" fillId="0" borderId="1" xfId="4662" applyFont="1" applyBorder="1" applyAlignment="1">
      <alignment horizontal="justify" vertical="center"/>
    </xf>
    <xf numFmtId="43" fontId="247" fillId="0" borderId="1" xfId="4663" applyFont="1" applyBorder="1" applyAlignment="1">
      <alignment vertical="center"/>
    </xf>
    <xf numFmtId="43" fontId="261" fillId="0" borderId="1" xfId="4663" applyFont="1" applyBorder="1" applyAlignment="1">
      <alignment horizontal="justify" vertical="center"/>
    </xf>
    <xf numFmtId="49" fontId="246" fillId="0" borderId="1" xfId="4662" applyNumberFormat="1" applyFont="1" applyFill="1" applyBorder="1" applyAlignment="1">
      <alignment horizontal="left" vertical="center"/>
    </xf>
    <xf numFmtId="0" fontId="246" fillId="0" borderId="1" xfId="4662" applyNumberFormat="1" applyFont="1" applyFill="1" applyBorder="1" applyAlignment="1">
      <alignment horizontal="left" vertical="center" wrapText="1"/>
    </xf>
    <xf numFmtId="4" fontId="254" fillId="2" borderId="1" xfId="4665" applyNumberFormat="1" applyFont="1" applyFill="1" applyBorder="1" applyAlignment="1">
      <alignment vertical="center"/>
    </xf>
    <xf numFmtId="4" fontId="254" fillId="0" borderId="1" xfId="4665" applyNumberFormat="1" applyFont="1" applyFill="1" applyBorder="1" applyAlignment="1">
      <alignment vertical="center"/>
    </xf>
    <xf numFmtId="4" fontId="254" fillId="78" borderId="1" xfId="4665" applyNumberFormat="1" applyFont="1" applyFill="1" applyBorder="1" applyAlignment="1">
      <alignment vertical="center"/>
    </xf>
    <xf numFmtId="0" fontId="246" fillId="0" borderId="0" xfId="4662" applyFont="1" applyFill="1"/>
    <xf numFmtId="4" fontId="254" fillId="0" borderId="1" xfId="4665" applyNumberFormat="1" applyFont="1" applyFill="1" applyBorder="1" applyAlignment="1">
      <alignment horizontal="right" vertical="center"/>
    </xf>
    <xf numFmtId="4" fontId="262" fillId="2" borderId="1" xfId="4662" applyNumberFormat="1" applyFont="1" applyFill="1" applyBorder="1" applyAlignment="1">
      <alignment horizontal="left" vertical="center" wrapText="1"/>
    </xf>
    <xf numFmtId="4" fontId="262" fillId="0" borderId="1" xfId="4662" applyNumberFormat="1" applyFont="1" applyBorder="1"/>
    <xf numFmtId="0" fontId="262" fillId="0" borderId="1" xfId="4662" applyFont="1" applyFill="1" applyBorder="1"/>
    <xf numFmtId="4" fontId="30" fillId="2" borderId="1" xfId="4665" applyNumberFormat="1" applyFont="1" applyFill="1" applyBorder="1" applyAlignment="1">
      <alignment vertical="center"/>
    </xf>
    <xf numFmtId="4" fontId="247" fillId="0" borderId="1" xfId="4662" applyNumberFormat="1" applyFont="1" applyBorder="1" applyAlignment="1">
      <alignment horizontal="center" vertical="center"/>
    </xf>
    <xf numFmtId="0" fontId="262" fillId="0" borderId="0" xfId="4662" applyFont="1" applyFill="1"/>
    <xf numFmtId="0" fontId="263" fillId="0" borderId="0" xfId="4662" applyFont="1" applyFill="1"/>
    <xf numFmtId="4" fontId="255" fillId="2" borderId="4" xfId="4662" applyNumberFormat="1" applyFont="1" applyFill="1" applyBorder="1" applyAlignment="1">
      <alignment vertical="center"/>
    </xf>
    <xf numFmtId="4" fontId="255" fillId="2" borderId="4" xfId="4662" applyNumberFormat="1" applyFont="1" applyFill="1" applyBorder="1" applyAlignment="1">
      <alignment horizontal="right" vertical="center"/>
    </xf>
    <xf numFmtId="4" fontId="255" fillId="2" borderId="4" xfId="4667" applyNumberFormat="1" applyFont="1" applyFill="1" applyBorder="1" applyAlignment="1">
      <alignment horizontal="right" vertical="center"/>
    </xf>
    <xf numFmtId="4" fontId="255" fillId="0" borderId="4" xfId="4662" applyNumberFormat="1" applyFont="1" applyFill="1" applyBorder="1" applyAlignment="1">
      <alignment vertical="center"/>
    </xf>
    <xf numFmtId="4" fontId="255" fillId="78" borderId="4" xfId="4662" applyNumberFormat="1" applyFont="1" applyFill="1" applyBorder="1" applyAlignment="1">
      <alignment vertical="center"/>
    </xf>
    <xf numFmtId="4" fontId="255" fillId="0" borderId="4" xfId="4662" applyNumberFormat="1" applyFont="1" applyFill="1" applyBorder="1" applyAlignment="1">
      <alignment horizontal="right" vertical="center"/>
    </xf>
    <xf numFmtId="4" fontId="35" fillId="2" borderId="4" xfId="4662" applyNumberFormat="1" applyFont="1" applyFill="1" applyBorder="1" applyAlignment="1">
      <alignment horizontal="right" vertical="center"/>
    </xf>
    <xf numFmtId="4" fontId="247" fillId="0" borderId="0" xfId="4662" applyNumberFormat="1" applyFont="1"/>
    <xf numFmtId="4" fontId="247" fillId="10" borderId="0" xfId="4662" applyNumberFormat="1" applyFont="1" applyFill="1" applyAlignment="1">
      <alignment vertical="center"/>
    </xf>
    <xf numFmtId="4" fontId="9" fillId="0" borderId="0" xfId="4662" applyNumberFormat="1" applyFont="1" applyFill="1"/>
    <xf numFmtId="4" fontId="259" fillId="0" borderId="0" xfId="4662" applyNumberFormat="1" applyFont="1"/>
    <xf numFmtId="4" fontId="255" fillId="8" borderId="1" xfId="4662" applyNumberFormat="1" applyFont="1" applyFill="1" applyBorder="1" applyAlignment="1">
      <alignment vertical="center"/>
    </xf>
    <xf numFmtId="0" fontId="247" fillId="0" borderId="0" xfId="4662" applyFont="1" applyFill="1" applyAlignment="1">
      <alignment vertical="center"/>
    </xf>
    <xf numFmtId="4" fontId="259" fillId="0" borderId="0" xfId="4662" applyNumberFormat="1" applyFont="1" applyFill="1"/>
    <xf numFmtId="4" fontId="247" fillId="2" borderId="1" xfId="4662" applyNumberFormat="1" applyFont="1" applyFill="1" applyBorder="1" applyAlignment="1">
      <alignment vertical="center"/>
    </xf>
    <xf numFmtId="4" fontId="247" fillId="2" borderId="1" xfId="4668" applyNumberFormat="1" applyFont="1" applyFill="1" applyBorder="1" applyAlignment="1">
      <alignment vertical="center"/>
    </xf>
    <xf numFmtId="4" fontId="247" fillId="0" borderId="1" xfId="4662" applyNumberFormat="1" applyFont="1" applyFill="1" applyBorder="1" applyAlignment="1">
      <alignment vertical="center"/>
    </xf>
    <xf numFmtId="4" fontId="25" fillId="2" borderId="1" xfId="4662" applyNumberFormat="1" applyFont="1" applyFill="1" applyBorder="1" applyAlignment="1">
      <alignment vertical="center"/>
    </xf>
    <xf numFmtId="4" fontId="254" fillId="10" borderId="1" xfId="4662" applyNumberFormat="1" applyFont="1" applyFill="1" applyBorder="1" applyAlignment="1">
      <alignment vertical="center" wrapText="1"/>
    </xf>
    <xf numFmtId="0" fontId="247" fillId="10" borderId="0" xfId="4662" applyFont="1" applyFill="1" applyAlignment="1">
      <alignment vertical="center"/>
    </xf>
    <xf numFmtId="4" fontId="22" fillId="10" borderId="1" xfId="4662" applyNumberFormat="1" applyFont="1" applyFill="1" applyBorder="1" applyAlignment="1">
      <alignment vertical="center" wrapText="1"/>
    </xf>
    <xf numFmtId="49" fontId="264" fillId="0" borderId="6" xfId="4662" applyNumberFormat="1" applyFont="1" applyFill="1" applyBorder="1" applyAlignment="1">
      <alignment horizontal="left" vertical="center"/>
    </xf>
    <xf numFmtId="0" fontId="247" fillId="0" borderId="1" xfId="4662" applyFont="1" applyFill="1" applyBorder="1" applyAlignment="1">
      <alignment horizontal="left"/>
    </xf>
    <xf numFmtId="4" fontId="255" fillId="0" borderId="1" xfId="4665" applyNumberFormat="1" applyFont="1" applyFill="1" applyBorder="1" applyAlignment="1">
      <alignment vertical="center"/>
    </xf>
    <xf numFmtId="4" fontId="247" fillId="78" borderId="1" xfId="4662" applyNumberFormat="1" applyFont="1" applyFill="1" applyBorder="1" applyAlignment="1">
      <alignment vertical="center"/>
    </xf>
    <xf numFmtId="0" fontId="9" fillId="0" borderId="1" xfId="4662" applyFont="1" applyFill="1" applyBorder="1" applyAlignment="1">
      <alignment horizontal="left"/>
    </xf>
    <xf numFmtId="4" fontId="9" fillId="2" borderId="1" xfId="4662" applyNumberFormat="1" applyFont="1" applyFill="1" applyBorder="1" applyAlignment="1">
      <alignment vertical="center"/>
    </xf>
    <xf numFmtId="4" fontId="254" fillId="10" borderId="1" xfId="4662" applyNumberFormat="1" applyFont="1" applyFill="1" applyBorder="1" applyAlignment="1">
      <alignment horizontal="right" vertical="center" wrapText="1"/>
    </xf>
    <xf numFmtId="4" fontId="255" fillId="0" borderId="1" xfId="4664" applyNumberFormat="1" applyFont="1" applyFill="1" applyBorder="1" applyAlignment="1">
      <alignment vertical="center"/>
    </xf>
    <xf numFmtId="4" fontId="255" fillId="0" borderId="1" xfId="4662" applyNumberFormat="1" applyFont="1" applyFill="1" applyBorder="1" applyAlignment="1">
      <alignment horizontal="right" vertical="center"/>
    </xf>
    <xf numFmtId="4" fontId="9" fillId="0" borderId="1" xfId="4662" applyNumberFormat="1" applyFont="1" applyFill="1" applyBorder="1" applyAlignment="1">
      <alignment vertical="center"/>
    </xf>
    <xf numFmtId="4" fontId="247" fillId="0" borderId="1" xfId="4668" applyNumberFormat="1" applyFont="1" applyFill="1" applyBorder="1" applyAlignment="1">
      <alignment vertical="center"/>
    </xf>
    <xf numFmtId="4" fontId="254" fillId="8" borderId="1" xfId="4662" applyNumberFormat="1" applyFont="1" applyFill="1" applyBorder="1" applyAlignment="1">
      <alignment vertical="center" wrapText="1"/>
    </xf>
    <xf numFmtId="0" fontId="255" fillId="0" borderId="0" xfId="4662" applyFont="1" applyFill="1" applyAlignment="1">
      <alignment vertical="center"/>
    </xf>
    <xf numFmtId="4" fontId="255" fillId="2" borderId="1" xfId="4668" applyNumberFormat="1" applyFont="1" applyFill="1" applyBorder="1" applyAlignment="1">
      <alignment vertical="center"/>
    </xf>
    <xf numFmtId="4" fontId="247" fillId="0" borderId="0" xfId="4662" applyNumberFormat="1" applyFont="1" applyFill="1"/>
    <xf numFmtId="49" fontId="255" fillId="2" borderId="1" xfId="4662" applyNumberFormat="1" applyFont="1" applyFill="1" applyBorder="1" applyAlignment="1">
      <alignment horizontal="left" vertical="center"/>
    </xf>
    <xf numFmtId="0" fontId="255" fillId="0" borderId="1" xfId="4662" applyNumberFormat="1" applyFont="1" applyFill="1" applyBorder="1" applyAlignment="1">
      <alignment horizontal="left" vertical="center" wrapText="1"/>
    </xf>
    <xf numFmtId="0" fontId="255" fillId="0" borderId="0" xfId="4662" applyFont="1" applyFill="1"/>
    <xf numFmtId="0" fontId="17" fillId="0" borderId="1" xfId="4662" applyFont="1" applyFill="1" applyBorder="1"/>
    <xf numFmtId="0" fontId="17" fillId="0" borderId="0" xfId="4662" applyFont="1" applyFill="1"/>
    <xf numFmtId="0" fontId="265" fillId="0" borderId="0" xfId="4662" applyFont="1" applyFill="1"/>
    <xf numFmtId="4" fontId="255" fillId="0" borderId="1" xfId="4668" applyNumberFormat="1" applyFont="1" applyFill="1" applyBorder="1" applyAlignment="1">
      <alignment vertical="center"/>
    </xf>
    <xf numFmtId="0" fontId="17" fillId="0" borderId="1" xfId="4662" applyFont="1" applyFill="1" applyBorder="1" applyAlignment="1">
      <alignment horizontal="left" vertical="top" wrapText="1"/>
    </xf>
    <xf numFmtId="0" fontId="255" fillId="0" borderId="1" xfId="4662" applyNumberFormat="1" applyFont="1" applyFill="1" applyBorder="1" applyAlignment="1">
      <alignment horizontal="left" vertical="top" wrapText="1"/>
    </xf>
    <xf numFmtId="49" fontId="266" fillId="8" borderId="1" xfId="4662" applyNumberFormat="1" applyFont="1" applyFill="1" applyBorder="1" applyAlignment="1">
      <alignment horizontal="left" vertical="center"/>
    </xf>
    <xf numFmtId="0" fontId="266" fillId="8" borderId="1" xfId="4662" applyNumberFormat="1" applyFont="1" applyFill="1" applyBorder="1" applyAlignment="1">
      <alignment horizontal="left" vertical="center" wrapText="1"/>
    </xf>
    <xf numFmtId="4" fontId="255" fillId="12" borderId="1" xfId="4662" applyNumberFormat="1" applyFont="1" applyFill="1" applyBorder="1" applyAlignment="1">
      <alignment vertical="center"/>
    </xf>
    <xf numFmtId="0" fontId="255" fillId="2" borderId="1" xfId="4662" applyNumberFormat="1" applyFont="1" applyFill="1" applyBorder="1" applyAlignment="1">
      <alignment horizontal="left" vertical="center" wrapText="1"/>
    </xf>
    <xf numFmtId="0" fontId="255" fillId="2" borderId="0" xfId="4662" applyFont="1" applyFill="1"/>
    <xf numFmtId="4" fontId="17" fillId="2" borderId="1" xfId="4662" applyNumberFormat="1" applyFont="1" applyFill="1" applyBorder="1" applyAlignment="1">
      <alignment horizontal="left" vertical="center" wrapText="1"/>
    </xf>
    <xf numFmtId="0" fontId="17" fillId="2" borderId="1" xfId="4662" applyFont="1" applyFill="1" applyBorder="1"/>
    <xf numFmtId="0" fontId="17" fillId="2" borderId="0" xfId="4662" applyFont="1" applyFill="1"/>
    <xf numFmtId="0" fontId="265" fillId="2" borderId="0" xfId="4662" applyFont="1" applyFill="1"/>
    <xf numFmtId="0" fontId="255" fillId="2" borderId="0" xfId="4662" applyFont="1" applyFill="1" applyAlignment="1">
      <alignment vertical="center"/>
    </xf>
    <xf numFmtId="4" fontId="9" fillId="10" borderId="1" xfId="4662" applyNumberFormat="1" applyFont="1" applyFill="1" applyBorder="1" applyAlignment="1">
      <alignment horizontal="left" vertical="center" wrapText="1"/>
    </xf>
    <xf numFmtId="4" fontId="255" fillId="2" borderId="4" xfId="4667" applyNumberFormat="1" applyFont="1" applyFill="1" applyBorder="1" applyAlignment="1">
      <alignment vertical="center"/>
    </xf>
    <xf numFmtId="4" fontId="255" fillId="2" borderId="2" xfId="4667" applyNumberFormat="1" applyFont="1" applyFill="1" applyBorder="1" applyAlignment="1">
      <alignment vertical="center"/>
    </xf>
    <xf numFmtId="4" fontId="255" fillId="2" borderId="3" xfId="4667" applyNumberFormat="1" applyFont="1" applyFill="1" applyBorder="1" applyAlignment="1">
      <alignment vertical="center"/>
    </xf>
    <xf numFmtId="0" fontId="247" fillId="2" borderId="0" xfId="4662" applyFont="1" applyFill="1"/>
    <xf numFmtId="0" fontId="9" fillId="2" borderId="1" xfId="4662" applyFont="1" applyFill="1" applyBorder="1"/>
    <xf numFmtId="0" fontId="9" fillId="2" borderId="0" xfId="4662" applyFont="1" applyFill="1"/>
    <xf numFmtId="0" fontId="259" fillId="2" borderId="0" xfId="4662" applyFont="1" applyFill="1"/>
    <xf numFmtId="0" fontId="247" fillId="2" borderId="0" xfId="4662" applyFont="1" applyFill="1" applyAlignment="1">
      <alignment vertical="center"/>
    </xf>
    <xf numFmtId="4" fontId="247" fillId="2" borderId="4" xfId="4668" applyNumberFormat="1" applyFont="1" applyFill="1" applyBorder="1" applyAlignment="1">
      <alignment vertical="center"/>
    </xf>
    <xf numFmtId="4" fontId="247" fillId="2" borderId="3" xfId="4668" applyNumberFormat="1" applyFont="1" applyFill="1" applyBorder="1" applyAlignment="1">
      <alignment vertical="center"/>
    </xf>
    <xf numFmtId="4" fontId="9" fillId="0" borderId="0" xfId="4662" applyNumberFormat="1" applyFont="1"/>
    <xf numFmtId="4" fontId="247" fillId="0" borderId="0" xfId="4662" applyNumberFormat="1" applyFont="1" applyFill="1" applyAlignment="1">
      <alignment vertical="center"/>
    </xf>
    <xf numFmtId="4" fontId="25" fillId="0" borderId="1" xfId="4662" applyNumberFormat="1" applyFont="1" applyFill="1" applyBorder="1" applyAlignment="1">
      <alignment vertical="center"/>
    </xf>
    <xf numFmtId="4" fontId="247" fillId="2" borderId="1" xfId="4668" applyNumberFormat="1" applyFont="1" applyFill="1" applyBorder="1" applyAlignment="1">
      <alignment horizontal="right" vertical="center"/>
    </xf>
    <xf numFmtId="4" fontId="247" fillId="2" borderId="2" xfId="4668" applyNumberFormat="1" applyFont="1" applyFill="1" applyBorder="1" applyAlignment="1">
      <alignment vertical="center"/>
    </xf>
    <xf numFmtId="49" fontId="266" fillId="2" borderId="1" xfId="4662" applyNumberFormat="1" applyFont="1" applyFill="1" applyBorder="1" applyAlignment="1">
      <alignment horizontal="left" vertical="center"/>
    </xf>
    <xf numFmtId="0" fontId="266" fillId="0" borderId="1" xfId="4662" applyNumberFormat="1" applyFont="1" applyFill="1" applyBorder="1" applyAlignment="1">
      <alignment horizontal="left" vertical="center" wrapText="1"/>
    </xf>
    <xf numFmtId="4" fontId="266" fillId="2" borderId="1" xfId="4662" applyNumberFormat="1" applyFont="1" applyFill="1" applyBorder="1" applyAlignment="1">
      <alignment vertical="center"/>
    </xf>
    <xf numFmtId="4" fontId="266" fillId="2" borderId="3" xfId="4668" applyNumberFormat="1" applyFont="1" applyFill="1" applyBorder="1" applyAlignment="1">
      <alignment vertical="center"/>
    </xf>
    <xf numFmtId="4" fontId="266" fillId="79" borderId="1" xfId="4662" applyNumberFormat="1" applyFont="1" applyFill="1" applyBorder="1" applyAlignment="1">
      <alignment vertical="center"/>
    </xf>
    <xf numFmtId="4" fontId="266" fillId="78" borderId="1" xfId="4662" applyNumberFormat="1" applyFont="1" applyFill="1" applyBorder="1" applyAlignment="1">
      <alignment vertical="center"/>
    </xf>
    <xf numFmtId="4" fontId="266" fillId="0" borderId="1" xfId="4662" applyNumberFormat="1" applyFont="1" applyFill="1" applyBorder="1" applyAlignment="1">
      <alignment vertical="center"/>
    </xf>
    <xf numFmtId="4" fontId="266" fillId="11" borderId="1" xfId="4662" applyNumberFormat="1" applyFont="1" applyFill="1" applyBorder="1" applyAlignment="1">
      <alignment vertical="center"/>
    </xf>
    <xf numFmtId="0" fontId="266" fillId="0" borderId="0" xfId="4662" applyFont="1" applyFill="1"/>
    <xf numFmtId="0" fontId="267" fillId="2" borderId="1" xfId="4662" applyFont="1" applyFill="1" applyBorder="1" applyAlignment="1">
      <alignment horizontal="left" vertical="top" wrapText="1"/>
    </xf>
    <xf numFmtId="0" fontId="267" fillId="0" borderId="1" xfId="4662" applyFont="1" applyFill="1" applyBorder="1"/>
    <xf numFmtId="4" fontId="267" fillId="2" borderId="1" xfId="4662" applyNumberFormat="1" applyFont="1" applyFill="1" applyBorder="1" applyAlignment="1">
      <alignment vertical="center"/>
    </xf>
    <xf numFmtId="4" fontId="267" fillId="79" borderId="1" xfId="4662" applyNumberFormat="1" applyFont="1" applyFill="1" applyBorder="1" applyAlignment="1">
      <alignment vertical="center"/>
    </xf>
    <xf numFmtId="0" fontId="268" fillId="0" borderId="0" xfId="4662" applyFont="1" applyFill="1"/>
    <xf numFmtId="0" fontId="267" fillId="0" borderId="0" xfId="4662" applyFont="1" applyFill="1"/>
    <xf numFmtId="4" fontId="22" fillId="10" borderId="1" xfId="4662" applyNumberFormat="1" applyFont="1" applyFill="1" applyBorder="1" applyAlignment="1">
      <alignment horizontal="left" vertical="center" wrapText="1"/>
    </xf>
    <xf numFmtId="4" fontId="247" fillId="8" borderId="1" xfId="4662" applyNumberFormat="1" applyFont="1" applyFill="1" applyBorder="1" applyAlignment="1">
      <alignment vertical="center"/>
    </xf>
    <xf numFmtId="2" fontId="269" fillId="2" borderId="1" xfId="4662" applyNumberFormat="1" applyFont="1" applyFill="1" applyBorder="1" applyAlignment="1">
      <alignment horizontal="left" vertical="center" wrapText="1"/>
    </xf>
    <xf numFmtId="49" fontId="266" fillId="0" borderId="1" xfId="4662" applyNumberFormat="1" applyFont="1" applyFill="1" applyBorder="1" applyAlignment="1">
      <alignment horizontal="left" vertical="center"/>
    </xf>
    <xf numFmtId="4" fontId="266" fillId="2" borderId="1" xfId="4668" applyNumberFormat="1" applyFont="1" applyFill="1" applyBorder="1" applyAlignment="1">
      <alignment vertical="center"/>
    </xf>
    <xf numFmtId="0" fontId="266" fillId="2" borderId="0" xfId="4662" applyFont="1" applyFill="1"/>
    <xf numFmtId="0" fontId="266" fillId="2" borderId="0" xfId="4662" applyFont="1" applyFill="1" applyAlignment="1">
      <alignment vertical="center"/>
    </xf>
    <xf numFmtId="0" fontId="267" fillId="2" borderId="1" xfId="4662" applyFont="1" applyFill="1" applyBorder="1"/>
    <xf numFmtId="4" fontId="38" fillId="2" borderId="1" xfId="4662" applyNumberFormat="1" applyFont="1" applyFill="1" applyBorder="1" applyAlignment="1">
      <alignment vertical="center"/>
    </xf>
    <xf numFmtId="0" fontId="268" fillId="2" borderId="0" xfId="4662" applyFont="1" applyFill="1"/>
    <xf numFmtId="0" fontId="267" fillId="2" borderId="0" xfId="4662" applyFont="1" applyFill="1"/>
    <xf numFmtId="4" fontId="35" fillId="8" borderId="1" xfId="4662" applyNumberFormat="1" applyFont="1" applyFill="1" applyBorder="1" applyAlignment="1">
      <alignment vertical="center"/>
    </xf>
    <xf numFmtId="4" fontId="25" fillId="8" borderId="1" xfId="4662" applyNumberFormat="1" applyFont="1" applyFill="1" applyBorder="1" applyAlignment="1">
      <alignment vertical="center"/>
    </xf>
    <xf numFmtId="4" fontId="255" fillId="2" borderId="3" xfId="4668" applyNumberFormat="1" applyFont="1" applyFill="1" applyBorder="1" applyAlignment="1">
      <alignment vertical="center"/>
    </xf>
    <xf numFmtId="4" fontId="270" fillId="0" borderId="1" xfId="4666" applyNumberFormat="1" applyFont="1" applyBorder="1" applyAlignment="1">
      <alignment horizontal="right" vertical="center"/>
    </xf>
    <xf numFmtId="0" fontId="247" fillId="2" borderId="6" xfId="4662" applyNumberFormat="1" applyFont="1" applyFill="1" applyBorder="1" applyAlignment="1">
      <alignment horizontal="left" vertical="center" wrapText="1"/>
    </xf>
    <xf numFmtId="4" fontId="245" fillId="2" borderId="10" xfId="4662" applyNumberFormat="1" applyFont="1" applyFill="1" applyBorder="1" applyAlignment="1">
      <alignment horizontal="center" vertical="center"/>
    </xf>
    <xf numFmtId="4" fontId="245" fillId="2" borderId="6" xfId="4662" applyNumberFormat="1" applyFont="1" applyFill="1" applyBorder="1" applyAlignment="1">
      <alignment horizontal="center" vertical="center"/>
    </xf>
    <xf numFmtId="4" fontId="245" fillId="2" borderId="11" xfId="4662" applyNumberFormat="1" applyFont="1" applyFill="1" applyBorder="1" applyAlignment="1">
      <alignment horizontal="center" vertical="center"/>
    </xf>
    <xf numFmtId="49" fontId="264" fillId="0" borderId="1" xfId="4662" applyNumberFormat="1" applyFont="1" applyFill="1" applyBorder="1" applyAlignment="1">
      <alignment horizontal="left" vertical="center"/>
    </xf>
    <xf numFmtId="4" fontId="255" fillId="78" borderId="1" xfId="4665" applyNumberFormat="1" applyFont="1" applyFill="1" applyBorder="1" applyAlignment="1">
      <alignment vertical="center"/>
    </xf>
    <xf numFmtId="4" fontId="255" fillId="2" borderId="1" xfId="4665" applyNumberFormat="1" applyFont="1" applyFill="1" applyBorder="1" applyAlignment="1">
      <alignment vertical="center"/>
    </xf>
    <xf numFmtId="4" fontId="17" fillId="0" borderId="1" xfId="4665" applyNumberFormat="1" applyFont="1" applyFill="1" applyBorder="1" applyAlignment="1">
      <alignment vertical="center"/>
    </xf>
    <xf numFmtId="0" fontId="1" fillId="0" borderId="1" xfId="4662" applyBorder="1" applyAlignment="1">
      <alignment vertical="center"/>
    </xf>
    <xf numFmtId="0" fontId="247" fillId="8" borderId="1" xfId="4662" applyNumberFormat="1" applyFont="1" applyFill="1" applyBorder="1" applyAlignment="1">
      <alignment horizontal="left" vertical="center" wrapText="1"/>
    </xf>
    <xf numFmtId="43" fontId="9" fillId="2" borderId="1" xfId="4663" applyFont="1" applyFill="1" applyBorder="1"/>
    <xf numFmtId="0" fontId="40" fillId="0" borderId="0" xfId="4662" applyFont="1" applyFill="1" applyAlignment="1">
      <alignment wrapText="1"/>
    </xf>
    <xf numFmtId="0" fontId="17" fillId="2" borderId="1" xfId="4662" applyFont="1" applyFill="1" applyBorder="1" applyAlignment="1">
      <alignment horizontal="left" vertical="center" wrapText="1"/>
    </xf>
    <xf numFmtId="4" fontId="247" fillId="2" borderId="4" xfId="4662" applyNumberFormat="1" applyFont="1" applyFill="1" applyBorder="1" applyAlignment="1">
      <alignment vertical="center"/>
    </xf>
    <xf numFmtId="4" fontId="255" fillId="2" borderId="4" xfId="4668" applyNumberFormat="1" applyFont="1" applyFill="1" applyBorder="1" applyAlignment="1">
      <alignment vertical="center"/>
    </xf>
    <xf numFmtId="4" fontId="255" fillId="2" borderId="2" xfId="4668" applyNumberFormat="1" applyFont="1" applyFill="1" applyBorder="1" applyAlignment="1">
      <alignment vertical="center"/>
    </xf>
    <xf numFmtId="0" fontId="247" fillId="0" borderId="0" xfId="4662" applyFont="1" applyFill="1" applyAlignment="1">
      <alignment horizontal="left"/>
    </xf>
    <xf numFmtId="0" fontId="254" fillId="10" borderId="10" xfId="4662" applyNumberFormat="1" applyFont="1" applyFill="1" applyBorder="1" applyAlignment="1">
      <alignment horizontal="left" vertical="center" wrapText="1"/>
    </xf>
    <xf numFmtId="0" fontId="247" fillId="2" borderId="10" xfId="4662" applyNumberFormat="1" applyFont="1" applyFill="1" applyBorder="1" applyAlignment="1">
      <alignment horizontal="left" vertical="center" wrapText="1"/>
    </xf>
    <xf numFmtId="0" fontId="17" fillId="10" borderId="1" xfId="4662" applyFont="1" applyFill="1" applyBorder="1" applyAlignment="1">
      <alignment horizontal="left" vertical="top" wrapText="1"/>
    </xf>
    <xf numFmtId="49" fontId="246" fillId="2" borderId="0" xfId="4662" applyNumberFormat="1" applyFont="1" applyFill="1" applyAlignment="1">
      <alignment horizontal="left"/>
    </xf>
    <xf numFmtId="0" fontId="246" fillId="2" borderId="0" xfId="4662" applyFont="1" applyFill="1" applyAlignment="1">
      <alignment horizontal="left"/>
    </xf>
    <xf numFmtId="4" fontId="247" fillId="2" borderId="6" xfId="4662" applyNumberFormat="1" applyFont="1" applyFill="1" applyBorder="1" applyAlignment="1">
      <alignment vertical="center"/>
    </xf>
    <xf numFmtId="4" fontId="247" fillId="2" borderId="11" xfId="4662" applyNumberFormat="1" applyFont="1" applyFill="1" applyBorder="1" applyAlignment="1">
      <alignment vertical="center"/>
    </xf>
    <xf numFmtId="4" fontId="247" fillId="2" borderId="11" xfId="4668" applyNumberFormat="1" applyFont="1" applyFill="1" applyBorder="1" applyAlignment="1">
      <alignment vertical="center"/>
    </xf>
    <xf numFmtId="4" fontId="247" fillId="78" borderId="11" xfId="4662" applyNumberFormat="1" applyFont="1" applyFill="1" applyBorder="1" applyAlignment="1">
      <alignment vertical="center"/>
    </xf>
    <xf numFmtId="4" fontId="247" fillId="0" borderId="11" xfId="4662" applyNumberFormat="1" applyFont="1" applyFill="1" applyBorder="1" applyAlignment="1">
      <alignment vertical="center"/>
    </xf>
    <xf numFmtId="4" fontId="9" fillId="2" borderId="11" xfId="4662" applyNumberFormat="1" applyFont="1" applyFill="1" applyBorder="1" applyAlignment="1">
      <alignment vertical="center"/>
    </xf>
    <xf numFmtId="49" fontId="254" fillId="0" borderId="6" xfId="4662" applyNumberFormat="1" applyFont="1" applyFill="1" applyBorder="1" applyAlignment="1">
      <alignment horizontal="right" vertical="center" wrapText="1"/>
    </xf>
    <xf numFmtId="4" fontId="254" fillId="0" borderId="11" xfId="4662" applyNumberFormat="1" applyFont="1" applyFill="1" applyBorder="1" applyAlignment="1">
      <alignment vertical="center"/>
    </xf>
    <xf numFmtId="4" fontId="254" fillId="0" borderId="11" xfId="4667" applyNumberFormat="1" applyFont="1" applyFill="1" applyBorder="1" applyAlignment="1">
      <alignment vertical="center"/>
    </xf>
    <xf numFmtId="4" fontId="254" fillId="78" borderId="11" xfId="4662" applyNumberFormat="1" applyFont="1" applyFill="1" applyBorder="1" applyAlignment="1">
      <alignment vertical="center"/>
    </xf>
    <xf numFmtId="4" fontId="254" fillId="2" borderId="11" xfId="4662" applyNumberFormat="1" applyFont="1" applyFill="1" applyBorder="1" applyAlignment="1">
      <alignment vertical="center"/>
    </xf>
    <xf numFmtId="4" fontId="22" fillId="0" borderId="11" xfId="4662" applyNumberFormat="1" applyFont="1" applyFill="1" applyBorder="1" applyAlignment="1">
      <alignment vertical="center"/>
    </xf>
    <xf numFmtId="49" fontId="247" fillId="0" borderId="0" xfId="4662" applyNumberFormat="1" applyFont="1" applyFill="1" applyAlignment="1">
      <alignment horizontal="left"/>
    </xf>
    <xf numFmtId="4" fontId="247" fillId="0" borderId="0" xfId="4662" applyNumberFormat="1" applyFont="1" applyFill="1" applyAlignment="1">
      <alignment horizontal="left"/>
    </xf>
    <xf numFmtId="4" fontId="247" fillId="0" borderId="6" xfId="4662" applyNumberFormat="1" applyFont="1" applyFill="1" applyBorder="1" applyAlignment="1">
      <alignment vertical="center"/>
    </xf>
    <xf numFmtId="4" fontId="247" fillId="0" borderId="11" xfId="4667" applyNumberFormat="1" applyFont="1" applyFill="1" applyBorder="1" applyAlignment="1">
      <alignment vertical="center"/>
    </xf>
    <xf numFmtId="4" fontId="9" fillId="0" borderId="11" xfId="4662" applyNumberFormat="1" applyFont="1" applyFill="1" applyBorder="1" applyAlignment="1">
      <alignment vertical="center"/>
    </xf>
    <xf numFmtId="4" fontId="254" fillId="4" borderId="1" xfId="4662" applyNumberFormat="1" applyFont="1" applyFill="1" applyBorder="1" applyAlignment="1">
      <alignment vertical="center" wrapText="1"/>
    </xf>
    <xf numFmtId="0" fontId="247" fillId="8" borderId="0" xfId="4662" applyFont="1" applyFill="1" applyAlignment="1">
      <alignment vertical="center"/>
    </xf>
    <xf numFmtId="4" fontId="22" fillId="4" borderId="1" xfId="4662" applyNumberFormat="1" applyFont="1" applyFill="1" applyBorder="1" applyAlignment="1">
      <alignment vertical="center" wrapText="1"/>
    </xf>
    <xf numFmtId="49" fontId="9" fillId="0" borderId="0" xfId="4662" applyNumberFormat="1" applyFont="1" applyFill="1" applyAlignment="1">
      <alignment horizontal="left"/>
    </xf>
    <xf numFmtId="0" fontId="9" fillId="0" borderId="0" xfId="4662" applyFont="1" applyFill="1" applyAlignment="1">
      <alignment horizontal="left"/>
    </xf>
    <xf numFmtId="4" fontId="9" fillId="0" borderId="6" xfId="4662" applyNumberFormat="1" applyFont="1" applyFill="1" applyBorder="1" applyAlignment="1">
      <alignment horizontal="center"/>
    </xf>
    <xf numFmtId="4" fontId="9" fillId="0" borderId="11" xfId="4662" applyNumberFormat="1" applyFont="1" applyFill="1" applyBorder="1" applyAlignment="1">
      <alignment horizontal="right" vertical="center"/>
    </xf>
    <xf numFmtId="4" fontId="9" fillId="0" borderId="11" xfId="4667" applyNumberFormat="1" applyFont="1" applyFill="1" applyBorder="1" applyAlignment="1">
      <alignment horizontal="right" vertical="center"/>
    </xf>
    <xf numFmtId="4" fontId="9" fillId="2" borderId="11" xfId="4662" applyNumberFormat="1" applyFont="1" applyFill="1" applyBorder="1" applyAlignment="1">
      <alignment horizontal="right" vertical="center"/>
    </xf>
    <xf numFmtId="4" fontId="9" fillId="78" borderId="11" xfId="4662" applyNumberFormat="1" applyFont="1" applyFill="1" applyBorder="1" applyAlignment="1">
      <alignment horizontal="right" vertical="center"/>
    </xf>
    <xf numFmtId="4" fontId="9" fillId="0" borderId="1" xfId="4662" applyNumberFormat="1" applyFont="1" applyFill="1" applyBorder="1" applyAlignment="1">
      <alignment horizontal="right" vertical="center"/>
    </xf>
    <xf numFmtId="4" fontId="9" fillId="2" borderId="1" xfId="4662" applyNumberFormat="1" applyFont="1" applyFill="1" applyBorder="1" applyAlignment="1">
      <alignment horizontal="right" vertical="center"/>
    </xf>
    <xf numFmtId="4" fontId="22" fillId="0" borderId="1" xfId="4662" applyNumberFormat="1" applyFont="1" applyFill="1" applyBorder="1" applyAlignment="1">
      <alignment horizontal="right" vertical="center"/>
    </xf>
    <xf numFmtId="4" fontId="9" fillId="0" borderId="1" xfId="4668" applyNumberFormat="1" applyFont="1" applyFill="1" applyBorder="1" applyAlignment="1">
      <alignment horizontal="right" vertical="center"/>
    </xf>
    <xf numFmtId="4" fontId="9" fillId="78" borderId="1" xfId="4662" applyNumberFormat="1" applyFont="1" applyFill="1" applyBorder="1" applyAlignment="1">
      <alignment horizontal="right" vertical="center"/>
    </xf>
    <xf numFmtId="49" fontId="9" fillId="0" borderId="1" xfId="4662" applyNumberFormat="1" applyFont="1" applyFill="1" applyBorder="1"/>
    <xf numFmtId="4" fontId="262" fillId="0" borderId="1" xfId="4662" applyNumberFormat="1" applyFont="1" applyFill="1" applyBorder="1" applyAlignment="1"/>
    <xf numFmtId="4" fontId="262" fillId="0" borderId="1" xfId="4662" applyNumberFormat="1" applyFont="1" applyFill="1" applyBorder="1"/>
    <xf numFmtId="4" fontId="247" fillId="2" borderId="1" xfId="4662" applyNumberFormat="1" applyFont="1" applyFill="1" applyBorder="1" applyAlignment="1">
      <alignment horizontal="right" vertical="center"/>
    </xf>
    <xf numFmtId="4" fontId="9" fillId="0" borderId="1" xfId="4662" applyNumberFormat="1" applyFont="1" applyBorder="1" applyAlignment="1">
      <alignment horizontal="right" vertical="center"/>
    </xf>
    <xf numFmtId="4" fontId="9" fillId="2" borderId="4" xfId="4662" applyNumberFormat="1" applyFont="1" applyFill="1" applyBorder="1" applyAlignment="1">
      <alignment horizontal="right" vertical="center"/>
    </xf>
    <xf numFmtId="0" fontId="9" fillId="0" borderId="1" xfId="4662" applyFont="1" applyBorder="1" applyAlignment="1">
      <alignment horizontal="left"/>
    </xf>
    <xf numFmtId="0" fontId="9" fillId="0" borderId="4" xfId="4662" applyFont="1" applyBorder="1"/>
    <xf numFmtId="4" fontId="9" fillId="13" borderId="4" xfId="4662" applyNumberFormat="1" applyFont="1" applyFill="1" applyBorder="1" applyAlignment="1">
      <alignment horizontal="right" vertical="center"/>
    </xf>
    <xf numFmtId="4" fontId="9" fillId="0" borderId="4" xfId="4662" applyNumberFormat="1" applyFont="1" applyBorder="1" applyAlignment="1">
      <alignment horizontal="right" vertical="center"/>
    </xf>
    <xf numFmtId="4" fontId="9" fillId="78" borderId="4" xfId="4662" applyNumberFormat="1" applyFont="1" applyFill="1" applyBorder="1" applyAlignment="1">
      <alignment horizontal="right" vertical="center"/>
    </xf>
    <xf numFmtId="4" fontId="9" fillId="0" borderId="4" xfId="4662" applyNumberFormat="1" applyFont="1" applyFill="1" applyBorder="1" applyAlignment="1">
      <alignment horizontal="right" vertical="center"/>
    </xf>
    <xf numFmtId="0" fontId="9" fillId="0" borderId="4" xfId="4662" applyFont="1" applyBorder="1" applyAlignment="1">
      <alignment horizontal="left"/>
    </xf>
    <xf numFmtId="4" fontId="40" fillId="2" borderId="4" xfId="4662" applyNumberFormat="1" applyFont="1" applyFill="1" applyBorder="1" applyAlignment="1">
      <alignment horizontal="right" vertical="center"/>
    </xf>
    <xf numFmtId="4" fontId="9" fillId="0" borderId="4" xfId="4662" applyNumberFormat="1" applyFont="1" applyBorder="1" applyAlignment="1">
      <alignment horizontal="left" vertical="center"/>
    </xf>
    <xf numFmtId="0" fontId="17" fillId="0" borderId="4" xfId="4662" applyFont="1" applyFill="1" applyBorder="1" applyAlignment="1">
      <alignment horizontal="left" vertical="top" wrapText="1"/>
    </xf>
    <xf numFmtId="49" fontId="9" fillId="0" borderId="0" xfId="4662" applyNumberFormat="1" applyFont="1" applyBorder="1"/>
    <xf numFmtId="0" fontId="9" fillId="0" borderId="0" xfId="4662" applyFont="1" applyFill="1" applyBorder="1"/>
    <xf numFmtId="0" fontId="9" fillId="0" borderId="0" xfId="4662" applyFont="1" applyBorder="1"/>
    <xf numFmtId="4" fontId="9" fillId="0" borderId="0" xfId="4662" applyNumberFormat="1" applyFont="1" applyAlignment="1">
      <alignment horizontal="right" vertical="center"/>
    </xf>
    <xf numFmtId="4" fontId="9" fillId="78" borderId="0" xfId="4662" applyNumberFormat="1" applyFont="1" applyFill="1" applyAlignment="1">
      <alignment horizontal="right" vertical="center"/>
    </xf>
    <xf numFmtId="4" fontId="9" fillId="0" borderId="0" xfId="4662" applyNumberFormat="1" applyFont="1" applyFill="1" applyAlignment="1">
      <alignment horizontal="right" vertical="center"/>
    </xf>
    <xf numFmtId="4" fontId="9" fillId="2" borderId="0" xfId="4662" applyNumberFormat="1" applyFont="1" applyFill="1" applyAlignment="1">
      <alignment horizontal="right" vertical="center"/>
    </xf>
    <xf numFmtId="0" fontId="17" fillId="2" borderId="0" xfId="4662" applyFont="1" applyFill="1" applyBorder="1" applyAlignment="1">
      <alignment horizontal="left" vertical="top" wrapText="1"/>
    </xf>
    <xf numFmtId="49" fontId="9" fillId="0" borderId="0" xfId="4662" applyNumberFormat="1" applyFont="1"/>
    <xf numFmtId="49" fontId="9" fillId="82" borderId="0" xfId="4662" applyNumberFormat="1" applyFont="1" applyFill="1"/>
    <xf numFmtId="0" fontId="9" fillId="82" borderId="0" xfId="4662" applyFont="1" applyFill="1"/>
    <xf numFmtId="4" fontId="9" fillId="82" borderId="0" xfId="4662" applyNumberFormat="1" applyFont="1" applyFill="1"/>
    <xf numFmtId="4" fontId="9" fillId="78" borderId="0" xfId="4662" applyNumberFormat="1" applyFont="1" applyFill="1"/>
    <xf numFmtId="4" fontId="9" fillId="2" borderId="0" xfId="4662" applyNumberFormat="1" applyFont="1" applyFill="1"/>
    <xf numFmtId="0" fontId="247" fillId="82" borderId="0" xfId="4662" applyFont="1" applyFill="1"/>
    <xf numFmtId="0" fontId="9" fillId="82" borderId="0" xfId="4662" applyFont="1" applyFill="1" applyAlignment="1">
      <alignment horizontal="left"/>
    </xf>
    <xf numFmtId="0" fontId="247" fillId="82" borderId="0" xfId="4662" applyFont="1" applyFill="1" applyAlignment="1">
      <alignment vertical="center"/>
    </xf>
    <xf numFmtId="4" fontId="246" fillId="11" borderId="1" xfId="4662" applyNumberFormat="1" applyFont="1" applyFill="1" applyBorder="1" applyAlignment="1">
      <alignment horizontal="right" vertical="center"/>
    </xf>
    <xf numFmtId="4" fontId="246" fillId="0" borderId="1" xfId="4662" applyNumberFormat="1" applyFont="1" applyBorder="1" applyAlignment="1">
      <alignment horizontal="right" vertical="center"/>
    </xf>
    <xf numFmtId="4" fontId="247" fillId="0" borderId="0" xfId="4662" applyNumberFormat="1" applyFont="1" applyAlignment="1">
      <alignment horizontal="right" vertical="center"/>
    </xf>
    <xf numFmtId="4" fontId="262" fillId="79" borderId="0" xfId="4662" applyNumberFormat="1" applyFont="1" applyFill="1" applyAlignment="1">
      <alignment horizontal="center" vertical="center"/>
    </xf>
    <xf numFmtId="212" fontId="9" fillId="0" borderId="0" xfId="4662" applyNumberFormat="1" applyFont="1" applyAlignment="1">
      <alignment horizontal="right" vertical="center"/>
    </xf>
    <xf numFmtId="4" fontId="246" fillId="0" borderId="0" xfId="4662" applyNumberFormat="1" applyFont="1" applyAlignment="1">
      <alignment horizontal="right" vertical="center"/>
    </xf>
    <xf numFmtId="213" fontId="9" fillId="0" borderId="0" xfId="4662" applyNumberFormat="1" applyFont="1" applyAlignment="1">
      <alignment horizontal="right" vertical="center"/>
    </xf>
    <xf numFmtId="43" fontId="9" fillId="0" borderId="1" xfId="4663" applyFont="1" applyBorder="1"/>
    <xf numFmtId="43" fontId="9" fillId="0" borderId="0" xfId="4663" applyFont="1" applyBorder="1"/>
    <xf numFmtId="0" fontId="9" fillId="78" borderId="0" xfId="4662" applyFont="1" applyFill="1"/>
    <xf numFmtId="212" fontId="9" fillId="0" borderId="0" xfId="4662" applyNumberFormat="1" applyFont="1"/>
    <xf numFmtId="4" fontId="9" fillId="83" borderId="0" xfId="4662" applyNumberFormat="1" applyFont="1" applyFill="1"/>
    <xf numFmtId="43" fontId="9" fillId="84" borderId="1" xfId="4663" applyFont="1" applyFill="1" applyBorder="1"/>
    <xf numFmtId="43" fontId="9" fillId="84" borderId="0" xfId="4663" applyFont="1" applyFill="1" applyBorder="1"/>
    <xf numFmtId="0" fontId="273" fillId="2" borderId="0" xfId="4661" applyFont="1" applyFill="1"/>
    <xf numFmtId="49" fontId="9" fillId="85" borderId="0" xfId="4662" applyNumberFormat="1" applyFont="1" applyFill="1"/>
    <xf numFmtId="0" fontId="9" fillId="85" borderId="0" xfId="4662" applyFont="1" applyFill="1"/>
    <xf numFmtId="4" fontId="9" fillId="85" borderId="0" xfId="4662" applyNumberFormat="1" applyFont="1" applyFill="1"/>
    <xf numFmtId="0" fontId="247" fillId="85" borderId="0" xfId="4662" applyFont="1" applyFill="1"/>
    <xf numFmtId="0" fontId="9" fillId="85" borderId="0" xfId="4662" applyFont="1" applyFill="1" applyAlignment="1">
      <alignment horizontal="left"/>
    </xf>
    <xf numFmtId="0" fontId="247" fillId="85" borderId="0" xfId="4662" applyFont="1" applyFill="1" applyAlignment="1">
      <alignment vertical="center"/>
    </xf>
    <xf numFmtId="49" fontId="9" fillId="86" borderId="0" xfId="4662" applyNumberFormat="1" applyFont="1" applyFill="1"/>
    <xf numFmtId="0" fontId="9" fillId="86" borderId="0" xfId="4662" applyFont="1" applyFill="1"/>
    <xf numFmtId="4" fontId="9" fillId="86" borderId="0" xfId="4662" applyNumberFormat="1" applyFont="1" applyFill="1"/>
    <xf numFmtId="0" fontId="247" fillId="86" borderId="0" xfId="4662" applyFont="1" applyFill="1"/>
    <xf numFmtId="4" fontId="247" fillId="85" borderId="0" xfId="4662" applyNumberFormat="1" applyFont="1" applyFill="1"/>
    <xf numFmtId="0" fontId="9" fillId="86" borderId="0" xfId="4662" applyFont="1" applyFill="1" applyAlignment="1">
      <alignment horizontal="left"/>
    </xf>
    <xf numFmtId="0" fontId="247" fillId="86" borderId="0" xfId="4662" applyFont="1" applyFill="1" applyAlignment="1">
      <alignment vertical="center"/>
    </xf>
    <xf numFmtId="4" fontId="247" fillId="86" borderId="0" xfId="4662" applyNumberFormat="1" applyFont="1" applyFill="1"/>
    <xf numFmtId="0" fontId="9" fillId="0" borderId="0" xfId="4662" applyFont="1" applyFill="1" applyAlignment="1">
      <alignment wrapText="1"/>
    </xf>
    <xf numFmtId="164" fontId="274" fillId="2" borderId="73" xfId="2633" applyNumberFormat="1" applyFont="1" applyFill="1" applyBorder="1" applyAlignment="1" applyProtection="1">
      <alignment horizontal="right" vertical="center" wrapText="1"/>
    </xf>
    <xf numFmtId="164" fontId="274" fillId="2" borderId="74" xfId="2633" applyNumberFormat="1" applyFont="1" applyFill="1" applyBorder="1" applyAlignment="1" applyProtection="1">
      <alignment horizontal="right" vertical="center" wrapText="1"/>
    </xf>
    <xf numFmtId="164" fontId="275" fillId="2" borderId="73" xfId="2633" applyNumberFormat="1" applyFont="1" applyFill="1" applyBorder="1" applyAlignment="1" applyProtection="1">
      <alignment horizontal="left" vertical="center" wrapText="1"/>
    </xf>
    <xf numFmtId="49" fontId="262" fillId="0" borderId="0" xfId="4662" applyNumberFormat="1" applyFont="1"/>
    <xf numFmtId="4" fontId="262" fillId="0" borderId="0" xfId="4662" applyNumberFormat="1" applyFont="1" applyAlignment="1">
      <alignment horizontal="right" vertical="center"/>
    </xf>
    <xf numFmtId="4" fontId="262" fillId="78" borderId="0" xfId="4662" applyNumberFormat="1" applyFont="1" applyFill="1" applyAlignment="1">
      <alignment horizontal="right" vertical="center"/>
    </xf>
    <xf numFmtId="4" fontId="262" fillId="0" borderId="0" xfId="4662" applyNumberFormat="1" applyFont="1" applyFill="1" applyAlignment="1">
      <alignment horizontal="right" vertical="center"/>
    </xf>
    <xf numFmtId="4" fontId="262" fillId="2" borderId="0" xfId="4662" applyNumberFormat="1" applyFont="1" applyFill="1" applyAlignment="1">
      <alignment horizontal="right" vertical="center"/>
    </xf>
    <xf numFmtId="0" fontId="246" fillId="0" borderId="0" xfId="4662" applyFont="1"/>
    <xf numFmtId="0" fontId="262" fillId="0" borderId="0" xfId="4662" applyFont="1"/>
    <xf numFmtId="4" fontId="9" fillId="13" borderId="0" xfId="4662" applyNumberFormat="1" applyFont="1" applyFill="1" applyAlignment="1">
      <alignment horizontal="right" vertical="center"/>
    </xf>
    <xf numFmtId="0" fontId="246" fillId="0" borderId="0" xfId="4662" applyFont="1" applyAlignment="1">
      <alignment vertical="center"/>
    </xf>
    <xf numFmtId="49" fontId="276" fillId="0" borderId="0" xfId="4662" applyNumberFormat="1" applyFont="1"/>
    <xf numFmtId="0" fontId="9" fillId="79" borderId="76" xfId="4662" applyFont="1" applyFill="1" applyBorder="1"/>
    <xf numFmtId="4" fontId="9" fillId="79" borderId="76" xfId="4662" applyNumberFormat="1" applyFont="1" applyFill="1" applyBorder="1" applyAlignment="1">
      <alignment horizontal="right" vertical="center"/>
    </xf>
    <xf numFmtId="3" fontId="16" fillId="79" borderId="52" xfId="2633" applyNumberFormat="1" applyFont="1" applyFill="1" applyBorder="1" applyAlignment="1" applyProtection="1">
      <alignment horizontal="right" vertical="center"/>
    </xf>
    <xf numFmtId="3" fontId="239" fillId="79" borderId="75" xfId="2633" applyNumberFormat="1" applyFont="1" applyFill="1" applyBorder="1" applyAlignment="1" applyProtection="1">
      <alignment horizontal="center" vertical="center" wrapText="1"/>
    </xf>
    <xf numFmtId="3" fontId="239" fillId="78" borderId="75" xfId="2633" applyNumberFormat="1" applyFont="1" applyFill="1" applyBorder="1" applyAlignment="1" applyProtection="1">
      <alignment horizontal="center" vertical="center" wrapText="1"/>
    </xf>
    <xf numFmtId="3" fontId="239" fillId="0" borderId="75" xfId="2633" applyNumberFormat="1" applyFont="1" applyFill="1" applyBorder="1" applyAlignment="1" applyProtection="1">
      <alignment horizontal="center" vertical="center" wrapText="1"/>
    </xf>
    <xf numFmtId="3" fontId="239" fillId="79" borderId="52" xfId="2633" applyNumberFormat="1" applyFont="1" applyFill="1" applyBorder="1" applyAlignment="1" applyProtection="1">
      <alignment horizontal="right" vertical="center"/>
    </xf>
    <xf numFmtId="3" fontId="239" fillId="2" borderId="52" xfId="2633" applyNumberFormat="1" applyFont="1" applyFill="1" applyBorder="1" applyAlignment="1" applyProtection="1">
      <alignment horizontal="right" vertical="center"/>
    </xf>
    <xf numFmtId="3" fontId="239" fillId="0" borderId="52" xfId="2633" applyNumberFormat="1" applyFont="1" applyFill="1" applyBorder="1" applyAlignment="1" applyProtection="1">
      <alignment horizontal="right" vertical="center"/>
    </xf>
    <xf numFmtId="0" fontId="9" fillId="79" borderId="30" xfId="4662" applyFont="1" applyFill="1" applyBorder="1"/>
    <xf numFmtId="4" fontId="9" fillId="79" borderId="30" xfId="4662" applyNumberFormat="1" applyFont="1" applyFill="1" applyBorder="1" applyAlignment="1">
      <alignment horizontal="right" vertical="center"/>
    </xf>
    <xf numFmtId="3" fontId="16" fillId="79" borderId="75" xfId="2633" applyNumberFormat="1" applyFont="1" applyFill="1" applyBorder="1" applyAlignment="1" applyProtection="1">
      <alignment horizontal="right" vertical="center"/>
    </xf>
    <xf numFmtId="3" fontId="239" fillId="79" borderId="79" xfId="2633" applyNumberFormat="1" applyFont="1" applyFill="1" applyBorder="1" applyAlignment="1" applyProtection="1">
      <alignment horizontal="center" vertical="center" wrapText="1"/>
    </xf>
    <xf numFmtId="3" fontId="239" fillId="78" borderId="79" xfId="2633" applyNumberFormat="1" applyFont="1" applyFill="1" applyBorder="1" applyAlignment="1" applyProtection="1">
      <alignment horizontal="center" vertical="center" wrapText="1"/>
    </xf>
    <xf numFmtId="3" fontId="239" fillId="0" borderId="79" xfId="2633" applyNumberFormat="1" applyFont="1" applyFill="1" applyBorder="1" applyAlignment="1" applyProtection="1">
      <alignment horizontal="center" vertical="center" wrapText="1"/>
    </xf>
    <xf numFmtId="3" fontId="239" fillId="79" borderId="75" xfId="2633" applyNumberFormat="1" applyFont="1" applyFill="1" applyBorder="1" applyAlignment="1" applyProtection="1">
      <alignment horizontal="right" vertical="center"/>
    </xf>
    <xf numFmtId="3" fontId="239" fillId="2" borderId="75" xfId="2633" applyNumberFormat="1" applyFont="1" applyFill="1" applyBorder="1" applyAlignment="1" applyProtection="1">
      <alignment horizontal="right" vertical="center"/>
    </xf>
    <xf numFmtId="3" fontId="239" fillId="0" borderId="75" xfId="2633" applyNumberFormat="1" applyFont="1" applyFill="1" applyBorder="1" applyAlignment="1" applyProtection="1">
      <alignment horizontal="right" vertical="center"/>
    </xf>
    <xf numFmtId="4" fontId="247" fillId="2" borderId="0" xfId="4662" applyNumberFormat="1" applyFont="1" applyFill="1" applyAlignment="1">
      <alignment horizontal="right" vertical="center"/>
    </xf>
    <xf numFmtId="3" fontId="239" fillId="79" borderId="75" xfId="2633" applyNumberFormat="1" applyFont="1" applyFill="1" applyBorder="1" applyAlignment="1" applyProtection="1">
      <alignment horizontal="center" vertical="center"/>
    </xf>
    <xf numFmtId="49" fontId="277" fillId="0" borderId="80" xfId="2633" applyNumberFormat="1" applyFont="1" applyBorder="1" applyAlignment="1" applyProtection="1">
      <alignment horizontal="center" vertical="center"/>
    </xf>
    <xf numFmtId="0" fontId="277" fillId="2" borderId="81" xfId="2633" quotePrefix="1" applyFont="1" applyFill="1" applyBorder="1" applyAlignment="1" applyProtection="1">
      <alignment horizontal="left" wrapText="1" indent="3"/>
    </xf>
    <xf numFmtId="0" fontId="9" fillId="0" borderId="30" xfId="4662" applyFont="1" applyBorder="1"/>
    <xf numFmtId="4" fontId="9" fillId="0" borderId="30" xfId="4662" applyNumberFormat="1" applyFont="1" applyBorder="1" applyAlignment="1">
      <alignment horizontal="right" vertical="center"/>
    </xf>
    <xf numFmtId="3" fontId="16" fillId="2" borderId="80" xfId="2633" applyNumberFormat="1" applyFont="1" applyFill="1" applyBorder="1" applyAlignment="1" applyProtection="1">
      <alignment horizontal="right" vertical="center"/>
    </xf>
    <xf numFmtId="3" fontId="16" fillId="78" borderId="80" xfId="2633" applyNumberFormat="1" applyFont="1" applyFill="1" applyBorder="1" applyAlignment="1" applyProtection="1">
      <alignment horizontal="right" vertical="center"/>
    </xf>
    <xf numFmtId="3" fontId="16" fillId="0" borderId="80" xfId="2633" applyNumberFormat="1" applyFont="1" applyFill="1" applyBorder="1" applyAlignment="1" applyProtection="1">
      <alignment horizontal="right" vertical="center"/>
    </xf>
    <xf numFmtId="0" fontId="271" fillId="0" borderId="0" xfId="4662" applyFont="1"/>
    <xf numFmtId="0" fontId="1" fillId="0" borderId="0" xfId="4662"/>
    <xf numFmtId="49" fontId="277" fillId="0" borderId="82" xfId="2633" applyNumberFormat="1" applyFont="1" applyBorder="1" applyAlignment="1" applyProtection="1">
      <alignment horizontal="center" vertical="center"/>
    </xf>
    <xf numFmtId="0" fontId="277" fillId="2" borderId="74" xfId="2633" quotePrefix="1" applyFont="1" applyFill="1" applyBorder="1" applyAlignment="1" applyProtection="1">
      <alignment horizontal="left" wrapText="1" indent="3"/>
    </xf>
    <xf numFmtId="0" fontId="9" fillId="0" borderId="15" xfId="4662" applyFont="1" applyBorder="1"/>
    <xf numFmtId="4" fontId="9" fillId="0" borderId="15" xfId="4662" applyNumberFormat="1" applyFont="1" applyBorder="1" applyAlignment="1">
      <alignment horizontal="right" vertical="center"/>
    </xf>
    <xf numFmtId="3" fontId="16" fillId="2" borderId="82" xfId="2633" applyNumberFormat="1" applyFont="1" applyFill="1" applyBorder="1" applyAlignment="1" applyProtection="1">
      <alignment horizontal="right" vertical="center"/>
    </xf>
    <xf numFmtId="3" fontId="16" fillId="78" borderId="82" xfId="2633" applyNumberFormat="1" applyFont="1" applyFill="1" applyBorder="1" applyAlignment="1" applyProtection="1">
      <alignment horizontal="right" vertical="center"/>
    </xf>
    <xf numFmtId="3" fontId="16" fillId="0" borderId="82" xfId="2633" applyNumberFormat="1" applyFont="1" applyFill="1" applyBorder="1" applyAlignment="1" applyProtection="1">
      <alignment horizontal="right" vertical="center"/>
    </xf>
    <xf numFmtId="49" fontId="277" fillId="0" borderId="0" xfId="2633" applyNumberFormat="1" applyFont="1" applyBorder="1" applyAlignment="1" applyProtection="1">
      <alignment horizontal="center" vertical="center"/>
    </xf>
    <xf numFmtId="0" fontId="277" fillId="2" borderId="0" xfId="2633" quotePrefix="1" applyFont="1" applyFill="1" applyBorder="1" applyAlignment="1" applyProtection="1">
      <alignment horizontal="left" wrapText="1" indent="3"/>
    </xf>
    <xf numFmtId="4" fontId="9" fillId="0" borderId="0" xfId="4662" applyNumberFormat="1" applyFont="1" applyBorder="1" applyAlignment="1">
      <alignment horizontal="right" vertical="center"/>
    </xf>
    <xf numFmtId="3" fontId="16" fillId="2" borderId="0" xfId="2633" applyNumberFormat="1" applyFont="1" applyFill="1" applyBorder="1" applyAlignment="1" applyProtection="1">
      <alignment horizontal="right" vertical="center"/>
    </xf>
    <xf numFmtId="3" fontId="16" fillId="78" borderId="0" xfId="2633" applyNumberFormat="1" applyFont="1" applyFill="1" applyBorder="1" applyAlignment="1" applyProtection="1">
      <alignment horizontal="right" vertical="center"/>
    </xf>
    <xf numFmtId="3" fontId="16" fillId="0" borderId="0" xfId="2633" applyNumberFormat="1" applyFont="1" applyFill="1" applyBorder="1" applyAlignment="1" applyProtection="1">
      <alignment horizontal="right" vertical="center"/>
    </xf>
    <xf numFmtId="0" fontId="278" fillId="2" borderId="0" xfId="2633" applyFont="1" applyFill="1" applyBorder="1" applyAlignment="1" applyProtection="1">
      <alignment horizontal="center" vertical="center"/>
      <protection hidden="1"/>
    </xf>
    <xf numFmtId="0" fontId="279" fillId="2" borderId="0" xfId="2633" applyFont="1" applyFill="1" applyBorder="1" applyAlignment="1" applyProtection="1">
      <alignment horizontal="left" vertical="center"/>
      <protection hidden="1"/>
    </xf>
    <xf numFmtId="0" fontId="9" fillId="79" borderId="0" xfId="4662" applyFont="1" applyFill="1"/>
    <xf numFmtId="4" fontId="9" fillId="79" borderId="0" xfId="4662" applyNumberFormat="1" applyFont="1" applyFill="1" applyAlignment="1">
      <alignment horizontal="right" vertical="center"/>
    </xf>
    <xf numFmtId="0" fontId="159" fillId="79" borderId="34" xfId="2633" applyFont="1" applyFill="1" applyBorder="1" applyAlignment="1" applyProtection="1">
      <alignment horizontal="center" vertical="center" wrapText="1"/>
      <protection hidden="1"/>
    </xf>
    <xf numFmtId="0" fontId="159" fillId="78" borderId="34" xfId="2633" applyFont="1" applyFill="1" applyBorder="1" applyAlignment="1" applyProtection="1">
      <alignment horizontal="center" vertical="center" wrapText="1"/>
      <protection hidden="1"/>
    </xf>
    <xf numFmtId="0" fontId="159" fillId="0" borderId="34" xfId="2633" applyFont="1" applyFill="1" applyBorder="1" applyAlignment="1" applyProtection="1">
      <alignment horizontal="center" vertical="center" wrapText="1"/>
      <protection hidden="1"/>
    </xf>
    <xf numFmtId="0" fontId="159" fillId="2" borderId="34" xfId="2633" applyFont="1" applyFill="1" applyBorder="1" applyAlignment="1" applyProtection="1">
      <alignment horizontal="center" vertical="center" wrapText="1"/>
      <protection hidden="1"/>
    </xf>
    <xf numFmtId="0" fontId="159" fillId="79" borderId="0" xfId="2633" applyFont="1" applyFill="1" applyBorder="1" applyAlignment="1" applyProtection="1">
      <alignment horizontal="center" vertical="center" wrapText="1"/>
      <protection hidden="1"/>
    </xf>
    <xf numFmtId="0" fontId="9" fillId="79" borderId="0" xfId="4662" applyFont="1" applyFill="1" applyAlignment="1">
      <alignment horizontal="left"/>
    </xf>
    <xf numFmtId="0" fontId="246" fillId="0" borderId="1" xfId="4662" applyFont="1" applyBorder="1" applyAlignment="1">
      <alignment horizontal="center" vertical="center"/>
    </xf>
    <xf numFmtId="0" fontId="159" fillId="79" borderId="84" xfId="2633" applyFont="1" applyFill="1" applyBorder="1" applyAlignment="1" applyProtection="1">
      <alignment horizontal="center" vertical="center" wrapText="1"/>
      <protection hidden="1"/>
    </xf>
    <xf numFmtId="0" fontId="159" fillId="78" borderId="84" xfId="2633" applyFont="1" applyFill="1" applyBorder="1" applyAlignment="1" applyProtection="1">
      <alignment horizontal="center" vertical="center" wrapText="1"/>
      <protection hidden="1"/>
    </xf>
    <xf numFmtId="0" fontId="159" fillId="0" borderId="84" xfId="2633" applyFont="1" applyFill="1" applyBorder="1" applyAlignment="1" applyProtection="1">
      <alignment horizontal="center" vertical="center" wrapText="1"/>
      <protection hidden="1"/>
    </xf>
    <xf numFmtId="0" fontId="159" fillId="2" borderId="84" xfId="2633" applyFont="1" applyFill="1" applyBorder="1" applyAlignment="1" applyProtection="1">
      <alignment horizontal="center" vertical="center" wrapText="1"/>
      <protection hidden="1"/>
    </xf>
    <xf numFmtId="0" fontId="247" fillId="0" borderId="1" xfId="4662" applyFont="1" applyBorder="1" applyAlignment="1">
      <alignment horizontal="center" vertical="center"/>
    </xf>
    <xf numFmtId="0" fontId="247" fillId="0" borderId="1" xfId="4662" applyFont="1" applyBorder="1" applyAlignment="1">
      <alignment horizontal="justify" vertical="center" wrapText="1"/>
    </xf>
    <xf numFmtId="3" fontId="247" fillId="0" borderId="1" xfId="4662" applyNumberFormat="1" applyFont="1" applyBorder="1"/>
    <xf numFmtId="4" fontId="247" fillId="0" borderId="1" xfId="4662" applyNumberFormat="1" applyFont="1" applyBorder="1"/>
    <xf numFmtId="0" fontId="159" fillId="79" borderId="42" xfId="2633" applyFont="1" applyFill="1" applyBorder="1" applyAlignment="1" applyProtection="1">
      <alignment horizontal="center" vertical="center" wrapText="1"/>
      <protection hidden="1"/>
    </xf>
    <xf numFmtId="0" fontId="159" fillId="78" borderId="42" xfId="2633" applyFont="1" applyFill="1" applyBorder="1" applyAlignment="1" applyProtection="1">
      <alignment horizontal="center" vertical="center" wrapText="1"/>
      <protection hidden="1"/>
    </xf>
    <xf numFmtId="0" fontId="159" fillId="0" borderId="42" xfId="2633" applyFont="1" applyFill="1" applyBorder="1" applyAlignment="1" applyProtection="1">
      <alignment horizontal="center" vertical="center" wrapText="1"/>
      <protection hidden="1"/>
    </xf>
    <xf numFmtId="0" fontId="159" fillId="2" borderId="42" xfId="2633" applyFont="1" applyFill="1" applyBorder="1" applyAlignment="1" applyProtection="1">
      <alignment horizontal="center" vertical="center" wrapText="1"/>
      <protection hidden="1"/>
    </xf>
    <xf numFmtId="3" fontId="239" fillId="79" borderId="52" xfId="2633" applyNumberFormat="1" applyFont="1" applyFill="1" applyBorder="1" applyAlignment="1" applyProtection="1">
      <alignment horizontal="center" vertical="center"/>
    </xf>
    <xf numFmtId="3" fontId="239" fillId="79" borderId="76" xfId="2633" applyNumberFormat="1" applyFont="1" applyFill="1" applyBorder="1" applyAlignment="1" applyProtection="1">
      <alignment horizontal="center" vertical="center"/>
    </xf>
    <xf numFmtId="3" fontId="239" fillId="78" borderId="76" xfId="2633" applyNumberFormat="1" applyFont="1" applyFill="1" applyBorder="1" applyAlignment="1" applyProtection="1">
      <alignment horizontal="center" vertical="center"/>
    </xf>
    <xf numFmtId="3" fontId="239" fillId="0" borderId="76" xfId="2633" applyNumberFormat="1" applyFont="1" applyFill="1" applyBorder="1" applyAlignment="1" applyProtection="1">
      <alignment horizontal="center" vertical="center"/>
    </xf>
    <xf numFmtId="3" fontId="239" fillId="2" borderId="76" xfId="2633" applyNumberFormat="1" applyFont="1" applyFill="1" applyBorder="1" applyAlignment="1" applyProtection="1">
      <alignment horizontal="center" vertical="center"/>
    </xf>
    <xf numFmtId="3" fontId="239" fillId="79" borderId="0" xfId="2633" applyNumberFormat="1" applyFont="1" applyFill="1" applyBorder="1" applyAlignment="1" applyProtection="1">
      <alignment horizontal="center" vertical="center"/>
    </xf>
    <xf numFmtId="49" fontId="281" fillId="4" borderId="52" xfId="2633" applyNumberFormat="1" applyFont="1" applyFill="1" applyBorder="1" applyAlignment="1" applyProtection="1">
      <alignment horizontal="center" vertical="center" wrapText="1"/>
    </xf>
    <xf numFmtId="164" fontId="275" fillId="4" borderId="38" xfId="2633" applyNumberFormat="1" applyFont="1" applyFill="1" applyBorder="1" applyAlignment="1" applyProtection="1">
      <alignment horizontal="left" vertical="center" wrapText="1"/>
    </xf>
    <xf numFmtId="0" fontId="9" fillId="4" borderId="0" xfId="4662" applyFont="1" applyFill="1"/>
    <xf numFmtId="4" fontId="9" fillId="4" borderId="0" xfId="4662" applyNumberFormat="1" applyFont="1" applyFill="1" applyAlignment="1">
      <alignment horizontal="right" vertical="center"/>
    </xf>
    <xf numFmtId="3" fontId="239" fillId="4" borderId="52" xfId="2633" applyNumberFormat="1" applyFont="1" applyFill="1" applyBorder="1" applyAlignment="1" applyProtection="1">
      <alignment horizontal="right" vertical="center"/>
    </xf>
    <xf numFmtId="3" fontId="239" fillId="78" borderId="52" xfId="2633" applyNumberFormat="1" applyFont="1" applyFill="1" applyBorder="1" applyAlignment="1" applyProtection="1">
      <alignment horizontal="right" vertical="center"/>
    </xf>
    <xf numFmtId="3" fontId="239" fillId="4" borderId="0" xfId="2633" applyNumberFormat="1" applyFont="1" applyFill="1" applyBorder="1" applyAlignment="1" applyProtection="1">
      <alignment horizontal="right" vertical="center"/>
    </xf>
    <xf numFmtId="0" fontId="247" fillId="0" borderId="0" xfId="4662" applyFont="1" applyBorder="1"/>
    <xf numFmtId="0" fontId="247" fillId="0" borderId="0" xfId="4662" applyFont="1" applyBorder="1" applyAlignment="1">
      <alignment wrapText="1"/>
    </xf>
    <xf numFmtId="49" fontId="16" fillId="4" borderId="52" xfId="2633" applyNumberFormat="1" applyFont="1" applyFill="1" applyBorder="1" applyAlignment="1" applyProtection="1">
      <alignment horizontal="center" vertical="center"/>
    </xf>
    <xf numFmtId="164" fontId="277" fillId="4" borderId="38" xfId="2633" quotePrefix="1" applyNumberFormat="1" applyFont="1" applyFill="1" applyBorder="1" applyAlignment="1" applyProtection="1">
      <alignment horizontal="left" vertical="center" wrapText="1" indent="1"/>
    </xf>
    <xf numFmtId="3" fontId="16" fillId="4" borderId="52" xfId="2633" applyNumberFormat="1" applyFont="1" applyFill="1" applyBorder="1" applyAlignment="1" applyProtection="1">
      <alignment horizontal="right" vertical="center"/>
    </xf>
    <xf numFmtId="3" fontId="16" fillId="78" borderId="52" xfId="2633" applyNumberFormat="1" applyFont="1" applyFill="1" applyBorder="1" applyAlignment="1" applyProtection="1">
      <alignment horizontal="right" vertical="center"/>
    </xf>
    <xf numFmtId="3" fontId="16" fillId="0" borderId="52" xfId="2633" applyNumberFormat="1" applyFont="1" applyFill="1" applyBorder="1" applyAlignment="1" applyProtection="1">
      <alignment horizontal="right" vertical="center"/>
    </xf>
    <xf numFmtId="3" fontId="16" fillId="2" borderId="52" xfId="2633" applyNumberFormat="1" applyFont="1" applyFill="1" applyBorder="1" applyAlignment="1" applyProtection="1">
      <alignment horizontal="right" vertical="center"/>
    </xf>
    <xf numFmtId="3" fontId="16" fillId="4" borderId="0" xfId="2633" applyNumberFormat="1" applyFont="1" applyFill="1" applyBorder="1" applyAlignment="1" applyProtection="1">
      <alignment horizontal="right" vertical="center"/>
    </xf>
    <xf numFmtId="49" fontId="277" fillId="0" borderId="87" xfId="2633" applyNumberFormat="1" applyFont="1" applyBorder="1" applyAlignment="1" applyProtection="1">
      <alignment horizontal="center" vertical="center"/>
    </xf>
    <xf numFmtId="0" fontId="277" fillId="2" borderId="88" xfId="2633" quotePrefix="1" applyFont="1" applyFill="1" applyBorder="1" applyAlignment="1" applyProtection="1">
      <alignment horizontal="left" wrapText="1" indent="3"/>
    </xf>
    <xf numFmtId="49" fontId="277" fillId="0" borderId="89" xfId="2633" applyNumberFormat="1" applyFont="1" applyBorder="1" applyAlignment="1" applyProtection="1">
      <alignment horizontal="center" vertical="center"/>
    </xf>
    <xf numFmtId="0" fontId="277" fillId="2" borderId="90" xfId="2633" quotePrefix="1" applyFont="1" applyFill="1" applyBorder="1" applyAlignment="1" applyProtection="1">
      <alignment horizontal="left" wrapText="1" indent="3"/>
    </xf>
    <xf numFmtId="3" fontId="16" fillId="2" borderId="89" xfId="2633" applyNumberFormat="1" applyFont="1" applyFill="1" applyBorder="1" applyAlignment="1" applyProtection="1">
      <alignment horizontal="right" vertical="center"/>
    </xf>
    <xf numFmtId="3" fontId="16" fillId="78" borderId="89" xfId="2633" applyNumberFormat="1" applyFont="1" applyFill="1" applyBorder="1" applyAlignment="1" applyProtection="1">
      <alignment horizontal="right" vertical="center"/>
    </xf>
    <xf numFmtId="3" fontId="16" fillId="0" borderId="89" xfId="2633" applyNumberFormat="1" applyFont="1" applyFill="1" applyBorder="1" applyAlignment="1" applyProtection="1">
      <alignment horizontal="right" vertical="center"/>
    </xf>
    <xf numFmtId="49" fontId="277" fillId="0" borderId="91" xfId="2633" applyNumberFormat="1" applyFont="1" applyBorder="1" applyAlignment="1" applyProtection="1">
      <alignment horizontal="center" vertical="center"/>
    </xf>
    <xf numFmtId="0" fontId="277" fillId="2" borderId="92" xfId="2633" quotePrefix="1" applyFont="1" applyFill="1" applyBorder="1" applyAlignment="1" applyProtection="1">
      <alignment horizontal="left" wrapText="1" indent="3"/>
    </xf>
    <xf numFmtId="0" fontId="247" fillId="0" borderId="1" xfId="4662" applyFont="1" applyBorder="1" applyAlignment="1">
      <alignment horizontal="justify" wrapText="1"/>
    </xf>
    <xf numFmtId="0" fontId="247" fillId="0" borderId="1" xfId="4662" applyFont="1" applyBorder="1" applyAlignment="1">
      <alignment horizontal="center" vertical="center" wrapText="1"/>
    </xf>
    <xf numFmtId="0" fontId="247" fillId="0" borderId="1" xfId="4662" applyFont="1" applyBorder="1"/>
    <xf numFmtId="49" fontId="16" fillId="0" borderId="52" xfId="2633" applyNumberFormat="1" applyFont="1" applyBorder="1" applyAlignment="1" applyProtection="1">
      <alignment horizontal="center" vertical="center"/>
    </xf>
    <xf numFmtId="164" fontId="277" fillId="2" borderId="38" xfId="2633" applyNumberFormat="1" applyFont="1" applyFill="1" applyBorder="1" applyAlignment="1" applyProtection="1">
      <alignment horizontal="left" vertical="center" wrapText="1" indent="1"/>
    </xf>
    <xf numFmtId="3" fontId="16" fillId="2" borderId="52" xfId="2633" applyNumberFormat="1" applyFont="1" applyFill="1" applyBorder="1" applyAlignment="1" applyProtection="1">
      <alignment horizontal="right" vertical="center"/>
      <protection locked="0"/>
    </xf>
    <xf numFmtId="3" fontId="16" fillId="78" borderId="52" xfId="2633" applyNumberFormat="1" applyFont="1" applyFill="1" applyBorder="1" applyAlignment="1" applyProtection="1">
      <alignment horizontal="right" vertical="center"/>
      <protection locked="0"/>
    </xf>
    <xf numFmtId="3" fontId="16" fillId="0" borderId="52" xfId="2633" applyNumberFormat="1" applyFont="1" applyFill="1" applyBorder="1" applyAlignment="1" applyProtection="1">
      <alignment horizontal="right" vertical="center"/>
      <protection locked="0"/>
    </xf>
    <xf numFmtId="3" fontId="16" fillId="2" borderId="0" xfId="2633" applyNumberFormat="1" applyFont="1" applyFill="1" applyBorder="1" applyAlignment="1" applyProtection="1">
      <alignment horizontal="right" vertical="center"/>
      <protection locked="0"/>
    </xf>
    <xf numFmtId="0" fontId="261" fillId="0" borderId="1" xfId="4662" applyFont="1" applyBorder="1" applyAlignment="1">
      <alignment horizontal="right" wrapText="1"/>
    </xf>
    <xf numFmtId="0" fontId="282" fillId="2" borderId="90" xfId="2633" quotePrefix="1" applyFont="1" applyFill="1" applyBorder="1" applyAlignment="1" applyProtection="1">
      <alignment horizontal="right" wrapText="1" indent="3"/>
    </xf>
    <xf numFmtId="0" fontId="247" fillId="0" borderId="1" xfId="4662" applyFont="1" applyBorder="1" applyAlignment="1">
      <alignment horizontal="center"/>
    </xf>
    <xf numFmtId="0" fontId="261" fillId="0" borderId="0" xfId="4662" applyFont="1" applyBorder="1" applyAlignment="1">
      <alignment horizontal="right" wrapText="1"/>
    </xf>
    <xf numFmtId="0" fontId="247" fillId="0" borderId="0" xfId="4662" applyFont="1" applyAlignment="1">
      <alignment wrapText="1"/>
    </xf>
    <xf numFmtId="0" fontId="247" fillId="0" borderId="1" xfId="4662" applyFont="1" applyBorder="1" applyAlignment="1">
      <alignment vertical="center"/>
    </xf>
    <xf numFmtId="16" fontId="247" fillId="0" borderId="1" xfId="4662" applyNumberFormat="1" applyFont="1" applyBorder="1" applyAlignment="1">
      <alignment horizontal="center"/>
    </xf>
    <xf numFmtId="49" fontId="16" fillId="0" borderId="89" xfId="2633" applyNumberFormat="1" applyFont="1" applyBorder="1" applyAlignment="1" applyProtection="1">
      <alignment horizontal="center" vertical="center"/>
    </xf>
    <xf numFmtId="164" fontId="277" fillId="2" borderId="73" xfId="2633" applyNumberFormat="1" applyFont="1" applyFill="1" applyBorder="1" applyAlignment="1" applyProtection="1">
      <alignment horizontal="left" vertical="center" wrapText="1"/>
    </xf>
    <xf numFmtId="3" fontId="16" fillId="2" borderId="93" xfId="2633" applyNumberFormat="1" applyFont="1" applyFill="1" applyBorder="1" applyAlignment="1" applyProtection="1">
      <alignment horizontal="right" vertical="center"/>
    </xf>
    <xf numFmtId="3" fontId="16" fillId="78" borderId="93" xfId="2633" applyNumberFormat="1" applyFont="1" applyFill="1" applyBorder="1" applyAlignment="1" applyProtection="1">
      <alignment horizontal="right" vertical="center"/>
    </xf>
    <xf numFmtId="3" fontId="16" fillId="0" borderId="93" xfId="2633" applyNumberFormat="1" applyFont="1" applyFill="1" applyBorder="1" applyAlignment="1" applyProtection="1">
      <alignment horizontal="right" vertical="center"/>
    </xf>
    <xf numFmtId="3" fontId="16" fillId="2" borderId="89" xfId="2633" applyNumberFormat="1" applyFont="1" applyFill="1" applyBorder="1" applyAlignment="1" applyProtection="1">
      <alignment horizontal="right" vertical="center"/>
      <protection locked="0"/>
    </xf>
    <xf numFmtId="3" fontId="16" fillId="78" borderId="89" xfId="2633" applyNumberFormat="1" applyFont="1" applyFill="1" applyBorder="1" applyAlignment="1" applyProtection="1">
      <alignment horizontal="right" vertical="center"/>
      <protection locked="0"/>
    </xf>
    <xf numFmtId="3" fontId="16" fillId="0" borderId="89" xfId="2633" applyNumberFormat="1" applyFont="1" applyFill="1" applyBorder="1" applyAlignment="1" applyProtection="1">
      <alignment horizontal="right" vertical="center"/>
      <protection locked="0"/>
    </xf>
    <xf numFmtId="0" fontId="247" fillId="0" borderId="0" xfId="4662" applyFont="1" applyBorder="1" applyAlignment="1">
      <alignment horizontal="justify" wrapText="1"/>
    </xf>
    <xf numFmtId="3" fontId="247" fillId="0" borderId="0" xfId="4662" applyNumberFormat="1" applyFont="1" applyBorder="1"/>
    <xf numFmtId="49" fontId="16" fillId="0" borderId="94" xfId="2633" applyNumberFormat="1" applyFont="1" applyBorder="1" applyAlignment="1" applyProtection="1">
      <alignment horizontal="center" vertical="center"/>
    </xf>
    <xf numFmtId="164" fontId="277" fillId="2" borderId="84" xfId="2633" applyNumberFormat="1" applyFont="1" applyFill="1" applyBorder="1" applyAlignment="1" applyProtection="1">
      <alignment horizontal="left" vertical="center" wrapText="1"/>
    </xf>
    <xf numFmtId="3" fontId="16" fillId="2" borderId="94" xfId="2633" applyNumberFormat="1" applyFont="1" applyFill="1" applyBorder="1" applyAlignment="1" applyProtection="1">
      <alignment horizontal="right" vertical="center"/>
      <protection locked="0"/>
    </xf>
    <xf numFmtId="3" fontId="16" fillId="78" borderId="94" xfId="2633" applyNumberFormat="1" applyFont="1" applyFill="1" applyBorder="1" applyAlignment="1" applyProtection="1">
      <alignment horizontal="right" vertical="center"/>
      <protection locked="0"/>
    </xf>
    <xf numFmtId="3" fontId="16" fillId="0" borderId="94" xfId="2633" applyNumberFormat="1" applyFont="1" applyFill="1" applyBorder="1" applyAlignment="1" applyProtection="1">
      <alignment horizontal="right" vertical="center"/>
      <protection locked="0"/>
    </xf>
    <xf numFmtId="3" fontId="9" fillId="0" borderId="0" xfId="4662" applyNumberFormat="1" applyFont="1"/>
    <xf numFmtId="0" fontId="247" fillId="0" borderId="0" xfId="4662" applyFont="1" applyBorder="1" applyAlignment="1">
      <alignment horizontal="center" vertical="center"/>
    </xf>
    <xf numFmtId="0" fontId="247" fillId="0" borderId="0" xfId="4662" applyFont="1" applyBorder="1" applyAlignment="1">
      <alignment horizontal="justify" vertical="center" wrapText="1"/>
    </xf>
    <xf numFmtId="0" fontId="247" fillId="0" borderId="0" xfId="4662" applyFont="1" applyBorder="1" applyAlignment="1">
      <alignment horizontal="center" vertical="center" wrapText="1"/>
    </xf>
    <xf numFmtId="3" fontId="9" fillId="0" borderId="0" xfId="4662" applyNumberFormat="1" applyFont="1" applyBorder="1"/>
    <xf numFmtId="164" fontId="275" fillId="4" borderId="38" xfId="2633" applyNumberFormat="1" applyFont="1" applyFill="1" applyBorder="1" applyAlignment="1" applyProtection="1">
      <alignment vertical="center" wrapText="1"/>
    </xf>
    <xf numFmtId="49" fontId="281" fillId="5" borderId="52" xfId="2633" applyNumberFormat="1" applyFont="1" applyFill="1" applyBorder="1" applyAlignment="1" applyProtection="1">
      <alignment horizontal="center" vertical="center" wrapText="1"/>
    </xf>
    <xf numFmtId="164" fontId="275" fillId="5" borderId="38" xfId="2633" applyNumberFormat="1" applyFont="1" applyFill="1" applyBorder="1" applyAlignment="1" applyProtection="1">
      <alignment vertical="center" wrapText="1"/>
    </xf>
    <xf numFmtId="0" fontId="9" fillId="5" borderId="0" xfId="4662" applyFont="1" applyFill="1"/>
    <xf numFmtId="4" fontId="9" fillId="5" borderId="0" xfId="4662" applyNumberFormat="1" applyFont="1" applyFill="1" applyAlignment="1">
      <alignment horizontal="right" vertical="center"/>
    </xf>
    <xf numFmtId="3" fontId="239" fillId="5" borderId="52" xfId="2633" applyNumberFormat="1" applyFont="1" applyFill="1" applyBorder="1" applyAlignment="1" applyProtection="1">
      <alignment horizontal="right" vertical="center"/>
    </xf>
    <xf numFmtId="3" fontId="239" fillId="5" borderId="77" xfId="2633" applyNumberFormat="1" applyFont="1" applyFill="1" applyBorder="1" applyAlignment="1" applyProtection="1">
      <alignment horizontal="center" vertical="center"/>
    </xf>
    <xf numFmtId="3" fontId="239" fillId="78" borderId="77" xfId="2633" applyNumberFormat="1" applyFont="1" applyFill="1" applyBorder="1" applyAlignment="1" applyProtection="1">
      <alignment horizontal="center" vertical="center"/>
    </xf>
    <xf numFmtId="3" fontId="239" fillId="0" borderId="77" xfId="2633" applyNumberFormat="1" applyFont="1" applyFill="1" applyBorder="1" applyAlignment="1" applyProtection="1">
      <alignment horizontal="center" vertical="center"/>
    </xf>
    <xf numFmtId="0" fontId="262" fillId="0" borderId="1" xfId="4662" applyFont="1" applyBorder="1" applyAlignment="1">
      <alignment horizontal="center" vertical="center"/>
    </xf>
    <xf numFmtId="0" fontId="247" fillId="0" borderId="3" xfId="4662" applyFont="1" applyBorder="1" applyAlignment="1">
      <alignment horizontal="center" vertical="center"/>
    </xf>
    <xf numFmtId="0" fontId="247" fillId="0" borderId="3" xfId="4662" applyFont="1" applyBorder="1" applyAlignment="1">
      <alignment horizontal="justify" vertical="center" wrapText="1"/>
    </xf>
    <xf numFmtId="0" fontId="247" fillId="0" borderId="3" xfId="4662" applyFont="1" applyBorder="1" applyAlignment="1">
      <alignment horizontal="center" vertical="center" wrapText="1"/>
    </xf>
    <xf numFmtId="3" fontId="247" fillId="0" borderId="3" xfId="4662" applyNumberFormat="1" applyFont="1" applyBorder="1"/>
    <xf numFmtId="3" fontId="9" fillId="0" borderId="3" xfId="4662" applyNumberFormat="1" applyFont="1" applyBorder="1"/>
    <xf numFmtId="3" fontId="9" fillId="0" borderId="1" xfId="4662" applyNumberFormat="1" applyFont="1" applyBorder="1"/>
    <xf numFmtId="0" fontId="261" fillId="0" borderId="1" xfId="4662" applyFont="1" applyBorder="1" applyAlignment="1">
      <alignment horizontal="right" vertical="center" wrapText="1"/>
    </xf>
    <xf numFmtId="0" fontId="246" fillId="0" borderId="0" xfId="4662" applyFont="1" applyBorder="1" applyAlignment="1">
      <alignment horizontal="center" vertical="center"/>
    </xf>
    <xf numFmtId="0" fontId="262" fillId="0" borderId="0" xfId="4662" applyFont="1" applyBorder="1" applyAlignment="1">
      <alignment horizontal="center" vertical="center"/>
    </xf>
    <xf numFmtId="0" fontId="261" fillId="0" borderId="0" xfId="4662" applyFont="1" applyBorder="1" applyAlignment="1">
      <alignment horizontal="right" vertical="center" wrapText="1"/>
    </xf>
    <xf numFmtId="4" fontId="9" fillId="11" borderId="0" xfId="4662" applyNumberFormat="1" applyFont="1" applyFill="1" applyAlignment="1">
      <alignment horizontal="right" vertical="center"/>
    </xf>
    <xf numFmtId="4" fontId="248" fillId="0" borderId="0" xfId="4662" applyNumberFormat="1" applyFont="1" applyAlignment="1">
      <alignment horizontal="right" vertical="center"/>
    </xf>
    <xf numFmtId="4" fontId="250" fillId="0" borderId="0" xfId="4662" applyNumberFormat="1" applyFont="1" applyAlignment="1">
      <alignment horizontal="right" vertical="center"/>
    </xf>
    <xf numFmtId="0" fontId="248" fillId="0" borderId="0" xfId="4662" applyFont="1" applyAlignment="1">
      <alignment vertical="center"/>
    </xf>
    <xf numFmtId="165" fontId="40" fillId="2" borderId="1" xfId="4" applyNumberFormat="1" applyFont="1" applyFill="1" applyBorder="1"/>
    <xf numFmtId="0" fontId="13" fillId="2" borderId="4" xfId="6" applyFont="1" applyFill="1" applyBorder="1" applyAlignment="1">
      <alignment horizontal="center" vertical="center" wrapText="1"/>
    </xf>
    <xf numFmtId="0" fontId="13" fillId="2" borderId="3" xfId="6" applyFont="1" applyFill="1" applyBorder="1" applyAlignment="1">
      <alignment horizontal="center" vertical="center" wrapText="1"/>
    </xf>
    <xf numFmtId="166" fontId="41" fillId="0" borderId="12" xfId="6" applyNumberFormat="1" applyFont="1" applyFill="1" applyBorder="1" applyAlignment="1" applyProtection="1">
      <alignment horizontal="center" vertical="center" wrapText="1"/>
    </xf>
    <xf numFmtId="165" fontId="44" fillId="2" borderId="1" xfId="4" applyNumberFormat="1" applyFont="1" applyFill="1" applyBorder="1" applyAlignment="1">
      <alignment horizontal="center" vertical="center"/>
    </xf>
    <xf numFmtId="168" fontId="44" fillId="0" borderId="10" xfId="4" applyNumberFormat="1" applyFont="1" applyFill="1" applyBorder="1" applyAlignment="1">
      <alignment horizontal="center" vertical="center"/>
    </xf>
    <xf numFmtId="165" fontId="43" fillId="2" borderId="1" xfId="4" applyNumberFormat="1" applyFont="1" applyFill="1" applyBorder="1" applyAlignment="1">
      <alignment horizontal="left" vertical="center"/>
    </xf>
    <xf numFmtId="49" fontId="43" fillId="2" borderId="1" xfId="2" applyNumberFormat="1" applyFont="1" applyFill="1" applyBorder="1" applyAlignment="1">
      <alignment horizontal="center" vertical="center"/>
    </xf>
    <xf numFmtId="168" fontId="43" fillId="0" borderId="10" xfId="4" applyNumberFormat="1" applyFont="1" applyFill="1" applyBorder="1" applyAlignment="1">
      <alignment horizontal="center" vertical="center"/>
    </xf>
    <xf numFmtId="165" fontId="43" fillId="0" borderId="10" xfId="4" applyNumberFormat="1" applyFont="1" applyFill="1" applyBorder="1" applyAlignment="1">
      <alignment horizontal="center" vertical="center"/>
    </xf>
    <xf numFmtId="49" fontId="44" fillId="2" borderId="1" xfId="2" applyNumberFormat="1" applyFont="1" applyFill="1" applyBorder="1" applyAlignment="1">
      <alignment horizontal="right" vertical="center"/>
    </xf>
    <xf numFmtId="49" fontId="44" fillId="2" borderId="10" xfId="2" applyNumberFormat="1" applyFont="1" applyFill="1" applyBorder="1" applyAlignment="1">
      <alignment horizontal="center" vertical="center"/>
    </xf>
    <xf numFmtId="165" fontId="44" fillId="2" borderId="1" xfId="4" applyNumberFormat="1" applyFont="1" applyFill="1" applyBorder="1" applyAlignment="1">
      <alignment horizontal="right" vertical="center"/>
    </xf>
    <xf numFmtId="168" fontId="44" fillId="0" borderId="10" xfId="4" applyNumberFormat="1" applyFont="1" applyFill="1" applyBorder="1" applyAlignment="1">
      <alignment horizontal="right" vertical="center"/>
    </xf>
    <xf numFmtId="165" fontId="44" fillId="2" borderId="10" xfId="4" applyNumberFormat="1" applyFont="1" applyFill="1" applyBorder="1" applyAlignment="1">
      <alignment horizontal="right" vertical="center"/>
    </xf>
    <xf numFmtId="165" fontId="31" fillId="2" borderId="1" xfId="4" applyNumberFormat="1" applyFont="1" applyFill="1" applyBorder="1" applyAlignment="1">
      <alignment horizontal="right"/>
    </xf>
    <xf numFmtId="165" fontId="43" fillId="8" borderId="10" xfId="4" applyNumberFormat="1" applyFont="1" applyFill="1" applyBorder="1" applyAlignment="1">
      <alignment horizontal="center" vertical="center"/>
    </xf>
    <xf numFmtId="49" fontId="44" fillId="0" borderId="10" xfId="2" applyNumberFormat="1" applyFont="1" applyFill="1" applyBorder="1" applyAlignment="1">
      <alignment horizontal="center" vertical="center"/>
    </xf>
    <xf numFmtId="4" fontId="45" fillId="0" borderId="0" xfId="5688" applyNumberFormat="1" applyFont="1" applyFill="1" applyAlignment="1">
      <alignment horizontal="center" vertical="center"/>
    </xf>
    <xf numFmtId="168" fontId="45" fillId="0" borderId="0" xfId="5688" applyNumberFormat="1" applyFont="1" applyFill="1" applyAlignment="1">
      <alignment horizontal="center" vertical="center"/>
    </xf>
    <xf numFmtId="49" fontId="43" fillId="11" borderId="1" xfId="2" applyNumberFormat="1" applyFont="1" applyFill="1" applyBorder="1" applyAlignment="1">
      <alignment horizontal="center" vertical="center"/>
    </xf>
    <xf numFmtId="165" fontId="5" fillId="2" borderId="1" xfId="4" applyNumberFormat="1" applyFont="1" applyFill="1" applyBorder="1" applyAlignment="1">
      <alignment horizontal="justify" wrapText="1"/>
    </xf>
    <xf numFmtId="165" fontId="25" fillId="2" borderId="1" xfId="4" applyNumberFormat="1" applyFont="1" applyFill="1" applyBorder="1" applyAlignment="1">
      <alignment horizontal="justify" wrapText="1"/>
    </xf>
    <xf numFmtId="165" fontId="44" fillId="2" borderId="10" xfId="4" applyNumberFormat="1" applyFont="1" applyFill="1" applyBorder="1" applyAlignment="1">
      <alignment horizontal="center" vertical="center"/>
    </xf>
    <xf numFmtId="49" fontId="43" fillId="0" borderId="1" xfId="2" applyNumberFormat="1" applyFont="1" applyFill="1" applyBorder="1" applyAlignment="1">
      <alignment horizontal="center" vertical="center" wrapText="1"/>
    </xf>
    <xf numFmtId="168" fontId="41" fillId="0" borderId="10" xfId="4" applyNumberFormat="1" applyFont="1" applyFill="1" applyBorder="1" applyAlignment="1">
      <alignment horizontal="center" vertical="center"/>
    </xf>
    <xf numFmtId="165" fontId="41" fillId="2" borderId="10" xfId="4" applyNumberFormat="1" applyFont="1" applyFill="1" applyBorder="1" applyAlignment="1">
      <alignment horizontal="center" vertical="center"/>
    </xf>
    <xf numFmtId="168" fontId="45" fillId="0" borderId="10" xfId="4" applyNumberFormat="1" applyFont="1" applyFill="1" applyBorder="1" applyAlignment="1">
      <alignment horizontal="center" vertical="center"/>
    </xf>
    <xf numFmtId="165" fontId="45" fillId="0" borderId="10" xfId="4" applyNumberFormat="1" applyFont="1" applyFill="1" applyBorder="1" applyAlignment="1">
      <alignment horizontal="center" vertical="center"/>
    </xf>
    <xf numFmtId="49" fontId="45" fillId="2" borderId="1" xfId="2" applyNumberFormat="1" applyFont="1" applyFill="1" applyBorder="1" applyAlignment="1">
      <alignment horizontal="left" vertical="center"/>
    </xf>
    <xf numFmtId="49" fontId="45" fillId="2" borderId="1" xfId="2" applyNumberFormat="1" applyFont="1" applyFill="1" applyBorder="1" applyAlignment="1">
      <alignment horizontal="center" vertical="center"/>
    </xf>
    <xf numFmtId="49" fontId="43" fillId="2" borderId="1" xfId="2" applyNumberFormat="1" applyFont="1" applyFill="1" applyBorder="1" applyAlignment="1">
      <alignment horizontal="left" vertical="center" wrapText="1"/>
    </xf>
    <xf numFmtId="49" fontId="43" fillId="2" borderId="1" xfId="2" applyNumberFormat="1" applyFont="1" applyFill="1" applyBorder="1" applyAlignment="1">
      <alignment horizontal="center" vertical="center" wrapText="1"/>
    </xf>
    <xf numFmtId="49" fontId="43" fillId="80" borderId="4" xfId="2" applyNumberFormat="1" applyFont="1" applyFill="1" applyBorder="1" applyAlignment="1">
      <alignment horizontal="center" vertical="center" wrapText="1"/>
    </xf>
    <xf numFmtId="165" fontId="43" fillId="80" borderId="1" xfId="4" applyNumberFormat="1" applyFont="1" applyFill="1" applyBorder="1" applyAlignment="1">
      <alignment horizontal="center" vertical="center"/>
    </xf>
    <xf numFmtId="49" fontId="43" fillId="0" borderId="4" xfId="2" applyNumberFormat="1" applyFont="1" applyFill="1" applyBorder="1" applyAlignment="1">
      <alignment horizontal="center" vertical="center" wrapText="1"/>
    </xf>
    <xf numFmtId="49" fontId="43" fillId="80" borderId="1" xfId="2" applyNumberFormat="1" applyFont="1" applyFill="1" applyBorder="1" applyAlignment="1">
      <alignment horizontal="center" vertical="center" wrapText="1"/>
    </xf>
    <xf numFmtId="165" fontId="45" fillId="8" borderId="10" xfId="4" applyNumberFormat="1" applyFont="1" applyFill="1" applyBorder="1" applyAlignment="1">
      <alignment horizontal="center" vertical="center"/>
    </xf>
    <xf numFmtId="165" fontId="45" fillId="2" borderId="1" xfId="5" applyNumberFormat="1" applyFont="1" applyFill="1" applyBorder="1" applyAlignment="1" applyProtection="1">
      <alignment horizontal="left" vertical="center"/>
    </xf>
    <xf numFmtId="165" fontId="45" fillId="2" borderId="1" xfId="5" applyNumberFormat="1" applyFont="1" applyFill="1" applyBorder="1" applyAlignment="1" applyProtection="1">
      <alignment horizontal="center" vertical="center"/>
    </xf>
    <xf numFmtId="168" fontId="43" fillId="2" borderId="10" xfId="4" applyNumberFormat="1" applyFont="1" applyFill="1" applyBorder="1" applyAlignment="1">
      <alignment horizontal="center" vertical="center"/>
    </xf>
    <xf numFmtId="2" fontId="47" fillId="0" borderId="1" xfId="5688" applyNumberFormat="1" applyFont="1" applyFill="1" applyBorder="1" applyAlignment="1">
      <alignment horizontal="justify" vertical="center" wrapText="1"/>
    </xf>
    <xf numFmtId="165" fontId="31" fillId="2" borderId="1" xfId="4" applyNumberFormat="1" applyFont="1" applyFill="1" applyBorder="1"/>
    <xf numFmtId="165" fontId="41" fillId="0" borderId="1" xfId="4" applyNumberFormat="1" applyFont="1" applyFill="1" applyBorder="1" applyAlignment="1">
      <alignment horizontal="right" vertical="center"/>
    </xf>
    <xf numFmtId="168" fontId="41" fillId="0" borderId="10" xfId="4" applyNumberFormat="1" applyFont="1" applyFill="1" applyBorder="1" applyAlignment="1">
      <alignment horizontal="right" vertical="center"/>
    </xf>
    <xf numFmtId="165" fontId="41" fillId="2" borderId="10" xfId="4" applyNumberFormat="1" applyFont="1" applyFill="1" applyBorder="1" applyAlignment="1">
      <alignment horizontal="right" vertical="center"/>
    </xf>
    <xf numFmtId="165" fontId="25" fillId="2" borderId="1" xfId="4" applyNumberFormat="1" applyFont="1" applyFill="1" applyBorder="1" applyAlignment="1">
      <alignment vertical="center"/>
    </xf>
    <xf numFmtId="165" fontId="25" fillId="2" borderId="1" xfId="4" applyNumberFormat="1" applyFont="1" applyFill="1" applyBorder="1" applyAlignment="1">
      <alignment vertical="center" wrapText="1"/>
    </xf>
    <xf numFmtId="165" fontId="41" fillId="0" borderId="0" xfId="5" applyNumberFormat="1" applyFont="1" applyFill="1" applyBorder="1" applyAlignment="1" applyProtection="1">
      <alignment horizontal="left" vertical="center" wrapText="1"/>
    </xf>
    <xf numFmtId="1" fontId="43" fillId="2" borderId="1" xfId="2" applyNumberFormat="1" applyFont="1" applyFill="1" applyBorder="1" applyAlignment="1">
      <alignment horizontal="center" vertical="center"/>
    </xf>
    <xf numFmtId="165" fontId="25" fillId="0" borderId="1" xfId="4" applyNumberFormat="1" applyFont="1" applyFill="1" applyBorder="1" applyAlignment="1">
      <alignment horizontal="justify" wrapText="1"/>
    </xf>
    <xf numFmtId="49" fontId="45" fillId="11" borderId="1" xfId="2" applyNumberFormat="1" applyFont="1" applyFill="1" applyBorder="1" applyAlignment="1">
      <alignment horizontal="center" vertical="center"/>
    </xf>
    <xf numFmtId="165" fontId="41" fillId="11" borderId="10" xfId="4" applyNumberFormat="1" applyFont="1" applyFill="1" applyBorder="1" applyAlignment="1">
      <alignment horizontal="center" vertical="center"/>
    </xf>
    <xf numFmtId="168" fontId="41" fillId="11" borderId="10" xfId="4" applyNumberFormat="1" applyFont="1" applyFill="1" applyBorder="1" applyAlignment="1">
      <alignment horizontal="center" vertical="center"/>
    </xf>
    <xf numFmtId="165" fontId="44" fillId="2" borderId="3" xfId="4" applyNumberFormat="1" applyFont="1" applyFill="1" applyBorder="1" applyAlignment="1">
      <alignment horizontal="center" vertical="center"/>
    </xf>
    <xf numFmtId="165" fontId="45" fillId="8" borderId="1" xfId="5" applyNumberFormat="1" applyFont="1" applyFill="1" applyBorder="1" applyAlignment="1" applyProtection="1">
      <alignment horizontal="center" vertical="center"/>
    </xf>
    <xf numFmtId="168" fontId="44" fillId="8" borderId="10" xfId="4" applyNumberFormat="1" applyFont="1" applyFill="1" applyBorder="1" applyAlignment="1">
      <alignment horizontal="center" vertical="center"/>
    </xf>
    <xf numFmtId="165" fontId="44" fillId="8" borderId="10" xfId="4" applyNumberFormat="1" applyFont="1" applyFill="1" applyBorder="1" applyAlignment="1">
      <alignment horizontal="center" vertical="center"/>
    </xf>
    <xf numFmtId="165" fontId="31" fillId="8" borderId="0" xfId="4" applyNumberFormat="1" applyFont="1" applyFill="1"/>
    <xf numFmtId="168" fontId="44" fillId="12" borderId="10" xfId="4" applyNumberFormat="1" applyFont="1" applyFill="1" applyBorder="1" applyAlignment="1">
      <alignment horizontal="center" vertical="center"/>
    </xf>
    <xf numFmtId="165" fontId="44" fillId="12" borderId="10" xfId="4" applyNumberFormat="1" applyFont="1" applyFill="1" applyBorder="1" applyAlignment="1">
      <alignment horizontal="center" vertical="center"/>
    </xf>
    <xf numFmtId="165" fontId="25" fillId="12" borderId="1" xfId="4" applyNumberFormat="1" applyFont="1" applyFill="1" applyBorder="1"/>
    <xf numFmtId="165" fontId="43" fillId="2" borderId="1" xfId="4" applyNumberFormat="1" applyFont="1" applyFill="1" applyBorder="1" applyAlignment="1">
      <alignment vertical="center"/>
    </xf>
    <xf numFmtId="168" fontId="44" fillId="0" borderId="1" xfId="4" applyNumberFormat="1" applyFont="1" applyFill="1" applyBorder="1" applyAlignment="1">
      <alignment horizontal="center" vertical="center"/>
    </xf>
    <xf numFmtId="49" fontId="45" fillId="2" borderId="1" xfId="2" applyNumberFormat="1" applyFont="1" applyFill="1" applyBorder="1" applyAlignment="1">
      <alignment vertical="center"/>
    </xf>
    <xf numFmtId="49" fontId="41" fillId="12" borderId="1" xfId="2" applyNumberFormat="1" applyFont="1" applyFill="1" applyBorder="1" applyAlignment="1">
      <alignment horizontal="center" vertical="center"/>
    </xf>
    <xf numFmtId="165" fontId="31" fillId="12" borderId="1" xfId="4" applyNumberFormat="1" applyFont="1" applyFill="1" applyBorder="1"/>
    <xf numFmtId="49" fontId="43" fillId="0" borderId="1" xfId="2" applyNumberFormat="1" applyFont="1" applyFill="1" applyBorder="1" applyAlignment="1">
      <alignment horizontal="center" vertical="center"/>
    </xf>
    <xf numFmtId="165" fontId="25" fillId="0" borderId="1" xfId="4" applyNumberFormat="1" applyFont="1" applyFill="1" applyBorder="1"/>
    <xf numFmtId="49" fontId="43" fillId="2" borderId="1" xfId="5688" applyNumberFormat="1" applyFont="1" applyFill="1" applyBorder="1" applyAlignment="1">
      <alignment horizontal="justify" vertical="center"/>
    </xf>
    <xf numFmtId="165" fontId="41" fillId="8" borderId="1" xfId="4" applyNumberFormat="1" applyFont="1" applyFill="1" applyBorder="1" applyAlignment="1">
      <alignment horizontal="center" vertical="center"/>
    </xf>
    <xf numFmtId="165" fontId="41" fillId="2" borderId="11" xfId="5" applyNumberFormat="1" applyFont="1" applyFill="1" applyBorder="1" applyAlignment="1" applyProtection="1">
      <alignment horizontal="center" vertical="center"/>
    </xf>
    <xf numFmtId="0" fontId="14" fillId="0" borderId="1" xfId="5688" applyFont="1" applyBorder="1" applyAlignment="1">
      <alignment horizontal="center" vertical="center" wrapText="1"/>
    </xf>
    <xf numFmtId="0" fontId="284" fillId="0" borderId="1" xfId="5688" applyBorder="1" applyAlignment="1">
      <alignment vertical="center" wrapText="1"/>
    </xf>
    <xf numFmtId="0" fontId="7" fillId="0" borderId="1" xfId="5688" applyFont="1" applyBorder="1" applyAlignment="1">
      <alignment horizontal="center" vertical="center" wrapText="1"/>
    </xf>
    <xf numFmtId="0" fontId="7" fillId="0" borderId="2" xfId="5688" applyFont="1" applyFill="1" applyBorder="1" applyAlignment="1">
      <alignment horizontal="center" vertical="center" wrapText="1"/>
    </xf>
    <xf numFmtId="0" fontId="284" fillId="0" borderId="0" xfId="5688" applyFill="1" applyBorder="1" applyAlignment="1">
      <alignment horizontal="center" vertical="center" wrapText="1"/>
    </xf>
    <xf numFmtId="0" fontId="284" fillId="0" borderId="9" xfId="5688" applyFill="1" applyBorder="1" applyAlignment="1">
      <alignment horizontal="center" vertical="center" wrapText="1"/>
    </xf>
    <xf numFmtId="0" fontId="7" fillId="0" borderId="9" xfId="5688" applyFont="1" applyFill="1" applyBorder="1" applyAlignment="1">
      <alignment horizontal="center" vertical="center" wrapText="1"/>
    </xf>
    <xf numFmtId="0" fontId="7" fillId="0" borderId="0" xfId="5688" applyFont="1" applyFill="1" applyBorder="1" applyAlignment="1">
      <alignment horizontal="center" vertical="center" wrapText="1"/>
    </xf>
    <xf numFmtId="0" fontId="284" fillId="0" borderId="33" xfId="5688" applyFill="1" applyBorder="1" applyAlignment="1">
      <alignment horizontal="center" vertical="center" wrapText="1"/>
    </xf>
    <xf numFmtId="0" fontId="284" fillId="0" borderId="3" xfId="5688" applyFill="1" applyBorder="1" applyAlignment="1">
      <alignment horizontal="center" vertical="center" wrapText="1"/>
    </xf>
    <xf numFmtId="49" fontId="37" fillId="0" borderId="3" xfId="5688" applyNumberFormat="1" applyFont="1" applyFill="1" applyBorder="1" applyAlignment="1">
      <alignment horizontal="center" vertical="center" wrapText="1"/>
    </xf>
    <xf numFmtId="0" fontId="37" fillId="0" borderId="3" xfId="5688" applyFont="1" applyFill="1" applyBorder="1" applyAlignment="1">
      <alignment horizontal="center" vertical="center" wrapText="1"/>
    </xf>
    <xf numFmtId="0" fontId="37" fillId="0" borderId="13" xfId="5688" applyFont="1" applyFill="1" applyBorder="1" applyAlignment="1">
      <alignment horizontal="center" vertical="center" wrapText="1"/>
    </xf>
    <xf numFmtId="0" fontId="284" fillId="0" borderId="13" xfId="5688" applyFill="1" applyBorder="1" applyAlignment="1">
      <alignment horizontal="center" vertical="center" wrapText="1"/>
    </xf>
    <xf numFmtId="0" fontId="7" fillId="0" borderId="1" xfId="5688" applyFont="1" applyFill="1" applyBorder="1" applyAlignment="1">
      <alignment horizontal="center" vertical="center"/>
    </xf>
    <xf numFmtId="0" fontId="7" fillId="0" borderId="1" xfId="5688" applyFont="1" applyFill="1" applyBorder="1" applyAlignment="1">
      <alignment horizontal="center" vertical="center" wrapText="1"/>
    </xf>
    <xf numFmtId="165" fontId="25" fillId="2" borderId="0" xfId="4" applyNumberFormat="1" applyFont="1" applyFill="1" applyAlignment="1">
      <alignment vertical="center" wrapText="1"/>
    </xf>
    <xf numFmtId="165" fontId="25" fillId="2" borderId="96" xfId="4" applyNumberFormat="1" applyFont="1" applyFill="1" applyBorder="1"/>
    <xf numFmtId="165" fontId="38" fillId="4" borderId="51" xfId="4" applyNumberFormat="1" applyFont="1" applyFill="1" applyBorder="1"/>
    <xf numFmtId="165" fontId="38" fillId="8" borderId="51" xfId="4" applyNumberFormat="1" applyFont="1" applyFill="1" applyBorder="1"/>
    <xf numFmtId="165" fontId="44" fillId="8" borderId="1" xfId="4" applyNumberFormat="1" applyFont="1" applyFill="1" applyBorder="1" applyAlignment="1">
      <alignment horizontal="right" vertical="center"/>
    </xf>
    <xf numFmtId="165" fontId="41" fillId="8" borderId="4" xfId="4" applyNumberFormat="1" applyFont="1" applyFill="1" applyBorder="1" applyAlignment="1">
      <alignment horizontal="center" vertical="center"/>
    </xf>
    <xf numFmtId="3" fontId="241" fillId="0" borderId="0" xfId="2" applyNumberFormat="1" applyFont="1" applyBorder="1" applyAlignment="1">
      <alignment horizontal="left" vertical="center"/>
    </xf>
    <xf numFmtId="4" fontId="241" fillId="0" borderId="0" xfId="2" applyNumberFormat="1" applyFont="1" applyBorder="1" applyAlignment="1">
      <alignment horizontal="left" vertical="center"/>
    </xf>
    <xf numFmtId="3" fontId="241" fillId="0" borderId="0" xfId="2" applyNumberFormat="1" applyFont="1" applyFill="1" applyBorder="1" applyAlignment="1">
      <alignment horizontal="left" vertical="center"/>
    </xf>
    <xf numFmtId="0" fontId="230" fillId="0" borderId="11" xfId="2" applyFont="1" applyBorder="1" applyAlignment="1">
      <alignment horizontal="left" vertical="center" wrapText="1"/>
    </xf>
    <xf numFmtId="0" fontId="18" fillId="0" borderId="10" xfId="2" applyFont="1" applyBorder="1" applyAlignment="1">
      <alignment horizontal="center" vertical="center"/>
    </xf>
    <xf numFmtId="0" fontId="18" fillId="0" borderId="11" xfId="2" applyFont="1" applyBorder="1" applyAlignment="1">
      <alignment horizontal="left" vertical="center" wrapText="1"/>
    </xf>
    <xf numFmtId="0" fontId="18" fillId="0" borderId="98" xfId="2" applyFont="1" applyBorder="1" applyAlignment="1">
      <alignment horizontal="center" vertical="center" wrapText="1"/>
    </xf>
    <xf numFmtId="0" fontId="18" fillId="0" borderId="95" xfId="2" applyFont="1" applyBorder="1" applyAlignment="1">
      <alignment horizontal="center" vertical="center"/>
    </xf>
    <xf numFmtId="3" fontId="23" fillId="0" borderId="100" xfId="2" applyNumberFormat="1" applyFont="1" applyBorder="1" applyAlignment="1">
      <alignment horizontal="center" vertical="center"/>
    </xf>
    <xf numFmtId="3" fontId="18" fillId="0" borderId="100" xfId="2" applyNumberFormat="1" applyFont="1" applyBorder="1" applyAlignment="1">
      <alignment horizontal="center" vertical="center"/>
    </xf>
    <xf numFmtId="3" fontId="18" fillId="8" borderId="100" xfId="2" applyNumberFormat="1" applyFont="1" applyFill="1" applyBorder="1" applyAlignment="1">
      <alignment horizontal="center" vertical="center"/>
    </xf>
    <xf numFmtId="3" fontId="18" fillId="0" borderId="100" xfId="2" applyNumberFormat="1" applyFont="1" applyFill="1" applyBorder="1" applyAlignment="1">
      <alignment horizontal="center" vertical="center"/>
    </xf>
    <xf numFmtId="0" fontId="23" fillId="0" borderId="10" xfId="2" applyFont="1" applyBorder="1" applyAlignment="1">
      <alignment horizontal="center" vertical="center"/>
    </xf>
    <xf numFmtId="3" fontId="18" fillId="0" borderId="95" xfId="2" applyNumberFormat="1" applyFont="1" applyBorder="1" applyAlignment="1">
      <alignment horizontal="center" vertical="center"/>
    </xf>
    <xf numFmtId="172" fontId="18" fillId="0" borderId="0" xfId="2" applyNumberFormat="1" applyFont="1"/>
    <xf numFmtId="0" fontId="18" fillId="0" borderId="0" xfId="2" applyFont="1" applyAlignment="1">
      <alignment wrapText="1"/>
    </xf>
    <xf numFmtId="3" fontId="18" fillId="15" borderId="100" xfId="2" applyNumberFormat="1" applyFont="1" applyFill="1" applyBorder="1" applyAlignment="1">
      <alignment horizontal="center" vertical="center"/>
    </xf>
    <xf numFmtId="4" fontId="18" fillId="0" borderId="97" xfId="2" applyNumberFormat="1" applyFont="1" applyBorder="1" applyAlignment="1">
      <alignment horizontal="center" vertical="center"/>
    </xf>
    <xf numFmtId="4" fontId="23" fillId="0" borderId="0" xfId="2" applyNumberFormat="1" applyFont="1"/>
    <xf numFmtId="4" fontId="247" fillId="2" borderId="0" xfId="4662" applyNumberFormat="1" applyFont="1" applyFill="1"/>
    <xf numFmtId="3" fontId="7" fillId="0" borderId="0" xfId="2" applyNumberFormat="1" applyFont="1"/>
    <xf numFmtId="3" fontId="17" fillId="0" borderId="0" xfId="2" applyNumberFormat="1" applyFont="1"/>
    <xf numFmtId="0" fontId="9" fillId="2" borderId="0" xfId="0" applyFont="1" applyFill="1" applyAlignment="1">
      <alignment horizontal="right" vertical="top" wrapText="1"/>
    </xf>
    <xf numFmtId="0" fontId="9" fillId="2" borderId="0" xfId="0" applyFont="1" applyFill="1" applyAlignment="1">
      <alignment horizontal="right" wrapText="1"/>
    </xf>
    <xf numFmtId="4" fontId="3" fillId="0" borderId="1" xfId="0" applyNumberFormat="1" applyFont="1" applyFill="1" applyBorder="1" applyAlignment="1">
      <alignment horizontal="justify" vertical="center" wrapText="1"/>
    </xf>
    <xf numFmtId="4" fontId="3" fillId="2" borderId="95"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0" fontId="5" fillId="0" borderId="0" xfId="0" applyFont="1" applyAlignment="1">
      <alignment horizontal="right" wrapText="1"/>
    </xf>
    <xf numFmtId="0" fontId="11" fillId="0" borderId="0" xfId="0" applyFont="1" applyAlignment="1">
      <alignment horizontal="center" vertical="center" wrapText="1"/>
    </xf>
    <xf numFmtId="0" fontId="10" fillId="0" borderId="0" xfId="0" applyFont="1" applyAlignment="1">
      <alignment horizontal="center" vertical="top" wrapText="1"/>
    </xf>
    <xf numFmtId="0" fontId="293" fillId="2" borderId="1" xfId="0" applyFont="1" applyFill="1" applyBorder="1" applyAlignment="1">
      <alignment horizontal="center" vertical="center" wrapText="1"/>
    </xf>
    <xf numFmtId="0" fontId="293" fillId="2" borderId="1" xfId="0" applyFont="1" applyFill="1" applyBorder="1" applyAlignment="1">
      <alignment horizontal="left" vertical="center" wrapText="1"/>
    </xf>
    <xf numFmtId="0" fontId="293" fillId="2" borderId="1" xfId="0" applyFont="1" applyFill="1" applyBorder="1" applyAlignment="1">
      <alignment vertical="center" wrapText="1"/>
    </xf>
    <xf numFmtId="0" fontId="294" fillId="2" borderId="1" xfId="1" applyFont="1" applyFill="1" applyBorder="1" applyAlignment="1">
      <alignment horizontal="left" vertical="center" wrapText="1"/>
    </xf>
    <xf numFmtId="0" fontId="294" fillId="2" borderId="1" xfId="0" applyFont="1" applyFill="1" applyBorder="1" applyAlignment="1">
      <alignment horizontal="left" vertical="center" wrapText="1"/>
    </xf>
    <xf numFmtId="4" fontId="295" fillId="2" borderId="1" xfId="4662" applyNumberFormat="1" applyFont="1" applyFill="1" applyBorder="1" applyAlignment="1">
      <alignment horizontal="right" vertical="center"/>
    </xf>
    <xf numFmtId="4" fontId="8" fillId="0" borderId="0" xfId="0" applyNumberFormat="1" applyFont="1" applyAlignment="1">
      <alignment wrapText="1"/>
    </xf>
    <xf numFmtId="0" fontId="3" fillId="8" borderId="0" xfId="0" applyFont="1" applyFill="1" applyAlignment="1">
      <alignment wrapText="1"/>
    </xf>
    <xf numFmtId="215" fontId="3" fillId="0" borderId="0" xfId="0" applyNumberFormat="1" applyFont="1" applyAlignment="1">
      <alignment horizontal="left"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3" fillId="0" borderId="0" xfId="0" applyFont="1" applyFill="1" applyAlignment="1">
      <alignment wrapText="1"/>
    </xf>
    <xf numFmtId="0" fontId="9" fillId="0" borderId="1" xfId="0" applyFont="1" applyFill="1" applyBorder="1" applyAlignment="1">
      <alignment horizontal="justify" vertical="center" wrapText="1"/>
    </xf>
    <xf numFmtId="0" fontId="9" fillId="0" borderId="1" xfId="0"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0" fontId="9" fillId="0" borderId="0" xfId="0" applyFont="1" applyFill="1" applyAlignment="1">
      <alignment wrapText="1"/>
    </xf>
    <xf numFmtId="0" fontId="9" fillId="0" borderId="1" xfId="0" applyFont="1" applyFill="1" applyBorder="1" applyAlignment="1">
      <alignment horizontal="right" vertical="center" wrapText="1"/>
    </xf>
    <xf numFmtId="214"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vertical="center" wrapText="1"/>
    </xf>
    <xf numFmtId="0" fontId="3" fillId="0" borderId="0" xfId="0" applyFont="1" applyFill="1" applyAlignment="1">
      <alignment horizontal="center" vertical="center" wrapText="1"/>
    </xf>
    <xf numFmtId="4" fontId="3" fillId="0" borderId="0" xfId="0" applyNumberFormat="1" applyFont="1" applyAlignment="1">
      <alignment vertical="center" wrapText="1"/>
    </xf>
    <xf numFmtId="4" fontId="3" fillId="2" borderId="1" xfId="0" applyNumberFormat="1" applyFont="1" applyFill="1" applyBorder="1" applyAlignment="1">
      <alignment horizontal="justify" vertical="center" wrapText="1"/>
    </xf>
    <xf numFmtId="0" fontId="0" fillId="0" borderId="0" xfId="0" applyAlignment="1">
      <alignment horizontal="justify" wrapText="1"/>
    </xf>
    <xf numFmtId="49" fontId="3" fillId="0" borderId="0" xfId="0" applyNumberFormat="1" applyFont="1" applyAlignment="1">
      <alignment horizontal="left" vertical="center" wrapText="1"/>
    </xf>
    <xf numFmtId="0" fontId="0" fillId="0" borderId="0" xfId="0" applyFill="1" applyAlignment="1">
      <alignment horizontal="justify" wrapText="1"/>
    </xf>
    <xf numFmtId="0" fontId="3" fillId="0" borderId="0" xfId="0" applyFont="1" applyAlignment="1">
      <alignment horizontal="right" wrapText="1"/>
    </xf>
    <xf numFmtId="4" fontId="8" fillId="2" borderId="95" xfId="0" applyNumberFormat="1" applyFont="1" applyFill="1" applyBorder="1" applyAlignment="1">
      <alignment horizontal="center" vertical="center" wrapText="1"/>
    </xf>
    <xf numFmtId="4" fontId="3" fillId="0" borderId="95" xfId="0" applyNumberFormat="1" applyFont="1" applyFill="1" applyBorder="1" applyAlignment="1">
      <alignment horizontal="center" vertical="center" wrapText="1"/>
    </xf>
    <xf numFmtId="4" fontId="8" fillId="0" borderId="95"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3" fillId="0" borderId="0" xfId="0" applyFont="1" applyAlignment="1">
      <alignment horizontal="right" wrapText="1"/>
    </xf>
    <xf numFmtId="0" fontId="11" fillId="0" borderId="0" xfId="0" applyFont="1" applyAlignment="1">
      <alignment horizontal="right" wrapText="1"/>
    </xf>
    <xf numFmtId="0" fontId="12" fillId="2" borderId="0" xfId="0" applyFont="1" applyFill="1" applyAlignment="1">
      <alignment horizontal="center" vertical="center" wrapText="1"/>
    </xf>
    <xf numFmtId="0" fontId="12" fillId="0" borderId="0" xfId="0" applyFont="1" applyAlignment="1">
      <alignment horizontal="center" vertical="center"/>
    </xf>
    <xf numFmtId="0" fontId="289" fillId="0" borderId="0" xfId="0" applyFont="1" applyAlignment="1"/>
    <xf numFmtId="0" fontId="40" fillId="0" borderId="0" xfId="0" applyFont="1" applyAlignment="1">
      <alignment horizontal="center" vertical="center" wrapText="1"/>
    </xf>
    <xf numFmtId="0" fontId="289" fillId="0" borderId="0" xfId="0" applyFont="1" applyAlignment="1">
      <alignment horizontal="center" vertical="center" wrapText="1"/>
    </xf>
    <xf numFmtId="0" fontId="291" fillId="0" borderId="0" xfId="0" applyFont="1" applyAlignment="1">
      <alignment horizontal="center" vertical="center" wrapText="1"/>
    </xf>
    <xf numFmtId="0" fontId="292" fillId="0" borderId="0" xfId="0" applyFont="1" applyAlignment="1">
      <alignment horizontal="center" vertical="center" wrapText="1"/>
    </xf>
    <xf numFmtId="0" fontId="10" fillId="0" borderId="0" xfId="0" applyFont="1" applyAlignment="1">
      <alignment horizontal="center" vertical="top"/>
    </xf>
    <xf numFmtId="0" fontId="288" fillId="0" borderId="0" xfId="0" applyFont="1" applyAlignment="1">
      <alignment vertical="top"/>
    </xf>
    <xf numFmtId="0" fontId="3" fillId="0" borderId="0" xfId="0" applyFont="1" applyAlignment="1">
      <alignment horizontal="right" wrapText="1"/>
    </xf>
    <xf numFmtId="0" fontId="12" fillId="0" borderId="0" xfId="0" applyFont="1" applyAlignment="1">
      <alignment horizontal="center" vertical="center" wrapText="1"/>
    </xf>
    <xf numFmtId="0" fontId="3" fillId="0" borderId="97" xfId="0" applyFont="1" applyBorder="1" applyAlignment="1">
      <alignment horizontal="center" vertical="center" wrapText="1"/>
    </xf>
    <xf numFmtId="0" fontId="3" fillId="0" borderId="98" xfId="0" applyFont="1" applyBorder="1" applyAlignment="1">
      <alignment horizontal="center" vertical="center" wrapText="1"/>
    </xf>
    <xf numFmtId="0" fontId="3" fillId="0" borderId="99" xfId="0" applyFont="1" applyBorder="1" applyAlignment="1">
      <alignment horizontal="center" vertical="center" wrapText="1"/>
    </xf>
    <xf numFmtId="49" fontId="3" fillId="0" borderId="0" xfId="0" applyNumberFormat="1" applyFont="1" applyAlignment="1">
      <alignment horizontal="left"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49" fontId="3" fillId="0" borderId="0" xfId="0" applyNumberFormat="1" applyFont="1" applyFill="1" applyAlignment="1">
      <alignment horizontal="justify" vertical="center" wrapText="1"/>
    </xf>
    <xf numFmtId="0" fontId="0" fillId="0" borderId="0" xfId="0" applyFill="1" applyAlignment="1">
      <alignment horizontal="justify" wrapText="1"/>
    </xf>
    <xf numFmtId="0" fontId="3" fillId="2" borderId="4"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9" fontId="3" fillId="2" borderId="4"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97" xfId="0" applyNumberFormat="1" applyFont="1" applyFill="1" applyBorder="1" applyAlignment="1">
      <alignment horizontal="center" vertical="center" wrapText="1"/>
    </xf>
    <xf numFmtId="49" fontId="3" fillId="2" borderId="98" xfId="0" applyNumberFormat="1" applyFont="1" applyFill="1" applyBorder="1" applyAlignment="1">
      <alignment horizontal="center" vertical="center" wrapText="1"/>
    </xf>
    <xf numFmtId="49" fontId="3" fillId="2" borderId="99" xfId="0" applyNumberFormat="1" applyFont="1" applyFill="1" applyBorder="1" applyAlignment="1">
      <alignment horizontal="center" vertical="center" wrapText="1"/>
    </xf>
    <xf numFmtId="49" fontId="3" fillId="0" borderId="0" xfId="0" applyNumberFormat="1" applyFont="1" applyAlignment="1">
      <alignment horizontal="justify" vertical="center" wrapText="1"/>
    </xf>
    <xf numFmtId="0" fontId="0" fillId="0" borderId="0" xfId="0" applyAlignment="1">
      <alignment horizontal="justify" wrapText="1"/>
    </xf>
    <xf numFmtId="4" fontId="3" fillId="2" borderId="97" xfId="0" applyNumberFormat="1" applyFont="1" applyFill="1" applyBorder="1" applyAlignment="1">
      <alignment horizontal="justify" vertical="center" wrapText="1"/>
    </xf>
    <xf numFmtId="4" fontId="3" fillId="2" borderId="99" xfId="0" applyNumberFormat="1" applyFont="1" applyFill="1" applyBorder="1" applyAlignment="1">
      <alignment horizontal="justify" vertical="center" wrapText="1"/>
    </xf>
    <xf numFmtId="49" fontId="9" fillId="0"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11" fillId="0" borderId="0" xfId="0" applyFont="1" applyAlignment="1">
      <alignment horizontal="right" vertical="center" wrapText="1"/>
    </xf>
    <xf numFmtId="0" fontId="0" fillId="0" borderId="0" xfId="0" applyAlignment="1">
      <alignment wrapText="1"/>
    </xf>
    <xf numFmtId="0" fontId="11" fillId="0" borderId="0" xfId="0" applyFont="1" applyAlignment="1">
      <alignment horizontal="right" wrapText="1"/>
    </xf>
    <xf numFmtId="0" fontId="0" fillId="0" borderId="0" xfId="0" applyAlignment="1">
      <alignment horizontal="right" wrapText="1"/>
    </xf>
    <xf numFmtId="0" fontId="9" fillId="0" borderId="1" xfId="0" applyFont="1" applyFill="1" applyBorder="1" applyAlignment="1">
      <alignment horizontal="center" vertical="center" wrapText="1"/>
    </xf>
    <xf numFmtId="0" fontId="287" fillId="0" borderId="0" xfId="0" applyFont="1" applyAlignment="1">
      <alignment horizontal="center" vertical="center" wrapText="1"/>
    </xf>
    <xf numFmtId="3" fontId="18" fillId="0" borderId="10" xfId="2" applyNumberFormat="1" applyFont="1" applyBorder="1" applyAlignment="1">
      <alignment horizontal="center" vertical="center"/>
    </xf>
    <xf numFmtId="3" fontId="18" fillId="0" borderId="6" xfId="2" applyNumberFormat="1" applyFont="1" applyBorder="1" applyAlignment="1">
      <alignment horizontal="center" vertical="center"/>
    </xf>
    <xf numFmtId="3" fontId="18" fillId="0" borderId="11" xfId="2" applyNumberFormat="1" applyFont="1" applyBorder="1" applyAlignment="1">
      <alignment horizontal="center" vertical="center"/>
    </xf>
    <xf numFmtId="0" fontId="18" fillId="0" borderId="10" xfId="2" applyFont="1" applyBorder="1" applyAlignment="1">
      <alignment horizontal="left" vertical="center" wrapText="1"/>
    </xf>
    <xf numFmtId="0" fontId="18" fillId="0" borderId="6" xfId="2" applyFont="1" applyBorder="1" applyAlignment="1">
      <alignment horizontal="left" vertical="center" wrapText="1"/>
    </xf>
    <xf numFmtId="0" fontId="18" fillId="0" borderId="11" xfId="2" applyFont="1" applyBorder="1" applyAlignment="1">
      <alignment horizontal="left" vertical="center" wrapText="1"/>
    </xf>
    <xf numFmtId="3" fontId="18" fillId="5" borderId="10" xfId="2" applyNumberFormat="1" applyFont="1" applyFill="1" applyBorder="1" applyAlignment="1">
      <alignment horizontal="center" vertical="center"/>
    </xf>
    <xf numFmtId="3" fontId="18" fillId="5" borderId="6" xfId="2" applyNumberFormat="1" applyFont="1" applyFill="1" applyBorder="1" applyAlignment="1">
      <alignment horizontal="center" vertical="center"/>
    </xf>
    <xf numFmtId="3" fontId="18" fillId="5" borderId="11" xfId="2" applyNumberFormat="1" applyFont="1" applyFill="1" applyBorder="1" applyAlignment="1">
      <alignment horizontal="center" vertical="center"/>
    </xf>
    <xf numFmtId="0" fontId="18" fillId="87" borderId="7" xfId="2" applyFont="1" applyFill="1" applyBorder="1" applyAlignment="1">
      <alignment horizontal="justify" vertical="center" wrapText="1"/>
    </xf>
    <xf numFmtId="0" fontId="18" fillId="87" borderId="8" xfId="2" applyFont="1" applyFill="1" applyBorder="1" applyAlignment="1">
      <alignment horizontal="justify" vertical="center" wrapText="1"/>
    </xf>
    <xf numFmtId="0" fontId="18" fillId="87" borderId="9" xfId="2" applyFont="1" applyFill="1" applyBorder="1" applyAlignment="1">
      <alignment horizontal="justify" vertical="center" wrapText="1"/>
    </xf>
    <xf numFmtId="0" fontId="0" fillId="87" borderId="12" xfId="0" applyFill="1" applyBorder="1" applyAlignment="1">
      <alignment horizontal="justify" vertical="center" wrapText="1"/>
    </xf>
    <xf numFmtId="0" fontId="0" fillId="87" borderId="5" xfId="0" applyFill="1" applyBorder="1" applyAlignment="1">
      <alignment horizontal="justify" vertical="center" wrapText="1"/>
    </xf>
    <xf numFmtId="0" fontId="0" fillId="87" borderId="13" xfId="0" applyFill="1" applyBorder="1" applyAlignment="1">
      <alignment horizontal="justify" vertical="center" wrapText="1"/>
    </xf>
    <xf numFmtId="164" fontId="18" fillId="0" borderId="97" xfId="2" applyNumberFormat="1" applyFont="1" applyFill="1"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3" fontId="18" fillId="0" borderId="97" xfId="2" applyNumberFormat="1" applyFont="1" applyFill="1" applyBorder="1" applyAlignment="1">
      <alignment horizontal="center" vertical="center"/>
    </xf>
    <xf numFmtId="3" fontId="0" fillId="0" borderId="98" xfId="0" applyNumberFormat="1" applyBorder="1" applyAlignment="1">
      <alignment horizontal="center" vertical="center"/>
    </xf>
    <xf numFmtId="3" fontId="0" fillId="0" borderId="99" xfId="0" applyNumberFormat="1" applyBorder="1" applyAlignment="1">
      <alignment horizontal="center" vertical="center"/>
    </xf>
    <xf numFmtId="3" fontId="18" fillId="0" borderId="10" xfId="2" applyNumberFormat="1" applyFont="1" applyFill="1" applyBorder="1" applyAlignment="1">
      <alignment horizontal="center" vertical="center"/>
    </xf>
    <xf numFmtId="3" fontId="18" fillId="0" borderId="6" xfId="2" applyNumberFormat="1" applyFont="1" applyFill="1" applyBorder="1" applyAlignment="1">
      <alignment horizontal="center" vertical="center"/>
    </xf>
    <xf numFmtId="3" fontId="18" fillId="0" borderId="11" xfId="2" applyNumberFormat="1" applyFont="1" applyFill="1" applyBorder="1" applyAlignment="1">
      <alignment horizontal="center" vertical="center"/>
    </xf>
    <xf numFmtId="4" fontId="18" fillId="0" borderId="10" xfId="2" applyNumberFormat="1" applyFont="1" applyBorder="1" applyAlignment="1">
      <alignment horizontal="center" vertical="center"/>
    </xf>
    <xf numFmtId="4" fontId="18" fillId="0" borderId="6" xfId="2" applyNumberFormat="1" applyFont="1" applyBorder="1" applyAlignment="1">
      <alignment horizontal="center" vertical="center"/>
    </xf>
    <xf numFmtId="4" fontId="18" fillId="0" borderId="11" xfId="2" applyNumberFormat="1" applyFont="1" applyBorder="1" applyAlignment="1">
      <alignment horizontal="center" vertical="center"/>
    </xf>
    <xf numFmtId="49" fontId="18" fillId="0" borderId="97"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18" fillId="0" borderId="99" xfId="2" applyNumberFormat="1" applyFont="1" applyBorder="1" applyAlignment="1">
      <alignment horizontal="center" vertical="center"/>
    </xf>
    <xf numFmtId="0" fontId="230" fillId="0" borderId="98" xfId="2" applyFont="1" applyBorder="1" applyAlignment="1">
      <alignment horizontal="right" vertical="center" wrapText="1"/>
    </xf>
    <xf numFmtId="0" fontId="18" fillId="0" borderId="97" xfId="2" applyFont="1" applyBorder="1" applyAlignment="1">
      <alignment horizontal="center" vertical="center"/>
    </xf>
    <xf numFmtId="0" fontId="18" fillId="0" borderId="98" xfId="2" applyFont="1" applyBorder="1" applyAlignment="1">
      <alignment horizontal="center" vertical="center"/>
    </xf>
    <xf numFmtId="0" fontId="18" fillId="0" borderId="99" xfId="2" applyFont="1" applyBorder="1" applyAlignment="1">
      <alignment horizontal="center" vertical="center"/>
    </xf>
    <xf numFmtId="3" fontId="230" fillId="5" borderId="10" xfId="2" applyNumberFormat="1" applyFont="1" applyFill="1" applyBorder="1" applyAlignment="1">
      <alignment horizontal="center" vertical="center"/>
    </xf>
    <xf numFmtId="3" fontId="230" fillId="5" borderId="6" xfId="2" applyNumberFormat="1" applyFont="1" applyFill="1" applyBorder="1" applyAlignment="1">
      <alignment horizontal="center" vertical="center"/>
    </xf>
    <xf numFmtId="3" fontId="230" fillId="5" borderId="11" xfId="2" applyNumberFormat="1" applyFont="1" applyFill="1" applyBorder="1" applyAlignment="1">
      <alignment horizontal="center" vertical="center"/>
    </xf>
    <xf numFmtId="3" fontId="230" fillId="5" borderId="97" xfId="2" applyNumberFormat="1" applyFont="1" applyFill="1" applyBorder="1" applyAlignment="1">
      <alignment horizontal="center" vertical="center"/>
    </xf>
    <xf numFmtId="3" fontId="230" fillId="5" borderId="98" xfId="2" applyNumberFormat="1" applyFont="1" applyFill="1" applyBorder="1" applyAlignment="1">
      <alignment horizontal="center" vertical="center"/>
    </xf>
    <xf numFmtId="3" fontId="230" fillId="5" borderId="99" xfId="2" applyNumberFormat="1" applyFont="1" applyFill="1" applyBorder="1" applyAlignment="1">
      <alignment horizontal="center" vertical="center"/>
    </xf>
    <xf numFmtId="0" fontId="18" fillId="0" borderId="98" xfId="2" applyFont="1" applyBorder="1" applyAlignment="1">
      <alignment horizontal="justify" vertical="center" wrapText="1"/>
    </xf>
    <xf numFmtId="0" fontId="230" fillId="0" borderId="97" xfId="2" applyFont="1" applyBorder="1" applyAlignment="1">
      <alignment horizontal="center" vertical="center"/>
    </xf>
    <xf numFmtId="0" fontId="230" fillId="0" borderId="98" xfId="2" applyFont="1" applyBorder="1" applyAlignment="1">
      <alignment horizontal="center" vertical="center"/>
    </xf>
    <xf numFmtId="0" fontId="230" fillId="0" borderId="99" xfId="2" applyFont="1" applyBorder="1" applyAlignment="1">
      <alignment horizontal="center" vertical="center"/>
    </xf>
    <xf numFmtId="49" fontId="18" fillId="0" borderId="10" xfId="2" applyNumberFormat="1" applyFont="1" applyBorder="1" applyAlignment="1">
      <alignment horizontal="center" vertical="center"/>
    </xf>
    <xf numFmtId="49" fontId="18" fillId="0" borderId="6" xfId="2" applyNumberFormat="1" applyFont="1" applyBorder="1" applyAlignment="1">
      <alignment horizontal="center" vertical="center"/>
    </xf>
    <xf numFmtId="49" fontId="18" fillId="0" borderId="11" xfId="2" applyNumberFormat="1" applyFont="1" applyBorder="1" applyAlignment="1">
      <alignment horizontal="center" vertical="center"/>
    </xf>
    <xf numFmtId="0" fontId="18" fillId="0" borderId="6" xfId="2" applyFont="1" applyBorder="1" applyAlignment="1">
      <alignment horizontal="justify" vertical="center" wrapText="1"/>
    </xf>
    <xf numFmtId="0" fontId="18" fillId="0" borderId="10" xfId="2" applyFont="1" applyBorder="1" applyAlignment="1">
      <alignment horizontal="center" vertical="center"/>
    </xf>
    <xf numFmtId="0" fontId="18" fillId="0" borderId="6" xfId="2" applyFont="1" applyBorder="1" applyAlignment="1">
      <alignment horizontal="center" vertical="center"/>
    </xf>
    <xf numFmtId="0" fontId="18" fillId="0" borderId="11" xfId="2" applyFont="1" applyBorder="1" applyAlignment="1">
      <alignment horizontal="center" vertical="center"/>
    </xf>
    <xf numFmtId="0" fontId="18" fillId="0" borderId="4" xfId="2" applyFont="1" applyBorder="1" applyAlignment="1">
      <alignment horizontal="justify" vertical="center" wrapText="1"/>
    </xf>
    <xf numFmtId="0" fontId="15" fillId="0" borderId="2" xfId="2" applyBorder="1" applyAlignment="1">
      <alignment horizontal="justify" vertical="center" wrapText="1"/>
    </xf>
    <xf numFmtId="0" fontId="0" fillId="0" borderId="3" xfId="0" applyBorder="1" applyAlignment="1">
      <alignment vertical="center"/>
    </xf>
    <xf numFmtId="0" fontId="19" fillId="0" borderId="0" xfId="2" applyFont="1" applyAlignment="1">
      <alignment horizontal="justify" wrapText="1"/>
    </xf>
    <xf numFmtId="0" fontId="16" fillId="0" borderId="0" xfId="2" applyFont="1" applyAlignment="1">
      <alignment horizontal="justify" wrapText="1"/>
    </xf>
    <xf numFmtId="0" fontId="15" fillId="0" borderId="0" xfId="2" applyAlignment="1"/>
    <xf numFmtId="0" fontId="18" fillId="0" borderId="4" xfId="2" applyFont="1" applyBorder="1" applyAlignment="1">
      <alignment horizontal="center" vertical="center" wrapText="1"/>
    </xf>
    <xf numFmtId="0" fontId="18" fillId="0" borderId="3" xfId="2" applyFont="1" applyBorder="1" applyAlignment="1">
      <alignment horizontal="center" vertical="center" wrapText="1"/>
    </xf>
    <xf numFmtId="14" fontId="23" fillId="0" borderId="4" xfId="2" applyNumberFormat="1" applyFont="1" applyBorder="1" applyAlignment="1">
      <alignment horizontal="center" vertical="center"/>
    </xf>
    <xf numFmtId="0" fontId="23" fillId="0" borderId="3" xfId="2" applyFont="1" applyBorder="1" applyAlignment="1">
      <alignment horizontal="center" vertical="center"/>
    </xf>
    <xf numFmtId="0" fontId="23" fillId="0" borderId="2" xfId="2" applyFont="1" applyBorder="1" applyAlignment="1">
      <alignment horizontal="center" vertical="center"/>
    </xf>
    <xf numFmtId="0" fontId="18" fillId="0" borderId="10" xfId="2" applyFont="1" applyBorder="1" applyAlignment="1">
      <alignment horizontal="center" vertical="center" wrapText="1"/>
    </xf>
    <xf numFmtId="0" fontId="18" fillId="0" borderId="6" xfId="2" applyFont="1" applyBorder="1" applyAlignment="1">
      <alignment horizontal="center" vertical="center" wrapText="1"/>
    </xf>
    <xf numFmtId="0" fontId="18" fillId="0" borderId="11" xfId="2" applyFont="1" applyBorder="1" applyAlignment="1">
      <alignment horizontal="center" vertical="center" wrapText="1"/>
    </xf>
    <xf numFmtId="0" fontId="15" fillId="0" borderId="3" xfId="2" applyBorder="1" applyAlignment="1">
      <alignment horizontal="justify" vertical="center" wrapText="1"/>
    </xf>
    <xf numFmtId="0" fontId="18" fillId="0" borderId="6" xfId="2" applyFont="1" applyFill="1" applyBorder="1" applyAlignment="1">
      <alignment horizontal="justify" vertical="center" wrapText="1"/>
    </xf>
    <xf numFmtId="14" fontId="23" fillId="0" borderId="2" xfId="2" applyNumberFormat="1" applyFont="1" applyBorder="1" applyAlignment="1">
      <alignment horizontal="center" vertical="center"/>
    </xf>
    <xf numFmtId="0" fontId="0" fillId="0" borderId="99" xfId="0" applyBorder="1" applyAlignment="1">
      <alignment vertical="center"/>
    </xf>
    <xf numFmtId="0" fontId="18" fillId="0" borderId="2" xfId="2" applyFont="1" applyBorder="1" applyAlignment="1">
      <alignment horizontal="justify" vertical="center" wrapText="1"/>
    </xf>
    <xf numFmtId="0" fontId="15" fillId="0" borderId="2" xfId="2" applyBorder="1" applyAlignment="1">
      <alignment horizontal="justify" vertical="center"/>
    </xf>
    <xf numFmtId="0" fontId="15" fillId="0" borderId="3" xfId="2" applyBorder="1" applyAlignment="1">
      <alignment horizontal="justify"/>
    </xf>
    <xf numFmtId="3" fontId="18" fillId="15" borderId="10" xfId="2" applyNumberFormat="1" applyFont="1" applyFill="1" applyBorder="1" applyAlignment="1">
      <alignment horizontal="center" vertical="center"/>
    </xf>
    <xf numFmtId="3" fontId="18" fillId="15" borderId="6" xfId="2" applyNumberFormat="1" applyFont="1" applyFill="1" applyBorder="1" applyAlignment="1">
      <alignment horizontal="center" vertical="center"/>
    </xf>
    <xf numFmtId="3" fontId="18" fillId="15" borderId="11" xfId="2" applyNumberFormat="1" applyFont="1" applyFill="1" applyBorder="1" applyAlignment="1">
      <alignment horizontal="center" vertical="center"/>
    </xf>
    <xf numFmtId="3" fontId="18" fillId="8" borderId="10" xfId="2" applyNumberFormat="1" applyFont="1" applyFill="1" applyBorder="1" applyAlignment="1">
      <alignment horizontal="center" vertical="center"/>
    </xf>
    <xf numFmtId="3" fontId="18" fillId="8" borderId="6" xfId="2" applyNumberFormat="1" applyFont="1" applyFill="1" applyBorder="1" applyAlignment="1">
      <alignment horizontal="center" vertical="center"/>
    </xf>
    <xf numFmtId="3" fontId="18" fillId="8" borderId="11" xfId="2" applyNumberFormat="1" applyFont="1" applyFill="1" applyBorder="1" applyAlignment="1">
      <alignment horizontal="center" vertical="center"/>
    </xf>
    <xf numFmtId="14" fontId="23" fillId="0" borderId="103" xfId="2" applyNumberFormat="1" applyFont="1" applyBorder="1" applyAlignment="1">
      <alignment horizontal="center" vertical="center"/>
    </xf>
    <xf numFmtId="14" fontId="23" fillId="0" borderId="3" xfId="2" applyNumberFormat="1" applyFont="1" applyBorder="1" applyAlignment="1">
      <alignment horizontal="center" vertical="center"/>
    </xf>
    <xf numFmtId="3" fontId="18" fillId="15" borderId="97" xfId="2" applyNumberFormat="1" applyFont="1" applyFill="1" applyBorder="1" applyAlignment="1">
      <alignment horizontal="center" vertical="center"/>
    </xf>
    <xf numFmtId="3" fontId="18" fillId="15" borderId="98" xfId="2" applyNumberFormat="1" applyFont="1" applyFill="1" applyBorder="1" applyAlignment="1">
      <alignment horizontal="center" vertical="center"/>
    </xf>
    <xf numFmtId="3" fontId="18" fillId="15" borderId="99" xfId="2" applyNumberFormat="1" applyFont="1" applyFill="1" applyBorder="1" applyAlignment="1">
      <alignment horizontal="center" vertical="center"/>
    </xf>
    <xf numFmtId="0" fontId="18" fillId="87" borderId="97" xfId="2" applyFont="1" applyFill="1" applyBorder="1" applyAlignment="1">
      <alignment horizontal="justify" vertical="center" wrapText="1"/>
    </xf>
    <xf numFmtId="0" fontId="18" fillId="87" borderId="98" xfId="2" applyFont="1" applyFill="1" applyBorder="1" applyAlignment="1">
      <alignment horizontal="justify" vertical="center" wrapText="1"/>
    </xf>
    <xf numFmtId="0" fontId="18" fillId="87" borderId="99" xfId="2" applyFont="1" applyFill="1" applyBorder="1" applyAlignment="1">
      <alignment horizontal="justify" vertical="center" wrapText="1"/>
    </xf>
    <xf numFmtId="0" fontId="18" fillId="0" borderId="97" xfId="2" applyFont="1" applyFill="1" applyBorder="1" applyAlignment="1">
      <alignment horizontal="justify" vertical="center" wrapText="1"/>
    </xf>
    <xf numFmtId="0" fontId="18" fillId="0" borderId="98" xfId="2" applyFont="1" applyFill="1" applyBorder="1" applyAlignment="1">
      <alignment horizontal="justify" vertical="center" wrapText="1"/>
    </xf>
    <xf numFmtId="0" fontId="18" fillId="0" borderId="99" xfId="2" applyFont="1" applyFill="1" applyBorder="1" applyAlignment="1">
      <alignment horizontal="justify" vertical="center" wrapText="1"/>
    </xf>
    <xf numFmtId="3" fontId="18" fillId="0" borderId="97" xfId="2" applyNumberFormat="1" applyFont="1" applyBorder="1" applyAlignment="1">
      <alignment horizontal="left" vertical="center" wrapText="1"/>
    </xf>
    <xf numFmtId="3" fontId="18" fillId="0" borderId="98" xfId="2" applyNumberFormat="1" applyFont="1" applyBorder="1" applyAlignment="1">
      <alignment horizontal="left" vertical="center" wrapText="1"/>
    </xf>
    <xf numFmtId="3" fontId="18" fillId="0" borderId="99" xfId="2" applyNumberFormat="1" applyFont="1" applyBorder="1" applyAlignment="1">
      <alignment horizontal="left" vertical="center" wrapText="1"/>
    </xf>
    <xf numFmtId="3" fontId="286" fillId="5" borderId="10" xfId="2" applyNumberFormat="1" applyFont="1" applyFill="1" applyBorder="1" applyAlignment="1">
      <alignment horizontal="center" vertical="center"/>
    </xf>
    <xf numFmtId="3" fontId="286" fillId="5" borderId="6" xfId="2" applyNumberFormat="1" applyFont="1" applyFill="1" applyBorder="1" applyAlignment="1">
      <alignment horizontal="center" vertical="center"/>
    </xf>
    <xf numFmtId="3" fontId="286" fillId="5" borderId="11" xfId="2" applyNumberFormat="1" applyFont="1" applyFill="1" applyBorder="1" applyAlignment="1">
      <alignment horizontal="center" vertical="center"/>
    </xf>
    <xf numFmtId="3" fontId="18" fillId="0" borderId="10" xfId="2" applyNumberFormat="1" applyFont="1" applyBorder="1" applyAlignment="1">
      <alignment horizontal="left" vertical="center" wrapText="1"/>
    </xf>
    <xf numFmtId="3" fontId="18" fillId="0" borderId="6" xfId="2" applyNumberFormat="1" applyFont="1" applyBorder="1" applyAlignment="1">
      <alignment horizontal="left" vertical="center" wrapText="1"/>
    </xf>
    <xf numFmtId="3" fontId="18" fillId="0" borderId="11" xfId="2" applyNumberFormat="1" applyFont="1" applyBorder="1" applyAlignment="1">
      <alignment horizontal="left" vertical="center" wrapText="1"/>
    </xf>
    <xf numFmtId="0" fontId="16" fillId="0" borderId="0" xfId="2" applyFont="1" applyAlignment="1">
      <alignment horizontal="right"/>
    </xf>
    <xf numFmtId="0" fontId="15" fillId="0" borderId="0" xfId="2" applyAlignment="1">
      <alignment horizontal="right"/>
    </xf>
    <xf numFmtId="0" fontId="14" fillId="0" borderId="0" xfId="2" applyFont="1" applyAlignment="1">
      <alignment horizontal="center"/>
    </xf>
    <xf numFmtId="0" fontId="15" fillId="0" borderId="3" xfId="2" applyBorder="1" applyAlignment="1">
      <alignment horizontal="center" vertical="center" wrapText="1"/>
    </xf>
    <xf numFmtId="0" fontId="17" fillId="0" borderId="5" xfId="2" applyFont="1" applyBorder="1" applyAlignment="1">
      <alignment horizontal="left"/>
    </xf>
    <xf numFmtId="49" fontId="17" fillId="0" borderId="5" xfId="2" applyNumberFormat="1" applyFont="1" applyBorder="1" applyAlignment="1">
      <alignment horizontal="left"/>
    </xf>
    <xf numFmtId="49" fontId="17" fillId="0" borderId="6" xfId="2" applyNumberFormat="1" applyFont="1" applyBorder="1" applyAlignment="1">
      <alignment horizontal="left"/>
    </xf>
    <xf numFmtId="49" fontId="17" fillId="0" borderId="5" xfId="2" applyNumberFormat="1" applyFont="1" applyBorder="1" applyAlignment="1">
      <alignment horizontal="center"/>
    </xf>
    <xf numFmtId="49" fontId="17" fillId="0" borderId="0" xfId="2" applyNumberFormat="1" applyFont="1" applyBorder="1" applyAlignment="1">
      <alignment horizontal="center"/>
    </xf>
    <xf numFmtId="0" fontId="18" fillId="0" borderId="7" xfId="2" applyFont="1" applyBorder="1" applyAlignment="1">
      <alignment horizontal="center" vertical="center" wrapText="1"/>
    </xf>
    <xf numFmtId="0" fontId="18" fillId="0" borderId="8" xfId="2" applyFont="1" applyBorder="1" applyAlignment="1">
      <alignment horizontal="center" vertical="center"/>
    </xf>
    <xf numFmtId="0" fontId="18" fillId="0" borderId="9" xfId="2" applyFont="1" applyBorder="1" applyAlignment="1">
      <alignment horizontal="center" vertical="center"/>
    </xf>
    <xf numFmtId="0" fontId="18" fillId="0" borderId="12" xfId="2" applyFont="1" applyBorder="1" applyAlignment="1">
      <alignment horizontal="center" vertical="center"/>
    </xf>
    <xf numFmtId="0" fontId="18" fillId="0" borderId="5" xfId="2" applyFont="1" applyBorder="1" applyAlignment="1">
      <alignment horizontal="center" vertical="center"/>
    </xf>
    <xf numFmtId="0" fontId="18" fillId="0" borderId="13" xfId="2" applyFont="1" applyBorder="1" applyAlignment="1">
      <alignment horizontal="center" vertical="center"/>
    </xf>
    <xf numFmtId="0" fontId="18" fillId="0" borderId="7" xfId="2" applyFont="1" applyBorder="1" applyAlignment="1">
      <alignment horizontal="center" vertical="center"/>
    </xf>
    <xf numFmtId="0" fontId="18" fillId="0" borderId="8" xfId="2" applyFont="1" applyBorder="1" applyAlignment="1">
      <alignment horizontal="center" vertical="center" wrapText="1"/>
    </xf>
    <xf numFmtId="0" fontId="18" fillId="0" borderId="9" xfId="2" applyFont="1" applyBorder="1" applyAlignment="1">
      <alignment horizontal="center" vertical="center" wrapText="1"/>
    </xf>
    <xf numFmtId="0" fontId="18" fillId="0" borderId="12" xfId="2" applyFont="1" applyBorder="1" applyAlignment="1">
      <alignment horizontal="center" vertical="center" wrapText="1"/>
    </xf>
    <xf numFmtId="0" fontId="18" fillId="0" borderId="5" xfId="2" applyFont="1" applyBorder="1" applyAlignment="1">
      <alignment horizontal="center" vertical="center" wrapText="1"/>
    </xf>
    <xf numFmtId="0" fontId="18" fillId="0" borderId="13" xfId="2" applyFont="1" applyBorder="1" applyAlignment="1">
      <alignment horizontal="center" vertical="center" wrapText="1"/>
    </xf>
    <xf numFmtId="49" fontId="23" fillId="0" borderId="10" xfId="2" applyNumberFormat="1" applyFont="1" applyBorder="1" applyAlignment="1">
      <alignment horizontal="center" vertical="center"/>
    </xf>
    <xf numFmtId="49" fontId="23" fillId="0" borderId="6" xfId="2" applyNumberFormat="1" applyFont="1" applyBorder="1" applyAlignment="1">
      <alignment horizontal="center" vertical="center"/>
    </xf>
    <xf numFmtId="49" fontId="23" fillId="0" borderId="11" xfId="2" applyNumberFormat="1" applyFont="1" applyBorder="1" applyAlignment="1">
      <alignment horizontal="center" vertical="center"/>
    </xf>
    <xf numFmtId="0" fontId="23" fillId="0" borderId="6" xfId="2" applyFont="1" applyBorder="1" applyAlignment="1">
      <alignment horizontal="justify" vertical="center" wrapText="1"/>
    </xf>
    <xf numFmtId="0" fontId="23" fillId="0" borderId="10" xfId="2" applyFont="1" applyBorder="1" applyAlignment="1">
      <alignment horizontal="center" vertical="center"/>
    </xf>
    <xf numFmtId="0" fontId="23" fillId="0" borderId="6" xfId="2" applyFont="1" applyBorder="1" applyAlignment="1">
      <alignment horizontal="center" vertical="center"/>
    </xf>
    <xf numFmtId="0" fontId="23" fillId="0" borderId="11" xfId="2" applyFont="1" applyBorder="1" applyAlignment="1">
      <alignment horizontal="center" vertical="center"/>
    </xf>
    <xf numFmtId="3" fontId="23" fillId="0" borderId="10" xfId="2" applyNumberFormat="1" applyFont="1" applyBorder="1" applyAlignment="1">
      <alignment horizontal="center" vertical="center"/>
    </xf>
    <xf numFmtId="3" fontId="23" fillId="0" borderId="6" xfId="2" applyNumberFormat="1" applyFont="1" applyBorder="1" applyAlignment="1">
      <alignment horizontal="center" vertical="center"/>
    </xf>
    <xf numFmtId="3" fontId="23" fillId="0" borderId="11" xfId="2" applyNumberFormat="1" applyFont="1" applyBorder="1" applyAlignment="1">
      <alignment horizontal="center" vertical="center"/>
    </xf>
    <xf numFmtId="3" fontId="18" fillId="0" borderId="100" xfId="2" applyNumberFormat="1" applyFont="1" applyBorder="1" applyAlignment="1">
      <alignment horizontal="justify" vertical="center" wrapText="1"/>
    </xf>
    <xf numFmtId="0" fontId="18" fillId="0" borderId="101" xfId="2" applyFont="1" applyBorder="1" applyAlignment="1">
      <alignment horizontal="justify" vertical="center" wrapText="1"/>
    </xf>
    <xf numFmtId="0" fontId="18" fillId="0" borderId="102" xfId="2" applyFont="1" applyBorder="1" applyAlignment="1">
      <alignment horizontal="justify" vertical="center" wrapText="1"/>
    </xf>
    <xf numFmtId="0" fontId="0" fillId="0" borderId="32" xfId="0" applyBorder="1" applyAlignment="1">
      <alignment horizontal="justify" vertical="center" wrapText="1"/>
    </xf>
    <xf numFmtId="0" fontId="0" fillId="0" borderId="0" xfId="0" applyAlignment="1">
      <alignment horizontal="justify" vertical="center" wrapText="1"/>
    </xf>
    <xf numFmtId="0" fontId="0" fillId="0" borderId="33" xfId="0" applyBorder="1" applyAlignment="1">
      <alignment horizontal="justify" vertical="center" wrapText="1"/>
    </xf>
    <xf numFmtId="0" fontId="0" fillId="0" borderId="12" xfId="0" applyBorder="1" applyAlignment="1">
      <alignment horizontal="justify" vertical="center" wrapText="1"/>
    </xf>
    <xf numFmtId="0" fontId="0" fillId="0" borderId="5" xfId="0" applyBorder="1" applyAlignment="1">
      <alignment horizontal="justify" vertical="center" wrapText="1"/>
    </xf>
    <xf numFmtId="0" fontId="0" fillId="0" borderId="13" xfId="0" applyBorder="1" applyAlignment="1">
      <alignment horizontal="justify" vertical="center" wrapText="1"/>
    </xf>
    <xf numFmtId="0" fontId="18" fillId="0" borderId="100" xfId="2" applyFont="1" applyBorder="1" applyAlignment="1">
      <alignment horizontal="justify" vertical="center" wrapText="1"/>
    </xf>
    <xf numFmtId="4" fontId="18" fillId="0" borderId="100" xfId="2" applyNumberFormat="1" applyFont="1" applyBorder="1" applyAlignment="1">
      <alignment horizontal="justify" vertical="center" wrapText="1"/>
    </xf>
    <xf numFmtId="0" fontId="18" fillId="87" borderId="100" xfId="2" applyFont="1" applyFill="1" applyBorder="1" applyAlignment="1">
      <alignment horizontal="justify" vertical="center" wrapText="1"/>
    </xf>
    <xf numFmtId="0" fontId="18" fillId="87" borderId="101" xfId="2" applyFont="1" applyFill="1" applyBorder="1" applyAlignment="1">
      <alignment horizontal="justify" vertical="center" wrapText="1"/>
    </xf>
    <xf numFmtId="0" fontId="18" fillId="87" borderId="102" xfId="2" applyFont="1" applyFill="1" applyBorder="1" applyAlignment="1">
      <alignment horizontal="justify" vertical="center" wrapText="1"/>
    </xf>
    <xf numFmtId="0" fontId="0" fillId="87" borderId="32" xfId="0" applyFill="1" applyBorder="1" applyAlignment="1">
      <alignment horizontal="justify" vertical="center" wrapText="1"/>
    </xf>
    <xf numFmtId="0" fontId="0" fillId="87" borderId="0" xfId="0" applyFill="1" applyAlignment="1">
      <alignment horizontal="justify" vertical="center" wrapText="1"/>
    </xf>
    <xf numFmtId="0" fontId="0" fillId="87" borderId="33" xfId="0" applyFill="1" applyBorder="1" applyAlignment="1">
      <alignment horizontal="justify" vertical="center" wrapText="1"/>
    </xf>
    <xf numFmtId="164" fontId="18" fillId="87" borderId="100" xfId="2" applyNumberFormat="1" applyFont="1" applyFill="1" applyBorder="1" applyAlignment="1">
      <alignment horizontal="justify" vertical="center" wrapText="1"/>
    </xf>
    <xf numFmtId="0" fontId="0" fillId="87" borderId="101" xfId="0" applyFill="1" applyBorder="1" applyAlignment="1">
      <alignment horizontal="justify" vertical="center" wrapText="1"/>
    </xf>
    <xf numFmtId="0" fontId="0" fillId="87" borderId="102" xfId="0" applyFill="1" applyBorder="1" applyAlignment="1">
      <alignment horizontal="justify" vertical="center" wrapText="1"/>
    </xf>
    <xf numFmtId="165" fontId="50" fillId="2" borderId="7" xfId="4" applyNumberFormat="1" applyFont="1" applyFill="1" applyBorder="1" applyAlignment="1">
      <alignment horizontal="center" wrapText="1"/>
    </xf>
    <xf numFmtId="165" fontId="50" fillId="2" borderId="8" xfId="4" applyNumberFormat="1" applyFont="1" applyFill="1" applyBorder="1" applyAlignment="1">
      <alignment horizontal="center"/>
    </xf>
    <xf numFmtId="165" fontId="50" fillId="2" borderId="9" xfId="4" applyNumberFormat="1" applyFont="1" applyFill="1" applyBorder="1" applyAlignment="1">
      <alignment horizontal="center"/>
    </xf>
    <xf numFmtId="165" fontId="25" fillId="2" borderId="11" xfId="4" applyNumberFormat="1" applyFont="1" applyFill="1" applyBorder="1" applyAlignment="1">
      <alignment horizontal="center"/>
    </xf>
    <xf numFmtId="165" fontId="25" fillId="2" borderId="1" xfId="4" applyNumberFormat="1" applyFont="1" applyFill="1" applyBorder="1" applyAlignment="1">
      <alignment horizontal="center"/>
    </xf>
    <xf numFmtId="165" fontId="7" fillId="0" borderId="10" xfId="7" applyNumberFormat="1" applyFont="1" applyFill="1" applyBorder="1" applyAlignment="1" applyProtection="1">
      <alignment vertical="center" wrapText="1"/>
    </xf>
    <xf numFmtId="0" fontId="37" fillId="0" borderId="6" xfId="11" applyFill="1" applyBorder="1" applyAlignment="1">
      <alignment vertical="center"/>
    </xf>
    <xf numFmtId="0" fontId="37" fillId="0" borderId="11" xfId="11" applyFill="1" applyBorder="1" applyAlignment="1">
      <alignment vertical="center"/>
    </xf>
    <xf numFmtId="0" fontId="37" fillId="0" borderId="6" xfId="11" applyFill="1" applyBorder="1" applyAlignment="1">
      <alignment vertical="center" wrapText="1"/>
    </xf>
    <xf numFmtId="0" fontId="37" fillId="0" borderId="11" xfId="11" applyFill="1" applyBorder="1" applyAlignment="1">
      <alignment vertical="center" wrapText="1"/>
    </xf>
    <xf numFmtId="165" fontId="43" fillId="0" borderId="4" xfId="4" applyNumberFormat="1" applyFont="1" applyFill="1" applyBorder="1" applyAlignment="1">
      <alignment horizontal="center" vertical="center"/>
    </xf>
    <xf numFmtId="0" fontId="37" fillId="0" borderId="3" xfId="11" applyBorder="1" applyAlignment="1">
      <alignment horizontal="center" vertical="center"/>
    </xf>
    <xf numFmtId="165" fontId="12" fillId="2" borderId="0" xfId="4" applyNumberFormat="1" applyFont="1" applyFill="1" applyBorder="1" applyAlignment="1">
      <alignment horizontal="center" vertical="center"/>
    </xf>
    <xf numFmtId="0" fontId="7" fillId="0" borderId="2" xfId="11" applyFont="1" applyFill="1" applyBorder="1" applyAlignment="1">
      <alignment horizontal="center" vertical="center" wrapText="1"/>
    </xf>
    <xf numFmtId="0" fontId="37" fillId="0" borderId="3" xfId="11" applyFill="1" applyBorder="1" applyAlignment="1">
      <alignment horizontal="center" vertical="center" wrapText="1"/>
    </xf>
    <xf numFmtId="0" fontId="7" fillId="0" borderId="32" xfId="11" applyFont="1" applyFill="1" applyBorder="1" applyAlignment="1">
      <alignment horizontal="center" vertical="center" wrapText="1"/>
    </xf>
    <xf numFmtId="0" fontId="37" fillId="0" borderId="0" xfId="11" applyFill="1" applyBorder="1" applyAlignment="1">
      <alignment horizontal="center" vertical="center" wrapText="1"/>
    </xf>
    <xf numFmtId="0" fontId="37" fillId="0" borderId="33" xfId="11" applyFill="1" applyBorder="1" applyAlignment="1">
      <alignment horizontal="center" vertical="center" wrapText="1"/>
    </xf>
    <xf numFmtId="0" fontId="37" fillId="0" borderId="12" xfId="11" applyFill="1" applyBorder="1" applyAlignment="1">
      <alignment horizontal="center" vertical="center" wrapText="1"/>
    </xf>
    <xf numFmtId="0" fontId="37" fillId="0" borderId="5" xfId="11" applyFill="1" applyBorder="1" applyAlignment="1">
      <alignment horizontal="center" vertical="center" wrapText="1"/>
    </xf>
    <xf numFmtId="0" fontId="37" fillId="0" borderId="13" xfId="11" applyFill="1" applyBorder="1" applyAlignment="1">
      <alignment horizontal="center" vertical="center" wrapText="1"/>
    </xf>
    <xf numFmtId="171" fontId="25" fillId="0" borderId="2" xfId="12" applyNumberFormat="1" applyFont="1" applyFill="1" applyBorder="1" applyAlignment="1">
      <alignment horizontal="center" vertical="center"/>
    </xf>
    <xf numFmtId="0" fontId="37" fillId="0" borderId="3" xfId="11" applyFill="1" applyBorder="1" applyAlignment="1">
      <alignment horizontal="center" vertical="center"/>
    </xf>
    <xf numFmtId="0" fontId="7" fillId="0" borderId="12" xfId="11" applyFont="1" applyFill="1" applyBorder="1" applyAlignment="1">
      <alignment horizontal="center" vertical="center" wrapText="1"/>
    </xf>
    <xf numFmtId="0" fontId="7" fillId="0" borderId="4" xfId="11" applyFont="1" applyFill="1" applyBorder="1" applyAlignment="1">
      <alignment horizontal="center" vertical="center" wrapText="1"/>
    </xf>
    <xf numFmtId="0" fontId="37" fillId="0" borderId="2" xfId="11" applyFill="1" applyBorder="1" applyAlignment="1">
      <alignment horizontal="center" vertical="center" wrapText="1"/>
    </xf>
    <xf numFmtId="0" fontId="7" fillId="0" borderId="8" xfId="11" applyFont="1" applyFill="1" applyBorder="1" applyAlignment="1">
      <alignment horizontal="center" vertical="center" wrapText="1"/>
    </xf>
    <xf numFmtId="165" fontId="31" fillId="0" borderId="10" xfId="4" applyNumberFormat="1" applyFont="1" applyFill="1" applyBorder="1" applyAlignment="1">
      <alignment horizontal="center" wrapText="1"/>
    </xf>
    <xf numFmtId="165" fontId="31" fillId="0" borderId="6" xfId="4" applyNumberFormat="1" applyFont="1" applyFill="1" applyBorder="1" applyAlignment="1">
      <alignment horizontal="center" wrapText="1"/>
    </xf>
    <xf numFmtId="165" fontId="31" fillId="0" borderId="11" xfId="4" applyNumberFormat="1" applyFont="1" applyFill="1" applyBorder="1" applyAlignment="1">
      <alignment horizontal="center" wrapText="1"/>
    </xf>
    <xf numFmtId="165" fontId="43" fillId="0" borderId="3" xfId="4" applyNumberFormat="1" applyFont="1" applyFill="1" applyBorder="1" applyAlignment="1">
      <alignment horizontal="center" vertical="center"/>
    </xf>
    <xf numFmtId="165" fontId="44" fillId="0" borderId="1" xfId="4" applyNumberFormat="1" applyFont="1" applyFill="1" applyBorder="1" applyAlignment="1">
      <alignment horizontal="center" vertical="center"/>
    </xf>
    <xf numFmtId="165" fontId="45" fillId="2" borderId="1" xfId="4" applyNumberFormat="1" applyFont="1" applyFill="1" applyBorder="1" applyAlignment="1">
      <alignment horizontal="center" vertical="center"/>
    </xf>
    <xf numFmtId="0" fontId="13" fillId="0" borderId="10" xfId="6" applyFont="1" applyFill="1" applyBorder="1" applyAlignment="1">
      <alignment horizontal="justify" vertical="center" wrapText="1"/>
    </xf>
    <xf numFmtId="0" fontId="13" fillId="0" borderId="11" xfId="6" applyFont="1" applyFill="1" applyBorder="1" applyAlignment="1">
      <alignment horizontal="justify" vertical="center" wrapText="1"/>
    </xf>
    <xf numFmtId="165" fontId="45" fillId="0" borderId="1" xfId="5" applyNumberFormat="1" applyFont="1" applyFill="1" applyBorder="1" applyAlignment="1" applyProtection="1">
      <alignment horizontal="center" vertical="center" wrapText="1"/>
    </xf>
    <xf numFmtId="165" fontId="45" fillId="0" borderId="1" xfId="4" applyNumberFormat="1" applyFont="1" applyFill="1" applyBorder="1" applyAlignment="1">
      <alignment horizontal="left" vertical="center" wrapText="1"/>
    </xf>
    <xf numFmtId="165" fontId="43" fillId="0" borderId="1" xfId="4" applyNumberFormat="1" applyFont="1" applyFill="1" applyBorder="1" applyAlignment="1">
      <alignment horizontal="center" vertical="center"/>
    </xf>
    <xf numFmtId="49" fontId="25" fillId="0" borderId="7" xfId="4" applyNumberFormat="1" applyFont="1" applyFill="1" applyBorder="1" applyAlignment="1">
      <alignment horizontal="center"/>
    </xf>
    <xf numFmtId="49" fontId="25" fillId="0" borderId="12" xfId="4" applyNumberFormat="1" applyFont="1" applyFill="1" applyBorder="1" applyAlignment="1">
      <alignment horizontal="center"/>
    </xf>
    <xf numFmtId="165" fontId="41" fillId="0" borderId="1" xfId="5" applyNumberFormat="1" applyFont="1" applyFill="1" applyBorder="1" applyAlignment="1" applyProtection="1">
      <alignment horizontal="center" vertical="center"/>
    </xf>
    <xf numFmtId="165" fontId="41" fillId="0" borderId="1" xfId="5" applyNumberFormat="1" applyFont="1" applyFill="1" applyBorder="1" applyAlignment="1" applyProtection="1">
      <alignment horizontal="left" vertical="center" wrapText="1"/>
    </xf>
    <xf numFmtId="49" fontId="43" fillId="0" borderId="1" xfId="2" applyNumberFormat="1" applyFont="1" applyFill="1" applyBorder="1" applyAlignment="1">
      <alignment horizontal="left" vertical="center"/>
    </xf>
    <xf numFmtId="165" fontId="41" fillId="0" borderId="10" xfId="6" applyNumberFormat="1" applyFont="1" applyFill="1" applyBorder="1" applyAlignment="1" applyProtection="1">
      <alignment horizontal="center" vertical="center" wrapText="1"/>
    </xf>
    <xf numFmtId="165" fontId="41" fillId="0" borderId="6" xfId="6" applyNumberFormat="1" applyFont="1" applyFill="1" applyBorder="1" applyAlignment="1" applyProtection="1">
      <alignment horizontal="center" vertical="center" wrapText="1"/>
    </xf>
    <xf numFmtId="165" fontId="41" fillId="0" borderId="11" xfId="6" applyNumberFormat="1" applyFont="1" applyFill="1" applyBorder="1" applyAlignment="1" applyProtection="1">
      <alignment horizontal="center" vertical="center" wrapText="1"/>
    </xf>
    <xf numFmtId="49" fontId="41" fillId="0" borderId="1" xfId="6" applyNumberFormat="1" applyFont="1" applyFill="1" applyBorder="1" applyAlignment="1" applyProtection="1">
      <alignment horizontal="center" vertical="center" wrapText="1"/>
    </xf>
    <xf numFmtId="49" fontId="41" fillId="0" borderId="8" xfId="6" applyNumberFormat="1" applyFont="1" applyFill="1" applyBorder="1" applyAlignment="1" applyProtection="1">
      <alignment horizontal="center" vertical="center" wrapText="1"/>
    </xf>
    <xf numFmtId="0" fontId="37" fillId="0" borderId="9" xfId="11" applyBorder="1" applyAlignment="1">
      <alignment horizontal="center" vertical="center" wrapText="1"/>
    </xf>
    <xf numFmtId="0" fontId="14" fillId="0" borderId="10" xfId="11" applyFont="1" applyBorder="1" applyAlignment="1">
      <alignment horizontal="center" vertical="center" wrapText="1"/>
    </xf>
    <xf numFmtId="0" fontId="14" fillId="0" borderId="6" xfId="11" applyFont="1" applyBorder="1" applyAlignment="1">
      <alignment horizontal="center" vertical="center" wrapText="1"/>
    </xf>
    <xf numFmtId="0" fontId="14" fillId="0" borderId="11" xfId="11" applyFont="1" applyBorder="1" applyAlignment="1">
      <alignment horizontal="center" vertical="center" wrapText="1"/>
    </xf>
    <xf numFmtId="0" fontId="13" fillId="0" borderId="1" xfId="6" applyFont="1" applyFill="1" applyBorder="1" applyAlignment="1">
      <alignment horizontal="center" vertical="center" wrapText="1"/>
    </xf>
    <xf numFmtId="165" fontId="41" fillId="0" borderId="1" xfId="6" applyNumberFormat="1" applyFont="1" applyFill="1" applyBorder="1" applyAlignment="1" applyProtection="1">
      <alignment horizontal="center" vertical="center" wrapText="1"/>
    </xf>
    <xf numFmtId="0" fontId="41" fillId="9" borderId="1" xfId="6" applyFont="1" applyFill="1" applyBorder="1" applyAlignment="1">
      <alignment horizontal="center" vertical="center" wrapText="1"/>
    </xf>
    <xf numFmtId="0" fontId="41" fillId="0" borderId="1" xfId="6" applyFont="1" applyFill="1" applyBorder="1" applyAlignment="1">
      <alignment horizontal="center" vertical="center" wrapText="1"/>
    </xf>
    <xf numFmtId="165" fontId="32" fillId="2" borderId="0" xfId="4" applyNumberFormat="1" applyFont="1" applyFill="1" applyBorder="1" applyAlignment="1">
      <alignment horizontal="center" wrapText="1"/>
    </xf>
    <xf numFmtId="165" fontId="32" fillId="2" borderId="0" xfId="4" applyNumberFormat="1" applyFont="1" applyFill="1" applyBorder="1" applyAlignment="1">
      <alignment horizontal="center"/>
    </xf>
    <xf numFmtId="165" fontId="30" fillId="0" borderId="30" xfId="5" applyNumberFormat="1" applyFont="1" applyFill="1" applyBorder="1" applyAlignment="1" applyProtection="1">
      <alignment horizontal="center"/>
    </xf>
    <xf numFmtId="165" fontId="12" fillId="0" borderId="5" xfId="4" applyNumberFormat="1" applyFont="1" applyFill="1" applyBorder="1" applyAlignment="1">
      <alignment horizontal="center" vertical="center"/>
    </xf>
    <xf numFmtId="0" fontId="37" fillId="0" borderId="5" xfId="11" applyBorder="1" applyAlignment="1">
      <alignment horizontal="center" vertical="center"/>
    </xf>
    <xf numFmtId="0" fontId="37" fillId="0" borderId="0" xfId="11" applyBorder="1" applyAlignment="1">
      <alignment horizontal="center" vertical="center"/>
    </xf>
    <xf numFmtId="0" fontId="37" fillId="0" borderId="0" xfId="11" applyBorder="1" applyAlignment="1"/>
    <xf numFmtId="49" fontId="30" fillId="0" borderId="10" xfId="6" applyNumberFormat="1" applyFont="1" applyFill="1" applyBorder="1" applyAlignment="1" applyProtection="1">
      <alignment horizontal="center" vertical="center" wrapText="1"/>
    </xf>
    <xf numFmtId="165" fontId="41" fillId="0" borderId="1" xfId="6" applyNumberFormat="1" applyFont="1" applyFill="1" applyBorder="1" applyAlignment="1" applyProtection="1">
      <alignment vertical="center" wrapText="1"/>
    </xf>
    <xf numFmtId="0" fontId="13" fillId="0" borderId="1" xfId="6" applyFont="1" applyFill="1" applyBorder="1" applyAlignment="1">
      <alignment horizontal="justify" vertical="center" wrapText="1"/>
    </xf>
    <xf numFmtId="166" fontId="22" fillId="4" borderId="18" xfId="6" applyNumberFormat="1" applyFont="1" applyFill="1" applyBorder="1" applyAlignment="1" applyProtection="1">
      <alignment horizontal="center" vertical="center" wrapText="1"/>
    </xf>
    <xf numFmtId="166" fontId="22" fillId="4" borderId="24" xfId="6" applyNumberFormat="1" applyFont="1" applyFill="1" applyBorder="1" applyAlignment="1" applyProtection="1">
      <alignment horizontal="center" vertical="center" wrapText="1"/>
    </xf>
    <xf numFmtId="165" fontId="31" fillId="4" borderId="19" xfId="4" applyNumberFormat="1" applyFont="1" applyFill="1" applyBorder="1" applyAlignment="1">
      <alignment horizontal="center" wrapText="1"/>
    </xf>
    <xf numFmtId="165" fontId="31" fillId="4" borderId="20" xfId="4" applyNumberFormat="1" applyFont="1" applyFill="1" applyBorder="1" applyAlignment="1">
      <alignment horizontal="center"/>
    </xf>
    <xf numFmtId="165" fontId="31" fillId="4" borderId="21" xfId="4" applyNumberFormat="1" applyFont="1" applyFill="1" applyBorder="1" applyAlignment="1">
      <alignment horizontal="center"/>
    </xf>
    <xf numFmtId="166" fontId="22" fillId="4" borderId="22" xfId="6" applyNumberFormat="1" applyFont="1" applyFill="1" applyBorder="1" applyAlignment="1" applyProtection="1">
      <alignment horizontal="center" vertical="center" wrapText="1"/>
    </xf>
    <xf numFmtId="166" fontId="22" fillId="4" borderId="25" xfId="6" applyNumberFormat="1" applyFont="1" applyFill="1" applyBorder="1" applyAlignment="1" applyProtection="1">
      <alignment horizontal="center" vertical="center" wrapText="1"/>
    </xf>
    <xf numFmtId="165" fontId="12" fillId="2" borderId="15" xfId="4" applyNumberFormat="1" applyFont="1" applyFill="1" applyBorder="1" applyAlignment="1">
      <alignment horizontal="center"/>
    </xf>
    <xf numFmtId="165" fontId="27" fillId="2" borderId="0" xfId="5" applyNumberFormat="1" applyFont="1" applyFill="1" applyBorder="1" applyAlignment="1" applyProtection="1">
      <alignment horizontal="left" vertical="center" wrapText="1"/>
    </xf>
    <xf numFmtId="165" fontId="27" fillId="2" borderId="0" xfId="5" applyNumberFormat="1" applyFont="1" applyFill="1" applyBorder="1" applyAlignment="1" applyProtection="1">
      <alignment horizontal="left" vertical="center"/>
    </xf>
    <xf numFmtId="165" fontId="27" fillId="2" borderId="0" xfId="5" applyNumberFormat="1" applyFont="1" applyFill="1" applyBorder="1" applyAlignment="1" applyProtection="1">
      <alignment horizontal="center" vertical="center" wrapText="1"/>
    </xf>
    <xf numFmtId="166" fontId="29" fillId="2" borderId="0" xfId="6" applyNumberFormat="1" applyFont="1" applyFill="1" applyBorder="1" applyAlignment="1" applyProtection="1">
      <alignment horizontal="center" vertical="center" wrapText="1"/>
    </xf>
    <xf numFmtId="165" fontId="30" fillId="4" borderId="17" xfId="5" applyNumberFormat="1" applyFont="1" applyFill="1" applyBorder="1" applyAlignment="1" applyProtection="1">
      <alignment horizontal="left" vertical="center" wrapText="1"/>
    </xf>
    <xf numFmtId="165" fontId="30" fillId="4" borderId="23" xfId="5" applyNumberFormat="1" applyFont="1" applyFill="1" applyBorder="1" applyAlignment="1" applyProtection="1">
      <alignment horizontal="left" vertical="center"/>
    </xf>
    <xf numFmtId="165" fontId="30" fillId="4" borderId="18" xfId="5" applyNumberFormat="1" applyFont="1" applyFill="1" applyBorder="1" applyAlignment="1" applyProtection="1">
      <alignment horizontal="center" vertical="center" wrapText="1"/>
    </xf>
    <xf numFmtId="165" fontId="30" fillId="4" borderId="24" xfId="5" applyNumberFormat="1" applyFont="1" applyFill="1" applyBorder="1" applyAlignment="1" applyProtection="1">
      <alignment horizontal="center" vertical="center" wrapText="1"/>
    </xf>
    <xf numFmtId="0" fontId="234" fillId="0" borderId="0" xfId="2" applyNumberFormat="1" applyFont="1" applyBorder="1" applyAlignment="1">
      <alignment horizontal="center"/>
    </xf>
    <xf numFmtId="49" fontId="236" fillId="0" borderId="5" xfId="2" applyNumberFormat="1" applyFont="1" applyBorder="1" applyAlignment="1">
      <alignment horizontal="left" wrapText="1"/>
    </xf>
    <xf numFmtId="49" fontId="236" fillId="0" borderId="98" xfId="2" applyNumberFormat="1" applyFont="1" applyBorder="1" applyAlignment="1">
      <alignment horizontal="left" wrapText="1"/>
    </xf>
    <xf numFmtId="0" fontId="232" fillId="0" borderId="100" xfId="2" applyNumberFormat="1" applyFont="1" applyBorder="1" applyAlignment="1">
      <alignment horizontal="center" vertical="center" wrapText="1"/>
    </xf>
    <xf numFmtId="0" fontId="232" fillId="0" borderId="101" xfId="2" applyNumberFormat="1" applyFont="1" applyBorder="1" applyAlignment="1">
      <alignment horizontal="center" vertical="center" wrapText="1"/>
    </xf>
    <xf numFmtId="0" fontId="232" fillId="0" borderId="102" xfId="2" applyNumberFormat="1" applyFont="1" applyBorder="1" applyAlignment="1">
      <alignment horizontal="center" vertical="center" wrapText="1"/>
    </xf>
    <xf numFmtId="0" fontId="232" fillId="0" borderId="12" xfId="2" applyNumberFormat="1" applyFont="1" applyBorder="1" applyAlignment="1">
      <alignment horizontal="center" vertical="center" wrapText="1"/>
    </xf>
    <xf numFmtId="0" fontId="232" fillId="0" borderId="5" xfId="2" applyNumberFormat="1" applyFont="1" applyBorder="1" applyAlignment="1">
      <alignment horizontal="center" vertical="center" wrapText="1"/>
    </xf>
    <xf numFmtId="0" fontId="232" fillId="0" borderId="13" xfId="2" applyNumberFormat="1" applyFont="1" applyBorder="1" applyAlignment="1">
      <alignment horizontal="center" vertical="center" wrapText="1"/>
    </xf>
    <xf numFmtId="0" fontId="232" fillId="0" borderId="95" xfId="2" applyNumberFormat="1" applyFont="1" applyBorder="1" applyAlignment="1">
      <alignment horizontal="center" vertical="center" wrapText="1"/>
    </xf>
    <xf numFmtId="0" fontId="232" fillId="0" borderId="95" xfId="2" applyNumberFormat="1" applyFont="1" applyBorder="1" applyAlignment="1">
      <alignment horizontal="center" vertical="top"/>
    </xf>
    <xf numFmtId="0" fontId="232" fillId="0" borderId="97" xfId="2" applyNumberFormat="1" applyFont="1" applyBorder="1" applyAlignment="1">
      <alignment horizontal="center" vertical="top" wrapText="1"/>
    </xf>
    <xf numFmtId="0" fontId="232" fillId="0" borderId="98" xfId="2" applyNumberFormat="1" applyFont="1" applyBorder="1" applyAlignment="1">
      <alignment horizontal="center" vertical="top" wrapText="1"/>
    </xf>
    <xf numFmtId="0" fontId="232" fillId="0" borderId="99" xfId="2" applyNumberFormat="1" applyFont="1" applyBorder="1" applyAlignment="1">
      <alignment horizontal="center" vertical="top" wrapText="1"/>
    </xf>
    <xf numFmtId="0" fontId="232" fillId="0" borderId="97" xfId="2" applyNumberFormat="1" applyFont="1" applyBorder="1" applyAlignment="1">
      <alignment horizontal="center" vertical="top"/>
    </xf>
    <xf numFmtId="0" fontId="232" fillId="0" borderId="98" xfId="2" applyNumberFormat="1" applyFont="1" applyBorder="1" applyAlignment="1">
      <alignment horizontal="center" vertical="top"/>
    </xf>
    <xf numFmtId="0" fontId="232" fillId="0" borderId="99" xfId="2" applyNumberFormat="1" applyFont="1" applyBorder="1" applyAlignment="1">
      <alignment horizontal="center" vertical="top"/>
    </xf>
    <xf numFmtId="0" fontId="236" fillId="0" borderId="97" xfId="2" applyNumberFormat="1" applyFont="1" applyFill="1" applyBorder="1" applyAlignment="1">
      <alignment horizontal="left" wrapText="1"/>
    </xf>
    <xf numFmtId="0" fontId="236" fillId="0" borderId="98" xfId="2" applyNumberFormat="1" applyFont="1" applyFill="1" applyBorder="1" applyAlignment="1">
      <alignment horizontal="left" wrapText="1"/>
    </xf>
    <xf numFmtId="0" fontId="236" fillId="0" borderId="99" xfId="2" applyNumberFormat="1" applyFont="1" applyFill="1" applyBorder="1" applyAlignment="1">
      <alignment horizontal="left" wrapText="1"/>
    </xf>
    <xf numFmtId="0" fontId="236" fillId="0" borderId="100" xfId="2" applyNumberFormat="1" applyFont="1" applyFill="1" applyBorder="1" applyAlignment="1">
      <alignment horizontal="center" vertical="center"/>
    </xf>
    <xf numFmtId="0" fontId="236" fillId="0" borderId="101" xfId="2" applyNumberFormat="1" applyFont="1" applyFill="1" applyBorder="1" applyAlignment="1">
      <alignment horizontal="center" vertical="center"/>
    </xf>
    <xf numFmtId="0" fontId="236" fillId="0" borderId="102" xfId="2" applyNumberFormat="1" applyFont="1" applyFill="1" applyBorder="1" applyAlignment="1">
      <alignment horizontal="center" vertical="center"/>
    </xf>
    <xf numFmtId="49" fontId="236" fillId="0" borderId="100" xfId="2" applyNumberFormat="1" applyFont="1" applyFill="1" applyBorder="1" applyAlignment="1">
      <alignment horizontal="center" vertical="center"/>
    </xf>
    <xf numFmtId="49" fontId="236" fillId="0" borderId="101" xfId="2" applyNumberFormat="1" applyFont="1" applyFill="1" applyBorder="1" applyAlignment="1">
      <alignment horizontal="center" vertical="center"/>
    </xf>
    <xf numFmtId="49" fontId="236" fillId="0" borderId="102" xfId="2" applyNumberFormat="1" applyFont="1" applyFill="1" applyBorder="1" applyAlignment="1">
      <alignment horizontal="center" vertical="center"/>
    </xf>
    <xf numFmtId="3" fontId="236" fillId="0" borderId="100" xfId="2" applyNumberFormat="1" applyFont="1" applyFill="1" applyBorder="1" applyAlignment="1">
      <alignment horizontal="center" vertical="center"/>
    </xf>
    <xf numFmtId="3" fontId="236" fillId="0" borderId="101" xfId="2" applyNumberFormat="1" applyFont="1" applyFill="1" applyBorder="1" applyAlignment="1">
      <alignment horizontal="center" vertical="center"/>
    </xf>
    <xf numFmtId="3" fontId="236" fillId="0" borderId="102" xfId="2" applyNumberFormat="1" applyFont="1" applyFill="1" applyBorder="1" applyAlignment="1">
      <alignment horizontal="center" vertical="center"/>
    </xf>
    <xf numFmtId="0" fontId="236" fillId="0" borderId="97" xfId="2" applyNumberFormat="1" applyFont="1" applyFill="1" applyBorder="1" applyAlignment="1">
      <alignment horizontal="left" wrapText="1" indent="1"/>
    </xf>
    <xf numFmtId="0" fontId="236" fillId="0" borderId="98" xfId="2" applyNumberFormat="1" applyFont="1" applyFill="1" applyBorder="1" applyAlignment="1">
      <alignment horizontal="left" wrapText="1" indent="1"/>
    </xf>
    <xf numFmtId="0" fontId="236" fillId="0" borderId="99" xfId="2" applyNumberFormat="1" applyFont="1" applyFill="1" applyBorder="1" applyAlignment="1">
      <alignment horizontal="left" wrapText="1" indent="1"/>
    </xf>
    <xf numFmtId="3" fontId="236" fillId="0" borderId="97" xfId="2" applyNumberFormat="1" applyFont="1" applyFill="1" applyBorder="1" applyAlignment="1">
      <alignment horizontal="center" vertical="center"/>
    </xf>
    <xf numFmtId="3" fontId="236" fillId="0" borderId="98" xfId="2" applyNumberFormat="1" applyFont="1" applyFill="1" applyBorder="1" applyAlignment="1">
      <alignment horizontal="center" vertical="center"/>
    </xf>
    <xf numFmtId="3" fontId="236" fillId="0" borderId="99" xfId="2" applyNumberFormat="1" applyFont="1" applyFill="1" applyBorder="1" applyAlignment="1">
      <alignment horizontal="center" vertical="center"/>
    </xf>
    <xf numFmtId="0" fontId="236" fillId="0" borderId="97" xfId="2" applyNumberFormat="1" applyFont="1" applyFill="1" applyBorder="1" applyAlignment="1">
      <alignment horizontal="left" wrapText="1" indent="2"/>
    </xf>
    <xf numFmtId="0" fontId="236" fillId="0" borderId="98" xfId="2" applyNumberFormat="1" applyFont="1" applyFill="1" applyBorder="1" applyAlignment="1">
      <alignment horizontal="left" wrapText="1" indent="2"/>
    </xf>
    <xf numFmtId="0" fontId="236" fillId="0" borderId="99" xfId="2" applyNumberFormat="1" applyFont="1" applyFill="1" applyBorder="1" applyAlignment="1">
      <alignment horizontal="left" wrapText="1" indent="2"/>
    </xf>
    <xf numFmtId="0" fontId="236" fillId="0" borderId="97" xfId="2" applyNumberFormat="1" applyFont="1" applyFill="1" applyBorder="1" applyAlignment="1">
      <alignment horizontal="left" wrapText="1" indent="4"/>
    </xf>
    <xf numFmtId="0" fontId="236" fillId="0" borderId="98" xfId="2" applyNumberFormat="1" applyFont="1" applyFill="1" applyBorder="1" applyAlignment="1">
      <alignment horizontal="left" wrapText="1" indent="4"/>
    </xf>
    <xf numFmtId="0" fontId="236" fillId="0" borderId="99" xfId="2" applyNumberFormat="1" applyFont="1" applyFill="1" applyBorder="1" applyAlignment="1">
      <alignment horizontal="left" wrapText="1" indent="4"/>
    </xf>
    <xf numFmtId="0" fontId="236" fillId="2" borderId="97" xfId="2" applyNumberFormat="1" applyFont="1" applyFill="1" applyBorder="1" applyAlignment="1">
      <alignment horizontal="left" wrapText="1" indent="4"/>
    </xf>
    <xf numFmtId="0" fontId="236" fillId="2" borderId="98" xfId="2" applyNumberFormat="1" applyFont="1" applyFill="1" applyBorder="1" applyAlignment="1">
      <alignment horizontal="left" wrapText="1" indent="4"/>
    </xf>
    <xf numFmtId="0" fontId="236" fillId="2" borderId="99" xfId="2" applyNumberFormat="1" applyFont="1" applyFill="1" applyBorder="1" applyAlignment="1">
      <alignment horizontal="left" wrapText="1" indent="4"/>
    </xf>
    <xf numFmtId="0" fontId="236" fillId="2" borderId="100" xfId="2" applyNumberFormat="1" applyFont="1" applyFill="1" applyBorder="1" applyAlignment="1">
      <alignment horizontal="center" vertical="center"/>
    </xf>
    <xf numFmtId="0" fontId="236" fillId="2" borderId="101" xfId="2" applyNumberFormat="1" applyFont="1" applyFill="1" applyBorder="1" applyAlignment="1">
      <alignment horizontal="center" vertical="center"/>
    </xf>
    <xf numFmtId="0" fontId="236" fillId="2" borderId="102" xfId="2" applyNumberFormat="1" applyFont="1" applyFill="1" applyBorder="1" applyAlignment="1">
      <alignment horizontal="center" vertical="center"/>
    </xf>
    <xf numFmtId="49" fontId="236" fillId="2" borderId="100" xfId="2" applyNumberFormat="1" applyFont="1" applyFill="1" applyBorder="1" applyAlignment="1">
      <alignment horizontal="center" vertical="center"/>
    </xf>
    <xf numFmtId="49" fontId="236" fillId="2" borderId="101" xfId="2" applyNumberFormat="1" applyFont="1" applyFill="1" applyBorder="1" applyAlignment="1">
      <alignment horizontal="center" vertical="center"/>
    </xf>
    <xf numFmtId="49" fontId="236" fillId="2" borderId="102" xfId="2" applyNumberFormat="1" applyFont="1" applyFill="1" applyBorder="1" applyAlignment="1">
      <alignment horizontal="center" vertical="center"/>
    </xf>
    <xf numFmtId="3" fontId="236" fillId="2" borderId="100" xfId="2" applyNumberFormat="1" applyFont="1" applyFill="1" applyBorder="1" applyAlignment="1">
      <alignment horizontal="center" vertical="center"/>
    </xf>
    <xf numFmtId="3" fontId="236" fillId="2" borderId="101" xfId="2" applyNumberFormat="1" applyFont="1" applyFill="1" applyBorder="1" applyAlignment="1">
      <alignment horizontal="center" vertical="center"/>
    </xf>
    <xf numFmtId="3" fontId="236" fillId="2" borderId="102" xfId="2" applyNumberFormat="1" applyFont="1" applyFill="1" applyBorder="1" applyAlignment="1">
      <alignment horizontal="center" vertical="center"/>
    </xf>
    <xf numFmtId="3" fontId="236" fillId="2" borderId="97" xfId="2" applyNumberFormat="1" applyFont="1" applyFill="1" applyBorder="1" applyAlignment="1">
      <alignment horizontal="center" vertical="center"/>
    </xf>
    <xf numFmtId="3" fontId="236" fillId="2" borderId="98" xfId="2" applyNumberFormat="1" applyFont="1" applyFill="1" applyBorder="1" applyAlignment="1">
      <alignment horizontal="center" vertical="center"/>
    </xf>
    <xf numFmtId="3" fontId="236" fillId="2" borderId="99" xfId="2" applyNumberFormat="1" applyFont="1" applyFill="1" applyBorder="1" applyAlignment="1">
      <alignment horizontal="center" vertical="center"/>
    </xf>
    <xf numFmtId="0" fontId="236" fillId="0" borderId="97" xfId="2" applyNumberFormat="1" applyFont="1" applyFill="1" applyBorder="1" applyAlignment="1">
      <alignment horizontal="left" wrapText="1" indent="3"/>
    </xf>
    <xf numFmtId="0" fontId="236" fillId="0" borderId="98" xfId="2" applyNumberFormat="1" applyFont="1" applyFill="1" applyBorder="1" applyAlignment="1">
      <alignment horizontal="left" wrapText="1" indent="3"/>
    </xf>
    <xf numFmtId="0" fontId="236" fillId="0" borderId="99" xfId="2" applyNumberFormat="1" applyFont="1" applyFill="1" applyBorder="1" applyAlignment="1">
      <alignment horizontal="left" wrapText="1" indent="3"/>
    </xf>
    <xf numFmtId="0" fontId="236" fillId="0" borderId="97" xfId="2" applyNumberFormat="1" applyFont="1" applyFill="1" applyBorder="1" applyAlignment="1">
      <alignment horizontal="center" vertical="center"/>
    </xf>
    <xf numFmtId="0" fontId="236" fillId="0" borderId="98" xfId="2" applyNumberFormat="1" applyFont="1" applyFill="1" applyBorder="1" applyAlignment="1">
      <alignment horizontal="center" vertical="center"/>
    </xf>
    <xf numFmtId="0" fontId="236" fillId="0" borderId="99" xfId="2" applyNumberFormat="1" applyFont="1" applyFill="1" applyBorder="1" applyAlignment="1">
      <alignment horizontal="center" vertical="center"/>
    </xf>
    <xf numFmtId="49" fontId="236" fillId="0" borderId="97" xfId="2" applyNumberFormat="1" applyFont="1" applyFill="1" applyBorder="1" applyAlignment="1">
      <alignment horizontal="center" vertical="center"/>
    </xf>
    <xf numFmtId="49" fontId="236" fillId="0" borderId="98" xfId="2" applyNumberFormat="1" applyFont="1" applyFill="1" applyBorder="1" applyAlignment="1">
      <alignment horizontal="center" vertical="center"/>
    </xf>
    <xf numFmtId="49" fontId="236" fillId="0" borderId="99" xfId="2" applyNumberFormat="1" applyFont="1" applyFill="1" applyBorder="1" applyAlignment="1">
      <alignment horizontal="center" vertical="center"/>
    </xf>
    <xf numFmtId="0" fontId="232" fillId="0" borderId="97" xfId="2" applyNumberFormat="1" applyFont="1" applyFill="1" applyBorder="1" applyAlignment="1">
      <alignment horizontal="left" vertical="center"/>
    </xf>
    <xf numFmtId="0" fontId="232" fillId="0" borderId="98" xfId="2" applyNumberFormat="1" applyFont="1" applyFill="1" applyBorder="1" applyAlignment="1">
      <alignment horizontal="left" vertical="center"/>
    </xf>
    <xf numFmtId="0" fontId="232" fillId="0" borderId="99" xfId="2" applyNumberFormat="1" applyFont="1" applyFill="1" applyBorder="1" applyAlignment="1">
      <alignment horizontal="left" vertical="center"/>
    </xf>
    <xf numFmtId="3" fontId="236" fillId="0" borderId="95" xfId="2" applyNumberFormat="1" applyFont="1" applyFill="1" applyBorder="1" applyAlignment="1">
      <alignment horizontal="center" vertical="center"/>
    </xf>
    <xf numFmtId="0" fontId="232" fillId="0" borderId="5" xfId="2" applyNumberFormat="1" applyFont="1" applyBorder="1" applyAlignment="1">
      <alignment horizontal="center" vertical="center"/>
    </xf>
    <xf numFmtId="0" fontId="236" fillId="0" borderId="95" xfId="2" applyNumberFormat="1" applyFont="1" applyBorder="1" applyAlignment="1">
      <alignment horizontal="center" vertical="center"/>
    </xf>
    <xf numFmtId="3" fontId="236" fillId="0" borderId="95" xfId="2" applyNumberFormat="1" applyFont="1" applyBorder="1" applyAlignment="1">
      <alignment horizontal="center" vertical="center"/>
    </xf>
    <xf numFmtId="3" fontId="236" fillId="2" borderId="95" xfId="2" applyNumberFormat="1" applyFont="1" applyFill="1" applyBorder="1" applyAlignment="1">
      <alignment horizontal="center" vertical="center"/>
    </xf>
    <xf numFmtId="0" fontId="236" fillId="2" borderId="95" xfId="2" applyNumberFormat="1" applyFont="1" applyFill="1" applyBorder="1" applyAlignment="1">
      <alignment horizontal="center" vertical="center"/>
    </xf>
    <xf numFmtId="0" fontId="232" fillId="2" borderId="95" xfId="2" applyNumberFormat="1" applyFont="1" applyFill="1" applyBorder="1" applyAlignment="1">
      <alignment horizontal="center" vertical="top"/>
    </xf>
    <xf numFmtId="0" fontId="236" fillId="0" borderId="95" xfId="2" applyNumberFormat="1" applyFont="1" applyBorder="1" applyAlignment="1">
      <alignment horizontal="left" wrapText="1" indent="1"/>
    </xf>
    <xf numFmtId="49" fontId="236" fillId="0" borderId="95" xfId="2" applyNumberFormat="1" applyFont="1" applyBorder="1" applyAlignment="1">
      <alignment horizontal="center" vertical="center"/>
    </xf>
    <xf numFmtId="0" fontId="236" fillId="0" borderId="95" xfId="2" applyNumberFormat="1" applyFont="1" applyBorder="1" applyAlignment="1">
      <alignment horizontal="left" wrapText="1"/>
    </xf>
    <xf numFmtId="0" fontId="235" fillId="0" borderId="5" xfId="2" applyNumberFormat="1" applyFont="1" applyBorder="1" applyAlignment="1">
      <alignment horizontal="center"/>
    </xf>
    <xf numFmtId="0" fontId="236" fillId="0" borderId="0" xfId="2" applyNumberFormat="1" applyFont="1" applyBorder="1" applyAlignment="1">
      <alignment horizontal="center" vertical="top"/>
    </xf>
    <xf numFmtId="3" fontId="236" fillId="0" borderId="1" xfId="2" applyNumberFormat="1" applyFont="1" applyBorder="1" applyAlignment="1">
      <alignment horizontal="center" vertical="center"/>
    </xf>
    <xf numFmtId="0" fontId="236" fillId="0" borderId="1" xfId="2" applyNumberFormat="1" applyFont="1" applyBorder="1" applyAlignment="1">
      <alignment horizontal="center" vertical="center"/>
    </xf>
    <xf numFmtId="0" fontId="236" fillId="0" borderId="1" xfId="2" applyNumberFormat="1" applyFont="1" applyBorder="1" applyAlignment="1">
      <alignment horizontal="left" wrapText="1"/>
    </xf>
    <xf numFmtId="49" fontId="236" fillId="0" borderId="1" xfId="2" applyNumberFormat="1" applyFont="1" applyBorder="1" applyAlignment="1">
      <alignment horizontal="center" vertical="center"/>
    </xf>
    <xf numFmtId="3" fontId="236" fillId="0" borderId="1" xfId="2" applyNumberFormat="1" applyFont="1" applyFill="1" applyBorder="1" applyAlignment="1">
      <alignment horizontal="center" vertical="center"/>
    </xf>
    <xf numFmtId="0" fontId="236" fillId="2" borderId="1" xfId="2" applyNumberFormat="1" applyFont="1" applyFill="1" applyBorder="1" applyAlignment="1">
      <alignment horizontal="center" vertical="center"/>
    </xf>
    <xf numFmtId="3" fontId="236" fillId="2" borderId="1" xfId="2" applyNumberFormat="1" applyFont="1" applyFill="1" applyBorder="1" applyAlignment="1">
      <alignment horizontal="center" vertical="center"/>
    </xf>
    <xf numFmtId="0" fontId="232" fillId="0" borderId="10" xfId="2" applyNumberFormat="1" applyFont="1" applyBorder="1" applyAlignment="1">
      <alignment horizontal="center" vertical="top"/>
    </xf>
    <xf numFmtId="0" fontId="232" fillId="0" borderId="6" xfId="2" applyNumberFormat="1" applyFont="1" applyBorder="1" applyAlignment="1">
      <alignment horizontal="center" vertical="top"/>
    </xf>
    <xf numFmtId="0" fontId="232" fillId="0" borderId="11" xfId="2" applyNumberFormat="1" applyFont="1" applyBorder="1" applyAlignment="1">
      <alignment horizontal="center" vertical="top"/>
    </xf>
    <xf numFmtId="0" fontId="236" fillId="0" borderId="1" xfId="2" applyNumberFormat="1" applyFont="1" applyBorder="1" applyAlignment="1">
      <alignment horizontal="left" wrapText="1" indent="1"/>
    </xf>
    <xf numFmtId="0" fontId="232" fillId="0" borderId="1" xfId="2" applyNumberFormat="1" applyFont="1" applyBorder="1" applyAlignment="1">
      <alignment horizontal="center" vertical="top"/>
    </xf>
    <xf numFmtId="0" fontId="232" fillId="0" borderId="10" xfId="2" applyNumberFormat="1" applyFont="1" applyBorder="1" applyAlignment="1">
      <alignment horizontal="center" vertical="top" wrapText="1"/>
    </xf>
    <xf numFmtId="0" fontId="232" fillId="0" borderId="6" xfId="2" applyNumberFormat="1" applyFont="1" applyBorder="1" applyAlignment="1">
      <alignment horizontal="center" vertical="top" wrapText="1"/>
    </xf>
    <xf numFmtId="0" fontId="232" fillId="0" borderId="11" xfId="2" applyNumberFormat="1" applyFont="1" applyBorder="1" applyAlignment="1">
      <alignment horizontal="center" vertical="top" wrapText="1"/>
    </xf>
    <xf numFmtId="0" fontId="232" fillId="2" borderId="1" xfId="2" applyNumberFormat="1" applyFont="1" applyFill="1" applyBorder="1" applyAlignment="1">
      <alignment horizontal="center" vertical="top"/>
    </xf>
    <xf numFmtId="3" fontId="236" fillId="0" borderId="10" xfId="2" applyNumberFormat="1" applyFont="1" applyFill="1" applyBorder="1" applyAlignment="1">
      <alignment horizontal="center" vertical="center"/>
    </xf>
    <xf numFmtId="3" fontId="236" fillId="0" borderId="6" xfId="2" applyNumberFormat="1" applyFont="1" applyFill="1" applyBorder="1" applyAlignment="1">
      <alignment horizontal="center" vertical="center"/>
    </xf>
    <xf numFmtId="3" fontId="236" fillId="0" borderId="11" xfId="2" applyNumberFormat="1" applyFont="1" applyFill="1" applyBorder="1" applyAlignment="1">
      <alignment horizontal="center" vertical="center"/>
    </xf>
    <xf numFmtId="0" fontId="232" fillId="0" borderId="7" xfId="2" applyNumberFormat="1" applyFont="1" applyBorder="1" applyAlignment="1">
      <alignment horizontal="center" vertical="center" wrapText="1"/>
    </xf>
    <xf numFmtId="0" fontId="232" fillId="0" borderId="8" xfId="2" applyNumberFormat="1" applyFont="1" applyBorder="1" applyAlignment="1">
      <alignment horizontal="center" vertical="center" wrapText="1"/>
    </xf>
    <xf numFmtId="0" fontId="232" fillId="0" borderId="9" xfId="2" applyNumberFormat="1" applyFont="1" applyBorder="1" applyAlignment="1">
      <alignment horizontal="center" vertical="center" wrapText="1"/>
    </xf>
    <xf numFmtId="0" fontId="232" fillId="0" borderId="1" xfId="2" applyNumberFormat="1" applyFont="1" applyBorder="1" applyAlignment="1">
      <alignment horizontal="center" vertical="center" wrapText="1"/>
    </xf>
    <xf numFmtId="3" fontId="236" fillId="0" borderId="7" xfId="2" applyNumberFormat="1" applyFont="1" applyFill="1" applyBorder="1" applyAlignment="1">
      <alignment horizontal="center" vertical="center"/>
    </xf>
    <xf numFmtId="3" fontId="236" fillId="0" borderId="8" xfId="2" applyNumberFormat="1" applyFont="1" applyFill="1" applyBorder="1" applyAlignment="1">
      <alignment horizontal="center" vertical="center"/>
    </xf>
    <xf numFmtId="3" fontId="236" fillId="0" borderId="9" xfId="2" applyNumberFormat="1" applyFont="1" applyFill="1" applyBorder="1" applyAlignment="1">
      <alignment horizontal="center" vertical="center"/>
    </xf>
    <xf numFmtId="0" fontId="236" fillId="0" borderId="10" xfId="2" applyNumberFormat="1" applyFont="1" applyFill="1" applyBorder="1" applyAlignment="1">
      <alignment horizontal="left" wrapText="1" indent="2"/>
    </xf>
    <xf numFmtId="0" fontId="236" fillId="0" borderId="6" xfId="2" applyNumberFormat="1" applyFont="1" applyFill="1" applyBorder="1" applyAlignment="1">
      <alignment horizontal="left" wrapText="1" indent="2"/>
    </xf>
    <xf numFmtId="0" fontId="236" fillId="0" borderId="11" xfId="2" applyNumberFormat="1" applyFont="1" applyFill="1" applyBorder="1" applyAlignment="1">
      <alignment horizontal="left" wrapText="1" indent="2"/>
    </xf>
    <xf numFmtId="0" fontId="236" fillId="0" borderId="10" xfId="2" applyNumberFormat="1" applyFont="1" applyFill="1" applyBorder="1" applyAlignment="1">
      <alignment horizontal="center" vertical="center"/>
    </xf>
    <xf numFmtId="0" fontId="236" fillId="0" borderId="6" xfId="2" applyNumberFormat="1" applyFont="1" applyFill="1" applyBorder="1" applyAlignment="1">
      <alignment horizontal="center" vertical="center"/>
    </xf>
    <xf numFmtId="0" fontId="236" fillId="0" borderId="11" xfId="2" applyNumberFormat="1" applyFont="1" applyFill="1" applyBorder="1" applyAlignment="1">
      <alignment horizontal="center" vertical="center"/>
    </xf>
    <xf numFmtId="49" fontId="236" fillId="0" borderId="10" xfId="2" applyNumberFormat="1" applyFont="1" applyFill="1" applyBorder="1" applyAlignment="1">
      <alignment horizontal="center" vertical="center"/>
    </xf>
    <xf numFmtId="49" fontId="236" fillId="0" borderId="6" xfId="2" applyNumberFormat="1" applyFont="1" applyFill="1" applyBorder="1" applyAlignment="1">
      <alignment horizontal="center" vertical="center"/>
    </xf>
    <xf numFmtId="49" fontId="236" fillId="0" borderId="11" xfId="2" applyNumberFormat="1" applyFont="1" applyFill="1" applyBorder="1" applyAlignment="1">
      <alignment horizontal="center" vertical="center"/>
    </xf>
    <xf numFmtId="0" fontId="236" fillId="0" borderId="7" xfId="2" applyNumberFormat="1" applyFont="1" applyFill="1" applyBorder="1" applyAlignment="1">
      <alignment horizontal="center" vertical="center"/>
    </xf>
    <xf numFmtId="0" fontId="236" fillId="0" borderId="8" xfId="2" applyNumberFormat="1" applyFont="1" applyFill="1" applyBorder="1" applyAlignment="1">
      <alignment horizontal="center" vertical="center"/>
    </xf>
    <xf numFmtId="0" fontId="236" fillId="0" borderId="9" xfId="2" applyNumberFormat="1" applyFont="1" applyFill="1" applyBorder="1" applyAlignment="1">
      <alignment horizontal="center" vertical="center"/>
    </xf>
    <xf numFmtId="49" fontId="236" fillId="0" borderId="7" xfId="2" applyNumberFormat="1" applyFont="1" applyFill="1" applyBorder="1" applyAlignment="1">
      <alignment horizontal="center" vertical="center"/>
    </xf>
    <xf numFmtId="49" fontId="236" fillId="0" borderId="8" xfId="2" applyNumberFormat="1" applyFont="1" applyFill="1" applyBorder="1" applyAlignment="1">
      <alignment horizontal="center" vertical="center"/>
    </xf>
    <xf numFmtId="49" fontId="236" fillId="0" borderId="9" xfId="2" applyNumberFormat="1" applyFont="1" applyFill="1" applyBorder="1" applyAlignment="1">
      <alignment horizontal="center" vertical="center"/>
    </xf>
    <xf numFmtId="0" fontId="236" fillId="0" borderId="10" xfId="2" applyNumberFormat="1" applyFont="1" applyFill="1" applyBorder="1" applyAlignment="1">
      <alignment horizontal="left" wrapText="1"/>
    </xf>
    <xf numFmtId="0" fontId="236" fillId="0" borderId="6" xfId="2" applyNumberFormat="1" applyFont="1" applyFill="1" applyBorder="1" applyAlignment="1">
      <alignment horizontal="left" wrapText="1"/>
    </xf>
    <xf numFmtId="0" fontId="236" fillId="0" borderId="11" xfId="2" applyNumberFormat="1" applyFont="1" applyFill="1" applyBorder="1" applyAlignment="1">
      <alignment horizontal="left" wrapText="1"/>
    </xf>
    <xf numFmtId="0" fontId="232" fillId="0" borderId="10" xfId="2" applyNumberFormat="1" applyFont="1" applyFill="1" applyBorder="1" applyAlignment="1">
      <alignment horizontal="left" vertical="center"/>
    </xf>
    <xf numFmtId="0" fontId="232" fillId="0" borderId="6" xfId="2" applyNumberFormat="1" applyFont="1" applyFill="1" applyBorder="1" applyAlignment="1">
      <alignment horizontal="left" vertical="center"/>
    </xf>
    <xf numFmtId="0" fontId="232" fillId="0" borderId="11" xfId="2" applyNumberFormat="1" applyFont="1" applyFill="1" applyBorder="1" applyAlignment="1">
      <alignment horizontal="left" vertical="center"/>
    </xf>
    <xf numFmtId="0" fontId="236" fillId="0" borderId="10" xfId="2" applyNumberFormat="1" applyFont="1" applyFill="1" applyBorder="1" applyAlignment="1">
      <alignment horizontal="left" wrapText="1" indent="1"/>
    </xf>
    <xf numFmtId="0" fontId="236" fillId="0" borderId="6" xfId="2" applyNumberFormat="1" applyFont="1" applyFill="1" applyBorder="1" applyAlignment="1">
      <alignment horizontal="left" wrapText="1" indent="1"/>
    </xf>
    <xf numFmtId="0" fontId="236" fillId="0" borderId="11" xfId="2" applyNumberFormat="1" applyFont="1" applyFill="1" applyBorder="1" applyAlignment="1">
      <alignment horizontal="left" wrapText="1" indent="1"/>
    </xf>
    <xf numFmtId="0" fontId="236" fillId="0" borderId="10" xfId="2" applyNumberFormat="1" applyFont="1" applyFill="1" applyBorder="1" applyAlignment="1">
      <alignment horizontal="left" wrapText="1" indent="3"/>
    </xf>
    <xf numFmtId="0" fontId="236" fillId="0" borderId="6" xfId="2" applyNumberFormat="1" applyFont="1" applyFill="1" applyBorder="1" applyAlignment="1">
      <alignment horizontal="left" wrapText="1" indent="3"/>
    </xf>
    <xf numFmtId="0" fontId="236" fillId="0" borderId="11" xfId="2" applyNumberFormat="1" applyFont="1" applyFill="1" applyBorder="1" applyAlignment="1">
      <alignment horizontal="left" wrapText="1" indent="3"/>
    </xf>
    <xf numFmtId="0" fontId="236" fillId="0" borderId="10" xfId="2" applyNumberFormat="1" applyFont="1" applyFill="1" applyBorder="1" applyAlignment="1">
      <alignment horizontal="left" wrapText="1" indent="4"/>
    </xf>
    <xf numFmtId="0" fontId="236" fillId="0" borderId="6" xfId="2" applyNumberFormat="1" applyFont="1" applyFill="1" applyBorder="1" applyAlignment="1">
      <alignment horizontal="left" wrapText="1" indent="4"/>
    </xf>
    <xf numFmtId="0" fontId="236" fillId="0" borderId="11" xfId="2" applyNumberFormat="1" applyFont="1" applyFill="1" applyBorder="1" applyAlignment="1">
      <alignment horizontal="left" wrapText="1" indent="4"/>
    </xf>
    <xf numFmtId="3" fontId="236" fillId="2" borderId="7" xfId="2" applyNumberFormat="1" applyFont="1" applyFill="1" applyBorder="1" applyAlignment="1">
      <alignment horizontal="center" vertical="center"/>
    </xf>
    <xf numFmtId="3" fontId="236" fillId="2" borderId="8" xfId="2" applyNumberFormat="1" applyFont="1" applyFill="1" applyBorder="1" applyAlignment="1">
      <alignment horizontal="center" vertical="center"/>
    </xf>
    <xf numFmtId="3" fontId="236" fillId="2" borderId="9" xfId="2" applyNumberFormat="1" applyFont="1" applyFill="1" applyBorder="1" applyAlignment="1">
      <alignment horizontal="center" vertical="center"/>
    </xf>
    <xf numFmtId="0" fontId="236" fillId="2" borderId="10" xfId="2" applyNumberFormat="1" applyFont="1" applyFill="1" applyBorder="1" applyAlignment="1">
      <alignment horizontal="left" wrapText="1" indent="4"/>
    </xf>
    <xf numFmtId="0" fontId="236" fillId="2" borderId="6" xfId="2" applyNumberFormat="1" applyFont="1" applyFill="1" applyBorder="1" applyAlignment="1">
      <alignment horizontal="left" wrapText="1" indent="4"/>
    </xf>
    <xf numFmtId="0" fontId="236" fillId="2" borderId="11" xfId="2" applyNumberFormat="1" applyFont="1" applyFill="1" applyBorder="1" applyAlignment="1">
      <alignment horizontal="left" wrapText="1" indent="4"/>
    </xf>
    <xf numFmtId="0" fontId="236" fillId="2" borderId="7" xfId="2" applyNumberFormat="1" applyFont="1" applyFill="1" applyBorder="1" applyAlignment="1">
      <alignment horizontal="center" vertical="center"/>
    </xf>
    <xf numFmtId="0" fontId="236" fillId="2" borderId="8" xfId="2" applyNumberFormat="1" applyFont="1" applyFill="1" applyBorder="1" applyAlignment="1">
      <alignment horizontal="center" vertical="center"/>
    </xf>
    <xf numFmtId="0" fontId="236" fillId="2" borderId="9" xfId="2" applyNumberFormat="1" applyFont="1" applyFill="1" applyBorder="1" applyAlignment="1">
      <alignment horizontal="center" vertical="center"/>
    </xf>
    <xf numFmtId="49" fontId="236" fillId="2" borderId="7" xfId="2" applyNumberFormat="1" applyFont="1" applyFill="1" applyBorder="1" applyAlignment="1">
      <alignment horizontal="center" vertical="center"/>
    </xf>
    <xf numFmtId="49" fontId="236" fillId="2" borderId="8" xfId="2" applyNumberFormat="1" applyFont="1" applyFill="1" applyBorder="1" applyAlignment="1">
      <alignment horizontal="center" vertical="center"/>
    </xf>
    <xf numFmtId="49" fontId="236" fillId="2" borderId="9" xfId="2" applyNumberFormat="1" applyFont="1" applyFill="1" applyBorder="1" applyAlignment="1">
      <alignment horizontal="center" vertical="center"/>
    </xf>
    <xf numFmtId="3" fontId="236" fillId="2" borderId="10" xfId="2" applyNumberFormat="1" applyFont="1" applyFill="1" applyBorder="1" applyAlignment="1">
      <alignment horizontal="center" vertical="center"/>
    </xf>
    <xf numFmtId="3" fontId="236" fillId="2" borderId="6" xfId="2" applyNumberFormat="1" applyFont="1" applyFill="1" applyBorder="1" applyAlignment="1">
      <alignment horizontal="center" vertical="center"/>
    </xf>
    <xf numFmtId="3" fontId="236" fillId="2" borderId="11" xfId="2" applyNumberFormat="1" applyFont="1" applyFill="1" applyBorder="1" applyAlignment="1">
      <alignment horizontal="center" vertical="center"/>
    </xf>
    <xf numFmtId="49" fontId="236" fillId="0" borderId="6" xfId="2" applyNumberFormat="1" applyFont="1" applyBorder="1" applyAlignment="1">
      <alignment horizontal="left" wrapText="1"/>
    </xf>
    <xf numFmtId="0" fontId="241" fillId="0" borderId="8" xfId="2" applyNumberFormat="1" applyFont="1" applyBorder="1" applyAlignment="1">
      <alignment horizontal="center" vertical="top"/>
    </xf>
    <xf numFmtId="0" fontId="241" fillId="0" borderId="0" xfId="2" applyNumberFormat="1" applyFont="1" applyBorder="1" applyAlignment="1">
      <alignment horizontal="center" vertical="top"/>
    </xf>
    <xf numFmtId="0" fontId="16" fillId="0" borderId="5" xfId="2" applyNumberFormat="1" applyFont="1" applyBorder="1" applyAlignment="1">
      <alignment horizontal="center"/>
    </xf>
    <xf numFmtId="3" fontId="241" fillId="0" borderId="7" xfId="2" applyNumberFormat="1" applyFont="1" applyFill="1" applyBorder="1" applyAlignment="1">
      <alignment horizontal="center" vertical="center"/>
    </xf>
    <xf numFmtId="3" fontId="241" fillId="0" borderId="8" xfId="2" applyNumberFormat="1" applyFont="1" applyFill="1" applyBorder="1" applyAlignment="1">
      <alignment horizontal="center" vertical="center"/>
    </xf>
    <xf numFmtId="3" fontId="241" fillId="0" borderId="9" xfId="2" applyNumberFormat="1" applyFont="1" applyFill="1" applyBorder="1" applyAlignment="1">
      <alignment horizontal="center" vertical="center"/>
    </xf>
    <xf numFmtId="3" fontId="241" fillId="0" borderId="12" xfId="2" applyNumberFormat="1" applyFont="1" applyFill="1" applyBorder="1" applyAlignment="1">
      <alignment horizontal="center" vertical="center"/>
    </xf>
    <xf numFmtId="3" fontId="241" fillId="0" borderId="5" xfId="2" applyNumberFormat="1" applyFont="1" applyFill="1" applyBorder="1" applyAlignment="1">
      <alignment horizontal="center" vertical="center"/>
    </xf>
    <xf numFmtId="3" fontId="241" fillId="0" borderId="13" xfId="2" applyNumberFormat="1" applyFont="1" applyFill="1" applyBorder="1" applyAlignment="1">
      <alignment horizontal="center" vertical="center"/>
    </xf>
    <xf numFmtId="3" fontId="241" fillId="0" borderId="7" xfId="2" applyNumberFormat="1" applyFont="1" applyBorder="1" applyAlignment="1">
      <alignment horizontal="center" vertical="center"/>
    </xf>
    <xf numFmtId="3" fontId="241" fillId="0" borderId="8" xfId="2" applyNumberFormat="1" applyFont="1" applyBorder="1" applyAlignment="1">
      <alignment horizontal="center" vertical="center"/>
    </xf>
    <xf numFmtId="3" fontId="241" fillId="0" borderId="9" xfId="2" applyNumberFormat="1" applyFont="1" applyBorder="1" applyAlignment="1">
      <alignment horizontal="center" vertical="center"/>
    </xf>
    <xf numFmtId="3" fontId="241" fillId="0" borderId="12" xfId="2" applyNumberFormat="1" applyFont="1" applyBorder="1" applyAlignment="1">
      <alignment horizontal="center" vertical="center"/>
    </xf>
    <xf numFmtId="3" fontId="241" fillId="0" borderId="5" xfId="2" applyNumberFormat="1" applyFont="1" applyBorder="1" applyAlignment="1">
      <alignment horizontal="center" vertical="center"/>
    </xf>
    <xf numFmtId="3" fontId="241" fillId="0" borderId="13" xfId="2" applyNumberFormat="1" applyFont="1" applyBorder="1" applyAlignment="1">
      <alignment horizontal="center" vertical="center"/>
    </xf>
    <xf numFmtId="0" fontId="241" fillId="0" borderId="5" xfId="2" applyNumberFormat="1" applyFont="1" applyBorder="1" applyAlignment="1">
      <alignment horizontal="left"/>
    </xf>
    <xf numFmtId="0" fontId="241" fillId="0" borderId="13" xfId="2" applyNumberFormat="1" applyFont="1" applyBorder="1" applyAlignment="1">
      <alignment horizontal="left"/>
    </xf>
    <xf numFmtId="0" fontId="242" fillId="0" borderId="0" xfId="2" applyNumberFormat="1" applyFont="1" applyBorder="1" applyAlignment="1">
      <alignment horizontal="justify" wrapText="1"/>
    </xf>
    <xf numFmtId="0" fontId="241" fillId="0" borderId="0" xfId="2" applyNumberFormat="1" applyFont="1" applyBorder="1" applyAlignment="1">
      <alignment horizontal="left"/>
    </xf>
    <xf numFmtId="0" fontId="241" fillId="0" borderId="33" xfId="2" applyNumberFormat="1" applyFont="1" applyBorder="1" applyAlignment="1">
      <alignment horizontal="left"/>
    </xf>
    <xf numFmtId="0" fontId="241" fillId="0" borderId="8" xfId="2" applyNumberFormat="1" applyFont="1" applyBorder="1" applyAlignment="1">
      <alignment horizontal="left"/>
    </xf>
    <xf numFmtId="0" fontId="241" fillId="0" borderId="9" xfId="2" applyNumberFormat="1" applyFont="1" applyBorder="1" applyAlignment="1">
      <alignment horizontal="left"/>
    </xf>
    <xf numFmtId="0" fontId="241" fillId="0" borderId="7" xfId="2" applyNumberFormat="1" applyFont="1" applyBorder="1" applyAlignment="1">
      <alignment horizontal="center" vertical="center"/>
    </xf>
    <xf numFmtId="0" fontId="241" fillId="0" borderId="8" xfId="2" applyNumberFormat="1" applyFont="1" applyBorder="1" applyAlignment="1">
      <alignment horizontal="center" vertical="center"/>
    </xf>
    <xf numFmtId="0" fontId="241" fillId="0" borderId="9" xfId="2" applyNumberFormat="1" applyFont="1" applyBorder="1" applyAlignment="1">
      <alignment horizontal="center" vertical="center"/>
    </xf>
    <xf numFmtId="0" fontId="241" fillId="0" borderId="12" xfId="2" applyNumberFormat="1" applyFont="1" applyBorder="1" applyAlignment="1">
      <alignment horizontal="center" vertical="center"/>
    </xf>
    <xf numFmtId="0" fontId="241" fillId="0" borderId="5" xfId="2" applyNumberFormat="1" applyFont="1" applyBorder="1" applyAlignment="1">
      <alignment horizontal="center" vertical="center"/>
    </xf>
    <xf numFmtId="0" fontId="241" fillId="0" borderId="13" xfId="2" applyNumberFormat="1" applyFont="1" applyBorder="1" applyAlignment="1">
      <alignment horizontal="center" vertical="center"/>
    </xf>
    <xf numFmtId="49" fontId="241" fillId="0" borderId="7" xfId="2" applyNumberFormat="1" applyFont="1" applyBorder="1" applyAlignment="1">
      <alignment horizontal="center" vertical="center"/>
    </xf>
    <xf numFmtId="49" fontId="241" fillId="0" borderId="8" xfId="2" applyNumberFormat="1" applyFont="1" applyBorder="1" applyAlignment="1">
      <alignment horizontal="center" vertical="center"/>
    </xf>
    <xf numFmtId="49" fontId="241" fillId="0" borderId="9" xfId="2" applyNumberFormat="1" applyFont="1" applyBorder="1" applyAlignment="1">
      <alignment horizontal="center" vertical="center"/>
    </xf>
    <xf numFmtId="49" fontId="241" fillId="0" borderId="12" xfId="2" applyNumberFormat="1" applyFont="1" applyBorder="1" applyAlignment="1">
      <alignment horizontal="center" vertical="center"/>
    </xf>
    <xf numFmtId="49" fontId="241" fillId="0" borderId="5" xfId="2" applyNumberFormat="1" applyFont="1" applyBorder="1" applyAlignment="1">
      <alignment horizontal="center" vertical="center"/>
    </xf>
    <xf numFmtId="49" fontId="241" fillId="0" borderId="13" xfId="2" applyNumberFormat="1" applyFont="1" applyBorder="1" applyAlignment="1">
      <alignment horizontal="center" vertical="center"/>
    </xf>
    <xf numFmtId="3" fontId="241" fillId="0" borderId="32" xfId="2" applyNumberFormat="1" applyFont="1" applyBorder="1" applyAlignment="1">
      <alignment horizontal="center" vertical="center"/>
    </xf>
    <xf numFmtId="3" fontId="241" fillId="0" borderId="0" xfId="2" applyNumberFormat="1" applyFont="1" applyBorder="1" applyAlignment="1">
      <alignment horizontal="center" vertical="center"/>
    </xf>
    <xf numFmtId="3" fontId="241" fillId="0" borderId="33" xfId="2" applyNumberFormat="1" applyFont="1" applyBorder="1" applyAlignment="1">
      <alignment horizontal="center" vertical="center"/>
    </xf>
    <xf numFmtId="3" fontId="241" fillId="0" borderId="32" xfId="2" applyNumberFormat="1" applyFont="1" applyFill="1" applyBorder="1" applyAlignment="1">
      <alignment horizontal="center" vertical="center"/>
    </xf>
    <xf numFmtId="3" fontId="241" fillId="0" borderId="0" xfId="2" applyNumberFormat="1" applyFont="1" applyFill="1" applyBorder="1" applyAlignment="1">
      <alignment horizontal="center" vertical="center"/>
    </xf>
    <xf numFmtId="3" fontId="241" fillId="0" borderId="33" xfId="2" applyNumberFormat="1" applyFont="1" applyFill="1" applyBorder="1" applyAlignment="1">
      <alignment horizontal="center" vertical="center"/>
    </xf>
    <xf numFmtId="3" fontId="240" fillId="0" borderId="10" xfId="2" applyNumberFormat="1" applyFont="1" applyFill="1" applyBorder="1" applyAlignment="1">
      <alignment horizontal="center" vertical="center"/>
    </xf>
    <xf numFmtId="3" fontId="240" fillId="0" borderId="6" xfId="2" applyNumberFormat="1" applyFont="1" applyFill="1" applyBorder="1" applyAlignment="1">
      <alignment horizontal="center" vertical="center"/>
    </xf>
    <xf numFmtId="3" fontId="240" fillId="0" borderId="11" xfId="2" applyNumberFormat="1" applyFont="1" applyFill="1" applyBorder="1" applyAlignment="1">
      <alignment horizontal="center" vertical="center"/>
    </xf>
    <xf numFmtId="3" fontId="240" fillId="0" borderId="1" xfId="2" applyNumberFormat="1" applyFont="1" applyFill="1" applyBorder="1" applyAlignment="1">
      <alignment horizontal="center" vertical="center"/>
    </xf>
    <xf numFmtId="0" fontId="241" fillId="0" borderId="8" xfId="2" applyNumberFormat="1" applyFont="1" applyFill="1" applyBorder="1" applyAlignment="1">
      <alignment horizontal="left"/>
    </xf>
    <xf numFmtId="0" fontId="241" fillId="0" borderId="9" xfId="2" applyNumberFormat="1" applyFont="1" applyFill="1" applyBorder="1" applyAlignment="1">
      <alignment horizontal="left"/>
    </xf>
    <xf numFmtId="0" fontId="241" fillId="0" borderId="32" xfId="2" applyNumberFormat="1" applyFont="1" applyBorder="1" applyAlignment="1">
      <alignment horizontal="center" vertical="center"/>
    </xf>
    <xf numFmtId="0" fontId="241" fillId="0" borderId="0" xfId="2" applyNumberFormat="1" applyFont="1" applyBorder="1" applyAlignment="1">
      <alignment horizontal="center" vertical="center"/>
    </xf>
    <xf numFmtId="0" fontId="241" fillId="0" borderId="33" xfId="2" applyNumberFormat="1" applyFont="1" applyBorder="1" applyAlignment="1">
      <alignment horizontal="center" vertical="center"/>
    </xf>
    <xf numFmtId="49" fontId="241" fillId="0" borderId="32" xfId="2" applyNumberFormat="1" applyFont="1" applyBorder="1" applyAlignment="1">
      <alignment horizontal="center" vertical="center"/>
    </xf>
    <xf numFmtId="49" fontId="241" fillId="0" borderId="0" xfId="2" applyNumberFormat="1" applyFont="1" applyBorder="1" applyAlignment="1">
      <alignment horizontal="center" vertical="center"/>
    </xf>
    <xf numFmtId="49" fontId="241" fillId="0" borderId="33" xfId="2" applyNumberFormat="1" applyFont="1" applyBorder="1" applyAlignment="1">
      <alignment horizontal="center" vertical="center"/>
    </xf>
    <xf numFmtId="0" fontId="240" fillId="0" borderId="6" xfId="2" applyNumberFormat="1" applyFont="1" applyFill="1" applyBorder="1" applyAlignment="1">
      <alignment horizontal="left"/>
    </xf>
    <xf numFmtId="0" fontId="240" fillId="0" borderId="11" xfId="2" applyNumberFormat="1" applyFont="1" applyFill="1" applyBorder="1" applyAlignment="1">
      <alignment horizontal="left"/>
    </xf>
    <xf numFmtId="0" fontId="240" fillId="0" borderId="1" xfId="2" applyNumberFormat="1" applyFont="1" applyFill="1" applyBorder="1" applyAlignment="1">
      <alignment horizontal="center" vertical="center"/>
    </xf>
    <xf numFmtId="49" fontId="240" fillId="0" borderId="1" xfId="2" applyNumberFormat="1" applyFont="1" applyFill="1" applyBorder="1" applyAlignment="1">
      <alignment horizontal="center" vertical="center"/>
    </xf>
    <xf numFmtId="3" fontId="241" fillId="0" borderId="1" xfId="2" applyNumberFormat="1" applyFont="1" applyFill="1" applyBorder="1" applyAlignment="1">
      <alignment horizontal="center" vertical="center"/>
    </xf>
    <xf numFmtId="3" fontId="241" fillId="0" borderId="10" xfId="2" applyNumberFormat="1" applyFont="1" applyFill="1" applyBorder="1" applyAlignment="1">
      <alignment horizontal="center" vertical="center"/>
    </xf>
    <xf numFmtId="3" fontId="241" fillId="0" borderId="6" xfId="2" applyNumberFormat="1" applyFont="1" applyFill="1" applyBorder="1" applyAlignment="1">
      <alignment horizontal="center" vertical="center"/>
    </xf>
    <xf numFmtId="3" fontId="241" fillId="0" borderId="11" xfId="2" applyNumberFormat="1" applyFont="1" applyFill="1" applyBorder="1" applyAlignment="1">
      <alignment horizontal="center" vertical="center"/>
    </xf>
    <xf numFmtId="0" fontId="241" fillId="0" borderId="6" xfId="2" applyNumberFormat="1" applyFont="1" applyFill="1" applyBorder="1" applyAlignment="1">
      <alignment horizontal="left"/>
    </xf>
    <xf numFmtId="0" fontId="241" fillId="0" borderId="11" xfId="2" applyNumberFormat="1" applyFont="1" applyFill="1" applyBorder="1" applyAlignment="1">
      <alignment horizontal="left"/>
    </xf>
    <xf numFmtId="0" fontId="241" fillId="0" borderId="1" xfId="2" applyNumberFormat="1" applyFont="1" applyFill="1" applyBorder="1" applyAlignment="1">
      <alignment horizontal="center" vertical="center"/>
    </xf>
    <xf numFmtId="49" fontId="241" fillId="0" borderId="1" xfId="2" applyNumberFormat="1" applyFont="1" applyFill="1" applyBorder="1" applyAlignment="1">
      <alignment horizontal="center" vertical="center"/>
    </xf>
    <xf numFmtId="0" fontId="241" fillId="0" borderId="5" xfId="2" applyNumberFormat="1" applyFont="1" applyFill="1" applyBorder="1" applyAlignment="1">
      <alignment horizontal="left"/>
    </xf>
    <xf numFmtId="0" fontId="241" fillId="0" borderId="13" xfId="2" applyNumberFormat="1" applyFont="1" applyFill="1" applyBorder="1" applyAlignment="1">
      <alignment horizontal="left"/>
    </xf>
    <xf numFmtId="0" fontId="241" fillId="0" borderId="7" xfId="2" applyNumberFormat="1" applyFont="1" applyFill="1" applyBorder="1" applyAlignment="1">
      <alignment horizontal="center" vertical="center"/>
    </xf>
    <xf numFmtId="0" fontId="241" fillId="0" borderId="8" xfId="2" applyNumberFormat="1" applyFont="1" applyFill="1" applyBorder="1" applyAlignment="1">
      <alignment horizontal="center" vertical="center"/>
    </xf>
    <xf numFmtId="0" fontId="241" fillId="0" borderId="9" xfId="2" applyNumberFormat="1" applyFont="1" applyFill="1" applyBorder="1" applyAlignment="1">
      <alignment horizontal="center" vertical="center"/>
    </xf>
    <xf numFmtId="0" fontId="241" fillId="0" borderId="12" xfId="2" applyNumberFormat="1" applyFont="1" applyFill="1" applyBorder="1" applyAlignment="1">
      <alignment horizontal="center" vertical="center"/>
    </xf>
    <xf numFmtId="0" fontId="241" fillId="0" borderId="5" xfId="2" applyNumberFormat="1" applyFont="1" applyFill="1" applyBorder="1" applyAlignment="1">
      <alignment horizontal="center" vertical="center"/>
    </xf>
    <xf numFmtId="0" fontId="241" fillId="0" borderId="13" xfId="2" applyNumberFormat="1" applyFont="1" applyFill="1" applyBorder="1" applyAlignment="1">
      <alignment horizontal="center" vertical="center"/>
    </xf>
    <xf numFmtId="49" fontId="241" fillId="0" borderId="7" xfId="2" applyNumberFormat="1" applyFont="1" applyFill="1" applyBorder="1" applyAlignment="1">
      <alignment horizontal="center" vertical="center"/>
    </xf>
    <xf numFmtId="49" fontId="241" fillId="0" borderId="8" xfId="2" applyNumberFormat="1" applyFont="1" applyFill="1" applyBorder="1" applyAlignment="1">
      <alignment horizontal="center" vertical="center"/>
    </xf>
    <xf numFmtId="49" fontId="241" fillId="0" borderId="9" xfId="2" applyNumberFormat="1" applyFont="1" applyFill="1" applyBorder="1" applyAlignment="1">
      <alignment horizontal="center" vertical="center"/>
    </xf>
    <xf numFmtId="49" fontId="241" fillId="0" borderId="12" xfId="2" applyNumberFormat="1" applyFont="1" applyFill="1" applyBorder="1" applyAlignment="1">
      <alignment horizontal="center" vertical="center"/>
    </xf>
    <xf numFmtId="49" fontId="241" fillId="0" borderId="5" xfId="2" applyNumberFormat="1" applyFont="1" applyFill="1" applyBorder="1" applyAlignment="1">
      <alignment horizontal="center" vertical="center"/>
    </xf>
    <xf numFmtId="49" fontId="241" fillId="0" borderId="13" xfId="2" applyNumberFormat="1" applyFont="1" applyFill="1" applyBorder="1" applyAlignment="1">
      <alignment horizontal="center" vertical="center"/>
    </xf>
    <xf numFmtId="0" fontId="240" fillId="0" borderId="10" xfId="2" applyNumberFormat="1" applyFont="1" applyBorder="1" applyAlignment="1">
      <alignment horizontal="center" vertical="top"/>
    </xf>
    <xf numFmtId="0" fontId="240" fillId="0" borderId="6" xfId="2" applyNumberFormat="1" applyFont="1" applyBorder="1" applyAlignment="1">
      <alignment horizontal="center" vertical="top"/>
    </xf>
    <xf numFmtId="0" fontId="240" fillId="0" borderId="11" xfId="2" applyNumberFormat="1" applyFont="1" applyBorder="1" applyAlignment="1">
      <alignment horizontal="center" vertical="top"/>
    </xf>
    <xf numFmtId="0" fontId="240" fillId="0" borderId="1" xfId="2" applyNumberFormat="1" applyFont="1" applyBorder="1" applyAlignment="1">
      <alignment horizontal="center" vertical="top"/>
    </xf>
    <xf numFmtId="0" fontId="240" fillId="0" borderId="7" xfId="2" applyNumberFormat="1" applyFont="1" applyBorder="1" applyAlignment="1">
      <alignment horizontal="center" vertical="center" wrapText="1"/>
    </xf>
    <xf numFmtId="0" fontId="240" fillId="0" borderId="8" xfId="2" applyNumberFormat="1" applyFont="1" applyBorder="1" applyAlignment="1">
      <alignment horizontal="center" vertical="center" wrapText="1"/>
    </xf>
    <xf numFmtId="0" fontId="240" fillId="0" borderId="9" xfId="2" applyNumberFormat="1" applyFont="1" applyBorder="1" applyAlignment="1">
      <alignment horizontal="center" vertical="center" wrapText="1"/>
    </xf>
    <xf numFmtId="0" fontId="240" fillId="0" borderId="12" xfId="2" applyNumberFormat="1" applyFont="1" applyBorder="1" applyAlignment="1">
      <alignment horizontal="center" vertical="center" wrapText="1"/>
    </xf>
    <xf numFmtId="0" fontId="240" fillId="0" borderId="5" xfId="2" applyNumberFormat="1" applyFont="1" applyBorder="1" applyAlignment="1">
      <alignment horizontal="center" vertical="center" wrapText="1"/>
    </xf>
    <xf numFmtId="0" fontId="240" fillId="0" borderId="13" xfId="2" applyNumberFormat="1" applyFont="1" applyBorder="1" applyAlignment="1">
      <alignment horizontal="center" vertical="center" wrapText="1"/>
    </xf>
    <xf numFmtId="0" fontId="240" fillId="0" borderId="1" xfId="2" applyNumberFormat="1" applyFont="1" applyBorder="1" applyAlignment="1">
      <alignment horizontal="center" vertical="center" wrapText="1"/>
    </xf>
    <xf numFmtId="0" fontId="240" fillId="0" borderId="10" xfId="2" applyNumberFormat="1" applyFont="1" applyBorder="1" applyAlignment="1">
      <alignment horizontal="center" vertical="center" wrapText="1"/>
    </xf>
    <xf numFmtId="0" fontId="240" fillId="0" borderId="6" xfId="2" applyNumberFormat="1" applyFont="1" applyBorder="1" applyAlignment="1">
      <alignment horizontal="center" vertical="center" wrapText="1"/>
    </xf>
    <xf numFmtId="0" fontId="240" fillId="0" borderId="11" xfId="2" applyNumberFormat="1" applyFont="1" applyBorder="1" applyAlignment="1">
      <alignment horizontal="center" vertical="center" wrapText="1"/>
    </xf>
    <xf numFmtId="49" fontId="16" fillId="0" borderId="6" xfId="2" applyNumberFormat="1" applyFont="1" applyBorder="1" applyAlignment="1">
      <alignment horizontal="left" wrapText="1"/>
    </xf>
    <xf numFmtId="0" fontId="22" fillId="0" borderId="0" xfId="2" applyNumberFormat="1" applyFont="1" applyBorder="1" applyAlignment="1">
      <alignment horizontal="center" wrapText="1"/>
    </xf>
    <xf numFmtId="0" fontId="22" fillId="0" borderId="0" xfId="2" applyNumberFormat="1" applyFont="1" applyBorder="1" applyAlignment="1">
      <alignment horizontal="center"/>
    </xf>
    <xf numFmtId="49" fontId="16" fillId="0" borderId="5" xfId="2" applyNumberFormat="1" applyFont="1" applyBorder="1" applyAlignment="1">
      <alignment horizontal="left" wrapText="1"/>
    </xf>
    <xf numFmtId="0" fontId="246" fillId="0" borderId="0" xfId="4662" applyFont="1" applyBorder="1" applyAlignment="1">
      <alignment horizontal="center" vertical="center"/>
    </xf>
    <xf numFmtId="1" fontId="262" fillId="0" borderId="0" xfId="4662" applyNumberFormat="1" applyFont="1" applyBorder="1" applyAlignment="1">
      <alignment horizontal="center"/>
    </xf>
    <xf numFmtId="49" fontId="16" fillId="0" borderId="38" xfId="2633" applyNumberFormat="1" applyFont="1" applyBorder="1" applyAlignment="1" applyProtection="1">
      <alignment horizontal="left" vertical="center"/>
    </xf>
    <xf numFmtId="49" fontId="16" fillId="0" borderId="77" xfId="2633" applyNumberFormat="1" applyFont="1" applyBorder="1" applyAlignment="1" applyProtection="1">
      <alignment horizontal="left" vertical="center"/>
    </xf>
    <xf numFmtId="3" fontId="239" fillId="5" borderId="38" xfId="2633" applyNumberFormat="1" applyFont="1" applyFill="1" applyBorder="1" applyAlignment="1" applyProtection="1">
      <alignment horizontal="center" vertical="center"/>
    </xf>
    <xf numFmtId="3" fontId="239" fillId="5" borderId="77" xfId="2633" applyNumberFormat="1" applyFont="1" applyFill="1" applyBorder="1" applyAlignment="1" applyProtection="1">
      <alignment horizontal="center" vertical="center"/>
    </xf>
    <xf numFmtId="0" fontId="159" fillId="79" borderId="34" xfId="2633" applyFont="1" applyFill="1" applyBorder="1" applyAlignment="1" applyProtection="1">
      <alignment horizontal="center" vertical="center" wrapText="1"/>
      <protection hidden="1"/>
    </xf>
    <xf numFmtId="0" fontId="159" fillId="79" borderId="84" xfId="2633" applyFont="1" applyFill="1" applyBorder="1" applyAlignment="1" applyProtection="1">
      <alignment horizontal="center" vertical="center" wrapText="1"/>
      <protection hidden="1"/>
    </xf>
    <xf numFmtId="0" fontId="159" fillId="79" borderId="42" xfId="2633" applyFont="1" applyFill="1" applyBorder="1" applyAlignment="1" applyProtection="1">
      <alignment horizontal="center" vertical="center" wrapText="1"/>
      <protection hidden="1"/>
    </xf>
    <xf numFmtId="0" fontId="159" fillId="0" borderId="34" xfId="2633" applyFont="1" applyFill="1" applyBorder="1" applyAlignment="1" applyProtection="1">
      <alignment horizontal="center" vertical="center" wrapText="1"/>
      <protection hidden="1"/>
    </xf>
    <xf numFmtId="0" fontId="159" fillId="0" borderId="84" xfId="2633" applyFont="1" applyFill="1" applyBorder="1" applyAlignment="1" applyProtection="1">
      <alignment horizontal="center" vertical="center" wrapText="1"/>
      <protection hidden="1"/>
    </xf>
    <xf numFmtId="0" fontId="159" fillId="0" borderId="42" xfId="2633" applyFont="1" applyFill="1" applyBorder="1" applyAlignment="1" applyProtection="1">
      <alignment horizontal="center" vertical="center" wrapText="1"/>
      <protection hidden="1"/>
    </xf>
    <xf numFmtId="0" fontId="159" fillId="79" borderId="30" xfId="2633" applyFont="1" applyFill="1" applyBorder="1" applyAlignment="1" applyProtection="1">
      <alignment horizontal="center" vertical="center" wrapText="1"/>
      <protection hidden="1"/>
    </xf>
    <xf numFmtId="0" fontId="159" fillId="79" borderId="83" xfId="2633" applyFont="1" applyFill="1" applyBorder="1" applyAlignment="1" applyProtection="1">
      <alignment horizontal="center" vertical="center" wrapText="1"/>
      <protection hidden="1"/>
    </xf>
    <xf numFmtId="0" fontId="159" fillId="79" borderId="0" xfId="2633" applyFont="1" applyFill="1" applyBorder="1" applyAlignment="1" applyProtection="1">
      <alignment horizontal="center" vertical="center" wrapText="1"/>
      <protection hidden="1"/>
    </xf>
    <xf numFmtId="0" fontId="159" fillId="79" borderId="85" xfId="2633" applyFont="1" applyFill="1" applyBorder="1" applyAlignment="1" applyProtection="1">
      <alignment horizontal="center" vertical="center" wrapText="1"/>
      <protection hidden="1"/>
    </xf>
    <xf numFmtId="0" fontId="159" fillId="79" borderId="15" xfId="2633" applyFont="1" applyFill="1" applyBorder="1" applyAlignment="1" applyProtection="1">
      <alignment horizontal="center" vertical="center" wrapText="1"/>
      <protection hidden="1"/>
    </xf>
    <xf numFmtId="0" fontId="159" fillId="79" borderId="86" xfId="2633" applyFont="1" applyFill="1" applyBorder="1" applyAlignment="1" applyProtection="1">
      <alignment horizontal="center" vertical="center" wrapText="1"/>
      <protection hidden="1"/>
    </xf>
    <xf numFmtId="0" fontId="280" fillId="79" borderId="75" xfId="2633" applyFont="1" applyFill="1" applyBorder="1" applyAlignment="1" applyProtection="1">
      <alignment horizontal="center" vertical="center" wrapText="1"/>
      <protection hidden="1"/>
    </xf>
    <xf numFmtId="0" fontId="280" fillId="79" borderId="78" xfId="2633" applyFont="1" applyFill="1" applyBorder="1" applyAlignment="1" applyProtection="1">
      <alignment horizontal="center" vertical="center" wrapText="1"/>
      <protection hidden="1"/>
    </xf>
    <xf numFmtId="49" fontId="159" fillId="79" borderId="75" xfId="2633" applyNumberFormat="1" applyFont="1" applyFill="1" applyBorder="1" applyAlignment="1" applyProtection="1">
      <alignment horizontal="center" vertical="center" wrapText="1"/>
      <protection hidden="1"/>
    </xf>
    <xf numFmtId="49" fontId="159" fillId="79" borderId="79" xfId="2633" applyNumberFormat="1" applyFont="1" applyFill="1" applyBorder="1" applyAlignment="1" applyProtection="1">
      <alignment horizontal="center" vertical="center" wrapText="1"/>
      <protection hidden="1"/>
    </xf>
    <xf numFmtId="49" fontId="159" fillId="79" borderId="78" xfId="2633" applyNumberFormat="1" applyFont="1" applyFill="1" applyBorder="1" applyAlignment="1" applyProtection="1">
      <alignment horizontal="center" vertical="center" wrapText="1"/>
      <protection hidden="1"/>
    </xf>
    <xf numFmtId="0" fontId="262" fillId="0" borderId="0" xfId="4662" applyFont="1" applyBorder="1" applyAlignment="1">
      <alignment horizontal="justify" vertical="center" wrapText="1"/>
    </xf>
    <xf numFmtId="0" fontId="246" fillId="0" borderId="1" xfId="4662" applyFont="1" applyBorder="1" applyAlignment="1">
      <alignment horizontal="center" vertical="center"/>
    </xf>
    <xf numFmtId="1" fontId="262" fillId="0" borderId="1" xfId="4662" applyNumberFormat="1" applyFont="1" applyBorder="1" applyAlignment="1">
      <alignment horizontal="center"/>
    </xf>
    <xf numFmtId="49" fontId="274" fillId="0" borderId="38" xfId="2633" applyNumberFormat="1" applyFont="1" applyBorder="1" applyAlignment="1" applyProtection="1">
      <alignment horizontal="center" vertical="center"/>
    </xf>
    <xf numFmtId="49" fontId="274" fillId="0" borderId="76" xfId="2633" applyNumberFormat="1" applyFont="1" applyBorder="1" applyAlignment="1" applyProtection="1">
      <alignment horizontal="center" vertical="center"/>
    </xf>
    <xf numFmtId="0" fontId="246" fillId="0" borderId="0" xfId="4662" applyFont="1" applyAlignment="1">
      <alignment horizontal="left"/>
    </xf>
    <xf numFmtId="49" fontId="9" fillId="2" borderId="10" xfId="4662" applyNumberFormat="1" applyFont="1" applyFill="1" applyBorder="1" applyAlignment="1">
      <alignment vertical="center" wrapText="1"/>
    </xf>
    <xf numFmtId="49" fontId="9" fillId="2" borderId="11" xfId="4662" applyNumberFormat="1" applyFont="1" applyFill="1" applyBorder="1" applyAlignment="1">
      <alignment vertical="center" wrapText="1"/>
    </xf>
    <xf numFmtId="0" fontId="22" fillId="0" borderId="10" xfId="4662" applyNumberFormat="1" applyFont="1" applyFill="1" applyBorder="1" applyAlignment="1">
      <alignment horizontal="right" vertical="center" wrapText="1"/>
    </xf>
    <xf numFmtId="0" fontId="22" fillId="0" borderId="11" xfId="4662" applyNumberFormat="1" applyFont="1" applyFill="1" applyBorder="1" applyAlignment="1">
      <alignment horizontal="right" vertical="center" wrapText="1"/>
    </xf>
    <xf numFmtId="0" fontId="22" fillId="0" borderId="10" xfId="4662" applyNumberFormat="1" applyFont="1" applyFill="1" applyBorder="1" applyAlignment="1">
      <alignment horizontal="left" vertical="center" wrapText="1"/>
    </xf>
    <xf numFmtId="0" fontId="22" fillId="0" borderId="11" xfId="4662" applyNumberFormat="1" applyFont="1" applyFill="1" applyBorder="1" applyAlignment="1">
      <alignment horizontal="left" vertical="center" wrapText="1"/>
    </xf>
    <xf numFmtId="49" fontId="275" fillId="79" borderId="75" xfId="2633" applyNumberFormat="1" applyFont="1" applyFill="1" applyBorder="1" applyAlignment="1" applyProtection="1">
      <alignment horizontal="center" vertical="center"/>
    </xf>
    <xf numFmtId="49" fontId="275" fillId="79" borderId="78" xfId="2633" applyNumberFormat="1" applyFont="1" applyFill="1" applyBorder="1" applyAlignment="1" applyProtection="1">
      <alignment horizontal="center" vertical="center"/>
    </xf>
    <xf numFmtId="0" fontId="275" fillId="79" borderId="34" xfId="2633" quotePrefix="1" applyFont="1" applyFill="1" applyBorder="1" applyAlignment="1" applyProtection="1">
      <alignment horizontal="center" vertical="center" wrapText="1"/>
    </xf>
    <xf numFmtId="0" fontId="275" fillId="79" borderId="42" xfId="2633" quotePrefix="1" applyFont="1" applyFill="1" applyBorder="1" applyAlignment="1" applyProtection="1">
      <alignment horizontal="center" vertical="center" wrapText="1"/>
    </xf>
    <xf numFmtId="0" fontId="254" fillId="10" borderId="6" xfId="4662" applyNumberFormat="1" applyFont="1" applyFill="1" applyBorder="1" applyAlignment="1">
      <alignment horizontal="right" vertical="center" wrapText="1"/>
    </xf>
    <xf numFmtId="4" fontId="254" fillId="4" borderId="10" xfId="4662" applyNumberFormat="1" applyFont="1" applyFill="1" applyBorder="1" applyAlignment="1">
      <alignment horizontal="center" vertical="center" wrapText="1"/>
    </xf>
    <xf numFmtId="4" fontId="254" fillId="4" borderId="6" xfId="4662" applyNumberFormat="1" applyFont="1" applyFill="1" applyBorder="1" applyAlignment="1">
      <alignment horizontal="center" vertical="center" wrapText="1"/>
    </xf>
    <xf numFmtId="4" fontId="254" fillId="4" borderId="11" xfId="4662" applyNumberFormat="1" applyFont="1" applyFill="1" applyBorder="1" applyAlignment="1">
      <alignment horizontal="center" vertical="center" wrapText="1"/>
    </xf>
    <xf numFmtId="0" fontId="22" fillId="10" borderId="6" xfId="4662" applyNumberFormat="1" applyFont="1" applyFill="1" applyBorder="1" applyAlignment="1">
      <alignment horizontal="right" vertical="center" wrapText="1"/>
    </xf>
    <xf numFmtId="0" fontId="22" fillId="0" borderId="6" xfId="4662" applyNumberFormat="1" applyFont="1" applyFill="1" applyBorder="1" applyAlignment="1">
      <alignment horizontal="right" vertical="center" wrapText="1"/>
    </xf>
    <xf numFmtId="0" fontId="9" fillId="0" borderId="10" xfId="4662" applyNumberFormat="1" applyFont="1" applyFill="1" applyBorder="1" applyAlignment="1">
      <alignment horizontal="left" vertical="center" wrapText="1"/>
    </xf>
    <xf numFmtId="0" fontId="9" fillId="0" borderId="11" xfId="4662" applyNumberFormat="1" applyFont="1" applyFill="1" applyBorder="1" applyAlignment="1">
      <alignment horizontal="left" vertical="center" wrapText="1"/>
    </xf>
    <xf numFmtId="3" fontId="239" fillId="79" borderId="75" xfId="2633" applyNumberFormat="1" applyFont="1" applyFill="1" applyBorder="1" applyAlignment="1" applyProtection="1">
      <alignment horizontal="center" vertical="center" wrapText="1"/>
    </xf>
    <xf numFmtId="3" fontId="239" fillId="79" borderId="78" xfId="2633" applyNumberFormat="1" applyFont="1" applyFill="1" applyBorder="1" applyAlignment="1" applyProtection="1">
      <alignment horizontal="center" vertical="center" wrapText="1"/>
    </xf>
    <xf numFmtId="3" fontId="239" fillId="79" borderId="38" xfId="2633" applyNumberFormat="1" applyFont="1" applyFill="1" applyBorder="1" applyAlignment="1" applyProtection="1">
      <alignment horizontal="center" vertical="center" wrapText="1"/>
    </xf>
    <xf numFmtId="3" fontId="239" fillId="79" borderId="76" xfId="2633" applyNumberFormat="1" applyFont="1" applyFill="1" applyBorder="1" applyAlignment="1" applyProtection="1">
      <alignment horizontal="center" vertical="center"/>
    </xf>
    <xf numFmtId="3" fontId="239" fillId="79" borderId="77" xfId="2633" applyNumberFormat="1" applyFont="1" applyFill="1" applyBorder="1" applyAlignment="1" applyProtection="1">
      <alignment horizontal="center" vertical="center"/>
    </xf>
    <xf numFmtId="4" fontId="254" fillId="10" borderId="10" xfId="4662" applyNumberFormat="1" applyFont="1" applyFill="1" applyBorder="1" applyAlignment="1">
      <alignment horizontal="center" vertical="center" wrapText="1"/>
    </xf>
    <xf numFmtId="4" fontId="254" fillId="10" borderId="6" xfId="4662" applyNumberFormat="1" applyFont="1" applyFill="1" applyBorder="1" applyAlignment="1">
      <alignment horizontal="center" vertical="center" wrapText="1"/>
    </xf>
    <xf numFmtId="4" fontId="254" fillId="10" borderId="11" xfId="4662" applyNumberFormat="1" applyFont="1" applyFill="1" applyBorder="1" applyAlignment="1">
      <alignment horizontal="center" vertical="center" wrapText="1"/>
    </xf>
    <xf numFmtId="4" fontId="254" fillId="0" borderId="10" xfId="4662" applyNumberFormat="1" applyFont="1" applyFill="1" applyBorder="1" applyAlignment="1">
      <alignment horizontal="center" vertical="center"/>
    </xf>
    <xf numFmtId="4" fontId="254" fillId="0" borderId="6" xfId="4662" applyNumberFormat="1" applyFont="1" applyFill="1" applyBorder="1" applyAlignment="1">
      <alignment horizontal="center" vertical="center"/>
    </xf>
    <xf numFmtId="4" fontId="254" fillId="0" borderId="11" xfId="4662" applyNumberFormat="1" applyFont="1" applyFill="1" applyBorder="1" applyAlignment="1">
      <alignment horizontal="center" vertical="center"/>
    </xf>
    <xf numFmtId="4" fontId="247" fillId="0" borderId="10" xfId="4662" applyNumberFormat="1" applyFont="1" applyFill="1" applyBorder="1" applyAlignment="1">
      <alignment horizontal="center" vertical="center"/>
    </xf>
    <xf numFmtId="4" fontId="247" fillId="0" borderId="6" xfId="4662" applyNumberFormat="1" applyFont="1" applyFill="1" applyBorder="1" applyAlignment="1">
      <alignment horizontal="center" vertical="center"/>
    </xf>
    <xf numFmtId="4" fontId="247" fillId="0" borderId="11" xfId="4662" applyNumberFormat="1" applyFont="1" applyFill="1" applyBorder="1" applyAlignment="1">
      <alignment horizontal="center" vertical="center"/>
    </xf>
    <xf numFmtId="4" fontId="245" fillId="2" borderId="10" xfId="4662" applyNumberFormat="1" applyFont="1" applyFill="1" applyBorder="1" applyAlignment="1">
      <alignment horizontal="center" vertical="center"/>
    </xf>
    <xf numFmtId="4" fontId="245" fillId="2" borderId="6" xfId="4662" applyNumberFormat="1" applyFont="1" applyFill="1" applyBorder="1" applyAlignment="1">
      <alignment horizontal="center" vertical="center"/>
    </xf>
    <xf numFmtId="4" fontId="245" fillId="2" borderId="11" xfId="4662" applyNumberFormat="1" applyFont="1" applyFill="1" applyBorder="1" applyAlignment="1">
      <alignment horizontal="center" vertical="center"/>
    </xf>
    <xf numFmtId="4" fontId="247" fillId="2" borderId="10" xfId="4662" applyNumberFormat="1" applyFont="1" applyFill="1" applyBorder="1" applyAlignment="1">
      <alignment horizontal="center" vertical="center"/>
    </xf>
    <xf numFmtId="4" fontId="247" fillId="2" borderId="6" xfId="4662" applyNumberFormat="1" applyFont="1" applyFill="1" applyBorder="1" applyAlignment="1">
      <alignment horizontal="center" vertical="center"/>
    </xf>
    <xf numFmtId="4" fontId="247" fillId="2" borderId="11" xfId="4662" applyNumberFormat="1" applyFont="1" applyFill="1" applyBorder="1" applyAlignment="1">
      <alignment horizontal="center" vertical="center"/>
    </xf>
    <xf numFmtId="0" fontId="254" fillId="10" borderId="1" xfId="4662" applyNumberFormat="1" applyFont="1" applyFill="1" applyBorder="1" applyAlignment="1">
      <alignment horizontal="right" vertical="center" wrapText="1"/>
    </xf>
    <xf numFmtId="4" fontId="245" fillId="0" borderId="10" xfId="4662" applyNumberFormat="1" applyFont="1" applyFill="1" applyBorder="1" applyAlignment="1">
      <alignment horizontal="center" vertical="center"/>
    </xf>
    <xf numFmtId="4" fontId="245" fillId="0" borderId="6" xfId="4662" applyNumberFormat="1" applyFont="1" applyFill="1" applyBorder="1" applyAlignment="1">
      <alignment horizontal="center" vertical="center"/>
    </xf>
    <xf numFmtId="4" fontId="245" fillId="0" borderId="11" xfId="4662" applyNumberFormat="1" applyFont="1" applyFill="1" applyBorder="1" applyAlignment="1">
      <alignment horizontal="center" vertical="center"/>
    </xf>
    <xf numFmtId="4" fontId="255" fillId="0" borderId="10" xfId="4665" applyNumberFormat="1" applyFont="1" applyFill="1" applyBorder="1" applyAlignment="1">
      <alignment horizontal="center" vertical="center"/>
    </xf>
    <xf numFmtId="4" fontId="255" fillId="0" borderId="6" xfId="4665" applyNumberFormat="1" applyFont="1" applyFill="1" applyBorder="1" applyAlignment="1">
      <alignment horizontal="center" vertical="center"/>
    </xf>
    <xf numFmtId="4" fontId="255" fillId="0" borderId="11" xfId="4665" applyNumberFormat="1" applyFont="1" applyFill="1" applyBorder="1" applyAlignment="1">
      <alignment horizontal="center" vertical="center"/>
    </xf>
    <xf numFmtId="4" fontId="247" fillId="2" borderId="4" xfId="4662" applyNumberFormat="1" applyFont="1" applyFill="1" applyBorder="1" applyAlignment="1">
      <alignment vertical="center"/>
    </xf>
    <xf numFmtId="0" fontId="271" fillId="0" borderId="3" xfId="4662" applyFont="1" applyBorder="1" applyAlignment="1">
      <alignment vertical="center"/>
    </xf>
    <xf numFmtId="4" fontId="247" fillId="2" borderId="4" xfId="4668" applyNumberFormat="1" applyFont="1" applyFill="1" applyBorder="1" applyAlignment="1">
      <alignment horizontal="right" vertical="center"/>
    </xf>
    <xf numFmtId="4" fontId="247" fillId="2" borderId="3" xfId="4668" applyNumberFormat="1" applyFont="1" applyFill="1" applyBorder="1" applyAlignment="1">
      <alignment horizontal="right" vertical="center"/>
    </xf>
    <xf numFmtId="4" fontId="255" fillId="2" borderId="10" xfId="4662" applyNumberFormat="1" applyFont="1" applyFill="1" applyBorder="1" applyAlignment="1">
      <alignment horizontal="center" vertical="center"/>
    </xf>
    <xf numFmtId="4" fontId="255" fillId="2" borderId="6" xfId="4662" applyNumberFormat="1" applyFont="1" applyFill="1" applyBorder="1" applyAlignment="1">
      <alignment horizontal="center" vertical="center"/>
    </xf>
    <xf numFmtId="4" fontId="255" fillId="2" borderId="11" xfId="4662" applyNumberFormat="1" applyFont="1" applyFill="1" applyBorder="1" applyAlignment="1">
      <alignment horizontal="center" vertical="center"/>
    </xf>
    <xf numFmtId="4" fontId="255" fillId="2" borderId="4" xfId="4667" applyNumberFormat="1" applyFont="1" applyFill="1" applyBorder="1" applyAlignment="1">
      <alignment horizontal="center" vertical="center"/>
    </xf>
    <xf numFmtId="4" fontId="255" fillId="2" borderId="2" xfId="4667" applyNumberFormat="1" applyFont="1" applyFill="1" applyBorder="1" applyAlignment="1">
      <alignment horizontal="center" vertical="center"/>
    </xf>
    <xf numFmtId="4" fontId="255" fillId="2" borderId="3" xfId="4667" applyNumberFormat="1" applyFont="1" applyFill="1" applyBorder="1" applyAlignment="1">
      <alignment horizontal="center" vertical="center"/>
    </xf>
    <xf numFmtId="4" fontId="255" fillId="0" borderId="10" xfId="4662" applyNumberFormat="1" applyFont="1" applyFill="1" applyBorder="1" applyAlignment="1">
      <alignment horizontal="center" vertical="center"/>
    </xf>
    <xf numFmtId="4" fontId="255" fillId="0" borderId="6" xfId="4662" applyNumberFormat="1" applyFont="1" applyFill="1" applyBorder="1" applyAlignment="1">
      <alignment horizontal="center" vertical="center"/>
    </xf>
    <xf numFmtId="4" fontId="255" fillId="0" borderId="11" xfId="4662" applyNumberFormat="1" applyFont="1" applyFill="1" applyBorder="1" applyAlignment="1">
      <alignment horizontal="center" vertical="center"/>
    </xf>
    <xf numFmtId="49" fontId="254" fillId="10" borderId="6" xfId="4662" applyNumberFormat="1" applyFont="1" applyFill="1" applyBorder="1" applyAlignment="1">
      <alignment horizontal="center" vertical="center" wrapText="1"/>
    </xf>
    <xf numFmtId="49" fontId="254" fillId="10" borderId="11" xfId="4662" applyNumberFormat="1" applyFont="1" applyFill="1" applyBorder="1" applyAlignment="1">
      <alignment horizontal="center" vertical="center" wrapText="1"/>
    </xf>
    <xf numFmtId="4" fontId="254" fillId="10" borderId="10" xfId="4665" applyNumberFormat="1" applyFont="1" applyFill="1" applyBorder="1" applyAlignment="1">
      <alignment horizontal="center" vertical="center"/>
    </xf>
    <xf numFmtId="4" fontId="254" fillId="10" borderId="6" xfId="4665" applyNumberFormat="1" applyFont="1" applyFill="1" applyBorder="1" applyAlignment="1">
      <alignment horizontal="center" vertical="center"/>
    </xf>
    <xf numFmtId="4" fontId="254" fillId="10" borderId="11" xfId="4665" applyNumberFormat="1" applyFont="1" applyFill="1" applyBorder="1" applyAlignment="1">
      <alignment horizontal="center" vertical="center"/>
    </xf>
    <xf numFmtId="4" fontId="245" fillId="5" borderId="7" xfId="4664" applyNumberFormat="1" applyFont="1" applyFill="1" applyBorder="1" applyAlignment="1">
      <alignment horizontal="center" vertical="center" wrapText="1"/>
    </xf>
    <xf numFmtId="4" fontId="245" fillId="5" borderId="12" xfId="4664" applyNumberFormat="1" applyFont="1" applyFill="1" applyBorder="1" applyAlignment="1">
      <alignment horizontal="center" vertical="center" wrapText="1"/>
    </xf>
    <xf numFmtId="0" fontId="9" fillId="0" borderId="7" xfId="4662" applyFont="1" applyFill="1" applyBorder="1" applyAlignment="1">
      <alignment horizontal="left" vertical="center" wrapText="1"/>
    </xf>
    <xf numFmtId="0" fontId="9" fillId="0" borderId="8" xfId="4662" applyFont="1" applyFill="1" applyBorder="1" applyAlignment="1">
      <alignment horizontal="left" vertical="center" wrapText="1"/>
    </xf>
    <xf numFmtId="0" fontId="9" fillId="0" borderId="9" xfId="4662" applyFont="1" applyFill="1" applyBorder="1" applyAlignment="1">
      <alignment horizontal="left" vertical="center" wrapText="1"/>
    </xf>
    <xf numFmtId="0" fontId="9" fillId="0" borderId="12" xfId="4662" applyFont="1" applyFill="1" applyBorder="1" applyAlignment="1">
      <alignment horizontal="left" vertical="center" wrapText="1"/>
    </xf>
    <xf numFmtId="0" fontId="9" fillId="0" borderId="5" xfId="4662" applyFont="1" applyFill="1" applyBorder="1" applyAlignment="1">
      <alignment horizontal="left" vertical="center" wrapText="1"/>
    </xf>
    <xf numFmtId="0" fontId="9" fillId="0" borderId="13" xfId="4662" applyFont="1" applyFill="1" applyBorder="1" applyAlignment="1">
      <alignment horizontal="left" vertical="center" wrapText="1"/>
    </xf>
    <xf numFmtId="0" fontId="250" fillId="0" borderId="4" xfId="4662" applyFont="1" applyBorder="1" applyAlignment="1">
      <alignment horizontal="left" vertical="center" wrapText="1"/>
    </xf>
    <xf numFmtId="0" fontId="250" fillId="0" borderId="3" xfId="4662" applyFont="1" applyBorder="1" applyAlignment="1">
      <alignment horizontal="left" vertical="center"/>
    </xf>
    <xf numFmtId="0" fontId="9" fillId="0" borderId="32" xfId="4662" applyFont="1" applyFill="1" applyBorder="1" applyAlignment="1">
      <alignment horizontal="left" vertical="center" wrapText="1"/>
    </xf>
    <xf numFmtId="0" fontId="9" fillId="0" borderId="0" xfId="4662" applyFont="1" applyFill="1" applyBorder="1" applyAlignment="1">
      <alignment horizontal="left" vertical="center" wrapText="1"/>
    </xf>
    <xf numFmtId="0" fontId="9" fillId="0" borderId="33" xfId="4662" applyFont="1" applyFill="1" applyBorder="1" applyAlignment="1">
      <alignment horizontal="left" vertical="center" wrapText="1"/>
    </xf>
    <xf numFmtId="0" fontId="250" fillId="0" borderId="2" xfId="4662" applyFont="1" applyBorder="1" applyAlignment="1">
      <alignment horizontal="left" vertical="center"/>
    </xf>
    <xf numFmtId="0" fontId="247" fillId="0" borderId="10" xfId="4662" applyFont="1" applyBorder="1" applyAlignment="1">
      <alignment horizontal="center" vertical="center"/>
    </xf>
    <xf numFmtId="0" fontId="247" fillId="0" borderId="6" xfId="4662" applyFont="1" applyBorder="1" applyAlignment="1">
      <alignment horizontal="center" vertical="center"/>
    </xf>
    <xf numFmtId="0" fontId="247" fillId="0" borderId="11" xfId="4662" applyFont="1" applyBorder="1" applyAlignment="1">
      <alignment horizontal="center" vertical="center"/>
    </xf>
    <xf numFmtId="0" fontId="250" fillId="0" borderId="4" xfId="4662" applyFont="1" applyBorder="1" applyAlignment="1">
      <alignment horizontal="center" vertical="center" wrapText="1"/>
    </xf>
    <xf numFmtId="0" fontId="250" fillId="0" borderId="1" xfId="4662" applyFont="1" applyBorder="1" applyAlignment="1">
      <alignment horizontal="center" vertical="center" wrapText="1"/>
    </xf>
    <xf numFmtId="0" fontId="250" fillId="6" borderId="7" xfId="4662" applyFont="1" applyFill="1" applyBorder="1" applyAlignment="1">
      <alignment horizontal="center" vertical="center" wrapText="1"/>
    </xf>
    <xf numFmtId="0" fontId="250" fillId="6" borderId="8" xfId="4662" applyFont="1" applyFill="1" applyBorder="1" applyAlignment="1">
      <alignment horizontal="center" vertical="center" wrapText="1"/>
    </xf>
    <xf numFmtId="0" fontId="250" fillId="6" borderId="9" xfId="4662" applyFont="1" applyFill="1" applyBorder="1" applyAlignment="1">
      <alignment horizontal="center" vertical="center" wrapText="1"/>
    </xf>
    <xf numFmtId="0" fontId="250" fillId="6" borderId="12" xfId="4662" applyFont="1" applyFill="1" applyBorder="1" applyAlignment="1">
      <alignment horizontal="center" vertical="center" wrapText="1"/>
    </xf>
    <xf numFmtId="0" fontId="250" fillId="6" borderId="5" xfId="4662" applyFont="1" applyFill="1" applyBorder="1" applyAlignment="1">
      <alignment horizontal="center" vertical="center" wrapText="1"/>
    </xf>
    <xf numFmtId="0" fontId="250" fillId="6" borderId="13" xfId="4662" applyFont="1" applyFill="1" applyBorder="1" applyAlignment="1">
      <alignment horizontal="center" vertical="center" wrapText="1"/>
    </xf>
    <xf numFmtId="0" fontId="248" fillId="6" borderId="7" xfId="4662" applyFont="1" applyFill="1" applyBorder="1" applyAlignment="1">
      <alignment horizontal="center" vertical="center"/>
    </xf>
    <xf numFmtId="0" fontId="248" fillId="6" borderId="8" xfId="4662" applyFont="1" applyFill="1" applyBorder="1" applyAlignment="1">
      <alignment horizontal="center" vertical="center"/>
    </xf>
    <xf numFmtId="0" fontId="248" fillId="6" borderId="9" xfId="4662" applyFont="1" applyFill="1" applyBorder="1" applyAlignment="1">
      <alignment horizontal="center" vertical="center"/>
    </xf>
    <xf numFmtId="0" fontId="248" fillId="6" borderId="32" xfId="4662" applyFont="1" applyFill="1" applyBorder="1" applyAlignment="1">
      <alignment horizontal="center" vertical="center"/>
    </xf>
    <xf numFmtId="0" fontId="248" fillId="6" borderId="0" xfId="4662" applyFont="1" applyFill="1" applyBorder="1" applyAlignment="1">
      <alignment horizontal="center" vertical="center"/>
    </xf>
    <xf numFmtId="0" fontId="248" fillId="6" borderId="33" xfId="4662" applyFont="1" applyFill="1" applyBorder="1" applyAlignment="1">
      <alignment horizontal="center" vertical="center"/>
    </xf>
    <xf numFmtId="0" fontId="248" fillId="6" borderId="12" xfId="4662" applyFont="1" applyFill="1" applyBorder="1" applyAlignment="1">
      <alignment horizontal="center" vertical="center"/>
    </xf>
    <xf numFmtId="0" fontId="248" fillId="6" borderId="5" xfId="4662" applyFont="1" applyFill="1" applyBorder="1" applyAlignment="1">
      <alignment horizontal="center" vertical="center"/>
    </xf>
    <xf numFmtId="0" fontId="248" fillId="6" borderId="13" xfId="4662" applyFont="1" applyFill="1" applyBorder="1" applyAlignment="1">
      <alignment horizontal="center" vertical="center"/>
    </xf>
    <xf numFmtId="0" fontId="250" fillId="6" borderId="1" xfId="4662" applyFont="1" applyFill="1" applyBorder="1" applyAlignment="1">
      <alignment horizontal="center" vertical="center" wrapText="1"/>
    </xf>
    <xf numFmtId="0" fontId="250" fillId="6" borderId="4" xfId="4662" applyFont="1" applyFill="1" applyBorder="1" applyAlignment="1">
      <alignment horizontal="center" vertical="center"/>
    </xf>
    <xf numFmtId="0" fontId="250" fillId="6" borderId="2" xfId="4662" applyFont="1" applyFill="1" applyBorder="1" applyAlignment="1">
      <alignment horizontal="center" vertical="center"/>
    </xf>
    <xf numFmtId="0" fontId="250" fillId="6" borderId="3" xfId="4662" applyFont="1" applyFill="1" applyBorder="1" applyAlignment="1">
      <alignment horizontal="center" vertical="center"/>
    </xf>
    <xf numFmtId="0" fontId="248" fillId="8" borderId="1" xfId="4662" applyFont="1" applyFill="1" applyBorder="1" applyAlignment="1">
      <alignment horizontal="center" vertical="center"/>
    </xf>
    <xf numFmtId="0" fontId="250" fillId="79" borderId="10" xfId="4662" applyFont="1" applyFill="1" applyBorder="1" applyAlignment="1">
      <alignment horizontal="center"/>
    </xf>
    <xf numFmtId="0" fontId="250" fillId="79" borderId="6" xfId="4662" applyFont="1" applyFill="1" applyBorder="1" applyAlignment="1">
      <alignment horizontal="center"/>
    </xf>
    <xf numFmtId="0" fontId="250" fillId="79" borderId="11" xfId="4662" applyFont="1" applyFill="1" applyBorder="1" applyAlignment="1">
      <alignment horizontal="center"/>
    </xf>
    <xf numFmtId="0" fontId="248" fillId="78" borderId="1" xfId="4662" applyFont="1" applyFill="1" applyBorder="1" applyAlignment="1">
      <alignment horizontal="center" vertical="center"/>
    </xf>
    <xf numFmtId="4" fontId="249" fillId="9" borderId="1" xfId="4664" applyNumberFormat="1" applyFont="1" applyFill="1" applyBorder="1" applyAlignment="1">
      <alignment horizontal="center" vertical="center" wrapText="1"/>
    </xf>
    <xf numFmtId="0" fontId="250" fillId="0" borderId="4" xfId="4662" applyNumberFormat="1" applyFont="1" applyFill="1" applyBorder="1" applyAlignment="1">
      <alignment horizontal="center" vertical="center" wrapText="1"/>
    </xf>
    <xf numFmtId="0" fontId="250" fillId="0" borderId="3" xfId="4662" applyNumberFormat="1" applyFont="1" applyFill="1" applyBorder="1" applyAlignment="1">
      <alignment horizontal="center" vertical="center" wrapText="1"/>
    </xf>
    <xf numFmtId="0" fontId="250" fillId="0" borderId="4" xfId="4662" applyFont="1" applyBorder="1" applyAlignment="1">
      <alignment horizontal="center" vertical="center"/>
    </xf>
    <xf numFmtId="0" fontId="250" fillId="0" borderId="1" xfId="4662" applyFont="1" applyBorder="1" applyAlignment="1">
      <alignment horizontal="center" vertical="center"/>
    </xf>
    <xf numFmtId="4" fontId="245" fillId="5" borderId="1" xfId="4664" applyNumberFormat="1" applyFont="1" applyFill="1" applyBorder="1" applyAlignment="1">
      <alignment horizontal="center" vertical="center" wrapText="1"/>
    </xf>
    <xf numFmtId="4" fontId="245" fillId="5" borderId="8" xfId="4664" applyNumberFormat="1" applyFont="1" applyFill="1" applyBorder="1" applyAlignment="1">
      <alignment horizontal="center" vertical="center" wrapText="1"/>
    </xf>
    <xf numFmtId="4" fontId="245" fillId="5" borderId="9" xfId="4664" applyNumberFormat="1" applyFont="1" applyFill="1" applyBorder="1" applyAlignment="1">
      <alignment horizontal="center" vertical="center" wrapText="1"/>
    </xf>
    <xf numFmtId="4" fontId="245" fillId="5" borderId="10" xfId="4664" applyNumberFormat="1" applyFont="1" applyFill="1" applyBorder="1" applyAlignment="1">
      <alignment horizontal="center" vertical="center" wrapText="1"/>
    </xf>
    <xf numFmtId="4" fontId="245" fillId="5" borderId="6" xfId="4664" applyNumberFormat="1" applyFont="1" applyFill="1" applyBorder="1" applyAlignment="1">
      <alignment horizontal="center" vertical="center" wrapText="1"/>
    </xf>
    <xf numFmtId="4" fontId="245" fillId="5" borderId="11" xfId="4664" applyNumberFormat="1" applyFont="1" applyFill="1" applyBorder="1" applyAlignment="1">
      <alignment horizontal="center" vertical="center" wrapText="1"/>
    </xf>
    <xf numFmtId="4" fontId="245" fillId="0" borderId="10" xfId="4664" applyNumberFormat="1" applyFont="1" applyFill="1" applyBorder="1" applyAlignment="1">
      <alignment horizontal="center" vertical="center" wrapText="1"/>
    </xf>
    <xf numFmtId="4" fontId="245" fillId="0" borderId="6" xfId="4664" applyNumberFormat="1" applyFont="1" applyFill="1" applyBorder="1" applyAlignment="1">
      <alignment horizontal="center" vertical="center" wrapText="1"/>
    </xf>
    <xf numFmtId="4" fontId="245" fillId="0" borderId="11" xfId="4664" applyNumberFormat="1" applyFont="1" applyFill="1" applyBorder="1" applyAlignment="1">
      <alignment horizontal="center" vertical="center" wrapText="1"/>
    </xf>
    <xf numFmtId="4" fontId="245" fillId="0" borderId="1" xfId="4664" applyNumberFormat="1" applyFont="1" applyFill="1" applyBorder="1" applyAlignment="1">
      <alignment horizontal="center" vertical="center" wrapText="1"/>
    </xf>
    <xf numFmtId="49" fontId="245" fillId="10" borderId="1" xfId="4662" applyNumberFormat="1" applyFont="1" applyFill="1" applyBorder="1" applyAlignment="1">
      <alignment horizontal="center" vertical="center" wrapText="1"/>
    </xf>
    <xf numFmtId="0" fontId="245" fillId="10" borderId="1" xfId="4662" applyNumberFormat="1" applyFont="1" applyFill="1" applyBorder="1" applyAlignment="1">
      <alignment horizontal="center" vertical="center" wrapText="1"/>
    </xf>
    <xf numFmtId="49" fontId="246" fillId="76" borderId="12" xfId="4662" applyNumberFormat="1" applyFont="1" applyFill="1" applyBorder="1" applyAlignment="1">
      <alignment horizontal="center" vertical="center"/>
    </xf>
    <xf numFmtId="49" fontId="246" fillId="76" borderId="5" xfId="4662" applyNumberFormat="1" applyFont="1" applyFill="1" applyBorder="1" applyAlignment="1">
      <alignment horizontal="center" vertical="center"/>
    </xf>
    <xf numFmtId="49" fontId="246" fillId="76" borderId="13" xfId="4662" applyNumberFormat="1" applyFont="1" applyFill="1" applyBorder="1" applyAlignment="1">
      <alignment horizontal="center" vertical="center"/>
    </xf>
    <xf numFmtId="49" fontId="246" fillId="77" borderId="1" xfId="4662" applyNumberFormat="1" applyFont="1" applyFill="1" applyBorder="1" applyAlignment="1">
      <alignment horizontal="center" vertical="center"/>
    </xf>
    <xf numFmtId="4" fontId="245" fillId="78" borderId="4" xfId="4664" applyNumberFormat="1" applyFont="1" applyFill="1" applyBorder="1" applyAlignment="1">
      <alignment horizontal="center" vertical="center" wrapText="1"/>
    </xf>
    <xf numFmtId="4" fontId="245" fillId="78" borderId="3" xfId="4664" applyNumberFormat="1" applyFont="1" applyFill="1" applyBorder="1" applyAlignment="1">
      <alignment horizontal="center" vertical="center" wrapText="1"/>
    </xf>
    <xf numFmtId="4" fontId="245" fillId="77" borderId="4" xfId="4664" applyNumberFormat="1" applyFont="1" applyFill="1" applyBorder="1" applyAlignment="1">
      <alignment horizontal="center" vertical="center" wrapText="1"/>
    </xf>
    <xf numFmtId="4" fontId="245" fillId="77" borderId="3" xfId="4664" applyNumberFormat="1" applyFont="1" applyFill="1" applyBorder="1" applyAlignment="1">
      <alignment horizontal="center" vertical="center" wrapText="1"/>
    </xf>
    <xf numFmtId="4" fontId="245" fillId="77" borderId="1" xfId="4664" applyNumberFormat="1" applyFont="1" applyFill="1" applyBorder="1" applyAlignment="1">
      <alignment horizontal="center" vertical="center" wrapText="1"/>
    </xf>
    <xf numFmtId="4" fontId="245" fillId="77" borderId="10" xfId="4664" applyNumberFormat="1" applyFont="1" applyFill="1" applyBorder="1" applyAlignment="1">
      <alignment horizontal="center" vertical="center" wrapText="1"/>
    </xf>
    <xf numFmtId="4" fontId="245" fillId="77" borderId="11" xfId="4664" applyNumberFormat="1" applyFont="1" applyFill="1" applyBorder="1" applyAlignment="1">
      <alignment horizontal="center" vertical="center" wrapText="1"/>
    </xf>
    <xf numFmtId="4" fontId="245" fillId="5" borderId="4" xfId="4664" applyNumberFormat="1" applyFont="1" applyFill="1" applyBorder="1" applyAlignment="1">
      <alignment horizontal="center" vertical="center" wrapText="1"/>
    </xf>
    <xf numFmtId="4" fontId="245" fillId="5" borderId="3" xfId="4664" applyNumberFormat="1" applyFont="1" applyFill="1" applyBorder="1" applyAlignment="1">
      <alignment horizontal="center" vertical="center" wrapText="1"/>
    </xf>
    <xf numFmtId="49" fontId="246" fillId="5" borderId="1" xfId="4662" applyNumberFormat="1" applyFont="1" applyFill="1" applyBorder="1" applyAlignment="1">
      <alignment horizontal="center" vertical="center"/>
    </xf>
    <xf numFmtId="0" fontId="245" fillId="15" borderId="4" xfId="4664" applyFont="1" applyFill="1" applyBorder="1" applyAlignment="1">
      <alignment horizontal="center" vertical="center" wrapText="1"/>
    </xf>
    <xf numFmtId="0" fontId="245" fillId="15" borderId="3" xfId="4664" applyFont="1" applyFill="1" applyBorder="1" applyAlignment="1">
      <alignment horizontal="center" vertical="center" wrapText="1"/>
    </xf>
    <xf numFmtId="4" fontId="245" fillId="76" borderId="1" xfId="4664" applyNumberFormat="1" applyFont="1" applyFill="1" applyBorder="1" applyAlignment="1">
      <alignment horizontal="center" vertical="center" wrapText="1"/>
    </xf>
    <xf numFmtId="0" fontId="245" fillId="0" borderId="10" xfId="4662" applyFont="1" applyFill="1" applyBorder="1" applyAlignment="1">
      <alignment horizontal="center" vertical="center" wrapText="1"/>
    </xf>
    <xf numFmtId="0" fontId="245" fillId="0" borderId="11" xfId="4662" applyFont="1" applyFill="1" applyBorder="1" applyAlignment="1">
      <alignment horizontal="center" vertical="center"/>
    </xf>
    <xf numFmtId="165" fontId="7" fillId="0" borderId="6" xfId="7" applyNumberFormat="1" applyFont="1" applyFill="1" applyBorder="1" applyAlignment="1" applyProtection="1">
      <alignment vertical="center" wrapText="1"/>
    </xf>
    <xf numFmtId="0" fontId="284" fillId="0" borderId="6" xfId="5688" applyFill="1" applyBorder="1" applyAlignment="1">
      <alignment vertical="center"/>
    </xf>
    <xf numFmtId="0" fontId="284" fillId="0" borderId="11" xfId="5688" applyFill="1" applyBorder="1" applyAlignment="1">
      <alignment vertical="center"/>
    </xf>
    <xf numFmtId="0" fontId="284" fillId="0" borderId="6" xfId="5688" applyFill="1" applyBorder="1" applyAlignment="1">
      <alignment vertical="center" wrapText="1"/>
    </xf>
    <xf numFmtId="0" fontId="284" fillId="0" borderId="11" xfId="5688" applyFill="1" applyBorder="1" applyAlignment="1">
      <alignment vertical="center" wrapText="1"/>
    </xf>
    <xf numFmtId="0" fontId="7" fillId="0" borderId="2" xfId="5688" applyFont="1" applyFill="1" applyBorder="1" applyAlignment="1">
      <alignment horizontal="center" vertical="center" wrapText="1"/>
    </xf>
    <xf numFmtId="0" fontId="284" fillId="0" borderId="3" xfId="5688" applyFill="1" applyBorder="1" applyAlignment="1">
      <alignment horizontal="center" vertical="center" wrapText="1"/>
    </xf>
    <xf numFmtId="0" fontId="7" fillId="0" borderId="32" xfId="5688" applyFont="1" applyFill="1" applyBorder="1" applyAlignment="1">
      <alignment horizontal="center" vertical="center" wrapText="1"/>
    </xf>
    <xf numFmtId="0" fontId="7" fillId="0" borderId="0" xfId="5688" applyFont="1" applyFill="1" applyBorder="1" applyAlignment="1">
      <alignment horizontal="center" vertical="center" wrapText="1"/>
    </xf>
    <xf numFmtId="0" fontId="284" fillId="0" borderId="0" xfId="5688" applyFill="1" applyBorder="1" applyAlignment="1">
      <alignment horizontal="center" vertical="center" wrapText="1"/>
    </xf>
    <xf numFmtId="0" fontId="284" fillId="0" borderId="33" xfId="5688" applyFill="1" applyBorder="1" applyAlignment="1">
      <alignment horizontal="center" vertical="center" wrapText="1"/>
    </xf>
    <xf numFmtId="0" fontId="284" fillId="0" borderId="12" xfId="5688" applyFill="1" applyBorder="1" applyAlignment="1">
      <alignment horizontal="center" vertical="center" wrapText="1"/>
    </xf>
    <xf numFmtId="0" fontId="284" fillId="0" borderId="5" xfId="5688" applyFill="1" applyBorder="1" applyAlignment="1">
      <alignment horizontal="center" vertical="center" wrapText="1"/>
    </xf>
    <xf numFmtId="0" fontId="284" fillId="0" borderId="13" xfId="5688" applyFill="1" applyBorder="1" applyAlignment="1">
      <alignment horizontal="center" vertical="center" wrapText="1"/>
    </xf>
    <xf numFmtId="0" fontId="284" fillId="0" borderId="3" xfId="5688" applyFill="1" applyBorder="1" applyAlignment="1">
      <alignment horizontal="center" vertical="center"/>
    </xf>
    <xf numFmtId="0" fontId="7" fillId="0" borderId="12" xfId="5688" applyFont="1" applyFill="1" applyBorder="1" applyAlignment="1">
      <alignment horizontal="center" vertical="center" wrapText="1"/>
    </xf>
    <xf numFmtId="0" fontId="7" fillId="0" borderId="4" xfId="5688" applyFont="1" applyFill="1" applyBorder="1" applyAlignment="1">
      <alignment horizontal="center" vertical="center" wrapText="1"/>
    </xf>
    <xf numFmtId="0" fontId="284" fillId="0" borderId="2" xfId="5688" applyFill="1" applyBorder="1" applyAlignment="1">
      <alignment horizontal="center" vertical="center" wrapText="1"/>
    </xf>
    <xf numFmtId="0" fontId="7" fillId="0" borderId="8" xfId="5688" applyFont="1" applyFill="1" applyBorder="1" applyAlignment="1">
      <alignment horizontal="center" vertical="center" wrapText="1"/>
    </xf>
    <xf numFmtId="165" fontId="25" fillId="2" borderId="4" xfId="4" applyNumberFormat="1" applyFont="1" applyFill="1" applyBorder="1" applyAlignment="1">
      <alignment horizontal="justify" wrapText="1"/>
    </xf>
    <xf numFmtId="0" fontId="284" fillId="0" borderId="3" xfId="5688" applyBorder="1" applyAlignment="1"/>
    <xf numFmtId="165" fontId="44" fillId="0" borderId="4" xfId="4" applyNumberFormat="1" applyFont="1" applyFill="1" applyBorder="1" applyAlignment="1">
      <alignment horizontal="center" vertical="center"/>
    </xf>
    <xf numFmtId="165" fontId="44" fillId="0" borderId="3" xfId="4" applyNumberFormat="1" applyFont="1" applyFill="1" applyBorder="1" applyAlignment="1">
      <alignment horizontal="center" vertical="center"/>
    </xf>
    <xf numFmtId="165" fontId="41" fillId="2" borderId="1" xfId="4" applyNumberFormat="1" applyFont="1" applyFill="1" applyBorder="1" applyAlignment="1">
      <alignment horizontal="center" vertical="center"/>
    </xf>
    <xf numFmtId="0" fontId="284" fillId="0" borderId="3" xfId="5688" applyBorder="1" applyAlignment="1">
      <alignment horizontal="center" vertical="center"/>
    </xf>
    <xf numFmtId="49" fontId="43" fillId="2" borderId="1" xfId="2" applyNumberFormat="1" applyFont="1" applyFill="1" applyBorder="1" applyAlignment="1">
      <alignment horizontal="left" vertical="center"/>
    </xf>
    <xf numFmtId="0" fontId="41" fillId="2" borderId="1" xfId="6" applyFont="1" applyFill="1" applyBorder="1" applyAlignment="1">
      <alignment horizontal="center" vertical="center" wrapText="1"/>
    </xf>
    <xf numFmtId="0" fontId="13" fillId="2" borderId="1" xfId="6" applyFont="1" applyFill="1" applyBorder="1" applyAlignment="1">
      <alignment horizontal="center" vertical="center" wrapText="1"/>
    </xf>
    <xf numFmtId="0" fontId="13" fillId="2" borderId="4" xfId="6" applyFont="1" applyFill="1" applyBorder="1" applyAlignment="1">
      <alignment horizontal="center" vertical="center" wrapText="1"/>
    </xf>
    <xf numFmtId="0" fontId="284" fillId="0" borderId="3" xfId="5688" applyBorder="1" applyAlignment="1">
      <alignment horizontal="center" vertical="center" wrapText="1"/>
    </xf>
    <xf numFmtId="0" fontId="284" fillId="0" borderId="1" xfId="5688" applyBorder="1" applyAlignment="1">
      <alignment horizontal="center" vertical="center" wrapText="1"/>
    </xf>
    <xf numFmtId="165" fontId="41" fillId="0" borderId="4" xfId="6" applyNumberFormat="1" applyFont="1" applyFill="1" applyBorder="1" applyAlignment="1" applyProtection="1">
      <alignment horizontal="center" vertical="center" wrapText="1"/>
    </xf>
    <xf numFmtId="0" fontId="14" fillId="0" borderId="10" xfId="5688" applyFont="1" applyBorder="1" applyAlignment="1">
      <alignment horizontal="center" vertical="center" wrapText="1"/>
    </xf>
    <xf numFmtId="0" fontId="14" fillId="0" borderId="6" xfId="5688" applyFont="1" applyBorder="1" applyAlignment="1">
      <alignment horizontal="center" vertical="center" wrapText="1"/>
    </xf>
    <xf numFmtId="165" fontId="31" fillId="2" borderId="4" xfId="4" applyNumberFormat="1" applyFont="1" applyFill="1" applyBorder="1" applyAlignment="1">
      <alignment horizontal="center" vertical="center"/>
    </xf>
    <xf numFmtId="0" fontId="285" fillId="0" borderId="2" xfId="5688" applyFont="1" applyBorder="1" applyAlignment="1">
      <alignment horizontal="center" vertical="center"/>
    </xf>
    <xf numFmtId="0" fontId="285" fillId="0" borderId="3" xfId="5688" applyFont="1" applyBorder="1" applyAlignment="1">
      <alignment horizontal="center" vertical="center"/>
    </xf>
    <xf numFmtId="165" fontId="41" fillId="10" borderId="4" xfId="6" applyNumberFormat="1" applyFont="1" applyFill="1" applyBorder="1" applyAlignment="1" applyProtection="1">
      <alignment horizontal="center" vertical="center" wrapText="1"/>
    </xf>
    <xf numFmtId="0" fontId="13" fillId="2" borderId="10" xfId="6" applyFont="1" applyFill="1" applyBorder="1" applyAlignment="1">
      <alignment horizontal="center" vertical="center" wrapText="1"/>
    </xf>
    <xf numFmtId="0" fontId="13" fillId="2" borderId="3" xfId="6" applyFont="1" applyFill="1" applyBorder="1" applyAlignment="1">
      <alignment horizontal="center" vertical="center" wrapText="1"/>
    </xf>
    <xf numFmtId="165" fontId="41" fillId="8" borderId="4" xfId="6" applyNumberFormat="1" applyFont="1" applyFill="1" applyBorder="1" applyAlignment="1" applyProtection="1">
      <alignment horizontal="center" vertical="center" wrapText="1"/>
    </xf>
    <xf numFmtId="0" fontId="284" fillId="0" borderId="5" xfId="5688" applyBorder="1" applyAlignment="1">
      <alignment horizontal="center" vertical="center"/>
    </xf>
    <xf numFmtId="0" fontId="284" fillId="0" borderId="0" xfId="5688" applyBorder="1" applyAlignment="1">
      <alignment horizontal="center" vertical="center"/>
    </xf>
    <xf numFmtId="0" fontId="284" fillId="0" borderId="0" xfId="5688" applyBorder="1" applyAlignment="1"/>
    <xf numFmtId="165" fontId="41" fillId="0" borderId="4" xfId="6" applyNumberFormat="1" applyFont="1" applyFill="1" applyBorder="1" applyAlignment="1" applyProtection="1">
      <alignment vertical="center" wrapText="1"/>
    </xf>
    <xf numFmtId="0" fontId="284" fillId="0" borderId="2" xfId="5688" applyBorder="1" applyAlignment="1">
      <alignment vertical="center" wrapText="1"/>
    </xf>
    <xf numFmtId="0" fontId="284" fillId="0" borderId="3" xfId="5688" applyBorder="1" applyAlignment="1">
      <alignment vertical="center" wrapText="1"/>
    </xf>
    <xf numFmtId="0" fontId="284" fillId="0" borderId="6" xfId="5688" applyBorder="1" applyAlignment="1">
      <alignment horizontal="center" vertical="center" wrapText="1"/>
    </xf>
    <xf numFmtId="0" fontId="284" fillId="0" borderId="11" xfId="5688" applyBorder="1" applyAlignment="1">
      <alignment horizontal="center" vertical="center" wrapText="1"/>
    </xf>
  </cellXfs>
  <cellStyles count="13154">
    <cellStyle name=" 1" xfId="13"/>
    <cellStyle name=" 1 2" xfId="14"/>
    <cellStyle name=" 1_Stage1" xfId="15"/>
    <cellStyle name="_x000a_bidires=100_x000d_" xfId="16"/>
    <cellStyle name="_x000a_bidires=100_x000d_ 2" xfId="17"/>
    <cellStyle name="_x000a_bidires=100_x000d_ 2 2" xfId="18"/>
    <cellStyle name="_x000a_bidires=100_x000d_ 3" xfId="19"/>
    <cellStyle name="%" xfId="20"/>
    <cellStyle name="%_Inputs" xfId="21"/>
    <cellStyle name="%_Inputs (const)" xfId="22"/>
    <cellStyle name="%_Inputs Co" xfId="23"/>
    <cellStyle name="?…?ж?Ш?и [0.00]" xfId="24"/>
    <cellStyle name="?W??_‘O’с?р??" xfId="25"/>
    <cellStyle name="_!!! отчетные Форматы минэнерго к ИП 2011 (1.11.10)" xfId="26"/>
    <cellStyle name="___RAB__2014" xfId="27"/>
    <cellStyle name="_CashFlow_2007_проект_02_02_final" xfId="28"/>
    <cellStyle name="_CPI foodimp" xfId="29"/>
    <cellStyle name="_macro 2012 var 1" xfId="30"/>
    <cellStyle name="_Model_RAB Мой" xfId="31"/>
    <cellStyle name="_Model_RAB Мой 2" xfId="32"/>
    <cellStyle name="_Model_RAB Мой 2_OREP.KU.2011.MONTHLY.02(v0.1)" xfId="33"/>
    <cellStyle name="_Model_RAB Мой 2_OREP.KU.2011.MONTHLY.02(v0.4)" xfId="34"/>
    <cellStyle name="_Model_RAB Мой 2_OREP.KU.2011.MONTHLY.11(v1.4)" xfId="35"/>
    <cellStyle name="_Model_RAB Мой 2_UPDATE.OREP.KU.2011.MONTHLY.02.TO.1.2" xfId="36"/>
    <cellStyle name="_Model_RAB Мой_46EE.2011(v1.0)" xfId="37"/>
    <cellStyle name="_Model_RAB Мой_46EE.2011(v1.0)_46TE.2011(v1.0)" xfId="38"/>
    <cellStyle name="_Model_RAB Мой_46EE.2011(v1.0)_INDEX.STATION.2012(v1.0)_" xfId="39"/>
    <cellStyle name="_Model_RAB Мой_46EE.2011(v1.0)_INDEX.STATION.2012(v2.0)" xfId="40"/>
    <cellStyle name="_Model_RAB Мой_46EE.2011(v1.0)_INDEX.STATION.2012(v2.1)" xfId="41"/>
    <cellStyle name="_Model_RAB Мой_46EE.2011(v1.0)_TEPLO.PREDEL.2012.M(v1.1)_test" xfId="42"/>
    <cellStyle name="_Model_RAB Мой_46EE.2011(v1.2)" xfId="43"/>
    <cellStyle name="_Model_RAB Мой_46EE.2011(v1.2)_FORM5.2012(v1.0)" xfId="44"/>
    <cellStyle name="_Model_RAB Мой_46EE.2011(v1.2)_OREP.INV.GEN.G(v1.0)" xfId="45"/>
    <cellStyle name="_Model_RAB Мой_46EP.2011(v2.0)" xfId="46"/>
    <cellStyle name="_Model_RAB Мой_46EP.2012(v0.1)" xfId="47"/>
    <cellStyle name="_Model_RAB Мой_46TE.2011(v1.0)" xfId="48"/>
    <cellStyle name="_Model_RAB Мой_4DNS.UPDATE.EXAMPLE" xfId="49"/>
    <cellStyle name="_Model_RAB Мой_ARMRAZR" xfId="50"/>
    <cellStyle name="_Model_RAB Мой_BALANCE.WARM.2010.FACT(v1.0)" xfId="51"/>
    <cellStyle name="_Model_RAB Мой_BALANCE.WARM.2010.PLAN" xfId="52"/>
    <cellStyle name="_Model_RAB Мой_BALANCE.WARM.2010.PLAN_FORM5.2012(v1.0)" xfId="53"/>
    <cellStyle name="_Model_RAB Мой_BALANCE.WARM.2010.PLAN_OREP.INV.GEN.G(v1.0)" xfId="54"/>
    <cellStyle name="_Model_RAB Мой_BALANCE.WARM.2011YEAR(v0.7)" xfId="55"/>
    <cellStyle name="_Model_RAB Мой_BALANCE.WARM.2011YEAR(v0.7)_FORM5.2012(v1.0)" xfId="56"/>
    <cellStyle name="_Model_RAB Мой_BALANCE.WARM.2011YEAR(v0.7)_OREP.INV.GEN.G(v1.0)" xfId="57"/>
    <cellStyle name="_Model_RAB Мой_BALANCE.WARM.2011YEAR.NEW.UPDATE.SCHEME" xfId="58"/>
    <cellStyle name="_Model_RAB Мой_CALC.NORMATIV.KU(v0.2)" xfId="59"/>
    <cellStyle name="_Model_RAB Мой_EE.2REK.P2011.4.78(v0.3)" xfId="60"/>
    <cellStyle name="_Model_RAB Мой_FORM3.1.2013(v0.2)" xfId="61"/>
    <cellStyle name="_Model_RAB Мой_FORM3.2013(v1.0)" xfId="62"/>
    <cellStyle name="_Model_RAB Мой_FORM3.REG(v1.0)" xfId="63"/>
    <cellStyle name="_Model_RAB Мой_FORM910.2012(v0.5)" xfId="64"/>
    <cellStyle name="_Model_RAB Мой_FORM910.2012(v0.5)_FORM5.2012(v1.0)" xfId="65"/>
    <cellStyle name="_Model_RAB Мой_FORM910.2012(v1.1)" xfId="66"/>
    <cellStyle name="_Model_RAB Мой_INVEST.EE.PLAN.4.78(v0.1)" xfId="67"/>
    <cellStyle name="_Model_RAB Мой_INVEST.EE.PLAN.4.78(v0.3)" xfId="68"/>
    <cellStyle name="_Model_RAB Мой_INVEST.EE.PLAN.4.78(v1.0)" xfId="69"/>
    <cellStyle name="_Model_RAB Мой_INVEST.EE.PLAN.4.78(v1.0)_FORM11.2013" xfId="70"/>
    <cellStyle name="_Model_RAB Мой_INVEST.EE.PLAN.4.78(v1.0)_PASSPORT.TEPLO.PROIZV(v2.0)" xfId="71"/>
    <cellStyle name="_Model_RAB Мой_INVEST.EE.PLAN.4.78(v1.0)_PASSPORT.TEPLO.PROIZV(v2.0)_MWT.POTERI.SETI.2012(v0.1)" xfId="72"/>
    <cellStyle name="_Model_RAB Мой_INVEST.EE.PLAN.4.78(v1.0)_PASSPORT.TEPLO.PROIZV(v2.0)_PASSPORT.TEPLO.SETI(v2.0f)" xfId="73"/>
    <cellStyle name="_Model_RAB Мой_INVEST.EE.PLAN.4.78(v1.0)_PASSPORT.TEPLO.PROIZV(v2.0)_Книга1" xfId="74"/>
    <cellStyle name="_Model_RAB Мой_INVEST.EE.PLAN.4.78(v1.0)_PASSPORT.TEPLO.SETI(v2.0f)" xfId="75"/>
    <cellStyle name="_Model_RAB Мой_INVEST.EE.PLAN.4.78(v1.0)_Книга1" xfId="76"/>
    <cellStyle name="_Model_RAB Мой_INVEST.PLAN.4.78(v0.1)" xfId="77"/>
    <cellStyle name="_Model_RAB Мой_INVEST.WARM.PLAN.4.78(v0.1)" xfId="78"/>
    <cellStyle name="_Model_RAB Мой_INVEST_WARM_PLAN" xfId="79"/>
    <cellStyle name="_Model_RAB Мой_NADB.JNVLP.APTEKA.2012(v1.0)_21_02_12" xfId="80"/>
    <cellStyle name="_Model_RAB Мой_NADB.JNVLS.APTEKA.2011(v1.3.3)" xfId="81"/>
    <cellStyle name="_Model_RAB Мой_NADB.JNVLS.APTEKA.2011(v1.3.3)_46TE.2011(v1.0)" xfId="82"/>
    <cellStyle name="_Model_RAB Мой_NADB.JNVLS.APTEKA.2011(v1.3.3)_INDEX.STATION.2012(v1.0)_" xfId="83"/>
    <cellStyle name="_Model_RAB Мой_NADB.JNVLS.APTEKA.2011(v1.3.3)_INDEX.STATION.2012(v2.0)" xfId="84"/>
    <cellStyle name="_Model_RAB Мой_NADB.JNVLS.APTEKA.2011(v1.3.3)_INDEX.STATION.2012(v2.1)" xfId="85"/>
    <cellStyle name="_Model_RAB Мой_NADB.JNVLS.APTEKA.2011(v1.3.3)_TEPLO.PREDEL.2012.M(v1.1)_test" xfId="86"/>
    <cellStyle name="_Model_RAB Мой_NADB.JNVLS.APTEKA.2011(v1.3.4)" xfId="87"/>
    <cellStyle name="_Model_RAB Мой_NADB.JNVLS.APTEKA.2011(v1.3.4)_46TE.2011(v1.0)" xfId="88"/>
    <cellStyle name="_Model_RAB Мой_NADB.JNVLS.APTEKA.2011(v1.3.4)_INDEX.STATION.2012(v1.0)_" xfId="89"/>
    <cellStyle name="_Model_RAB Мой_NADB.JNVLS.APTEKA.2011(v1.3.4)_INDEX.STATION.2012(v2.0)" xfId="90"/>
    <cellStyle name="_Model_RAB Мой_NADB.JNVLS.APTEKA.2011(v1.3.4)_INDEX.STATION.2012(v2.1)" xfId="91"/>
    <cellStyle name="_Model_RAB Мой_NADB.JNVLS.APTEKA.2011(v1.3.4)_TEPLO.PREDEL.2012.M(v1.1)_test" xfId="92"/>
    <cellStyle name="_Model_RAB Мой_PASSPORT.TEPLO.PROIZV(v2.1)" xfId="93"/>
    <cellStyle name="_Model_RAB Мой_PASSPORT.TEPLO.SETI(v1.0)" xfId="94"/>
    <cellStyle name="_Model_RAB Мой_PR.PROG.WARM.NOTCOMBI.2012.2.16_v1.4(04.04.11) " xfId="95"/>
    <cellStyle name="_Model_RAB Мой_PREDEL.JKH.UTV.2011(v1.0.1)" xfId="96"/>
    <cellStyle name="_Model_RAB Мой_PREDEL.JKH.UTV.2011(v1.0.1)_46TE.2011(v1.0)" xfId="97"/>
    <cellStyle name="_Model_RAB Мой_PREDEL.JKH.UTV.2011(v1.0.1)_INDEX.STATION.2012(v1.0)_" xfId="98"/>
    <cellStyle name="_Model_RAB Мой_PREDEL.JKH.UTV.2011(v1.0.1)_INDEX.STATION.2012(v2.0)" xfId="99"/>
    <cellStyle name="_Model_RAB Мой_PREDEL.JKH.UTV.2011(v1.0.1)_INDEX.STATION.2012(v2.1)" xfId="100"/>
    <cellStyle name="_Model_RAB Мой_PREDEL.JKH.UTV.2011(v1.0.1)_TEPLO.PREDEL.2012.M(v1.1)_test" xfId="101"/>
    <cellStyle name="_Model_RAB Мой_PREDEL.JKH.UTV.2011(v1.1)" xfId="102"/>
    <cellStyle name="_Model_RAB Мой_PREDEL.JKH.UTV.2011(v1.1)_FORM5.2012(v1.0)" xfId="103"/>
    <cellStyle name="_Model_RAB Мой_PREDEL.JKH.UTV.2011(v1.1)_OREP.INV.GEN.G(v1.0)" xfId="104"/>
    <cellStyle name="_Model_RAB Мой_REP.BLR.2012(v1.0)" xfId="105"/>
    <cellStyle name="_Model_RAB Мой_TEPLO.PREDEL.2012.M(v1.1)" xfId="106"/>
    <cellStyle name="_Model_RAB Мой_TEST.TEMPLATE" xfId="107"/>
    <cellStyle name="_Model_RAB Мой_UPDATE.46EE.2011.TO.1.1" xfId="108"/>
    <cellStyle name="_Model_RAB Мой_UPDATE.46TE.2011.TO.1.1" xfId="109"/>
    <cellStyle name="_Model_RAB Мой_UPDATE.46TE.2011.TO.1.2" xfId="110"/>
    <cellStyle name="_Model_RAB Мой_UPDATE.BALANCE.WARM.2011YEAR.TO.1.1" xfId="111"/>
    <cellStyle name="_Model_RAB Мой_UPDATE.BALANCE.WARM.2011YEAR.TO.1.1 2" xfId="112"/>
    <cellStyle name="_Model_RAB Мой_UPDATE.BALANCE.WARM.2011YEAR.TO.1.1_46TE.2011(v1.0)" xfId="113"/>
    <cellStyle name="_Model_RAB Мой_UPDATE.BALANCE.WARM.2011YEAR.TO.1.1_INDEX.STATION.2012(v1.0)_" xfId="114"/>
    <cellStyle name="_Model_RAB Мой_UPDATE.BALANCE.WARM.2011YEAR.TO.1.1_INDEX.STATION.2012(v2.0)" xfId="115"/>
    <cellStyle name="_Model_RAB Мой_UPDATE.BALANCE.WARM.2011YEAR.TO.1.1_INDEX.STATION.2012(v2.1)" xfId="116"/>
    <cellStyle name="_Model_RAB Мой_UPDATE.BALANCE.WARM.2011YEAR.TO.1.1_OREP.KU.2011.MONTHLY.02(v1.1)" xfId="117"/>
    <cellStyle name="_Model_RAB Мой_UPDATE.BALANCE.WARM.2011YEAR.TO.1.1_TEPLO.PREDEL.2012.M(v1.1)_test" xfId="118"/>
    <cellStyle name="_Model_RAB Мой_UPDATE.NADB.JNVLS.APTEKA.2011.TO.1.3.4" xfId="119"/>
    <cellStyle name="_Model_RAB Мой_Книга1" xfId="120"/>
    <cellStyle name="_Model_RAB Мой_Книга2_PR.PROG.WARM.NOTCOMBI.2012.2.16_v1.4(04.04.11) " xfId="121"/>
    <cellStyle name="_Model_RAB_MRSK_svod" xfId="122"/>
    <cellStyle name="_Model_RAB_MRSK_svod 2" xfId="123"/>
    <cellStyle name="_Model_RAB_MRSK_svod 2_OREP.KU.2011.MONTHLY.02(v0.1)" xfId="124"/>
    <cellStyle name="_Model_RAB_MRSK_svod 2_OREP.KU.2011.MONTHLY.02(v0.4)" xfId="125"/>
    <cellStyle name="_Model_RAB_MRSK_svod 2_OREP.KU.2011.MONTHLY.11(v1.4)" xfId="126"/>
    <cellStyle name="_Model_RAB_MRSK_svod 2_UPDATE.OREP.KU.2011.MONTHLY.02.TO.1.2" xfId="127"/>
    <cellStyle name="_Model_RAB_MRSK_svod_46EE.2011(v1.0)" xfId="128"/>
    <cellStyle name="_Model_RAB_MRSK_svod_46EE.2011(v1.0)_46TE.2011(v1.0)" xfId="129"/>
    <cellStyle name="_Model_RAB_MRSK_svod_46EE.2011(v1.0)_INDEX.STATION.2012(v1.0)_" xfId="130"/>
    <cellStyle name="_Model_RAB_MRSK_svod_46EE.2011(v1.0)_INDEX.STATION.2012(v2.0)" xfId="131"/>
    <cellStyle name="_Model_RAB_MRSK_svod_46EE.2011(v1.0)_INDEX.STATION.2012(v2.1)" xfId="132"/>
    <cellStyle name="_Model_RAB_MRSK_svod_46EE.2011(v1.0)_TEPLO.PREDEL.2012.M(v1.1)_test" xfId="133"/>
    <cellStyle name="_Model_RAB_MRSK_svod_46EE.2011(v1.2)" xfId="134"/>
    <cellStyle name="_Model_RAB_MRSK_svod_46EE.2011(v1.2)_FORM5.2012(v1.0)" xfId="135"/>
    <cellStyle name="_Model_RAB_MRSK_svod_46EE.2011(v1.2)_OREP.INV.GEN.G(v1.0)" xfId="136"/>
    <cellStyle name="_Model_RAB_MRSK_svod_46EP.2011(v2.0)" xfId="137"/>
    <cellStyle name="_Model_RAB_MRSK_svod_46EP.2012(v0.1)" xfId="138"/>
    <cellStyle name="_Model_RAB_MRSK_svod_46TE.2011(v1.0)" xfId="139"/>
    <cellStyle name="_Model_RAB_MRSK_svod_4DNS.UPDATE.EXAMPLE" xfId="140"/>
    <cellStyle name="_Model_RAB_MRSK_svod_ARMRAZR" xfId="141"/>
    <cellStyle name="_Model_RAB_MRSK_svod_BALANCE.WARM.2010.FACT(v1.0)" xfId="142"/>
    <cellStyle name="_Model_RAB_MRSK_svod_BALANCE.WARM.2010.PLAN" xfId="143"/>
    <cellStyle name="_Model_RAB_MRSK_svod_BALANCE.WARM.2010.PLAN_FORM5.2012(v1.0)" xfId="144"/>
    <cellStyle name="_Model_RAB_MRSK_svod_BALANCE.WARM.2010.PLAN_OREP.INV.GEN.G(v1.0)" xfId="145"/>
    <cellStyle name="_Model_RAB_MRSK_svod_BALANCE.WARM.2011YEAR(v0.7)" xfId="146"/>
    <cellStyle name="_Model_RAB_MRSK_svod_BALANCE.WARM.2011YEAR(v0.7)_FORM5.2012(v1.0)" xfId="147"/>
    <cellStyle name="_Model_RAB_MRSK_svod_BALANCE.WARM.2011YEAR(v0.7)_OREP.INV.GEN.G(v1.0)" xfId="148"/>
    <cellStyle name="_Model_RAB_MRSK_svod_BALANCE.WARM.2011YEAR.NEW.UPDATE.SCHEME" xfId="149"/>
    <cellStyle name="_Model_RAB_MRSK_svod_CALC.NORMATIV.KU(v0.2)" xfId="150"/>
    <cellStyle name="_Model_RAB_MRSK_svod_EE.2REK.P2011.4.78(v0.3)" xfId="151"/>
    <cellStyle name="_Model_RAB_MRSK_svod_FORM3.1.2013(v0.2)" xfId="152"/>
    <cellStyle name="_Model_RAB_MRSK_svod_FORM3.2013(v1.0)" xfId="153"/>
    <cellStyle name="_Model_RAB_MRSK_svod_FORM3.REG(v1.0)" xfId="154"/>
    <cellStyle name="_Model_RAB_MRSK_svod_FORM910.2012(v0.5)" xfId="155"/>
    <cellStyle name="_Model_RAB_MRSK_svod_FORM910.2012(v0.5)_FORM5.2012(v1.0)" xfId="156"/>
    <cellStyle name="_Model_RAB_MRSK_svod_FORM910.2012(v1.1)" xfId="157"/>
    <cellStyle name="_Model_RAB_MRSK_svod_INVEST.EE.PLAN.4.78(v0.1)" xfId="158"/>
    <cellStyle name="_Model_RAB_MRSK_svod_INVEST.EE.PLAN.4.78(v0.3)" xfId="159"/>
    <cellStyle name="_Model_RAB_MRSK_svod_INVEST.EE.PLAN.4.78(v1.0)" xfId="160"/>
    <cellStyle name="_Model_RAB_MRSK_svod_INVEST.EE.PLAN.4.78(v1.0)_FORM11.2013" xfId="161"/>
    <cellStyle name="_Model_RAB_MRSK_svod_INVEST.EE.PLAN.4.78(v1.0)_PASSPORT.TEPLO.PROIZV(v2.0)" xfId="162"/>
    <cellStyle name="_Model_RAB_MRSK_svod_INVEST.EE.PLAN.4.78(v1.0)_PASSPORT.TEPLO.PROIZV(v2.0)_MWT.POTERI.SETI.2012(v0.1)" xfId="163"/>
    <cellStyle name="_Model_RAB_MRSK_svod_INVEST.EE.PLAN.4.78(v1.0)_PASSPORT.TEPLO.PROIZV(v2.0)_PASSPORT.TEPLO.SETI(v2.0f)" xfId="164"/>
    <cellStyle name="_Model_RAB_MRSK_svod_INVEST.EE.PLAN.4.78(v1.0)_PASSPORT.TEPLO.PROIZV(v2.0)_Книга1" xfId="165"/>
    <cellStyle name="_Model_RAB_MRSK_svod_INVEST.EE.PLAN.4.78(v1.0)_PASSPORT.TEPLO.SETI(v2.0f)" xfId="166"/>
    <cellStyle name="_Model_RAB_MRSK_svod_INVEST.EE.PLAN.4.78(v1.0)_Книга1" xfId="167"/>
    <cellStyle name="_Model_RAB_MRSK_svod_INVEST.PLAN.4.78(v0.1)" xfId="168"/>
    <cellStyle name="_Model_RAB_MRSK_svod_INVEST.WARM.PLAN.4.78(v0.1)" xfId="169"/>
    <cellStyle name="_Model_RAB_MRSK_svod_INVEST_WARM_PLAN" xfId="170"/>
    <cellStyle name="_Model_RAB_MRSK_svod_NADB.JNVLP.APTEKA.2012(v1.0)_21_02_12" xfId="171"/>
    <cellStyle name="_Model_RAB_MRSK_svod_NADB.JNVLS.APTEKA.2011(v1.3.3)" xfId="172"/>
    <cellStyle name="_Model_RAB_MRSK_svod_NADB.JNVLS.APTEKA.2011(v1.3.3)_46TE.2011(v1.0)" xfId="173"/>
    <cellStyle name="_Model_RAB_MRSK_svod_NADB.JNVLS.APTEKA.2011(v1.3.3)_INDEX.STATION.2012(v1.0)_" xfId="174"/>
    <cellStyle name="_Model_RAB_MRSK_svod_NADB.JNVLS.APTEKA.2011(v1.3.3)_INDEX.STATION.2012(v2.0)" xfId="175"/>
    <cellStyle name="_Model_RAB_MRSK_svod_NADB.JNVLS.APTEKA.2011(v1.3.3)_INDEX.STATION.2012(v2.1)" xfId="176"/>
    <cellStyle name="_Model_RAB_MRSK_svod_NADB.JNVLS.APTEKA.2011(v1.3.3)_TEPLO.PREDEL.2012.M(v1.1)_test" xfId="177"/>
    <cellStyle name="_Model_RAB_MRSK_svod_NADB.JNVLS.APTEKA.2011(v1.3.4)" xfId="178"/>
    <cellStyle name="_Model_RAB_MRSK_svod_NADB.JNVLS.APTEKA.2011(v1.3.4)_46TE.2011(v1.0)" xfId="179"/>
    <cellStyle name="_Model_RAB_MRSK_svod_NADB.JNVLS.APTEKA.2011(v1.3.4)_INDEX.STATION.2012(v1.0)_" xfId="180"/>
    <cellStyle name="_Model_RAB_MRSK_svod_NADB.JNVLS.APTEKA.2011(v1.3.4)_INDEX.STATION.2012(v2.0)" xfId="181"/>
    <cellStyle name="_Model_RAB_MRSK_svod_NADB.JNVLS.APTEKA.2011(v1.3.4)_INDEX.STATION.2012(v2.1)" xfId="182"/>
    <cellStyle name="_Model_RAB_MRSK_svod_NADB.JNVLS.APTEKA.2011(v1.3.4)_TEPLO.PREDEL.2012.M(v1.1)_test" xfId="183"/>
    <cellStyle name="_Model_RAB_MRSK_svod_PASSPORT.TEPLO.PROIZV(v2.1)" xfId="184"/>
    <cellStyle name="_Model_RAB_MRSK_svod_PASSPORT.TEPLO.SETI(v1.0)" xfId="185"/>
    <cellStyle name="_Model_RAB_MRSK_svod_PR.PROG.WARM.NOTCOMBI.2012.2.16_v1.4(04.04.11) " xfId="186"/>
    <cellStyle name="_Model_RAB_MRSK_svod_PREDEL.JKH.UTV.2011(v1.0.1)" xfId="187"/>
    <cellStyle name="_Model_RAB_MRSK_svod_PREDEL.JKH.UTV.2011(v1.0.1)_46TE.2011(v1.0)" xfId="188"/>
    <cellStyle name="_Model_RAB_MRSK_svod_PREDEL.JKH.UTV.2011(v1.0.1)_INDEX.STATION.2012(v1.0)_" xfId="189"/>
    <cellStyle name="_Model_RAB_MRSK_svod_PREDEL.JKH.UTV.2011(v1.0.1)_INDEX.STATION.2012(v2.0)" xfId="190"/>
    <cellStyle name="_Model_RAB_MRSK_svod_PREDEL.JKH.UTV.2011(v1.0.1)_INDEX.STATION.2012(v2.1)" xfId="191"/>
    <cellStyle name="_Model_RAB_MRSK_svod_PREDEL.JKH.UTV.2011(v1.0.1)_TEPLO.PREDEL.2012.M(v1.1)_test" xfId="192"/>
    <cellStyle name="_Model_RAB_MRSK_svod_PREDEL.JKH.UTV.2011(v1.1)" xfId="193"/>
    <cellStyle name="_Model_RAB_MRSK_svod_PREDEL.JKH.UTV.2011(v1.1)_FORM5.2012(v1.0)" xfId="194"/>
    <cellStyle name="_Model_RAB_MRSK_svod_PREDEL.JKH.UTV.2011(v1.1)_OREP.INV.GEN.G(v1.0)" xfId="195"/>
    <cellStyle name="_Model_RAB_MRSK_svod_REP.BLR.2012(v1.0)" xfId="196"/>
    <cellStyle name="_Model_RAB_MRSK_svod_TEPLO.PREDEL.2012.M(v1.1)" xfId="197"/>
    <cellStyle name="_Model_RAB_MRSK_svod_TEST.TEMPLATE" xfId="198"/>
    <cellStyle name="_Model_RAB_MRSK_svod_UPDATE.46EE.2011.TO.1.1" xfId="199"/>
    <cellStyle name="_Model_RAB_MRSK_svod_UPDATE.46TE.2011.TO.1.1" xfId="200"/>
    <cellStyle name="_Model_RAB_MRSK_svod_UPDATE.46TE.2011.TO.1.2" xfId="201"/>
    <cellStyle name="_Model_RAB_MRSK_svod_UPDATE.BALANCE.WARM.2011YEAR.TO.1.1" xfId="202"/>
    <cellStyle name="_Model_RAB_MRSK_svod_UPDATE.BALANCE.WARM.2011YEAR.TO.1.1 2" xfId="203"/>
    <cellStyle name="_Model_RAB_MRSK_svod_UPDATE.BALANCE.WARM.2011YEAR.TO.1.1_46TE.2011(v1.0)" xfId="204"/>
    <cellStyle name="_Model_RAB_MRSK_svod_UPDATE.BALANCE.WARM.2011YEAR.TO.1.1_INDEX.STATION.2012(v1.0)_" xfId="205"/>
    <cellStyle name="_Model_RAB_MRSK_svod_UPDATE.BALANCE.WARM.2011YEAR.TO.1.1_INDEX.STATION.2012(v2.0)" xfId="206"/>
    <cellStyle name="_Model_RAB_MRSK_svod_UPDATE.BALANCE.WARM.2011YEAR.TO.1.1_INDEX.STATION.2012(v2.1)" xfId="207"/>
    <cellStyle name="_Model_RAB_MRSK_svod_UPDATE.BALANCE.WARM.2011YEAR.TO.1.1_OREP.KU.2011.MONTHLY.02(v1.1)" xfId="208"/>
    <cellStyle name="_Model_RAB_MRSK_svod_UPDATE.BALANCE.WARM.2011YEAR.TO.1.1_TEPLO.PREDEL.2012.M(v1.1)_test" xfId="209"/>
    <cellStyle name="_Model_RAB_MRSK_svod_UPDATE.NADB.JNVLS.APTEKA.2011.TO.1.3.4" xfId="210"/>
    <cellStyle name="_Model_RAB_MRSK_svod_Книга1" xfId="211"/>
    <cellStyle name="_Model_RAB_MRSK_svod_Книга2_PR.PROG.WARM.NOTCOMBI.2012.2.16_v1.4(04.04.11) " xfId="212"/>
    <cellStyle name="_Plug" xfId="213"/>
    <cellStyle name="_Plug 2" xfId="214"/>
    <cellStyle name="_Plug 2 2" xfId="215"/>
    <cellStyle name="_Plug 3" xfId="216"/>
    <cellStyle name="_Plug_4DNS.UPDATE.EXAMPLE" xfId="217"/>
    <cellStyle name="_Plug_4DNS.UPDATE.EXAMPLE 2" xfId="218"/>
    <cellStyle name="_Plug_4DNS.UPDATE.EXAMPLE 2 2" xfId="219"/>
    <cellStyle name="_Plug_4DNS.UPDATE.EXAMPLE 3" xfId="220"/>
    <cellStyle name="_Plug_Исходная вода" xfId="221"/>
    <cellStyle name="_Plug_Исходная вода 2" xfId="222"/>
    <cellStyle name="_Plug_Исходная вода 2 2" xfId="223"/>
    <cellStyle name="_Plug_Исходная вода 3" xfId="224"/>
    <cellStyle name="_Plug_Котлы ТЭС" xfId="225"/>
    <cellStyle name="_Plug_Котлы ТЭС 2" xfId="226"/>
    <cellStyle name="_Plug_Котлы ТЭС 2 2" xfId="227"/>
    <cellStyle name="_Plug_Котлы ТЭС 3" xfId="228"/>
    <cellStyle name="_Plug_ТЭЦ" xfId="229"/>
    <cellStyle name="_Plug_ТЭЦ 2" xfId="230"/>
    <cellStyle name="_Plug_ТЭЦ 2 2" xfId="231"/>
    <cellStyle name="_Plug_ТЭЦ 3" xfId="232"/>
    <cellStyle name="_SeriesAttributes" xfId="233"/>
    <cellStyle name="_SeriesAttributes 2" xfId="4669"/>
    <cellStyle name="_v-2013-2030- 2b17.01.11Нах-cpiнов. курс inn 1-2-Е1xls" xfId="234"/>
    <cellStyle name="_Бюджет2006_ПОКАЗАТЕЛИ СВОДНЫЕ" xfId="235"/>
    <cellStyle name="_ВО ОП ТЭС-ОТ- 2007" xfId="236"/>
    <cellStyle name="_ВО ОП ТЭС-ОТ- 2007_Новая инструкция1_фст" xfId="237"/>
    <cellStyle name="_Волгоград" xfId="238"/>
    <cellStyle name="_Волгоград Модель_RAB  ( опер.утв.2009, со сглаж.6,2%)" xfId="239"/>
    <cellStyle name="_Волгоград Модель_RAB ( опер.утв.2009) 6,2 БС" xfId="240"/>
    <cellStyle name="_ВФ ОАО ТЭС-ОТ- 2009" xfId="241"/>
    <cellStyle name="_ВФ ОАО ТЭС-ОТ- 2009_Новая инструкция1_фст" xfId="242"/>
    <cellStyle name="_выручка по присоединениям2" xfId="243"/>
    <cellStyle name="_выручка по присоединениям2_Новая инструкция1_фст" xfId="244"/>
    <cellStyle name="_Договор аренды ЯЭ с разбивкой" xfId="245"/>
    <cellStyle name="_Договор аренды ЯЭ с разбивкой_Новая инструкция1_фст" xfId="246"/>
    <cellStyle name="_Доп 06 09 приложение-без ПС(3)" xfId="247"/>
    <cellStyle name="_Доп. приложение-Основное" xfId="248"/>
    <cellStyle name="_Защита ФЗП" xfId="249"/>
    <cellStyle name="_Исходные данные для модели" xfId="250"/>
    <cellStyle name="_Исходные данные для модели_Новая инструкция1_фст" xfId="251"/>
    <cellStyle name="_калмыкия 2010" xfId="252"/>
    <cellStyle name="_Кап.вложения - табл 6.2.5" xfId="253"/>
    <cellStyle name="_Конечный вариант КАП ВЛОЖ на ПРИС по 4 филиалам (741 829 из 11 000 руб) без 1 и 2 кв и впу 14_06 на общую 2 772 млрд" xfId="254"/>
    <cellStyle name="_Консолидация-2008-проект-new" xfId="255"/>
    <cellStyle name="_Копия RAB_КЭ_с тарифными решениями 2010 (2) (2)" xfId="256"/>
    <cellStyle name="_Кубань НВВ (2)" xfId="257"/>
    <cellStyle name="_Лист4" xfId="258"/>
    <cellStyle name="_Модель - 2(23)" xfId="259"/>
    <cellStyle name="_МОДЕЛЬ_1 (2)" xfId="260"/>
    <cellStyle name="_МОДЕЛЬ_1 (2) 2" xfId="261"/>
    <cellStyle name="_МОДЕЛЬ_1 (2) 2_OREP.KU.2011.MONTHLY.02(v0.1)" xfId="262"/>
    <cellStyle name="_МОДЕЛЬ_1 (2) 2_OREP.KU.2011.MONTHLY.02(v0.4)" xfId="263"/>
    <cellStyle name="_МОДЕЛЬ_1 (2) 2_OREP.KU.2011.MONTHLY.11(v1.4)" xfId="264"/>
    <cellStyle name="_МОДЕЛЬ_1 (2) 2_UPDATE.OREP.KU.2011.MONTHLY.02.TO.1.2" xfId="265"/>
    <cellStyle name="_МОДЕЛЬ_1 (2)_46EE.2011(v1.0)" xfId="266"/>
    <cellStyle name="_МОДЕЛЬ_1 (2)_46EE.2011(v1.0)_46TE.2011(v1.0)" xfId="267"/>
    <cellStyle name="_МОДЕЛЬ_1 (2)_46EE.2011(v1.0)_INDEX.STATION.2012(v1.0)_" xfId="268"/>
    <cellStyle name="_МОДЕЛЬ_1 (2)_46EE.2011(v1.0)_INDEX.STATION.2012(v2.0)" xfId="269"/>
    <cellStyle name="_МОДЕЛЬ_1 (2)_46EE.2011(v1.0)_INDEX.STATION.2012(v2.1)" xfId="270"/>
    <cellStyle name="_МОДЕЛЬ_1 (2)_46EE.2011(v1.0)_TEPLO.PREDEL.2012.M(v1.1)_test" xfId="271"/>
    <cellStyle name="_МОДЕЛЬ_1 (2)_46EE.2011(v1.2)" xfId="272"/>
    <cellStyle name="_МОДЕЛЬ_1 (2)_46EE.2011(v1.2)_FORM5.2012(v1.0)" xfId="273"/>
    <cellStyle name="_МОДЕЛЬ_1 (2)_46EE.2011(v1.2)_OREP.INV.GEN.G(v1.0)" xfId="274"/>
    <cellStyle name="_МОДЕЛЬ_1 (2)_46EP.2011(v2.0)" xfId="275"/>
    <cellStyle name="_МОДЕЛЬ_1 (2)_46EP.2012(v0.1)" xfId="276"/>
    <cellStyle name="_МОДЕЛЬ_1 (2)_46TE.2011(v1.0)" xfId="277"/>
    <cellStyle name="_МОДЕЛЬ_1 (2)_4DNS.UPDATE.EXAMPLE" xfId="278"/>
    <cellStyle name="_МОДЕЛЬ_1 (2)_ARMRAZR" xfId="279"/>
    <cellStyle name="_МОДЕЛЬ_1 (2)_BALANCE.WARM.2010.FACT(v1.0)" xfId="280"/>
    <cellStyle name="_МОДЕЛЬ_1 (2)_BALANCE.WARM.2010.PLAN" xfId="281"/>
    <cellStyle name="_МОДЕЛЬ_1 (2)_BALANCE.WARM.2010.PLAN_FORM5.2012(v1.0)" xfId="282"/>
    <cellStyle name="_МОДЕЛЬ_1 (2)_BALANCE.WARM.2010.PLAN_OREP.INV.GEN.G(v1.0)" xfId="283"/>
    <cellStyle name="_МОДЕЛЬ_1 (2)_BALANCE.WARM.2011YEAR(v0.7)" xfId="284"/>
    <cellStyle name="_МОДЕЛЬ_1 (2)_BALANCE.WARM.2011YEAR(v0.7)_FORM5.2012(v1.0)" xfId="285"/>
    <cellStyle name="_МОДЕЛЬ_1 (2)_BALANCE.WARM.2011YEAR(v0.7)_OREP.INV.GEN.G(v1.0)" xfId="286"/>
    <cellStyle name="_МОДЕЛЬ_1 (2)_BALANCE.WARM.2011YEAR.NEW.UPDATE.SCHEME" xfId="287"/>
    <cellStyle name="_МОДЕЛЬ_1 (2)_CALC.NORMATIV.KU(v0.2)" xfId="288"/>
    <cellStyle name="_МОДЕЛЬ_1 (2)_EE.2REK.P2011.4.78(v0.3)" xfId="289"/>
    <cellStyle name="_МОДЕЛЬ_1 (2)_FORM3.1.2013(v0.2)" xfId="290"/>
    <cellStyle name="_МОДЕЛЬ_1 (2)_FORM3.2013(v1.0)" xfId="291"/>
    <cellStyle name="_МОДЕЛЬ_1 (2)_FORM3.REG(v1.0)" xfId="292"/>
    <cellStyle name="_МОДЕЛЬ_1 (2)_FORM910.2012(v0.5)" xfId="293"/>
    <cellStyle name="_МОДЕЛЬ_1 (2)_FORM910.2012(v0.5)_FORM5.2012(v1.0)" xfId="294"/>
    <cellStyle name="_МОДЕЛЬ_1 (2)_FORM910.2012(v1.1)" xfId="295"/>
    <cellStyle name="_МОДЕЛЬ_1 (2)_INVEST.EE.PLAN.4.78(v0.1)" xfId="296"/>
    <cellStyle name="_МОДЕЛЬ_1 (2)_INVEST.EE.PLAN.4.78(v0.3)" xfId="297"/>
    <cellStyle name="_МОДЕЛЬ_1 (2)_INVEST.EE.PLAN.4.78(v1.0)" xfId="298"/>
    <cellStyle name="_МОДЕЛЬ_1 (2)_INVEST.EE.PLAN.4.78(v1.0)_FORM11.2013" xfId="299"/>
    <cellStyle name="_МОДЕЛЬ_1 (2)_INVEST.EE.PLAN.4.78(v1.0)_PASSPORT.TEPLO.PROIZV(v2.0)" xfId="300"/>
    <cellStyle name="_МОДЕЛЬ_1 (2)_INVEST.EE.PLAN.4.78(v1.0)_PASSPORT.TEPLO.PROIZV(v2.0)_MWT.POTERI.SETI.2012(v0.1)" xfId="301"/>
    <cellStyle name="_МОДЕЛЬ_1 (2)_INVEST.EE.PLAN.4.78(v1.0)_PASSPORT.TEPLO.PROIZV(v2.0)_PASSPORT.TEPLO.SETI(v2.0f)" xfId="302"/>
    <cellStyle name="_МОДЕЛЬ_1 (2)_INVEST.EE.PLAN.4.78(v1.0)_PASSPORT.TEPLO.PROIZV(v2.0)_Книга1" xfId="303"/>
    <cellStyle name="_МОДЕЛЬ_1 (2)_INVEST.EE.PLAN.4.78(v1.0)_PASSPORT.TEPLO.SETI(v2.0f)" xfId="304"/>
    <cellStyle name="_МОДЕЛЬ_1 (2)_INVEST.EE.PLAN.4.78(v1.0)_Книга1" xfId="305"/>
    <cellStyle name="_МОДЕЛЬ_1 (2)_INVEST.PLAN.4.78(v0.1)" xfId="306"/>
    <cellStyle name="_МОДЕЛЬ_1 (2)_INVEST.WARM.PLAN.4.78(v0.1)" xfId="307"/>
    <cellStyle name="_МОДЕЛЬ_1 (2)_INVEST_WARM_PLAN" xfId="308"/>
    <cellStyle name="_МОДЕЛЬ_1 (2)_NADB.JNVLP.APTEKA.2012(v1.0)_21_02_12" xfId="309"/>
    <cellStyle name="_МОДЕЛЬ_1 (2)_NADB.JNVLS.APTEKA.2011(v1.3.3)" xfId="310"/>
    <cellStyle name="_МОДЕЛЬ_1 (2)_NADB.JNVLS.APTEKA.2011(v1.3.3)_46TE.2011(v1.0)" xfId="311"/>
    <cellStyle name="_МОДЕЛЬ_1 (2)_NADB.JNVLS.APTEKA.2011(v1.3.3)_INDEX.STATION.2012(v1.0)_" xfId="312"/>
    <cellStyle name="_МОДЕЛЬ_1 (2)_NADB.JNVLS.APTEKA.2011(v1.3.3)_INDEX.STATION.2012(v2.0)" xfId="313"/>
    <cellStyle name="_МОДЕЛЬ_1 (2)_NADB.JNVLS.APTEKA.2011(v1.3.3)_INDEX.STATION.2012(v2.1)" xfId="314"/>
    <cellStyle name="_МОДЕЛЬ_1 (2)_NADB.JNVLS.APTEKA.2011(v1.3.3)_TEPLO.PREDEL.2012.M(v1.1)_test" xfId="315"/>
    <cellStyle name="_МОДЕЛЬ_1 (2)_NADB.JNVLS.APTEKA.2011(v1.3.4)" xfId="316"/>
    <cellStyle name="_МОДЕЛЬ_1 (2)_NADB.JNVLS.APTEKA.2011(v1.3.4)_46TE.2011(v1.0)" xfId="317"/>
    <cellStyle name="_МОДЕЛЬ_1 (2)_NADB.JNVLS.APTEKA.2011(v1.3.4)_INDEX.STATION.2012(v1.0)_" xfId="318"/>
    <cellStyle name="_МОДЕЛЬ_1 (2)_NADB.JNVLS.APTEKA.2011(v1.3.4)_INDEX.STATION.2012(v2.0)" xfId="319"/>
    <cellStyle name="_МОДЕЛЬ_1 (2)_NADB.JNVLS.APTEKA.2011(v1.3.4)_INDEX.STATION.2012(v2.1)" xfId="320"/>
    <cellStyle name="_МОДЕЛЬ_1 (2)_NADB.JNVLS.APTEKA.2011(v1.3.4)_TEPLO.PREDEL.2012.M(v1.1)_test" xfId="321"/>
    <cellStyle name="_МОДЕЛЬ_1 (2)_PASSPORT.TEPLO.PROIZV(v2.1)" xfId="322"/>
    <cellStyle name="_МОДЕЛЬ_1 (2)_PASSPORT.TEPLO.SETI(v1.0)" xfId="323"/>
    <cellStyle name="_МОДЕЛЬ_1 (2)_PR.PROG.WARM.NOTCOMBI.2012.2.16_v1.4(04.04.11) " xfId="324"/>
    <cellStyle name="_МОДЕЛЬ_1 (2)_PREDEL.JKH.UTV.2011(v1.0.1)" xfId="325"/>
    <cellStyle name="_МОДЕЛЬ_1 (2)_PREDEL.JKH.UTV.2011(v1.0.1)_46TE.2011(v1.0)" xfId="326"/>
    <cellStyle name="_МОДЕЛЬ_1 (2)_PREDEL.JKH.UTV.2011(v1.0.1)_INDEX.STATION.2012(v1.0)_" xfId="327"/>
    <cellStyle name="_МОДЕЛЬ_1 (2)_PREDEL.JKH.UTV.2011(v1.0.1)_INDEX.STATION.2012(v2.0)" xfId="328"/>
    <cellStyle name="_МОДЕЛЬ_1 (2)_PREDEL.JKH.UTV.2011(v1.0.1)_INDEX.STATION.2012(v2.1)" xfId="329"/>
    <cellStyle name="_МОДЕЛЬ_1 (2)_PREDEL.JKH.UTV.2011(v1.0.1)_TEPLO.PREDEL.2012.M(v1.1)_test" xfId="330"/>
    <cellStyle name="_МОДЕЛЬ_1 (2)_PREDEL.JKH.UTV.2011(v1.1)" xfId="331"/>
    <cellStyle name="_МОДЕЛЬ_1 (2)_PREDEL.JKH.UTV.2011(v1.1)_FORM5.2012(v1.0)" xfId="332"/>
    <cellStyle name="_МОДЕЛЬ_1 (2)_PREDEL.JKH.UTV.2011(v1.1)_OREP.INV.GEN.G(v1.0)" xfId="333"/>
    <cellStyle name="_МОДЕЛЬ_1 (2)_REP.BLR.2012(v1.0)" xfId="334"/>
    <cellStyle name="_МОДЕЛЬ_1 (2)_TEPLO.PREDEL.2012.M(v1.1)" xfId="335"/>
    <cellStyle name="_МОДЕЛЬ_1 (2)_TEST.TEMPLATE" xfId="336"/>
    <cellStyle name="_МОДЕЛЬ_1 (2)_UPDATE.46EE.2011.TO.1.1" xfId="337"/>
    <cellStyle name="_МОДЕЛЬ_1 (2)_UPDATE.46TE.2011.TO.1.1" xfId="338"/>
    <cellStyle name="_МОДЕЛЬ_1 (2)_UPDATE.46TE.2011.TO.1.2" xfId="339"/>
    <cellStyle name="_МОДЕЛЬ_1 (2)_UPDATE.BALANCE.WARM.2011YEAR.TO.1.1" xfId="340"/>
    <cellStyle name="_МОДЕЛЬ_1 (2)_UPDATE.BALANCE.WARM.2011YEAR.TO.1.1 2" xfId="341"/>
    <cellStyle name="_МОДЕЛЬ_1 (2)_UPDATE.BALANCE.WARM.2011YEAR.TO.1.1_46TE.2011(v1.0)" xfId="342"/>
    <cellStyle name="_МОДЕЛЬ_1 (2)_UPDATE.BALANCE.WARM.2011YEAR.TO.1.1_INDEX.STATION.2012(v1.0)_" xfId="343"/>
    <cellStyle name="_МОДЕЛЬ_1 (2)_UPDATE.BALANCE.WARM.2011YEAR.TO.1.1_INDEX.STATION.2012(v2.0)" xfId="344"/>
    <cellStyle name="_МОДЕЛЬ_1 (2)_UPDATE.BALANCE.WARM.2011YEAR.TO.1.1_INDEX.STATION.2012(v2.1)" xfId="345"/>
    <cellStyle name="_МОДЕЛЬ_1 (2)_UPDATE.BALANCE.WARM.2011YEAR.TO.1.1_OREP.KU.2011.MONTHLY.02(v1.1)" xfId="346"/>
    <cellStyle name="_МОДЕЛЬ_1 (2)_UPDATE.BALANCE.WARM.2011YEAR.TO.1.1_TEPLO.PREDEL.2012.M(v1.1)_test" xfId="347"/>
    <cellStyle name="_МОДЕЛЬ_1 (2)_UPDATE.NADB.JNVLS.APTEKA.2011.TO.1.3.4" xfId="348"/>
    <cellStyle name="_МОДЕЛЬ_1 (2)_Книга1" xfId="349"/>
    <cellStyle name="_МОДЕЛЬ_1 (2)_Книга2_PR.PROG.WARM.NOTCOMBI.2012.2.16_v1.4(04.04.11) " xfId="350"/>
    <cellStyle name="_НВВ 2009 постатейно свод по филиалам_09_02_09" xfId="351"/>
    <cellStyle name="_НВВ 2009 постатейно свод по филиалам_09_02_09_Новая инструкция1_фст" xfId="352"/>
    <cellStyle name="_НВВ 2009 постатейно свод по филиалам_для Валентина" xfId="353"/>
    <cellStyle name="_НВВ 2009 постатейно свод по филиалам_для Валентина_Новая инструкция1_фст" xfId="354"/>
    <cellStyle name="_Омск" xfId="355"/>
    <cellStyle name="_Омск_Новая инструкция1_фст" xfId="356"/>
    <cellStyle name="_ОТ ИД 2009" xfId="357"/>
    <cellStyle name="_ОТ ИД 2009_Новая инструкция1_фст" xfId="358"/>
    <cellStyle name="_Передача 2005_отпр в РЭК_сентябрь2005" xfId="359"/>
    <cellStyle name="_пр 5 тариф RAB" xfId="360"/>
    <cellStyle name="_пр 5 тариф RAB 2" xfId="361"/>
    <cellStyle name="_пр 5 тариф RAB 2_OREP.KU.2011.MONTHLY.02(v0.1)" xfId="362"/>
    <cellStyle name="_пр 5 тариф RAB 2_OREP.KU.2011.MONTHLY.02(v0.4)" xfId="363"/>
    <cellStyle name="_пр 5 тариф RAB 2_OREP.KU.2011.MONTHLY.11(v1.4)" xfId="364"/>
    <cellStyle name="_пр 5 тариф RAB 2_UPDATE.OREP.KU.2011.MONTHLY.02.TO.1.2" xfId="365"/>
    <cellStyle name="_пр 5 тариф RAB_46EE.2011(v1.0)" xfId="366"/>
    <cellStyle name="_пр 5 тариф RAB_46EE.2011(v1.0)_46TE.2011(v1.0)" xfId="367"/>
    <cellStyle name="_пр 5 тариф RAB_46EE.2011(v1.0)_INDEX.STATION.2012(v1.0)_" xfId="368"/>
    <cellStyle name="_пр 5 тариф RAB_46EE.2011(v1.0)_INDEX.STATION.2012(v2.0)" xfId="369"/>
    <cellStyle name="_пр 5 тариф RAB_46EE.2011(v1.0)_INDEX.STATION.2012(v2.1)" xfId="370"/>
    <cellStyle name="_пр 5 тариф RAB_46EE.2011(v1.0)_TEPLO.PREDEL.2012.M(v1.1)_test" xfId="371"/>
    <cellStyle name="_пр 5 тариф RAB_46EE.2011(v1.2)" xfId="372"/>
    <cellStyle name="_пр 5 тариф RAB_46EE.2011(v1.2)_FORM5.2012(v1.0)" xfId="373"/>
    <cellStyle name="_пр 5 тариф RAB_46EE.2011(v1.2)_OREP.INV.GEN.G(v1.0)" xfId="374"/>
    <cellStyle name="_пр 5 тариф RAB_46EP.2011(v2.0)" xfId="375"/>
    <cellStyle name="_пр 5 тариф RAB_46EP.2012(v0.1)" xfId="376"/>
    <cellStyle name="_пр 5 тариф RAB_46TE.2011(v1.0)" xfId="377"/>
    <cellStyle name="_пр 5 тариф RAB_4DNS.UPDATE.EXAMPLE" xfId="378"/>
    <cellStyle name="_пр 5 тариф RAB_ARMRAZR" xfId="379"/>
    <cellStyle name="_пр 5 тариф RAB_BALANCE.WARM.2010.FACT(v1.0)" xfId="380"/>
    <cellStyle name="_пр 5 тариф RAB_BALANCE.WARM.2010.PLAN" xfId="381"/>
    <cellStyle name="_пр 5 тариф RAB_BALANCE.WARM.2010.PLAN_FORM5.2012(v1.0)" xfId="382"/>
    <cellStyle name="_пр 5 тариф RAB_BALANCE.WARM.2010.PLAN_OREP.INV.GEN.G(v1.0)" xfId="383"/>
    <cellStyle name="_пр 5 тариф RAB_BALANCE.WARM.2011YEAR(v0.7)" xfId="384"/>
    <cellStyle name="_пр 5 тариф RAB_BALANCE.WARM.2011YEAR(v0.7)_FORM5.2012(v1.0)" xfId="385"/>
    <cellStyle name="_пр 5 тариф RAB_BALANCE.WARM.2011YEAR(v0.7)_OREP.INV.GEN.G(v1.0)" xfId="386"/>
    <cellStyle name="_пр 5 тариф RAB_BALANCE.WARM.2011YEAR.NEW.UPDATE.SCHEME" xfId="387"/>
    <cellStyle name="_пр 5 тариф RAB_CALC.NORMATIV.KU(v0.2)" xfId="388"/>
    <cellStyle name="_пр 5 тариф RAB_EE.2REK.P2011.4.78(v0.3)" xfId="389"/>
    <cellStyle name="_пр 5 тариф RAB_FORM3.1.2013(v0.2)" xfId="390"/>
    <cellStyle name="_пр 5 тариф RAB_FORM3.2013(v1.0)" xfId="391"/>
    <cellStyle name="_пр 5 тариф RAB_FORM3.REG(v1.0)" xfId="392"/>
    <cellStyle name="_пр 5 тариф RAB_FORM910.2012(v0.5)" xfId="393"/>
    <cellStyle name="_пр 5 тариф RAB_FORM910.2012(v0.5)_FORM5.2012(v1.0)" xfId="394"/>
    <cellStyle name="_пр 5 тариф RAB_FORM910.2012(v1.1)" xfId="395"/>
    <cellStyle name="_пр 5 тариф RAB_INVEST.EE.PLAN.4.78(v0.1)" xfId="396"/>
    <cellStyle name="_пр 5 тариф RAB_INVEST.EE.PLAN.4.78(v0.3)" xfId="397"/>
    <cellStyle name="_пр 5 тариф RAB_INVEST.EE.PLAN.4.78(v1.0)" xfId="398"/>
    <cellStyle name="_пр 5 тариф RAB_INVEST.EE.PLAN.4.78(v1.0)_FORM11.2013" xfId="399"/>
    <cellStyle name="_пр 5 тариф RAB_INVEST.EE.PLAN.4.78(v1.0)_PASSPORT.TEPLO.PROIZV(v2.0)" xfId="400"/>
    <cellStyle name="_пр 5 тариф RAB_INVEST.EE.PLAN.4.78(v1.0)_PASSPORT.TEPLO.PROIZV(v2.0)_MWT.POTERI.SETI.2012(v0.1)" xfId="401"/>
    <cellStyle name="_пр 5 тариф RAB_INVEST.EE.PLAN.4.78(v1.0)_PASSPORT.TEPLO.PROIZV(v2.0)_PASSPORT.TEPLO.SETI(v2.0f)" xfId="402"/>
    <cellStyle name="_пр 5 тариф RAB_INVEST.EE.PLAN.4.78(v1.0)_PASSPORT.TEPLO.PROIZV(v2.0)_Книга1" xfId="403"/>
    <cellStyle name="_пр 5 тариф RAB_INVEST.EE.PLAN.4.78(v1.0)_PASSPORT.TEPLO.SETI(v2.0f)" xfId="404"/>
    <cellStyle name="_пр 5 тариф RAB_INVEST.EE.PLAN.4.78(v1.0)_Книга1" xfId="405"/>
    <cellStyle name="_пр 5 тариф RAB_INVEST.PLAN.4.78(v0.1)" xfId="406"/>
    <cellStyle name="_пр 5 тариф RAB_INVEST.WARM.PLAN.4.78(v0.1)" xfId="407"/>
    <cellStyle name="_пр 5 тариф RAB_INVEST_WARM_PLAN" xfId="408"/>
    <cellStyle name="_пр 5 тариф RAB_NADB.JNVLP.APTEKA.2012(v1.0)_21_02_12" xfId="409"/>
    <cellStyle name="_пр 5 тариф RAB_NADB.JNVLS.APTEKA.2011(v1.3.3)" xfId="410"/>
    <cellStyle name="_пр 5 тариф RAB_NADB.JNVLS.APTEKA.2011(v1.3.3)_46TE.2011(v1.0)" xfId="411"/>
    <cellStyle name="_пр 5 тариф RAB_NADB.JNVLS.APTEKA.2011(v1.3.3)_INDEX.STATION.2012(v1.0)_" xfId="412"/>
    <cellStyle name="_пр 5 тариф RAB_NADB.JNVLS.APTEKA.2011(v1.3.3)_INDEX.STATION.2012(v2.0)" xfId="413"/>
    <cellStyle name="_пр 5 тариф RAB_NADB.JNVLS.APTEKA.2011(v1.3.3)_INDEX.STATION.2012(v2.1)" xfId="414"/>
    <cellStyle name="_пр 5 тариф RAB_NADB.JNVLS.APTEKA.2011(v1.3.3)_TEPLO.PREDEL.2012.M(v1.1)_test" xfId="415"/>
    <cellStyle name="_пр 5 тариф RAB_NADB.JNVLS.APTEKA.2011(v1.3.4)" xfId="416"/>
    <cellStyle name="_пр 5 тариф RAB_NADB.JNVLS.APTEKA.2011(v1.3.4)_46TE.2011(v1.0)" xfId="417"/>
    <cellStyle name="_пр 5 тариф RAB_NADB.JNVLS.APTEKA.2011(v1.3.4)_INDEX.STATION.2012(v1.0)_" xfId="418"/>
    <cellStyle name="_пр 5 тариф RAB_NADB.JNVLS.APTEKA.2011(v1.3.4)_INDEX.STATION.2012(v2.0)" xfId="419"/>
    <cellStyle name="_пр 5 тариф RAB_NADB.JNVLS.APTEKA.2011(v1.3.4)_INDEX.STATION.2012(v2.1)" xfId="420"/>
    <cellStyle name="_пр 5 тариф RAB_NADB.JNVLS.APTEKA.2011(v1.3.4)_TEPLO.PREDEL.2012.M(v1.1)_test" xfId="421"/>
    <cellStyle name="_пр 5 тариф RAB_PASSPORT.TEPLO.PROIZV(v2.1)" xfId="422"/>
    <cellStyle name="_пр 5 тариф RAB_PASSPORT.TEPLO.SETI(v1.0)" xfId="423"/>
    <cellStyle name="_пр 5 тариф RAB_PR.PROG.WARM.NOTCOMBI.2012.2.16_v1.4(04.04.11) " xfId="424"/>
    <cellStyle name="_пр 5 тариф RAB_PREDEL.JKH.UTV.2011(v1.0.1)" xfId="425"/>
    <cellStyle name="_пр 5 тариф RAB_PREDEL.JKH.UTV.2011(v1.0.1)_46TE.2011(v1.0)" xfId="426"/>
    <cellStyle name="_пр 5 тариф RAB_PREDEL.JKH.UTV.2011(v1.0.1)_INDEX.STATION.2012(v1.0)_" xfId="427"/>
    <cellStyle name="_пр 5 тариф RAB_PREDEL.JKH.UTV.2011(v1.0.1)_INDEX.STATION.2012(v2.0)" xfId="428"/>
    <cellStyle name="_пр 5 тариф RAB_PREDEL.JKH.UTV.2011(v1.0.1)_INDEX.STATION.2012(v2.1)" xfId="429"/>
    <cellStyle name="_пр 5 тариф RAB_PREDEL.JKH.UTV.2011(v1.0.1)_TEPLO.PREDEL.2012.M(v1.1)_test" xfId="430"/>
    <cellStyle name="_пр 5 тариф RAB_PREDEL.JKH.UTV.2011(v1.1)" xfId="431"/>
    <cellStyle name="_пр 5 тариф RAB_PREDEL.JKH.UTV.2011(v1.1)_FORM5.2012(v1.0)" xfId="432"/>
    <cellStyle name="_пр 5 тариф RAB_PREDEL.JKH.UTV.2011(v1.1)_OREP.INV.GEN.G(v1.0)" xfId="433"/>
    <cellStyle name="_пр 5 тариф RAB_REP.BLR.2012(v1.0)" xfId="434"/>
    <cellStyle name="_пр 5 тариф RAB_TEPLO.PREDEL.2012.M(v1.1)" xfId="435"/>
    <cellStyle name="_пр 5 тариф RAB_TEST.TEMPLATE" xfId="436"/>
    <cellStyle name="_пр 5 тариф RAB_UPDATE.46EE.2011.TO.1.1" xfId="437"/>
    <cellStyle name="_пр 5 тариф RAB_UPDATE.46TE.2011.TO.1.1" xfId="438"/>
    <cellStyle name="_пр 5 тариф RAB_UPDATE.46TE.2011.TO.1.2" xfId="439"/>
    <cellStyle name="_пр 5 тариф RAB_UPDATE.BALANCE.WARM.2011YEAR.TO.1.1" xfId="440"/>
    <cellStyle name="_пр 5 тариф RAB_UPDATE.BALANCE.WARM.2011YEAR.TO.1.1 2" xfId="441"/>
    <cellStyle name="_пр 5 тариф RAB_UPDATE.BALANCE.WARM.2011YEAR.TO.1.1_46TE.2011(v1.0)" xfId="442"/>
    <cellStyle name="_пр 5 тариф RAB_UPDATE.BALANCE.WARM.2011YEAR.TO.1.1_INDEX.STATION.2012(v1.0)_" xfId="443"/>
    <cellStyle name="_пр 5 тариф RAB_UPDATE.BALANCE.WARM.2011YEAR.TO.1.1_INDEX.STATION.2012(v2.0)" xfId="444"/>
    <cellStyle name="_пр 5 тариф RAB_UPDATE.BALANCE.WARM.2011YEAR.TO.1.1_INDEX.STATION.2012(v2.1)" xfId="445"/>
    <cellStyle name="_пр 5 тариф RAB_UPDATE.BALANCE.WARM.2011YEAR.TO.1.1_OREP.KU.2011.MONTHLY.02(v1.1)" xfId="446"/>
    <cellStyle name="_пр 5 тариф RAB_UPDATE.BALANCE.WARM.2011YEAR.TO.1.1_TEPLO.PREDEL.2012.M(v1.1)_test" xfId="447"/>
    <cellStyle name="_пр 5 тариф RAB_UPDATE.NADB.JNVLS.APTEKA.2011.TO.1.3.4" xfId="448"/>
    <cellStyle name="_пр 5 тариф RAB_Книга1" xfId="449"/>
    <cellStyle name="_пр 5 тариф RAB_Книга2_PR.PROG.WARM.NOTCOMBI.2012.2.16_v1.4(04.04.11) " xfId="450"/>
    <cellStyle name="_Предожение _ДБП_2009 г ( согласованные БП)  (2)" xfId="451"/>
    <cellStyle name="_Предожение _ДБП_2009 г ( согласованные БП)  (2)_Новая инструкция1_фст" xfId="452"/>
    <cellStyle name="_Прил 3-3.2 Статьи сметы затрат и расход из приб КЭН" xfId="453"/>
    <cellStyle name="_Приложение 2 0806 факт" xfId="454"/>
    <cellStyle name="_Приложение МТС-3-КС" xfId="455"/>
    <cellStyle name="_Приложение МТС-3-КС_Новая инструкция1_фст" xfId="456"/>
    <cellStyle name="_Приложение-МТС--2-1" xfId="457"/>
    <cellStyle name="_Приложение-МТС--2-1_Новая инструкция1_фст" xfId="458"/>
    <cellStyle name="_Расчет RAB_22072008" xfId="459"/>
    <cellStyle name="_Расчет RAB_22072008 2" xfId="460"/>
    <cellStyle name="_Расчет RAB_22072008 2_OREP.KU.2011.MONTHLY.02(v0.1)" xfId="461"/>
    <cellStyle name="_Расчет RAB_22072008 2_OREP.KU.2011.MONTHLY.02(v0.4)" xfId="462"/>
    <cellStyle name="_Расчет RAB_22072008 2_OREP.KU.2011.MONTHLY.11(v1.4)" xfId="463"/>
    <cellStyle name="_Расчет RAB_22072008 2_UPDATE.OREP.KU.2011.MONTHLY.02.TO.1.2" xfId="464"/>
    <cellStyle name="_Расчет RAB_22072008_46EE.2011(v1.0)" xfId="465"/>
    <cellStyle name="_Расчет RAB_22072008_46EE.2011(v1.0)_46TE.2011(v1.0)" xfId="466"/>
    <cellStyle name="_Расчет RAB_22072008_46EE.2011(v1.0)_INDEX.STATION.2012(v1.0)_" xfId="467"/>
    <cellStyle name="_Расчет RAB_22072008_46EE.2011(v1.0)_INDEX.STATION.2012(v2.0)" xfId="468"/>
    <cellStyle name="_Расчет RAB_22072008_46EE.2011(v1.0)_INDEX.STATION.2012(v2.1)" xfId="469"/>
    <cellStyle name="_Расчет RAB_22072008_46EE.2011(v1.0)_TEPLO.PREDEL.2012.M(v1.1)_test" xfId="470"/>
    <cellStyle name="_Расчет RAB_22072008_46EE.2011(v1.2)" xfId="471"/>
    <cellStyle name="_Расчет RAB_22072008_46EE.2011(v1.2)_FORM5.2012(v1.0)" xfId="472"/>
    <cellStyle name="_Расчет RAB_22072008_46EE.2011(v1.2)_OREP.INV.GEN.G(v1.0)" xfId="473"/>
    <cellStyle name="_Расчет RAB_22072008_46EP.2011(v2.0)" xfId="474"/>
    <cellStyle name="_Расчет RAB_22072008_46EP.2012(v0.1)" xfId="475"/>
    <cellStyle name="_Расчет RAB_22072008_46TE.2011(v1.0)" xfId="476"/>
    <cellStyle name="_Расчет RAB_22072008_4DNS.UPDATE.EXAMPLE" xfId="477"/>
    <cellStyle name="_Расчет RAB_22072008_ARMRAZR" xfId="478"/>
    <cellStyle name="_Расчет RAB_22072008_BALANCE.WARM.2010.FACT(v1.0)" xfId="479"/>
    <cellStyle name="_Расчет RAB_22072008_BALANCE.WARM.2010.PLAN" xfId="480"/>
    <cellStyle name="_Расчет RAB_22072008_BALANCE.WARM.2010.PLAN_FORM5.2012(v1.0)" xfId="481"/>
    <cellStyle name="_Расчет RAB_22072008_BALANCE.WARM.2010.PLAN_OREP.INV.GEN.G(v1.0)" xfId="482"/>
    <cellStyle name="_Расчет RAB_22072008_BALANCE.WARM.2011YEAR(v0.7)" xfId="483"/>
    <cellStyle name="_Расчет RAB_22072008_BALANCE.WARM.2011YEAR(v0.7)_FORM5.2012(v1.0)" xfId="484"/>
    <cellStyle name="_Расчет RAB_22072008_BALANCE.WARM.2011YEAR(v0.7)_OREP.INV.GEN.G(v1.0)" xfId="485"/>
    <cellStyle name="_Расчет RAB_22072008_BALANCE.WARM.2011YEAR.NEW.UPDATE.SCHEME" xfId="486"/>
    <cellStyle name="_Расчет RAB_22072008_CALC.NORMATIV.KU(v0.2)" xfId="487"/>
    <cellStyle name="_Расчет RAB_22072008_EE.2REK.P2011.4.78(v0.3)" xfId="488"/>
    <cellStyle name="_Расчет RAB_22072008_FORM3.1.2013(v0.2)" xfId="489"/>
    <cellStyle name="_Расчет RAB_22072008_FORM3.2013(v1.0)" xfId="490"/>
    <cellStyle name="_Расчет RAB_22072008_FORM3.REG(v1.0)" xfId="491"/>
    <cellStyle name="_Расчет RAB_22072008_FORM910.2012(v0.5)" xfId="492"/>
    <cellStyle name="_Расчет RAB_22072008_FORM910.2012(v0.5)_FORM5.2012(v1.0)" xfId="493"/>
    <cellStyle name="_Расчет RAB_22072008_FORM910.2012(v1.1)" xfId="494"/>
    <cellStyle name="_Расчет RAB_22072008_INVEST.EE.PLAN.4.78(v0.1)" xfId="495"/>
    <cellStyle name="_Расчет RAB_22072008_INVEST.EE.PLAN.4.78(v0.3)" xfId="496"/>
    <cellStyle name="_Расчет RAB_22072008_INVEST.EE.PLAN.4.78(v1.0)" xfId="497"/>
    <cellStyle name="_Расчет RAB_22072008_INVEST.EE.PLAN.4.78(v1.0)_FORM11.2013" xfId="498"/>
    <cellStyle name="_Расчет RAB_22072008_INVEST.EE.PLAN.4.78(v1.0)_PASSPORT.TEPLO.PROIZV(v2.0)" xfId="499"/>
    <cellStyle name="_Расчет RAB_22072008_INVEST.EE.PLAN.4.78(v1.0)_PASSPORT.TEPLO.PROIZV(v2.0)_MWT.POTERI.SETI.2012(v0.1)" xfId="500"/>
    <cellStyle name="_Расчет RAB_22072008_INVEST.EE.PLAN.4.78(v1.0)_PASSPORT.TEPLO.PROIZV(v2.0)_PASSPORT.TEPLO.SETI(v2.0f)" xfId="501"/>
    <cellStyle name="_Расчет RAB_22072008_INVEST.EE.PLAN.4.78(v1.0)_PASSPORT.TEPLO.PROIZV(v2.0)_Книга1" xfId="502"/>
    <cellStyle name="_Расчет RAB_22072008_INVEST.EE.PLAN.4.78(v1.0)_PASSPORT.TEPLO.SETI(v2.0f)" xfId="503"/>
    <cellStyle name="_Расчет RAB_22072008_INVEST.EE.PLAN.4.78(v1.0)_Книга1" xfId="504"/>
    <cellStyle name="_Расчет RAB_22072008_INVEST.PLAN.4.78(v0.1)" xfId="505"/>
    <cellStyle name="_Расчет RAB_22072008_INVEST.WARM.PLAN.4.78(v0.1)" xfId="506"/>
    <cellStyle name="_Расчет RAB_22072008_INVEST_WARM_PLAN" xfId="507"/>
    <cellStyle name="_Расчет RAB_22072008_NADB.JNVLP.APTEKA.2012(v1.0)_21_02_12" xfId="508"/>
    <cellStyle name="_Расчет RAB_22072008_NADB.JNVLS.APTEKA.2011(v1.3.3)" xfId="509"/>
    <cellStyle name="_Расчет RAB_22072008_NADB.JNVLS.APTEKA.2011(v1.3.3)_46TE.2011(v1.0)" xfId="510"/>
    <cellStyle name="_Расчет RAB_22072008_NADB.JNVLS.APTEKA.2011(v1.3.3)_INDEX.STATION.2012(v1.0)_" xfId="511"/>
    <cellStyle name="_Расчет RAB_22072008_NADB.JNVLS.APTEKA.2011(v1.3.3)_INDEX.STATION.2012(v2.0)" xfId="512"/>
    <cellStyle name="_Расчет RAB_22072008_NADB.JNVLS.APTEKA.2011(v1.3.3)_INDEX.STATION.2012(v2.1)" xfId="513"/>
    <cellStyle name="_Расчет RAB_22072008_NADB.JNVLS.APTEKA.2011(v1.3.3)_TEPLO.PREDEL.2012.M(v1.1)_test" xfId="514"/>
    <cellStyle name="_Расчет RAB_22072008_NADB.JNVLS.APTEKA.2011(v1.3.4)" xfId="515"/>
    <cellStyle name="_Расчет RAB_22072008_NADB.JNVLS.APTEKA.2011(v1.3.4)_46TE.2011(v1.0)" xfId="516"/>
    <cellStyle name="_Расчет RAB_22072008_NADB.JNVLS.APTEKA.2011(v1.3.4)_INDEX.STATION.2012(v1.0)_" xfId="517"/>
    <cellStyle name="_Расчет RAB_22072008_NADB.JNVLS.APTEKA.2011(v1.3.4)_INDEX.STATION.2012(v2.0)" xfId="518"/>
    <cellStyle name="_Расчет RAB_22072008_NADB.JNVLS.APTEKA.2011(v1.3.4)_INDEX.STATION.2012(v2.1)" xfId="519"/>
    <cellStyle name="_Расчет RAB_22072008_NADB.JNVLS.APTEKA.2011(v1.3.4)_TEPLO.PREDEL.2012.M(v1.1)_test" xfId="520"/>
    <cellStyle name="_Расчет RAB_22072008_PASSPORT.TEPLO.PROIZV(v2.1)" xfId="521"/>
    <cellStyle name="_Расчет RAB_22072008_PASSPORT.TEPLO.SETI(v1.0)" xfId="522"/>
    <cellStyle name="_Расчет RAB_22072008_PR.PROG.WARM.NOTCOMBI.2012.2.16_v1.4(04.04.11) " xfId="523"/>
    <cellStyle name="_Расчет RAB_22072008_PREDEL.JKH.UTV.2011(v1.0.1)" xfId="524"/>
    <cellStyle name="_Расчет RAB_22072008_PREDEL.JKH.UTV.2011(v1.0.1)_46TE.2011(v1.0)" xfId="525"/>
    <cellStyle name="_Расчет RAB_22072008_PREDEL.JKH.UTV.2011(v1.0.1)_INDEX.STATION.2012(v1.0)_" xfId="526"/>
    <cellStyle name="_Расчет RAB_22072008_PREDEL.JKH.UTV.2011(v1.0.1)_INDEX.STATION.2012(v2.0)" xfId="527"/>
    <cellStyle name="_Расчет RAB_22072008_PREDEL.JKH.UTV.2011(v1.0.1)_INDEX.STATION.2012(v2.1)" xfId="528"/>
    <cellStyle name="_Расчет RAB_22072008_PREDEL.JKH.UTV.2011(v1.0.1)_TEPLO.PREDEL.2012.M(v1.1)_test" xfId="529"/>
    <cellStyle name="_Расчет RAB_22072008_PREDEL.JKH.UTV.2011(v1.1)" xfId="530"/>
    <cellStyle name="_Расчет RAB_22072008_PREDEL.JKH.UTV.2011(v1.1)_FORM5.2012(v1.0)" xfId="531"/>
    <cellStyle name="_Расчет RAB_22072008_PREDEL.JKH.UTV.2011(v1.1)_OREP.INV.GEN.G(v1.0)" xfId="532"/>
    <cellStyle name="_Расчет RAB_22072008_REP.BLR.2012(v1.0)" xfId="533"/>
    <cellStyle name="_Расчет RAB_22072008_TEPLO.PREDEL.2012.M(v1.1)" xfId="534"/>
    <cellStyle name="_Расчет RAB_22072008_TEST.TEMPLATE" xfId="535"/>
    <cellStyle name="_Расчет RAB_22072008_UPDATE.46EE.2011.TO.1.1" xfId="536"/>
    <cellStyle name="_Расчет RAB_22072008_UPDATE.46TE.2011.TO.1.1" xfId="537"/>
    <cellStyle name="_Расчет RAB_22072008_UPDATE.46TE.2011.TO.1.2" xfId="538"/>
    <cellStyle name="_Расчет RAB_22072008_UPDATE.BALANCE.WARM.2011YEAR.TO.1.1" xfId="539"/>
    <cellStyle name="_Расчет RAB_22072008_UPDATE.BALANCE.WARM.2011YEAR.TO.1.1 2" xfId="540"/>
    <cellStyle name="_Расчет RAB_22072008_UPDATE.BALANCE.WARM.2011YEAR.TO.1.1_46TE.2011(v1.0)" xfId="541"/>
    <cellStyle name="_Расчет RAB_22072008_UPDATE.BALANCE.WARM.2011YEAR.TO.1.1_INDEX.STATION.2012(v1.0)_" xfId="542"/>
    <cellStyle name="_Расчет RAB_22072008_UPDATE.BALANCE.WARM.2011YEAR.TO.1.1_INDEX.STATION.2012(v2.0)" xfId="543"/>
    <cellStyle name="_Расчет RAB_22072008_UPDATE.BALANCE.WARM.2011YEAR.TO.1.1_INDEX.STATION.2012(v2.1)" xfId="544"/>
    <cellStyle name="_Расчет RAB_22072008_UPDATE.BALANCE.WARM.2011YEAR.TO.1.1_OREP.KU.2011.MONTHLY.02(v1.1)" xfId="545"/>
    <cellStyle name="_Расчет RAB_22072008_UPDATE.BALANCE.WARM.2011YEAR.TO.1.1_TEPLO.PREDEL.2012.M(v1.1)_test" xfId="546"/>
    <cellStyle name="_Расчет RAB_22072008_UPDATE.NADB.JNVLS.APTEKA.2011.TO.1.3.4" xfId="547"/>
    <cellStyle name="_Расчет RAB_22072008_Книга1" xfId="548"/>
    <cellStyle name="_Расчет RAB_22072008_Книга2_PR.PROG.WARM.NOTCOMBI.2012.2.16_v1.4(04.04.11) " xfId="549"/>
    <cellStyle name="_Расчет RAB_Лен и МОЭСК_с 2010 года_14.04.2009_со сглаж_version 3.0_без ФСК" xfId="550"/>
    <cellStyle name="_Расчет RAB_Лен и МОЭСК_с 2010 года_14.04.2009_со сглаж_version 3.0_без ФСК 2" xfId="551"/>
    <cellStyle name="_Расчет RAB_Лен и МОЭСК_с 2010 года_14.04.2009_со сглаж_version 3.0_без ФСК 2_OREP.KU.2011.MONTHLY.02(v0.1)" xfId="552"/>
    <cellStyle name="_Расчет RAB_Лен и МОЭСК_с 2010 года_14.04.2009_со сглаж_version 3.0_без ФСК 2_OREP.KU.2011.MONTHLY.02(v0.4)" xfId="553"/>
    <cellStyle name="_Расчет RAB_Лен и МОЭСК_с 2010 года_14.04.2009_со сглаж_version 3.0_без ФСК 2_OREP.KU.2011.MONTHLY.11(v1.4)" xfId="554"/>
    <cellStyle name="_Расчет RAB_Лен и МОЭСК_с 2010 года_14.04.2009_со сглаж_version 3.0_без ФСК 2_UPDATE.OREP.KU.2011.MONTHLY.02.TO.1.2" xfId="555"/>
    <cellStyle name="_Расчет RAB_Лен и МОЭСК_с 2010 года_14.04.2009_со сглаж_version 3.0_без ФСК_46EE.2011(v1.0)" xfId="556"/>
    <cellStyle name="_Расчет RAB_Лен и МОЭСК_с 2010 года_14.04.2009_со сглаж_version 3.0_без ФСК_46EE.2011(v1.0)_46TE.2011(v1.0)" xfId="557"/>
    <cellStyle name="_Расчет RAB_Лен и МОЭСК_с 2010 года_14.04.2009_со сглаж_version 3.0_без ФСК_46EE.2011(v1.0)_INDEX.STATION.2012(v1.0)_" xfId="558"/>
    <cellStyle name="_Расчет RAB_Лен и МОЭСК_с 2010 года_14.04.2009_со сглаж_version 3.0_без ФСК_46EE.2011(v1.0)_INDEX.STATION.2012(v2.0)" xfId="559"/>
    <cellStyle name="_Расчет RAB_Лен и МОЭСК_с 2010 года_14.04.2009_со сглаж_version 3.0_без ФСК_46EE.2011(v1.0)_INDEX.STATION.2012(v2.1)" xfId="560"/>
    <cellStyle name="_Расчет RAB_Лен и МОЭСК_с 2010 года_14.04.2009_со сглаж_version 3.0_без ФСК_46EE.2011(v1.0)_TEPLO.PREDEL.2012.M(v1.1)_test" xfId="561"/>
    <cellStyle name="_Расчет RAB_Лен и МОЭСК_с 2010 года_14.04.2009_со сглаж_version 3.0_без ФСК_46EE.2011(v1.2)" xfId="562"/>
    <cellStyle name="_Расчет RAB_Лен и МОЭСК_с 2010 года_14.04.2009_со сглаж_version 3.0_без ФСК_46EE.2011(v1.2)_FORM5.2012(v1.0)" xfId="563"/>
    <cellStyle name="_Расчет RAB_Лен и МОЭСК_с 2010 года_14.04.2009_со сглаж_version 3.0_без ФСК_46EE.2011(v1.2)_OREP.INV.GEN.G(v1.0)" xfId="564"/>
    <cellStyle name="_Расчет RAB_Лен и МОЭСК_с 2010 года_14.04.2009_со сглаж_version 3.0_без ФСК_46EP.2011(v2.0)" xfId="565"/>
    <cellStyle name="_Расчет RAB_Лен и МОЭСК_с 2010 года_14.04.2009_со сглаж_version 3.0_без ФСК_46EP.2012(v0.1)" xfId="566"/>
    <cellStyle name="_Расчет RAB_Лен и МОЭСК_с 2010 года_14.04.2009_со сглаж_version 3.0_без ФСК_46TE.2011(v1.0)" xfId="567"/>
    <cellStyle name="_Расчет RAB_Лен и МОЭСК_с 2010 года_14.04.2009_со сглаж_version 3.0_без ФСК_4DNS.UPDATE.EXAMPLE" xfId="568"/>
    <cellStyle name="_Расчет RAB_Лен и МОЭСК_с 2010 года_14.04.2009_со сглаж_version 3.0_без ФСК_ARMRAZR" xfId="569"/>
    <cellStyle name="_Расчет RAB_Лен и МОЭСК_с 2010 года_14.04.2009_со сглаж_version 3.0_без ФСК_BALANCE.WARM.2010.FACT(v1.0)" xfId="570"/>
    <cellStyle name="_Расчет RAB_Лен и МОЭСК_с 2010 года_14.04.2009_со сглаж_version 3.0_без ФСК_BALANCE.WARM.2010.PLAN" xfId="571"/>
    <cellStyle name="_Расчет RAB_Лен и МОЭСК_с 2010 года_14.04.2009_со сглаж_version 3.0_без ФСК_BALANCE.WARM.2010.PLAN_FORM5.2012(v1.0)" xfId="572"/>
    <cellStyle name="_Расчет RAB_Лен и МОЭСК_с 2010 года_14.04.2009_со сглаж_version 3.0_без ФСК_BALANCE.WARM.2010.PLAN_OREP.INV.GEN.G(v1.0)" xfId="573"/>
    <cellStyle name="_Расчет RAB_Лен и МОЭСК_с 2010 года_14.04.2009_со сглаж_version 3.0_без ФСК_BALANCE.WARM.2011YEAR(v0.7)" xfId="574"/>
    <cellStyle name="_Расчет RAB_Лен и МОЭСК_с 2010 года_14.04.2009_со сглаж_version 3.0_без ФСК_BALANCE.WARM.2011YEAR(v0.7)_FORM5.2012(v1.0)" xfId="575"/>
    <cellStyle name="_Расчет RAB_Лен и МОЭСК_с 2010 года_14.04.2009_со сглаж_version 3.0_без ФСК_BALANCE.WARM.2011YEAR(v0.7)_OREP.INV.GEN.G(v1.0)" xfId="576"/>
    <cellStyle name="_Расчет RAB_Лен и МОЭСК_с 2010 года_14.04.2009_со сглаж_version 3.0_без ФСК_BALANCE.WARM.2011YEAR.NEW.UPDATE.SCHEME" xfId="577"/>
    <cellStyle name="_Расчет RAB_Лен и МОЭСК_с 2010 года_14.04.2009_со сглаж_version 3.0_без ФСК_CALC.NORMATIV.KU(v0.2)" xfId="578"/>
    <cellStyle name="_Расчет RAB_Лен и МОЭСК_с 2010 года_14.04.2009_со сглаж_version 3.0_без ФСК_EE.2REK.P2011.4.78(v0.3)" xfId="579"/>
    <cellStyle name="_Расчет RAB_Лен и МОЭСК_с 2010 года_14.04.2009_со сглаж_version 3.0_без ФСК_FORM3.1.2013(v0.2)" xfId="580"/>
    <cellStyle name="_Расчет RAB_Лен и МОЭСК_с 2010 года_14.04.2009_со сглаж_version 3.0_без ФСК_FORM3.2013(v1.0)" xfId="581"/>
    <cellStyle name="_Расчет RAB_Лен и МОЭСК_с 2010 года_14.04.2009_со сглаж_version 3.0_без ФСК_FORM3.REG(v1.0)" xfId="582"/>
    <cellStyle name="_Расчет RAB_Лен и МОЭСК_с 2010 года_14.04.2009_со сглаж_version 3.0_без ФСК_FORM910.2012(v0.5)" xfId="583"/>
    <cellStyle name="_Расчет RAB_Лен и МОЭСК_с 2010 года_14.04.2009_со сглаж_version 3.0_без ФСК_FORM910.2012(v0.5)_FORM5.2012(v1.0)" xfId="584"/>
    <cellStyle name="_Расчет RAB_Лен и МОЭСК_с 2010 года_14.04.2009_со сглаж_version 3.0_без ФСК_FORM910.2012(v1.1)" xfId="585"/>
    <cellStyle name="_Расчет RAB_Лен и МОЭСК_с 2010 года_14.04.2009_со сглаж_version 3.0_без ФСК_INVEST.EE.PLAN.4.78(v0.1)" xfId="586"/>
    <cellStyle name="_Расчет RAB_Лен и МОЭСК_с 2010 года_14.04.2009_со сглаж_version 3.0_без ФСК_INVEST.EE.PLAN.4.78(v0.3)" xfId="587"/>
    <cellStyle name="_Расчет RAB_Лен и МОЭСК_с 2010 года_14.04.2009_со сглаж_version 3.0_без ФСК_INVEST.EE.PLAN.4.78(v1.0)" xfId="588"/>
    <cellStyle name="_Расчет RAB_Лен и МОЭСК_с 2010 года_14.04.2009_со сглаж_version 3.0_без ФСК_INVEST.EE.PLAN.4.78(v1.0)_FORM11.2013" xfId="589"/>
    <cellStyle name="_Расчет RAB_Лен и МОЭСК_с 2010 года_14.04.2009_со сглаж_version 3.0_без ФСК_INVEST.EE.PLAN.4.78(v1.0)_PASSPORT.TEPLO.PROIZV(v2.0)" xfId="590"/>
    <cellStyle name="_Расчет RAB_Лен и МОЭСК_с 2010 года_14.04.2009_со сглаж_version 3.0_без ФСК_INVEST.EE.PLAN.4.78(v1.0)_PASSPORT.TEPLO.PROIZV(v2.0)_MWT.POTERI.SETI.2012(v0.1)" xfId="591"/>
    <cellStyle name="_Расчет RAB_Лен и МОЭСК_с 2010 года_14.04.2009_со сглаж_version 3.0_без ФСК_INVEST.EE.PLAN.4.78(v1.0)_PASSPORT.TEPLO.PROIZV(v2.0)_PASSPORT.TEPLO.SETI(v2.0f)" xfId="592"/>
    <cellStyle name="_Расчет RAB_Лен и МОЭСК_с 2010 года_14.04.2009_со сглаж_version 3.0_без ФСК_INVEST.EE.PLAN.4.78(v1.0)_PASSPORT.TEPLO.PROIZV(v2.0)_Книга1" xfId="593"/>
    <cellStyle name="_Расчет RAB_Лен и МОЭСК_с 2010 года_14.04.2009_со сглаж_version 3.0_без ФСК_INVEST.EE.PLAN.4.78(v1.0)_PASSPORT.TEPLO.SETI(v2.0f)" xfId="594"/>
    <cellStyle name="_Расчет RAB_Лен и МОЭСК_с 2010 года_14.04.2009_со сглаж_version 3.0_без ФСК_INVEST.EE.PLAN.4.78(v1.0)_Книга1" xfId="595"/>
    <cellStyle name="_Расчет RAB_Лен и МОЭСК_с 2010 года_14.04.2009_со сглаж_version 3.0_без ФСК_INVEST.PLAN.4.78(v0.1)" xfId="596"/>
    <cellStyle name="_Расчет RAB_Лен и МОЭСК_с 2010 года_14.04.2009_со сглаж_version 3.0_без ФСК_INVEST.WARM.PLAN.4.78(v0.1)" xfId="597"/>
    <cellStyle name="_Расчет RAB_Лен и МОЭСК_с 2010 года_14.04.2009_со сглаж_version 3.0_без ФСК_INVEST_WARM_PLAN" xfId="598"/>
    <cellStyle name="_Расчет RAB_Лен и МОЭСК_с 2010 года_14.04.2009_со сглаж_version 3.0_без ФСК_NADB.JNVLP.APTEKA.2012(v1.0)_21_02_12" xfId="599"/>
    <cellStyle name="_Расчет RAB_Лен и МОЭСК_с 2010 года_14.04.2009_со сглаж_version 3.0_без ФСК_NADB.JNVLS.APTEKA.2011(v1.3.3)" xfId="600"/>
    <cellStyle name="_Расчет RAB_Лен и МОЭСК_с 2010 года_14.04.2009_со сглаж_version 3.0_без ФСК_NADB.JNVLS.APTEKA.2011(v1.3.3)_46TE.2011(v1.0)" xfId="601"/>
    <cellStyle name="_Расчет RAB_Лен и МОЭСК_с 2010 года_14.04.2009_со сглаж_version 3.0_без ФСК_NADB.JNVLS.APTEKA.2011(v1.3.3)_INDEX.STATION.2012(v1.0)_" xfId="602"/>
    <cellStyle name="_Расчет RAB_Лен и МОЭСК_с 2010 года_14.04.2009_со сглаж_version 3.0_без ФСК_NADB.JNVLS.APTEKA.2011(v1.3.3)_INDEX.STATION.2012(v2.0)" xfId="603"/>
    <cellStyle name="_Расчет RAB_Лен и МОЭСК_с 2010 года_14.04.2009_со сглаж_version 3.0_без ФСК_NADB.JNVLS.APTEKA.2011(v1.3.3)_INDEX.STATION.2012(v2.1)" xfId="604"/>
    <cellStyle name="_Расчет RAB_Лен и МОЭСК_с 2010 года_14.04.2009_со сглаж_version 3.0_без ФСК_NADB.JNVLS.APTEKA.2011(v1.3.3)_TEPLO.PREDEL.2012.M(v1.1)_test" xfId="605"/>
    <cellStyle name="_Расчет RAB_Лен и МОЭСК_с 2010 года_14.04.2009_со сглаж_version 3.0_без ФСК_NADB.JNVLS.APTEKA.2011(v1.3.4)" xfId="606"/>
    <cellStyle name="_Расчет RAB_Лен и МОЭСК_с 2010 года_14.04.2009_со сглаж_version 3.0_без ФСК_NADB.JNVLS.APTEKA.2011(v1.3.4)_46TE.2011(v1.0)" xfId="607"/>
    <cellStyle name="_Расчет RAB_Лен и МОЭСК_с 2010 года_14.04.2009_со сглаж_version 3.0_без ФСК_NADB.JNVLS.APTEKA.2011(v1.3.4)_INDEX.STATION.2012(v1.0)_" xfId="608"/>
    <cellStyle name="_Расчет RAB_Лен и МОЭСК_с 2010 года_14.04.2009_со сглаж_version 3.0_без ФСК_NADB.JNVLS.APTEKA.2011(v1.3.4)_INDEX.STATION.2012(v2.0)" xfId="609"/>
    <cellStyle name="_Расчет RAB_Лен и МОЭСК_с 2010 года_14.04.2009_со сглаж_version 3.0_без ФСК_NADB.JNVLS.APTEKA.2011(v1.3.4)_INDEX.STATION.2012(v2.1)" xfId="610"/>
    <cellStyle name="_Расчет RAB_Лен и МОЭСК_с 2010 года_14.04.2009_со сглаж_version 3.0_без ФСК_NADB.JNVLS.APTEKA.2011(v1.3.4)_TEPLO.PREDEL.2012.M(v1.1)_test" xfId="611"/>
    <cellStyle name="_Расчет RAB_Лен и МОЭСК_с 2010 года_14.04.2009_со сглаж_version 3.0_без ФСК_PASSPORT.TEPLO.PROIZV(v2.1)" xfId="612"/>
    <cellStyle name="_Расчет RAB_Лен и МОЭСК_с 2010 года_14.04.2009_со сглаж_version 3.0_без ФСК_PASSPORT.TEPLO.SETI(v1.0)" xfId="613"/>
    <cellStyle name="_Расчет RAB_Лен и МОЭСК_с 2010 года_14.04.2009_со сглаж_version 3.0_без ФСК_PR.PROG.WARM.NOTCOMBI.2012.2.16_v1.4(04.04.11) " xfId="614"/>
    <cellStyle name="_Расчет RAB_Лен и МОЭСК_с 2010 года_14.04.2009_со сглаж_version 3.0_без ФСК_PREDEL.JKH.UTV.2011(v1.0.1)" xfId="615"/>
    <cellStyle name="_Расчет RAB_Лен и МОЭСК_с 2010 года_14.04.2009_со сглаж_version 3.0_без ФСК_PREDEL.JKH.UTV.2011(v1.0.1)_46TE.2011(v1.0)" xfId="616"/>
    <cellStyle name="_Расчет RAB_Лен и МОЭСК_с 2010 года_14.04.2009_со сглаж_version 3.0_без ФСК_PREDEL.JKH.UTV.2011(v1.0.1)_INDEX.STATION.2012(v1.0)_" xfId="617"/>
    <cellStyle name="_Расчет RAB_Лен и МОЭСК_с 2010 года_14.04.2009_со сглаж_version 3.0_без ФСК_PREDEL.JKH.UTV.2011(v1.0.1)_INDEX.STATION.2012(v2.0)" xfId="618"/>
    <cellStyle name="_Расчет RAB_Лен и МОЭСК_с 2010 года_14.04.2009_со сглаж_version 3.0_без ФСК_PREDEL.JKH.UTV.2011(v1.0.1)_INDEX.STATION.2012(v2.1)" xfId="619"/>
    <cellStyle name="_Расчет RAB_Лен и МОЭСК_с 2010 года_14.04.2009_со сглаж_version 3.0_без ФСК_PREDEL.JKH.UTV.2011(v1.0.1)_TEPLO.PREDEL.2012.M(v1.1)_test" xfId="620"/>
    <cellStyle name="_Расчет RAB_Лен и МОЭСК_с 2010 года_14.04.2009_со сглаж_version 3.0_без ФСК_PREDEL.JKH.UTV.2011(v1.1)" xfId="621"/>
    <cellStyle name="_Расчет RAB_Лен и МОЭСК_с 2010 года_14.04.2009_со сглаж_version 3.0_без ФСК_PREDEL.JKH.UTV.2011(v1.1)_FORM5.2012(v1.0)" xfId="622"/>
    <cellStyle name="_Расчет RAB_Лен и МОЭСК_с 2010 года_14.04.2009_со сглаж_version 3.0_без ФСК_PREDEL.JKH.UTV.2011(v1.1)_OREP.INV.GEN.G(v1.0)" xfId="623"/>
    <cellStyle name="_Расчет RAB_Лен и МОЭСК_с 2010 года_14.04.2009_со сглаж_version 3.0_без ФСК_REP.BLR.2012(v1.0)" xfId="624"/>
    <cellStyle name="_Расчет RAB_Лен и МОЭСК_с 2010 года_14.04.2009_со сглаж_version 3.0_без ФСК_TEPLO.PREDEL.2012.M(v1.1)" xfId="625"/>
    <cellStyle name="_Расчет RAB_Лен и МОЭСК_с 2010 года_14.04.2009_со сглаж_version 3.0_без ФСК_TEST.TEMPLATE" xfId="626"/>
    <cellStyle name="_Расчет RAB_Лен и МОЭСК_с 2010 года_14.04.2009_со сглаж_version 3.0_без ФСК_UPDATE.46EE.2011.TO.1.1" xfId="627"/>
    <cellStyle name="_Расчет RAB_Лен и МОЭСК_с 2010 года_14.04.2009_со сглаж_version 3.0_без ФСК_UPDATE.46TE.2011.TO.1.1" xfId="628"/>
    <cellStyle name="_Расчет RAB_Лен и МОЭСК_с 2010 года_14.04.2009_со сглаж_version 3.0_без ФСК_UPDATE.46TE.2011.TO.1.2" xfId="629"/>
    <cellStyle name="_Расчет RAB_Лен и МОЭСК_с 2010 года_14.04.2009_со сглаж_version 3.0_без ФСК_UPDATE.BALANCE.WARM.2011YEAR.TO.1.1" xfId="630"/>
    <cellStyle name="_Расчет RAB_Лен и МОЭСК_с 2010 года_14.04.2009_со сглаж_version 3.0_без ФСК_UPDATE.BALANCE.WARM.2011YEAR.TO.1.1 2" xfId="631"/>
    <cellStyle name="_Расчет RAB_Лен и МОЭСК_с 2010 года_14.04.2009_со сглаж_version 3.0_без ФСК_UPDATE.BALANCE.WARM.2011YEAR.TO.1.1_46TE.2011(v1.0)" xfId="632"/>
    <cellStyle name="_Расчет RAB_Лен и МОЭСК_с 2010 года_14.04.2009_со сглаж_version 3.0_без ФСК_UPDATE.BALANCE.WARM.2011YEAR.TO.1.1_INDEX.STATION.2012(v1.0)_" xfId="633"/>
    <cellStyle name="_Расчет RAB_Лен и МОЭСК_с 2010 года_14.04.2009_со сглаж_version 3.0_без ФСК_UPDATE.BALANCE.WARM.2011YEAR.TO.1.1_INDEX.STATION.2012(v2.0)" xfId="634"/>
    <cellStyle name="_Расчет RAB_Лен и МОЭСК_с 2010 года_14.04.2009_со сглаж_version 3.0_без ФСК_UPDATE.BALANCE.WARM.2011YEAR.TO.1.1_INDEX.STATION.2012(v2.1)" xfId="635"/>
    <cellStyle name="_Расчет RAB_Лен и МОЭСК_с 2010 года_14.04.2009_со сглаж_version 3.0_без ФСК_UPDATE.BALANCE.WARM.2011YEAR.TO.1.1_OREP.KU.2011.MONTHLY.02(v1.1)" xfId="636"/>
    <cellStyle name="_Расчет RAB_Лен и МОЭСК_с 2010 года_14.04.2009_со сглаж_version 3.0_без ФСК_UPDATE.BALANCE.WARM.2011YEAR.TO.1.1_TEPLO.PREDEL.2012.M(v1.1)_test" xfId="637"/>
    <cellStyle name="_Расчет RAB_Лен и МОЭСК_с 2010 года_14.04.2009_со сглаж_version 3.0_без ФСК_UPDATE.NADB.JNVLS.APTEKA.2011.TO.1.3.4" xfId="638"/>
    <cellStyle name="_Расчет RAB_Лен и МОЭСК_с 2010 года_14.04.2009_со сглаж_version 3.0_без ФСК_Книга1" xfId="639"/>
    <cellStyle name="_Расчет RAB_Лен и МОЭСК_с 2010 года_14.04.2009_со сглаж_version 3.0_без ФСК_Книга2_PR.PROG.WARM.NOTCOMBI.2012.2.16_v1.4(04.04.11) " xfId="640"/>
    <cellStyle name="_Расчет_конечные тарифы_2010г " xfId="641"/>
    <cellStyle name="_расшифровки" xfId="642"/>
    <cellStyle name="_реестр" xfId="643"/>
    <cellStyle name="_Ростов НВВ на 2010-2014" xfId="644"/>
    <cellStyle name="_Сб-macro 2020" xfId="645"/>
    <cellStyle name="_Свод по ИПР (2)" xfId="646"/>
    <cellStyle name="_Свод по ИПР (2)_Новая инструкция1_фст" xfId="647"/>
    <cellStyle name="_Согласования_0810_final" xfId="648"/>
    <cellStyle name="_Справочник затрат_ЛХ_20.10.05" xfId="649"/>
    <cellStyle name="_таблицы для расчетов28-04-08_2006-2009_прибыль корр_по ИА" xfId="650"/>
    <cellStyle name="_таблицы для расчетов28-04-08_2006-2009_прибыль корр_по ИА_Новая инструкция1_фст" xfId="651"/>
    <cellStyle name="_таблицы для расчетов28-04-08_2006-2009с ИА" xfId="652"/>
    <cellStyle name="_таблицы для расчетов28-04-08_2006-2009с ИА_Новая инструкция1_фст" xfId="653"/>
    <cellStyle name="_ф.11 заказчики 2008 new" xfId="654"/>
    <cellStyle name="_ф.12 подрядчики 2008 new" xfId="655"/>
    <cellStyle name="_Форма 6  РТК.xls(отчет по Адр пр. ЛО)" xfId="656"/>
    <cellStyle name="_Форма 6  РТК.xls(отчет по Адр пр. ЛО)_Новая инструкция1_фст" xfId="657"/>
    <cellStyle name="_форма П1.30 для УРТ" xfId="658"/>
    <cellStyle name="_Формат разбивки по МРСК_РСК" xfId="659"/>
    <cellStyle name="_Формат разбивки по МРСК_РСК_Новая инструкция1_фст" xfId="660"/>
    <cellStyle name="_Формат_для Согласования" xfId="661"/>
    <cellStyle name="_Формат_для Согласования_Новая инструкция1_фст" xfId="662"/>
    <cellStyle name="_Формат_Сводный для согласования" xfId="663"/>
    <cellStyle name="_ХХХ Прил 2 Формы бюджетных документов 2007" xfId="664"/>
    <cellStyle name="_экон.форм-т ВО 1 с разбивкой" xfId="665"/>
    <cellStyle name="_экон.форм-т ВО 1 с разбивкой_Новая инструкция1_фст" xfId="666"/>
    <cellStyle name="’К‰Э [0.00]" xfId="667"/>
    <cellStyle name="”€ќђќ‘ћ‚›‰" xfId="668"/>
    <cellStyle name="”€љ‘€ђћ‚ђќќ›‰" xfId="669"/>
    <cellStyle name="”ќђќ‘ћ‚›‰" xfId="670"/>
    <cellStyle name="”ќђќ‘ћ‚›‰ 2" xfId="671"/>
    <cellStyle name="”ќђќ‘ћ‚›‰ 3" xfId="4670"/>
    <cellStyle name="”љ‘ђћ‚ђќќ›‰" xfId="672"/>
    <cellStyle name="”љ‘ђћ‚ђќќ›‰ 2" xfId="673"/>
    <cellStyle name="”љ‘ђћ‚ђќќ›‰ 3" xfId="4671"/>
    <cellStyle name="„…ќ…†ќ›‰" xfId="674"/>
    <cellStyle name="„…ќ…†ќ›‰ 2" xfId="675"/>
    <cellStyle name="„…ќ…†ќ›‰ 3" xfId="4672"/>
    <cellStyle name="€’ћѓћ‚›‰" xfId="676"/>
    <cellStyle name="‡ђѓћ‹ћ‚ћљ1" xfId="677"/>
    <cellStyle name="‡ђѓћ‹ћ‚ћљ1 2" xfId="678"/>
    <cellStyle name="‡ђѓћ‹ћ‚ћљ1 3" xfId="4673"/>
    <cellStyle name="‡ђѓћ‹ћ‚ћљ2" xfId="679"/>
    <cellStyle name="‡ђѓћ‹ћ‚ћљ2 2" xfId="680"/>
    <cellStyle name="‡ђѓћ‹ћ‚ћљ2 3" xfId="4674"/>
    <cellStyle name="’ћѓћ‚›‰" xfId="681"/>
    <cellStyle name="’ћѓћ‚›‰ 2" xfId="682"/>
    <cellStyle name="’ћѓћ‚›‰ 3" xfId="4675"/>
    <cellStyle name="1Normal" xfId="683"/>
    <cellStyle name="20% - Accent1" xfId="684"/>
    <cellStyle name="20% - Accent1 2" xfId="685"/>
    <cellStyle name="20% - Accent1 3" xfId="686"/>
    <cellStyle name="20% - Accent1_46EE.2011(v1.0)" xfId="687"/>
    <cellStyle name="20% - Accent2" xfId="688"/>
    <cellStyle name="20% - Accent2 2" xfId="689"/>
    <cellStyle name="20% - Accent2 3" xfId="690"/>
    <cellStyle name="20% - Accent2_46EE.2011(v1.0)" xfId="691"/>
    <cellStyle name="20% - Accent3" xfId="692"/>
    <cellStyle name="20% - Accent3 2" xfId="693"/>
    <cellStyle name="20% - Accent3 3" xfId="694"/>
    <cellStyle name="20% - Accent3_46EE.2011(v1.0)" xfId="695"/>
    <cellStyle name="20% - Accent4" xfId="696"/>
    <cellStyle name="20% - Accent4 2" xfId="697"/>
    <cellStyle name="20% - Accent4 3" xfId="698"/>
    <cellStyle name="20% - Accent4_46EE.2011(v1.0)" xfId="699"/>
    <cellStyle name="20% - Accent5" xfId="700"/>
    <cellStyle name="20% - Accent5 2" xfId="701"/>
    <cellStyle name="20% - Accent5 3" xfId="702"/>
    <cellStyle name="20% - Accent5_46EE.2011(v1.0)" xfId="703"/>
    <cellStyle name="20% - Accent6" xfId="704"/>
    <cellStyle name="20% - Accent6 2" xfId="705"/>
    <cellStyle name="20% - Accent6 3" xfId="706"/>
    <cellStyle name="20% - Accent6_46EE.2011(v1.0)" xfId="707"/>
    <cellStyle name="20% - Акцент1 10" xfId="708"/>
    <cellStyle name="20% - Акцент1 11" xfId="709"/>
    <cellStyle name="20% - Акцент1 2" xfId="710"/>
    <cellStyle name="20% - Акцент1 2 2" xfId="711"/>
    <cellStyle name="20% - Акцент1 2 3" xfId="712"/>
    <cellStyle name="20% - Акцент1 2_46EE.2011(v1.0)" xfId="713"/>
    <cellStyle name="20% - Акцент1 3" xfId="714"/>
    <cellStyle name="20% - Акцент1 3 2" xfId="715"/>
    <cellStyle name="20% - Акцент1 3 3" xfId="716"/>
    <cellStyle name="20% - Акцент1 3_46EE.2011(v1.0)" xfId="717"/>
    <cellStyle name="20% - Акцент1 4" xfId="718"/>
    <cellStyle name="20% - Акцент1 4 2" xfId="719"/>
    <cellStyle name="20% - Акцент1 4 3" xfId="720"/>
    <cellStyle name="20% - Акцент1 4 4" xfId="721"/>
    <cellStyle name="20% - Акцент1 4_46EE.2011(v1.0)" xfId="722"/>
    <cellStyle name="20% - Акцент1 5" xfId="723"/>
    <cellStyle name="20% - Акцент1 5 2" xfId="724"/>
    <cellStyle name="20% - Акцент1 5 3" xfId="725"/>
    <cellStyle name="20% - Акцент1 5_46EE.2011(v1.0)" xfId="726"/>
    <cellStyle name="20% - Акцент1 6" xfId="727"/>
    <cellStyle name="20% - Акцент1 6 2" xfId="728"/>
    <cellStyle name="20% - Акцент1 6 3" xfId="729"/>
    <cellStyle name="20% - Акцент1 6_46EE.2011(v1.0)" xfId="730"/>
    <cellStyle name="20% - Акцент1 7" xfId="731"/>
    <cellStyle name="20% - Акцент1 7 2" xfId="732"/>
    <cellStyle name="20% - Акцент1 7 3" xfId="733"/>
    <cellStyle name="20% - Акцент1 7_46EE.2011(v1.0)" xfId="734"/>
    <cellStyle name="20% - Акцент1 8" xfId="735"/>
    <cellStyle name="20% - Акцент1 8 2" xfId="736"/>
    <cellStyle name="20% - Акцент1 8 3" xfId="737"/>
    <cellStyle name="20% - Акцент1 8_46EE.2011(v1.0)" xfId="738"/>
    <cellStyle name="20% - Акцент1 9" xfId="739"/>
    <cellStyle name="20% - Акцент1 9 2" xfId="740"/>
    <cellStyle name="20% - Акцент1 9 3" xfId="741"/>
    <cellStyle name="20% - Акцент1 9_46EE.2011(v1.0)" xfId="742"/>
    <cellStyle name="20% - Акцент2 10" xfId="743"/>
    <cellStyle name="20% - Акцент2 11" xfId="744"/>
    <cellStyle name="20% - Акцент2 2" xfId="745"/>
    <cellStyle name="20% - Акцент2 2 2" xfId="746"/>
    <cellStyle name="20% - Акцент2 2 3" xfId="747"/>
    <cellStyle name="20% - Акцент2 2_46EE.2011(v1.0)" xfId="748"/>
    <cellStyle name="20% - Акцент2 3" xfId="749"/>
    <cellStyle name="20% - Акцент2 3 2" xfId="750"/>
    <cellStyle name="20% - Акцент2 3 3" xfId="751"/>
    <cellStyle name="20% - Акцент2 3_46EE.2011(v1.0)" xfId="752"/>
    <cellStyle name="20% - Акцент2 4" xfId="753"/>
    <cellStyle name="20% - Акцент2 4 2" xfId="754"/>
    <cellStyle name="20% - Акцент2 4 3" xfId="755"/>
    <cellStyle name="20% - Акцент2 4 4" xfId="756"/>
    <cellStyle name="20% - Акцент2 4_46EE.2011(v1.0)" xfId="757"/>
    <cellStyle name="20% - Акцент2 5" xfId="758"/>
    <cellStyle name="20% - Акцент2 5 2" xfId="759"/>
    <cellStyle name="20% - Акцент2 5 3" xfId="760"/>
    <cellStyle name="20% - Акцент2 5_46EE.2011(v1.0)" xfId="761"/>
    <cellStyle name="20% - Акцент2 6" xfId="762"/>
    <cellStyle name="20% - Акцент2 6 2" xfId="763"/>
    <cellStyle name="20% - Акцент2 6 3" xfId="764"/>
    <cellStyle name="20% - Акцент2 6_46EE.2011(v1.0)" xfId="765"/>
    <cellStyle name="20% - Акцент2 7" xfId="766"/>
    <cellStyle name="20% - Акцент2 7 2" xfId="767"/>
    <cellStyle name="20% - Акцент2 7 3" xfId="768"/>
    <cellStyle name="20% - Акцент2 7_46EE.2011(v1.0)" xfId="769"/>
    <cellStyle name="20% - Акцент2 8" xfId="770"/>
    <cellStyle name="20% - Акцент2 8 2" xfId="771"/>
    <cellStyle name="20% - Акцент2 8 3" xfId="772"/>
    <cellStyle name="20% - Акцент2 8_46EE.2011(v1.0)" xfId="773"/>
    <cellStyle name="20% - Акцент2 9" xfId="774"/>
    <cellStyle name="20% - Акцент2 9 2" xfId="775"/>
    <cellStyle name="20% - Акцент2 9 3" xfId="776"/>
    <cellStyle name="20% - Акцент2 9_46EE.2011(v1.0)" xfId="777"/>
    <cellStyle name="20% - Акцент3 10" xfId="778"/>
    <cellStyle name="20% - Акцент3 11" xfId="779"/>
    <cellStyle name="20% - Акцент3 2" xfId="780"/>
    <cellStyle name="20% - Акцент3 2 2" xfId="781"/>
    <cellStyle name="20% - Акцент3 2 3" xfId="782"/>
    <cellStyle name="20% - Акцент3 2_46EE.2011(v1.0)" xfId="783"/>
    <cellStyle name="20% - Акцент3 3" xfId="784"/>
    <cellStyle name="20% - Акцент3 3 2" xfId="785"/>
    <cellStyle name="20% - Акцент3 3 3" xfId="786"/>
    <cellStyle name="20% - Акцент3 3_46EE.2011(v1.0)" xfId="787"/>
    <cellStyle name="20% - Акцент3 4" xfId="788"/>
    <cellStyle name="20% - Акцент3 4 2" xfId="789"/>
    <cellStyle name="20% - Акцент3 4 3" xfId="790"/>
    <cellStyle name="20% - Акцент3 4 4" xfId="791"/>
    <cellStyle name="20% - Акцент3 4_46EE.2011(v1.0)" xfId="792"/>
    <cellStyle name="20% - Акцент3 5" xfId="793"/>
    <cellStyle name="20% - Акцент3 5 2" xfId="794"/>
    <cellStyle name="20% - Акцент3 5 3" xfId="795"/>
    <cellStyle name="20% - Акцент3 5_46EE.2011(v1.0)" xfId="796"/>
    <cellStyle name="20% - Акцент3 6" xfId="797"/>
    <cellStyle name="20% - Акцент3 6 2" xfId="798"/>
    <cellStyle name="20% - Акцент3 6 3" xfId="799"/>
    <cellStyle name="20% - Акцент3 6_46EE.2011(v1.0)" xfId="800"/>
    <cellStyle name="20% - Акцент3 7" xfId="801"/>
    <cellStyle name="20% - Акцент3 7 2" xfId="802"/>
    <cellStyle name="20% - Акцент3 7 3" xfId="803"/>
    <cellStyle name="20% - Акцент3 7_46EE.2011(v1.0)" xfId="804"/>
    <cellStyle name="20% - Акцент3 8" xfId="805"/>
    <cellStyle name="20% - Акцент3 8 2" xfId="806"/>
    <cellStyle name="20% - Акцент3 8 3" xfId="807"/>
    <cellStyle name="20% - Акцент3 8_46EE.2011(v1.0)" xfId="808"/>
    <cellStyle name="20% - Акцент3 9" xfId="809"/>
    <cellStyle name="20% - Акцент3 9 2" xfId="810"/>
    <cellStyle name="20% - Акцент3 9 3" xfId="811"/>
    <cellStyle name="20% - Акцент3 9_46EE.2011(v1.0)" xfId="812"/>
    <cellStyle name="20% - Акцент4 10" xfId="813"/>
    <cellStyle name="20% - Акцент4 11" xfId="814"/>
    <cellStyle name="20% - Акцент4 2" xfId="815"/>
    <cellStyle name="20% - Акцент4 2 2" xfId="816"/>
    <cellStyle name="20% - Акцент4 2 3" xfId="817"/>
    <cellStyle name="20% - Акцент4 2_46EE.2011(v1.0)" xfId="818"/>
    <cellStyle name="20% - Акцент4 3" xfId="819"/>
    <cellStyle name="20% - Акцент4 3 2" xfId="820"/>
    <cellStyle name="20% - Акцент4 3 3" xfId="821"/>
    <cellStyle name="20% - Акцент4 3_46EE.2011(v1.0)" xfId="822"/>
    <cellStyle name="20% - Акцент4 4" xfId="823"/>
    <cellStyle name="20% - Акцент4 4 2" xfId="824"/>
    <cellStyle name="20% - Акцент4 4 3" xfId="825"/>
    <cellStyle name="20% - Акцент4 4 4" xfId="826"/>
    <cellStyle name="20% - Акцент4 4_46EE.2011(v1.0)" xfId="827"/>
    <cellStyle name="20% - Акцент4 5" xfId="828"/>
    <cellStyle name="20% - Акцент4 5 2" xfId="829"/>
    <cellStyle name="20% - Акцент4 5 3" xfId="830"/>
    <cellStyle name="20% - Акцент4 5_46EE.2011(v1.0)" xfId="831"/>
    <cellStyle name="20% - Акцент4 6" xfId="832"/>
    <cellStyle name="20% - Акцент4 6 2" xfId="833"/>
    <cellStyle name="20% - Акцент4 6 3" xfId="834"/>
    <cellStyle name="20% - Акцент4 6_46EE.2011(v1.0)" xfId="835"/>
    <cellStyle name="20% - Акцент4 7" xfId="836"/>
    <cellStyle name="20% - Акцент4 7 2" xfId="837"/>
    <cellStyle name="20% - Акцент4 7 3" xfId="838"/>
    <cellStyle name="20% - Акцент4 7_46EE.2011(v1.0)" xfId="839"/>
    <cellStyle name="20% - Акцент4 8" xfId="840"/>
    <cellStyle name="20% - Акцент4 8 2" xfId="841"/>
    <cellStyle name="20% - Акцент4 8 3" xfId="842"/>
    <cellStyle name="20% - Акцент4 8_46EE.2011(v1.0)" xfId="843"/>
    <cellStyle name="20% - Акцент4 9" xfId="844"/>
    <cellStyle name="20% - Акцент4 9 2" xfId="845"/>
    <cellStyle name="20% - Акцент4 9 3" xfId="846"/>
    <cellStyle name="20% - Акцент4 9_46EE.2011(v1.0)" xfId="847"/>
    <cellStyle name="20% - Акцент5 10" xfId="848"/>
    <cellStyle name="20% - Акцент5 11" xfId="849"/>
    <cellStyle name="20% - Акцент5 2" xfId="850"/>
    <cellStyle name="20% - Акцент5 2 2" xfId="851"/>
    <cellStyle name="20% - Акцент5 2 3" xfId="852"/>
    <cellStyle name="20% - Акцент5 2_46EE.2011(v1.0)" xfId="853"/>
    <cellStyle name="20% - Акцент5 3" xfId="854"/>
    <cellStyle name="20% - Акцент5 3 2" xfId="855"/>
    <cellStyle name="20% - Акцент5 3 3" xfId="856"/>
    <cellStyle name="20% - Акцент5 3_46EE.2011(v1.0)" xfId="857"/>
    <cellStyle name="20% - Акцент5 4" xfId="858"/>
    <cellStyle name="20% - Акцент5 4 2" xfId="859"/>
    <cellStyle name="20% - Акцент5 4 3" xfId="860"/>
    <cellStyle name="20% - Акцент5 4 4" xfId="861"/>
    <cellStyle name="20% - Акцент5 4_46EE.2011(v1.0)" xfId="862"/>
    <cellStyle name="20% - Акцент5 5" xfId="863"/>
    <cellStyle name="20% - Акцент5 5 2" xfId="864"/>
    <cellStyle name="20% - Акцент5 5 3" xfId="865"/>
    <cellStyle name="20% - Акцент5 5_46EE.2011(v1.0)" xfId="866"/>
    <cellStyle name="20% - Акцент5 6" xfId="867"/>
    <cellStyle name="20% - Акцент5 6 2" xfId="868"/>
    <cellStyle name="20% - Акцент5 6 3" xfId="869"/>
    <cellStyle name="20% - Акцент5 6_46EE.2011(v1.0)" xfId="870"/>
    <cellStyle name="20% - Акцент5 7" xfId="871"/>
    <cellStyle name="20% - Акцент5 7 2" xfId="872"/>
    <cellStyle name="20% - Акцент5 7 3" xfId="873"/>
    <cellStyle name="20% - Акцент5 7_46EE.2011(v1.0)" xfId="874"/>
    <cellStyle name="20% - Акцент5 8" xfId="875"/>
    <cellStyle name="20% - Акцент5 8 2" xfId="876"/>
    <cellStyle name="20% - Акцент5 8 3" xfId="877"/>
    <cellStyle name="20% - Акцент5 8_46EE.2011(v1.0)" xfId="878"/>
    <cellStyle name="20% - Акцент5 9" xfId="879"/>
    <cellStyle name="20% - Акцент5 9 2" xfId="880"/>
    <cellStyle name="20% - Акцент5 9 3" xfId="881"/>
    <cellStyle name="20% - Акцент5 9_46EE.2011(v1.0)" xfId="882"/>
    <cellStyle name="20% - Акцент6 10" xfId="883"/>
    <cellStyle name="20% - Акцент6 11" xfId="884"/>
    <cellStyle name="20% - Акцент6 2" xfId="885"/>
    <cellStyle name="20% - Акцент6 2 2" xfId="886"/>
    <cellStyle name="20% - Акцент6 2 3" xfId="887"/>
    <cellStyle name="20% - Акцент6 2_46EE.2011(v1.0)" xfId="888"/>
    <cellStyle name="20% - Акцент6 3" xfId="889"/>
    <cellStyle name="20% - Акцент6 3 2" xfId="890"/>
    <cellStyle name="20% - Акцент6 3 3" xfId="891"/>
    <cellStyle name="20% - Акцент6 3_46EE.2011(v1.0)" xfId="892"/>
    <cellStyle name="20% - Акцент6 4" xfId="893"/>
    <cellStyle name="20% - Акцент6 4 2" xfId="894"/>
    <cellStyle name="20% - Акцент6 4 3" xfId="895"/>
    <cellStyle name="20% - Акцент6 4 4" xfId="896"/>
    <cellStyle name="20% - Акцент6 4_46EE.2011(v1.0)" xfId="897"/>
    <cellStyle name="20% - Акцент6 5" xfId="898"/>
    <cellStyle name="20% - Акцент6 5 2" xfId="899"/>
    <cellStyle name="20% - Акцент6 5 3" xfId="900"/>
    <cellStyle name="20% - Акцент6 5_46EE.2011(v1.0)" xfId="901"/>
    <cellStyle name="20% - Акцент6 6" xfId="902"/>
    <cellStyle name="20% - Акцент6 6 2" xfId="903"/>
    <cellStyle name="20% - Акцент6 6 3" xfId="904"/>
    <cellStyle name="20% - Акцент6 6_46EE.2011(v1.0)" xfId="905"/>
    <cellStyle name="20% - Акцент6 7" xfId="906"/>
    <cellStyle name="20% - Акцент6 7 2" xfId="907"/>
    <cellStyle name="20% - Акцент6 7 3" xfId="908"/>
    <cellStyle name="20% - Акцент6 7_46EE.2011(v1.0)" xfId="909"/>
    <cellStyle name="20% - Акцент6 8" xfId="910"/>
    <cellStyle name="20% - Акцент6 8 2" xfId="911"/>
    <cellStyle name="20% - Акцент6 8 3" xfId="912"/>
    <cellStyle name="20% - Акцент6 8_46EE.2011(v1.0)" xfId="913"/>
    <cellStyle name="20% - Акцент6 9" xfId="914"/>
    <cellStyle name="20% - Акцент6 9 2" xfId="915"/>
    <cellStyle name="20% - Акцент6 9 3" xfId="916"/>
    <cellStyle name="20% - Акцент6 9_46EE.2011(v1.0)" xfId="917"/>
    <cellStyle name="40% - Accent1" xfId="918"/>
    <cellStyle name="40% - Accent1 2" xfId="919"/>
    <cellStyle name="40% - Accent1 3" xfId="920"/>
    <cellStyle name="40% - Accent1_46EE.2011(v1.0)" xfId="921"/>
    <cellStyle name="40% - Accent2" xfId="922"/>
    <cellStyle name="40% - Accent2 2" xfId="923"/>
    <cellStyle name="40% - Accent2 3" xfId="924"/>
    <cellStyle name="40% - Accent2_46EE.2011(v1.0)" xfId="925"/>
    <cellStyle name="40% - Accent3" xfId="926"/>
    <cellStyle name="40% - Accent3 2" xfId="927"/>
    <cellStyle name="40% - Accent3 3" xfId="928"/>
    <cellStyle name="40% - Accent3_46EE.2011(v1.0)" xfId="929"/>
    <cellStyle name="40% - Accent4" xfId="930"/>
    <cellStyle name="40% - Accent4 2" xfId="931"/>
    <cellStyle name="40% - Accent4 3" xfId="932"/>
    <cellStyle name="40% - Accent4_46EE.2011(v1.0)" xfId="933"/>
    <cellStyle name="40% - Accent5" xfId="934"/>
    <cellStyle name="40% - Accent5 2" xfId="935"/>
    <cellStyle name="40% - Accent5 3" xfId="936"/>
    <cellStyle name="40% - Accent5_46EE.2011(v1.0)" xfId="937"/>
    <cellStyle name="40% - Accent6" xfId="938"/>
    <cellStyle name="40% - Accent6 2" xfId="939"/>
    <cellStyle name="40% - Accent6 3" xfId="940"/>
    <cellStyle name="40% - Accent6_46EE.2011(v1.0)" xfId="941"/>
    <cellStyle name="40% - Акцент1 10" xfId="942"/>
    <cellStyle name="40% - Акцент1 11" xfId="943"/>
    <cellStyle name="40% - Акцент1 2" xfId="944"/>
    <cellStyle name="40% - Акцент1 2 2" xfId="945"/>
    <cellStyle name="40% - Акцент1 2 3" xfId="946"/>
    <cellStyle name="40% - Акцент1 2_46EE.2011(v1.0)" xfId="947"/>
    <cellStyle name="40% - Акцент1 3" xfId="948"/>
    <cellStyle name="40% - Акцент1 3 2" xfId="949"/>
    <cellStyle name="40% - Акцент1 3 3" xfId="950"/>
    <cellStyle name="40% - Акцент1 3_46EE.2011(v1.0)" xfId="951"/>
    <cellStyle name="40% - Акцент1 4" xfId="952"/>
    <cellStyle name="40% - Акцент1 4 2" xfId="953"/>
    <cellStyle name="40% - Акцент1 4 3" xfId="954"/>
    <cellStyle name="40% - Акцент1 4 4" xfId="955"/>
    <cellStyle name="40% - Акцент1 4_46EE.2011(v1.0)" xfId="956"/>
    <cellStyle name="40% - Акцент1 5" xfId="957"/>
    <cellStyle name="40% - Акцент1 5 2" xfId="958"/>
    <cellStyle name="40% - Акцент1 5 3" xfId="959"/>
    <cellStyle name="40% - Акцент1 5_46EE.2011(v1.0)" xfId="960"/>
    <cellStyle name="40% - Акцент1 6" xfId="961"/>
    <cellStyle name="40% - Акцент1 6 2" xfId="962"/>
    <cellStyle name="40% - Акцент1 6 3" xfId="963"/>
    <cellStyle name="40% - Акцент1 6_46EE.2011(v1.0)" xfId="964"/>
    <cellStyle name="40% - Акцент1 7" xfId="965"/>
    <cellStyle name="40% - Акцент1 7 2" xfId="966"/>
    <cellStyle name="40% - Акцент1 7 3" xfId="967"/>
    <cellStyle name="40% - Акцент1 7_46EE.2011(v1.0)" xfId="968"/>
    <cellStyle name="40% - Акцент1 8" xfId="969"/>
    <cellStyle name="40% - Акцент1 8 2" xfId="970"/>
    <cellStyle name="40% - Акцент1 8 3" xfId="971"/>
    <cellStyle name="40% - Акцент1 8_46EE.2011(v1.0)" xfId="972"/>
    <cellStyle name="40% - Акцент1 9" xfId="973"/>
    <cellStyle name="40% - Акцент1 9 2" xfId="974"/>
    <cellStyle name="40% - Акцент1 9 3" xfId="975"/>
    <cellStyle name="40% - Акцент1 9_46EE.2011(v1.0)" xfId="976"/>
    <cellStyle name="40% - Акцент2 10" xfId="977"/>
    <cellStyle name="40% - Акцент2 11" xfId="978"/>
    <cellStyle name="40% - Акцент2 2" xfId="979"/>
    <cellStyle name="40% - Акцент2 2 2" xfId="980"/>
    <cellStyle name="40% - Акцент2 2 3" xfId="981"/>
    <cellStyle name="40% - Акцент2 2_46EE.2011(v1.0)" xfId="982"/>
    <cellStyle name="40% - Акцент2 3" xfId="983"/>
    <cellStyle name="40% - Акцент2 3 2" xfId="984"/>
    <cellStyle name="40% - Акцент2 3 3" xfId="985"/>
    <cellStyle name="40% - Акцент2 3_46EE.2011(v1.0)" xfId="986"/>
    <cellStyle name="40% - Акцент2 4" xfId="987"/>
    <cellStyle name="40% - Акцент2 4 2" xfId="988"/>
    <cellStyle name="40% - Акцент2 4 3" xfId="989"/>
    <cellStyle name="40% - Акцент2 4 4" xfId="990"/>
    <cellStyle name="40% - Акцент2 4_46EE.2011(v1.0)" xfId="991"/>
    <cellStyle name="40% - Акцент2 5" xfId="992"/>
    <cellStyle name="40% - Акцент2 5 2" xfId="993"/>
    <cellStyle name="40% - Акцент2 5 3" xfId="994"/>
    <cellStyle name="40% - Акцент2 5_46EE.2011(v1.0)" xfId="995"/>
    <cellStyle name="40% - Акцент2 6" xfId="996"/>
    <cellStyle name="40% - Акцент2 6 2" xfId="997"/>
    <cellStyle name="40% - Акцент2 6 3" xfId="998"/>
    <cellStyle name="40% - Акцент2 6_46EE.2011(v1.0)" xfId="999"/>
    <cellStyle name="40% - Акцент2 7" xfId="1000"/>
    <cellStyle name="40% - Акцент2 7 2" xfId="1001"/>
    <cellStyle name="40% - Акцент2 7 3" xfId="1002"/>
    <cellStyle name="40% - Акцент2 7_46EE.2011(v1.0)" xfId="1003"/>
    <cellStyle name="40% - Акцент2 8" xfId="1004"/>
    <cellStyle name="40% - Акцент2 8 2" xfId="1005"/>
    <cellStyle name="40% - Акцент2 8 3" xfId="1006"/>
    <cellStyle name="40% - Акцент2 8_46EE.2011(v1.0)" xfId="1007"/>
    <cellStyle name="40% - Акцент2 9" xfId="1008"/>
    <cellStyle name="40% - Акцент2 9 2" xfId="1009"/>
    <cellStyle name="40% - Акцент2 9 3" xfId="1010"/>
    <cellStyle name="40% - Акцент2 9_46EE.2011(v1.0)" xfId="1011"/>
    <cellStyle name="40% - Акцент3 10" xfId="1012"/>
    <cellStyle name="40% - Акцент3 11" xfId="1013"/>
    <cellStyle name="40% - Акцент3 2" xfId="1014"/>
    <cellStyle name="40% - Акцент3 2 2" xfId="1015"/>
    <cellStyle name="40% - Акцент3 2 3" xfId="1016"/>
    <cellStyle name="40% - Акцент3 2_46EE.2011(v1.0)" xfId="1017"/>
    <cellStyle name="40% - Акцент3 3" xfId="1018"/>
    <cellStyle name="40% - Акцент3 3 2" xfId="1019"/>
    <cellStyle name="40% - Акцент3 3 3" xfId="1020"/>
    <cellStyle name="40% - Акцент3 3_46EE.2011(v1.0)" xfId="1021"/>
    <cellStyle name="40% - Акцент3 4" xfId="1022"/>
    <cellStyle name="40% - Акцент3 4 2" xfId="1023"/>
    <cellStyle name="40% - Акцент3 4 3" xfId="1024"/>
    <cellStyle name="40% - Акцент3 4 4" xfId="1025"/>
    <cellStyle name="40% - Акцент3 4_46EE.2011(v1.0)" xfId="1026"/>
    <cellStyle name="40% - Акцент3 5" xfId="1027"/>
    <cellStyle name="40% - Акцент3 5 2" xfId="1028"/>
    <cellStyle name="40% - Акцент3 5 3" xfId="1029"/>
    <cellStyle name="40% - Акцент3 5_46EE.2011(v1.0)" xfId="1030"/>
    <cellStyle name="40% - Акцент3 6" xfId="1031"/>
    <cellStyle name="40% - Акцент3 6 2" xfId="1032"/>
    <cellStyle name="40% - Акцент3 6 3" xfId="1033"/>
    <cellStyle name="40% - Акцент3 6_46EE.2011(v1.0)" xfId="1034"/>
    <cellStyle name="40% - Акцент3 7" xfId="1035"/>
    <cellStyle name="40% - Акцент3 7 2" xfId="1036"/>
    <cellStyle name="40% - Акцент3 7 3" xfId="1037"/>
    <cellStyle name="40% - Акцент3 7_46EE.2011(v1.0)" xfId="1038"/>
    <cellStyle name="40% - Акцент3 8" xfId="1039"/>
    <cellStyle name="40% - Акцент3 8 2" xfId="1040"/>
    <cellStyle name="40% - Акцент3 8 3" xfId="1041"/>
    <cellStyle name="40% - Акцент3 8_46EE.2011(v1.0)" xfId="1042"/>
    <cellStyle name="40% - Акцент3 9" xfId="1043"/>
    <cellStyle name="40% - Акцент3 9 2" xfId="1044"/>
    <cellStyle name="40% - Акцент3 9 3" xfId="1045"/>
    <cellStyle name="40% - Акцент3 9_46EE.2011(v1.0)" xfId="1046"/>
    <cellStyle name="40% - Акцент4 10" xfId="1047"/>
    <cellStyle name="40% - Акцент4 11" xfId="1048"/>
    <cellStyle name="40% - Акцент4 2" xfId="1049"/>
    <cellStyle name="40% - Акцент4 2 2" xfId="1050"/>
    <cellStyle name="40% - Акцент4 2 3" xfId="1051"/>
    <cellStyle name="40% - Акцент4 2_46EE.2011(v1.0)" xfId="1052"/>
    <cellStyle name="40% - Акцент4 3" xfId="1053"/>
    <cellStyle name="40% - Акцент4 3 2" xfId="1054"/>
    <cellStyle name="40% - Акцент4 3 3" xfId="1055"/>
    <cellStyle name="40% - Акцент4 3_46EE.2011(v1.0)" xfId="1056"/>
    <cellStyle name="40% - Акцент4 4" xfId="1057"/>
    <cellStyle name="40% - Акцент4 4 2" xfId="1058"/>
    <cellStyle name="40% - Акцент4 4 3" xfId="1059"/>
    <cellStyle name="40% - Акцент4 4 4" xfId="1060"/>
    <cellStyle name="40% - Акцент4 4_46EE.2011(v1.0)" xfId="1061"/>
    <cellStyle name="40% - Акцент4 5" xfId="1062"/>
    <cellStyle name="40% - Акцент4 5 2" xfId="1063"/>
    <cellStyle name="40% - Акцент4 5 3" xfId="1064"/>
    <cellStyle name="40% - Акцент4 5_46EE.2011(v1.0)" xfId="1065"/>
    <cellStyle name="40% - Акцент4 6" xfId="1066"/>
    <cellStyle name="40% - Акцент4 6 2" xfId="1067"/>
    <cellStyle name="40% - Акцент4 6 3" xfId="1068"/>
    <cellStyle name="40% - Акцент4 6_46EE.2011(v1.0)" xfId="1069"/>
    <cellStyle name="40% - Акцент4 7" xfId="1070"/>
    <cellStyle name="40% - Акцент4 7 2" xfId="1071"/>
    <cellStyle name="40% - Акцент4 7 3" xfId="1072"/>
    <cellStyle name="40% - Акцент4 7_46EE.2011(v1.0)" xfId="1073"/>
    <cellStyle name="40% - Акцент4 8" xfId="1074"/>
    <cellStyle name="40% - Акцент4 8 2" xfId="1075"/>
    <cellStyle name="40% - Акцент4 8 3" xfId="1076"/>
    <cellStyle name="40% - Акцент4 8_46EE.2011(v1.0)" xfId="1077"/>
    <cellStyle name="40% - Акцент4 9" xfId="1078"/>
    <cellStyle name="40% - Акцент4 9 2" xfId="1079"/>
    <cellStyle name="40% - Акцент4 9 3" xfId="1080"/>
    <cellStyle name="40% - Акцент4 9_46EE.2011(v1.0)" xfId="1081"/>
    <cellStyle name="40% - Акцент5 10" xfId="1082"/>
    <cellStyle name="40% - Акцент5 11" xfId="1083"/>
    <cellStyle name="40% - Акцент5 2" xfId="1084"/>
    <cellStyle name="40% - Акцент5 2 2" xfId="1085"/>
    <cellStyle name="40% - Акцент5 2 3" xfId="1086"/>
    <cellStyle name="40% - Акцент5 2_46EE.2011(v1.0)" xfId="1087"/>
    <cellStyle name="40% - Акцент5 3" xfId="1088"/>
    <cellStyle name="40% - Акцент5 3 2" xfId="1089"/>
    <cellStyle name="40% - Акцент5 3 3" xfId="1090"/>
    <cellStyle name="40% - Акцент5 3_46EE.2011(v1.0)" xfId="1091"/>
    <cellStyle name="40% - Акцент5 4" xfId="1092"/>
    <cellStyle name="40% - Акцент5 4 2" xfId="1093"/>
    <cellStyle name="40% - Акцент5 4 3" xfId="1094"/>
    <cellStyle name="40% - Акцент5 4 4" xfId="1095"/>
    <cellStyle name="40% - Акцент5 4_46EE.2011(v1.0)" xfId="1096"/>
    <cellStyle name="40% - Акцент5 5" xfId="1097"/>
    <cellStyle name="40% - Акцент5 5 2" xfId="1098"/>
    <cellStyle name="40% - Акцент5 5 3" xfId="1099"/>
    <cellStyle name="40% - Акцент5 5_46EE.2011(v1.0)" xfId="1100"/>
    <cellStyle name="40% - Акцент5 6" xfId="1101"/>
    <cellStyle name="40% - Акцент5 6 2" xfId="1102"/>
    <cellStyle name="40% - Акцент5 6 3" xfId="1103"/>
    <cellStyle name="40% - Акцент5 6_46EE.2011(v1.0)" xfId="1104"/>
    <cellStyle name="40% - Акцент5 7" xfId="1105"/>
    <cellStyle name="40% - Акцент5 7 2" xfId="1106"/>
    <cellStyle name="40% - Акцент5 7 3" xfId="1107"/>
    <cellStyle name="40% - Акцент5 7_46EE.2011(v1.0)" xfId="1108"/>
    <cellStyle name="40% - Акцент5 8" xfId="1109"/>
    <cellStyle name="40% - Акцент5 8 2" xfId="1110"/>
    <cellStyle name="40% - Акцент5 8 3" xfId="1111"/>
    <cellStyle name="40% - Акцент5 8_46EE.2011(v1.0)" xfId="1112"/>
    <cellStyle name="40% - Акцент5 9" xfId="1113"/>
    <cellStyle name="40% - Акцент5 9 2" xfId="1114"/>
    <cellStyle name="40% - Акцент5 9 3" xfId="1115"/>
    <cellStyle name="40% - Акцент5 9_46EE.2011(v1.0)" xfId="1116"/>
    <cellStyle name="40% - Акцент6 10" xfId="1117"/>
    <cellStyle name="40% - Акцент6 11" xfId="1118"/>
    <cellStyle name="40% - Акцент6 2" xfId="1119"/>
    <cellStyle name="40% - Акцент6 2 2" xfId="1120"/>
    <cellStyle name="40% - Акцент6 2 3" xfId="1121"/>
    <cellStyle name="40% - Акцент6 2_46EE.2011(v1.0)" xfId="1122"/>
    <cellStyle name="40% - Акцент6 3" xfId="1123"/>
    <cellStyle name="40% - Акцент6 3 2" xfId="1124"/>
    <cellStyle name="40% - Акцент6 3 3" xfId="1125"/>
    <cellStyle name="40% - Акцент6 3_46EE.2011(v1.0)" xfId="1126"/>
    <cellStyle name="40% - Акцент6 4" xfId="1127"/>
    <cellStyle name="40% - Акцент6 4 2" xfId="1128"/>
    <cellStyle name="40% - Акцент6 4 3" xfId="1129"/>
    <cellStyle name="40% - Акцент6 4 4" xfId="1130"/>
    <cellStyle name="40% - Акцент6 4_46EE.2011(v1.0)" xfId="1131"/>
    <cellStyle name="40% - Акцент6 5" xfId="1132"/>
    <cellStyle name="40% - Акцент6 5 2" xfId="1133"/>
    <cellStyle name="40% - Акцент6 5 3" xfId="1134"/>
    <cellStyle name="40% - Акцент6 5_46EE.2011(v1.0)" xfId="1135"/>
    <cellStyle name="40% - Акцент6 6" xfId="1136"/>
    <cellStyle name="40% - Акцент6 6 2" xfId="1137"/>
    <cellStyle name="40% - Акцент6 6 3" xfId="1138"/>
    <cellStyle name="40% - Акцент6 6_46EE.2011(v1.0)" xfId="1139"/>
    <cellStyle name="40% - Акцент6 7" xfId="1140"/>
    <cellStyle name="40% - Акцент6 7 2" xfId="1141"/>
    <cellStyle name="40% - Акцент6 7 3" xfId="1142"/>
    <cellStyle name="40% - Акцент6 7_46EE.2011(v1.0)" xfId="1143"/>
    <cellStyle name="40% - Акцент6 8" xfId="1144"/>
    <cellStyle name="40% - Акцент6 8 2" xfId="1145"/>
    <cellStyle name="40% - Акцент6 8 3" xfId="1146"/>
    <cellStyle name="40% - Акцент6 8_46EE.2011(v1.0)" xfId="1147"/>
    <cellStyle name="40% - Акцент6 9" xfId="1148"/>
    <cellStyle name="40% - Акцент6 9 2" xfId="1149"/>
    <cellStyle name="40% - Акцент6 9 3" xfId="1150"/>
    <cellStyle name="40% - Акцент6 9_46EE.2011(v1.0)" xfId="1151"/>
    <cellStyle name="60% - Accent1" xfId="1152"/>
    <cellStyle name="60% - Accent2" xfId="1153"/>
    <cellStyle name="60% - Accent3" xfId="1154"/>
    <cellStyle name="60% - Accent4" xfId="1155"/>
    <cellStyle name="60% - Accent5" xfId="1156"/>
    <cellStyle name="60% - Accent6" xfId="1157"/>
    <cellStyle name="60% - Акцент1 10" xfId="1158"/>
    <cellStyle name="60% - Акцент1 2" xfId="1159"/>
    <cellStyle name="60% - Акцент1 2 2" xfId="1160"/>
    <cellStyle name="60% - Акцент1 3" xfId="1161"/>
    <cellStyle name="60% - Акцент1 3 2" xfId="1162"/>
    <cellStyle name="60% - Акцент1 3 3" xfId="1163"/>
    <cellStyle name="60% - Акцент1 3 3 2" xfId="1164"/>
    <cellStyle name="60% - Акцент1 3 4" xfId="4676"/>
    <cellStyle name="60% - Акцент1 4" xfId="1165"/>
    <cellStyle name="60% - Акцент1 4 2" xfId="1166"/>
    <cellStyle name="60% - Акцент1 5" xfId="1167"/>
    <cellStyle name="60% - Акцент1 5 2" xfId="1168"/>
    <cellStyle name="60% - Акцент1 6" xfId="1169"/>
    <cellStyle name="60% - Акцент1 6 2" xfId="1170"/>
    <cellStyle name="60% - Акцент1 7" xfId="1171"/>
    <cellStyle name="60% - Акцент1 7 2" xfId="1172"/>
    <cellStyle name="60% - Акцент1 8" xfId="1173"/>
    <cellStyle name="60% - Акцент1 8 2" xfId="1174"/>
    <cellStyle name="60% - Акцент1 9" xfId="1175"/>
    <cellStyle name="60% - Акцент1 9 2" xfId="1176"/>
    <cellStyle name="60% - Акцент2 10" xfId="1177"/>
    <cellStyle name="60% - Акцент2 2" xfId="1178"/>
    <cellStyle name="60% - Акцент2 2 2" xfId="1179"/>
    <cellStyle name="60% - Акцент2 3" xfId="1180"/>
    <cellStyle name="60% - Акцент2 3 2" xfId="1181"/>
    <cellStyle name="60% - Акцент2 3 3" xfId="1182"/>
    <cellStyle name="60% - Акцент2 3 3 2" xfId="1183"/>
    <cellStyle name="60% - Акцент2 3 4" xfId="4677"/>
    <cellStyle name="60% - Акцент2 4" xfId="1184"/>
    <cellStyle name="60% - Акцент2 4 2" xfId="1185"/>
    <cellStyle name="60% - Акцент2 5" xfId="1186"/>
    <cellStyle name="60% - Акцент2 5 2" xfId="1187"/>
    <cellStyle name="60% - Акцент2 6" xfId="1188"/>
    <cellStyle name="60% - Акцент2 6 2" xfId="1189"/>
    <cellStyle name="60% - Акцент2 7" xfId="1190"/>
    <cellStyle name="60% - Акцент2 7 2" xfId="1191"/>
    <cellStyle name="60% - Акцент2 8" xfId="1192"/>
    <cellStyle name="60% - Акцент2 8 2" xfId="1193"/>
    <cellStyle name="60% - Акцент2 9" xfId="1194"/>
    <cellStyle name="60% - Акцент2 9 2" xfId="1195"/>
    <cellStyle name="60% - Акцент3 10" xfId="1196"/>
    <cellStyle name="60% - Акцент3 2" xfId="1197"/>
    <cellStyle name="60% - Акцент3 2 2" xfId="1198"/>
    <cellStyle name="60% - Акцент3 3" xfId="1199"/>
    <cellStyle name="60% - Акцент3 3 2" xfId="1200"/>
    <cellStyle name="60% - Акцент3 3 3" xfId="1201"/>
    <cellStyle name="60% - Акцент3 3 3 2" xfId="1202"/>
    <cellStyle name="60% - Акцент3 3 4" xfId="4678"/>
    <cellStyle name="60% - Акцент3 4" xfId="1203"/>
    <cellStyle name="60% - Акцент3 4 2" xfId="1204"/>
    <cellStyle name="60% - Акцент3 5" xfId="1205"/>
    <cellStyle name="60% - Акцент3 5 2" xfId="1206"/>
    <cellStyle name="60% - Акцент3 6" xfId="1207"/>
    <cellStyle name="60% - Акцент3 6 2" xfId="1208"/>
    <cellStyle name="60% - Акцент3 7" xfId="1209"/>
    <cellStyle name="60% - Акцент3 7 2" xfId="1210"/>
    <cellStyle name="60% - Акцент3 8" xfId="1211"/>
    <cellStyle name="60% - Акцент3 8 2" xfId="1212"/>
    <cellStyle name="60% - Акцент3 9" xfId="1213"/>
    <cellStyle name="60% - Акцент3 9 2" xfId="1214"/>
    <cellStyle name="60% - Акцент4 10" xfId="1215"/>
    <cellStyle name="60% - Акцент4 2" xfId="1216"/>
    <cellStyle name="60% - Акцент4 2 2" xfId="1217"/>
    <cellStyle name="60% - Акцент4 3" xfId="1218"/>
    <cellStyle name="60% - Акцент4 3 2" xfId="1219"/>
    <cellStyle name="60% - Акцент4 3 3" xfId="1220"/>
    <cellStyle name="60% - Акцент4 3 3 2" xfId="1221"/>
    <cellStyle name="60% - Акцент4 3 4" xfId="4679"/>
    <cellStyle name="60% - Акцент4 4" xfId="1222"/>
    <cellStyle name="60% - Акцент4 4 2" xfId="1223"/>
    <cellStyle name="60% - Акцент4 5" xfId="1224"/>
    <cellStyle name="60% - Акцент4 5 2" xfId="1225"/>
    <cellStyle name="60% - Акцент4 6" xfId="1226"/>
    <cellStyle name="60% - Акцент4 6 2" xfId="1227"/>
    <cellStyle name="60% - Акцент4 7" xfId="1228"/>
    <cellStyle name="60% - Акцент4 7 2" xfId="1229"/>
    <cellStyle name="60% - Акцент4 8" xfId="1230"/>
    <cellStyle name="60% - Акцент4 8 2" xfId="1231"/>
    <cellStyle name="60% - Акцент4 9" xfId="1232"/>
    <cellStyle name="60% - Акцент4 9 2" xfId="1233"/>
    <cellStyle name="60% - Акцент5 10" xfId="1234"/>
    <cellStyle name="60% - Акцент5 2" xfId="1235"/>
    <cellStyle name="60% - Акцент5 2 2" xfId="1236"/>
    <cellStyle name="60% - Акцент5 3" xfId="1237"/>
    <cellStyle name="60% - Акцент5 3 2" xfId="1238"/>
    <cellStyle name="60% - Акцент5 3 3" xfId="1239"/>
    <cellStyle name="60% - Акцент5 3 3 2" xfId="1240"/>
    <cellStyle name="60% - Акцент5 3 4" xfId="4680"/>
    <cellStyle name="60% - Акцент5 4" xfId="1241"/>
    <cellStyle name="60% - Акцент5 4 2" xfId="1242"/>
    <cellStyle name="60% - Акцент5 5" xfId="1243"/>
    <cellStyle name="60% - Акцент5 5 2" xfId="1244"/>
    <cellStyle name="60% - Акцент5 6" xfId="1245"/>
    <cellStyle name="60% - Акцент5 6 2" xfId="1246"/>
    <cellStyle name="60% - Акцент5 7" xfId="1247"/>
    <cellStyle name="60% - Акцент5 7 2" xfId="1248"/>
    <cellStyle name="60% - Акцент5 8" xfId="1249"/>
    <cellStyle name="60% - Акцент5 8 2" xfId="1250"/>
    <cellStyle name="60% - Акцент5 9" xfId="1251"/>
    <cellStyle name="60% - Акцент5 9 2" xfId="1252"/>
    <cellStyle name="60% - Акцент6 10" xfId="1253"/>
    <cellStyle name="60% - Акцент6 2" xfId="1254"/>
    <cellStyle name="60% - Акцент6 2 2" xfId="1255"/>
    <cellStyle name="60% - Акцент6 3" xfId="1256"/>
    <cellStyle name="60% - Акцент6 3 2" xfId="1257"/>
    <cellStyle name="60% - Акцент6 3 3" xfId="1258"/>
    <cellStyle name="60% - Акцент6 3 3 2" xfId="1259"/>
    <cellStyle name="60% - Акцент6 3 4" xfId="4681"/>
    <cellStyle name="60% - Акцент6 4" xfId="1260"/>
    <cellStyle name="60% - Акцент6 4 2" xfId="1261"/>
    <cellStyle name="60% - Акцент6 5" xfId="1262"/>
    <cellStyle name="60% - Акцент6 5 2" xfId="1263"/>
    <cellStyle name="60% - Акцент6 6" xfId="1264"/>
    <cellStyle name="60% - Акцент6 6 2" xfId="1265"/>
    <cellStyle name="60% - Акцент6 7" xfId="1266"/>
    <cellStyle name="60% - Акцент6 7 2" xfId="1267"/>
    <cellStyle name="60% - Акцент6 8" xfId="1268"/>
    <cellStyle name="60% - Акцент6 8 2" xfId="1269"/>
    <cellStyle name="60% - Акцент6 9" xfId="1270"/>
    <cellStyle name="60% - Акцент6 9 2" xfId="1271"/>
    <cellStyle name="Accent1" xfId="1272"/>
    <cellStyle name="Accent2" xfId="1273"/>
    <cellStyle name="Accent3" xfId="1274"/>
    <cellStyle name="Accent4" xfId="1275"/>
    <cellStyle name="Accent5" xfId="1276"/>
    <cellStyle name="Accent6" xfId="1277"/>
    <cellStyle name="Ăčďĺđńńűëęŕ" xfId="1278"/>
    <cellStyle name="Ăčďĺđńńűëęŕ 2" xfId="1279"/>
    <cellStyle name="Ăčďĺđńńűëęŕ 3" xfId="4682"/>
    <cellStyle name="AFE" xfId="1280"/>
    <cellStyle name="Áĺççŕůčňíűé" xfId="1281"/>
    <cellStyle name="Äĺíĺćíűé [0]_(ňŕá 3č)" xfId="1282"/>
    <cellStyle name="Äĺíĺćíűé_(ňŕá 3č)" xfId="1283"/>
    <cellStyle name="Bad" xfId="1284"/>
    <cellStyle name="Blue" xfId="1285"/>
    <cellStyle name="Body_$Dollars" xfId="1286"/>
    <cellStyle name="Calculation" xfId="1287"/>
    <cellStyle name="Calculation 2" xfId="1288"/>
    <cellStyle name="Calculation 2 2" xfId="4683"/>
    <cellStyle name="Calculation 3" xfId="4684"/>
    <cellStyle name="Calculation 3 2" xfId="4685"/>
    <cellStyle name="Calculation 4" xfId="4686"/>
    <cellStyle name="Cells 2" xfId="1289"/>
    <cellStyle name="Cells 2 2" xfId="4687"/>
    <cellStyle name="Check Cell" xfId="1290"/>
    <cellStyle name="Chek" xfId="1291"/>
    <cellStyle name="Comma [0]_Adjusted FS 1299" xfId="1292"/>
    <cellStyle name="Comma 0" xfId="1293"/>
    <cellStyle name="Comma 0*" xfId="1294"/>
    <cellStyle name="Comma 2" xfId="1295"/>
    <cellStyle name="Comma 3*" xfId="1296"/>
    <cellStyle name="Comma_Adjusted FS 1299" xfId="1297"/>
    <cellStyle name="Comma0" xfId="1298"/>
    <cellStyle name="Çŕůčňíűé" xfId="1299"/>
    <cellStyle name="Currency [0]" xfId="1300"/>
    <cellStyle name="Currency [0] 2" xfId="1301"/>
    <cellStyle name="Currency [0] 2 2" xfId="1302"/>
    <cellStyle name="Currency [0] 2 3" xfId="1303"/>
    <cellStyle name="Currency [0] 2 4" xfId="1304"/>
    <cellStyle name="Currency [0] 2 5" xfId="1305"/>
    <cellStyle name="Currency [0] 2 6" xfId="1306"/>
    <cellStyle name="Currency [0] 2 7" xfId="1307"/>
    <cellStyle name="Currency [0] 2 8" xfId="1308"/>
    <cellStyle name="Currency [0] 2 9" xfId="1309"/>
    <cellStyle name="Currency [0] 3" xfId="1310"/>
    <cellStyle name="Currency [0] 3 2" xfId="1311"/>
    <cellStyle name="Currency [0] 3 3" xfId="1312"/>
    <cellStyle name="Currency [0] 3 4" xfId="1313"/>
    <cellStyle name="Currency [0] 3 5" xfId="1314"/>
    <cellStyle name="Currency [0] 3 6" xfId="1315"/>
    <cellStyle name="Currency [0] 3 7" xfId="1316"/>
    <cellStyle name="Currency [0] 3 8" xfId="1317"/>
    <cellStyle name="Currency [0] 3 9" xfId="1318"/>
    <cellStyle name="Currency [0] 4" xfId="1319"/>
    <cellStyle name="Currency [0] 4 2" xfId="1320"/>
    <cellStyle name="Currency [0] 4 3" xfId="1321"/>
    <cellStyle name="Currency [0] 4 4" xfId="1322"/>
    <cellStyle name="Currency [0] 4 5" xfId="1323"/>
    <cellStyle name="Currency [0] 4 6" xfId="1324"/>
    <cellStyle name="Currency [0] 4 7" xfId="1325"/>
    <cellStyle name="Currency [0] 4 8" xfId="1326"/>
    <cellStyle name="Currency [0] 4 9" xfId="1327"/>
    <cellStyle name="Currency [0] 5" xfId="1328"/>
    <cellStyle name="Currency [0] 5 2" xfId="1329"/>
    <cellStyle name="Currency [0] 5 3" xfId="1330"/>
    <cellStyle name="Currency [0] 5 4" xfId="1331"/>
    <cellStyle name="Currency [0] 5 5" xfId="1332"/>
    <cellStyle name="Currency [0] 5 6" xfId="1333"/>
    <cellStyle name="Currency [0] 5 7" xfId="1334"/>
    <cellStyle name="Currency [0] 5 8" xfId="1335"/>
    <cellStyle name="Currency [0] 5 9" xfId="1336"/>
    <cellStyle name="Currency [0] 6" xfId="1337"/>
    <cellStyle name="Currency [0] 6 2" xfId="1338"/>
    <cellStyle name="Currency [0] 6 3" xfId="1339"/>
    <cellStyle name="Currency [0] 7" xfId="1340"/>
    <cellStyle name="Currency [0] 7 2" xfId="1341"/>
    <cellStyle name="Currency [0] 7 3" xfId="1342"/>
    <cellStyle name="Currency [0] 8" xfId="1343"/>
    <cellStyle name="Currency [0] 8 2" xfId="1344"/>
    <cellStyle name="Currency [0] 8 3" xfId="1345"/>
    <cellStyle name="Currency 0" xfId="1346"/>
    <cellStyle name="Currency 2" xfId="1347"/>
    <cellStyle name="Currency_06_9m" xfId="1348"/>
    <cellStyle name="Currency0" xfId="1349"/>
    <cellStyle name="Currency2" xfId="1350"/>
    <cellStyle name="Date" xfId="1351"/>
    <cellStyle name="Date Aligned" xfId="1352"/>
    <cellStyle name="Dates" xfId="1353"/>
    <cellStyle name="Dezimal [0]_NEGS" xfId="1354"/>
    <cellStyle name="Dezimal_NEGS" xfId="1355"/>
    <cellStyle name="Dotted Line" xfId="1356"/>
    <cellStyle name="E&amp;Y House" xfId="1357"/>
    <cellStyle name="E-mail" xfId="1358"/>
    <cellStyle name="E-mail 2" xfId="1359"/>
    <cellStyle name="E-mail_46EP.2011(v2.0)" xfId="1360"/>
    <cellStyle name="Euro" xfId="1361"/>
    <cellStyle name="Euro 2" xfId="1362"/>
    <cellStyle name="Euro 2 2" xfId="1363"/>
    <cellStyle name="Euro 2 3" xfId="1364"/>
    <cellStyle name="Euro 2 4" xfId="1365"/>
    <cellStyle name="Euro 2 4 2" xfId="1366"/>
    <cellStyle name="Euro 2 5" xfId="1367"/>
    <cellStyle name="Euro 2 6" xfId="4688"/>
    <cellStyle name="ew" xfId="1368"/>
    <cellStyle name="ew 2" xfId="1369"/>
    <cellStyle name="ew 2 2" xfId="1370"/>
    <cellStyle name="ew 3" xfId="1371"/>
    <cellStyle name="Excel Built-in Normal" xfId="1372"/>
    <cellStyle name="Explanatory Text" xfId="1373"/>
    <cellStyle name="F2" xfId="1374"/>
    <cellStyle name="F3" xfId="1375"/>
    <cellStyle name="F4" xfId="1376"/>
    <cellStyle name="F5" xfId="1377"/>
    <cellStyle name="F6" xfId="1378"/>
    <cellStyle name="F7" xfId="1379"/>
    <cellStyle name="F8" xfId="1380"/>
    <cellStyle name="Fixed" xfId="1381"/>
    <cellStyle name="fo]_x000d__x000a_UserName=Murat Zelef_x000d__x000a_UserCompany=Bumerang_x000d__x000a__x000d__x000a_[File Paths]_x000d__x000a_WorkingDirectory=C:\EQUIS\DLWIN_x000d__x000a_DownLoader=C" xfId="1382"/>
    <cellStyle name="Followed Hyperlink" xfId="1383"/>
    <cellStyle name="Footnote" xfId="1384"/>
    <cellStyle name="Good" xfId="1385"/>
    <cellStyle name="hard no" xfId="1386"/>
    <cellStyle name="hard no 2" xfId="4689"/>
    <cellStyle name="Hard Percent" xfId="1387"/>
    <cellStyle name="hardno" xfId="1388"/>
    <cellStyle name="Header" xfId="1389"/>
    <cellStyle name="Header 3" xfId="1390"/>
    <cellStyle name="Header 3 2" xfId="4690"/>
    <cellStyle name="Heading" xfId="1391"/>
    <cellStyle name="Heading 1" xfId="1392"/>
    <cellStyle name="Heading 1 2" xfId="1393"/>
    <cellStyle name="Heading 1 3" xfId="4691"/>
    <cellStyle name="Heading 2" xfId="1394"/>
    <cellStyle name="Heading 2 2" xfId="1395"/>
    <cellStyle name="Heading 2 3" xfId="4692"/>
    <cellStyle name="Heading 3" xfId="1396"/>
    <cellStyle name="Heading 3 2" xfId="1397"/>
    <cellStyle name="Heading 3 2 2" xfId="4693"/>
    <cellStyle name="Heading 3 3" xfId="1398"/>
    <cellStyle name="Heading 3 3 2" xfId="1399"/>
    <cellStyle name="Heading 3 4" xfId="1400"/>
    <cellStyle name="Heading 3 4 2" xfId="4694"/>
    <cellStyle name="Heading 3 5" xfId="1401"/>
    <cellStyle name="Heading 3 5 2" xfId="4695"/>
    <cellStyle name="Heading 3 6" xfId="4696"/>
    <cellStyle name="Heading 4" xfId="1402"/>
    <cellStyle name="Heading_GP.ITOG.4.78(v1.0) - для разделения" xfId="1403"/>
    <cellStyle name="Heading2" xfId="1404"/>
    <cellStyle name="Heading2 2" xfId="1405"/>
    <cellStyle name="Heading2_46EP.2011(v2.0)" xfId="1406"/>
    <cellStyle name="Hyperlink" xfId="1407"/>
    <cellStyle name="Îáű÷íűé__FES" xfId="1408"/>
    <cellStyle name="Îáû÷íûé_cogs" xfId="1409"/>
    <cellStyle name="Îňęđűâŕâřŕ˙ń˙ ăčďĺđńńűëęŕ" xfId="1410"/>
    <cellStyle name="Îňęđűâŕâřŕ˙ń˙ ăčďĺđńńűëęŕ 2" xfId="1411"/>
    <cellStyle name="Îňęđűâŕâřŕ˙ń˙ ăčďĺđńńűëęŕ 3" xfId="4697"/>
    <cellStyle name="Info" xfId="1412"/>
    <cellStyle name="Info 2" xfId="4698"/>
    <cellStyle name="Input" xfId="1413"/>
    <cellStyle name="Input 2" xfId="1414"/>
    <cellStyle name="Input 2 2" xfId="4699"/>
    <cellStyle name="Input 3" xfId="4700"/>
    <cellStyle name="Input 3 2" xfId="4701"/>
    <cellStyle name="Input 4" xfId="4702"/>
    <cellStyle name="InputCurrency" xfId="1415"/>
    <cellStyle name="InputCurrency2" xfId="1416"/>
    <cellStyle name="InputMultiple1" xfId="1417"/>
    <cellStyle name="InputPercent1" xfId="1418"/>
    <cellStyle name="Inputs" xfId="1419"/>
    <cellStyle name="Inputs (const)" xfId="1420"/>
    <cellStyle name="Inputs (const) 2" xfId="1421"/>
    <cellStyle name="Inputs (const)_46EP.2011(v2.0)" xfId="1422"/>
    <cellStyle name="Inputs 2" xfId="1423"/>
    <cellStyle name="Inputs Co" xfId="1424"/>
    <cellStyle name="Inputs_46EE.2011(v1.0)" xfId="1425"/>
    <cellStyle name="Linked Cell" xfId="1426"/>
    <cellStyle name="Millares [0]_RESULTS" xfId="1427"/>
    <cellStyle name="Millares_RESULTS" xfId="1428"/>
    <cellStyle name="Milliers [0]_RESULTS" xfId="1429"/>
    <cellStyle name="Milliers_RESULTS" xfId="1430"/>
    <cellStyle name="mnb" xfId="1431"/>
    <cellStyle name="mnb 2" xfId="4703"/>
    <cellStyle name="Moneda [0]_RESULTS" xfId="1432"/>
    <cellStyle name="Moneda_RESULTS" xfId="1433"/>
    <cellStyle name="Monétaire [0]_RESULTS" xfId="1434"/>
    <cellStyle name="Monétaire_RESULTS" xfId="1435"/>
    <cellStyle name="Multiple" xfId="1436"/>
    <cellStyle name="Multiple1" xfId="1437"/>
    <cellStyle name="MultipleBelow" xfId="1438"/>
    <cellStyle name="namber" xfId="1439"/>
    <cellStyle name="namber 2" xfId="4704"/>
    <cellStyle name="Neutral" xfId="1440"/>
    <cellStyle name="Norma11l" xfId="1441"/>
    <cellStyle name="normal" xfId="1442"/>
    <cellStyle name="Normal - Style1" xfId="1443"/>
    <cellStyle name="Normal - Style1 2" xfId="1444"/>
    <cellStyle name="Normal - Style1 2 2" xfId="1445"/>
    <cellStyle name="Normal - Style1 3" xfId="1446"/>
    <cellStyle name="normal 10" xfId="1447"/>
    <cellStyle name="Normal 2" xfId="1448"/>
    <cellStyle name="Normal 2 2" xfId="1449"/>
    <cellStyle name="Normal 2 3" xfId="1450"/>
    <cellStyle name="Normal 2 4" xfId="1451"/>
    <cellStyle name="normal 3" xfId="1452"/>
    <cellStyle name="normal 4" xfId="1453"/>
    <cellStyle name="normal 5" xfId="1454"/>
    <cellStyle name="normal 6" xfId="1455"/>
    <cellStyle name="normal 7" xfId="1456"/>
    <cellStyle name="normal 8" xfId="1457"/>
    <cellStyle name="normal 9" xfId="1458"/>
    <cellStyle name="Normal." xfId="1459"/>
    <cellStyle name="Normal_06_9m" xfId="1460"/>
    <cellStyle name="Normal1" xfId="1461"/>
    <cellStyle name="Normal2" xfId="1462"/>
    <cellStyle name="NormalGB" xfId="1463"/>
    <cellStyle name="Normalny_24. 02. 97." xfId="1464"/>
    <cellStyle name="normбlnм_laroux" xfId="1465"/>
    <cellStyle name="Note" xfId="1466"/>
    <cellStyle name="Note 2" xfId="1467"/>
    <cellStyle name="Note 2 2" xfId="4705"/>
    <cellStyle name="Note 3" xfId="4706"/>
    <cellStyle name="Note 3 2" xfId="4707"/>
    <cellStyle name="Note 4" xfId="4708"/>
    <cellStyle name="number" xfId="1468"/>
    <cellStyle name="Ôčíŕíńîâűé [0]_(ňŕá 3č)" xfId="1469"/>
    <cellStyle name="Ôčíŕíńîâűé_(ňŕá 3č)" xfId="1470"/>
    <cellStyle name="Option" xfId="1471"/>
    <cellStyle name="Òûñÿ÷è [0]_cogs" xfId="1472"/>
    <cellStyle name="Òûñÿ÷è_cogs" xfId="1473"/>
    <cellStyle name="Output" xfId="1474"/>
    <cellStyle name="Output 2" xfId="1475"/>
    <cellStyle name="Output 2 2" xfId="4709"/>
    <cellStyle name="Output 3" xfId="4710"/>
    <cellStyle name="Output 3 2" xfId="4711"/>
    <cellStyle name="Output 4" xfId="4712"/>
    <cellStyle name="Page Number" xfId="1476"/>
    <cellStyle name="pb_page_heading_LS" xfId="1477"/>
    <cellStyle name="Percent_RS_Lianozovo-Samara_9m01" xfId="1478"/>
    <cellStyle name="Percent1" xfId="1479"/>
    <cellStyle name="Piug" xfId="1480"/>
    <cellStyle name="Plug" xfId="1481"/>
    <cellStyle name="Price_Body" xfId="1482"/>
    <cellStyle name="prochrek" xfId="1483"/>
    <cellStyle name="Protected" xfId="1484"/>
    <cellStyle name="S0" xfId="1485"/>
    <cellStyle name="S1" xfId="1486"/>
    <cellStyle name="S10" xfId="1487"/>
    <cellStyle name="S11" xfId="1488"/>
    <cellStyle name="S12" xfId="1489"/>
    <cellStyle name="S13" xfId="1490"/>
    <cellStyle name="S14" xfId="1491"/>
    <cellStyle name="S15" xfId="1492"/>
    <cellStyle name="S16" xfId="1493"/>
    <cellStyle name="S17" xfId="1494"/>
    <cellStyle name="S18" xfId="1495"/>
    <cellStyle name="S2" xfId="1496"/>
    <cellStyle name="S3" xfId="1497"/>
    <cellStyle name="S4" xfId="1498"/>
    <cellStyle name="S5" xfId="1499"/>
    <cellStyle name="S6" xfId="1500"/>
    <cellStyle name="S7" xfId="1501"/>
    <cellStyle name="S8" xfId="1502"/>
    <cellStyle name="S9" xfId="1503"/>
    <cellStyle name="Salomon Logo" xfId="1504"/>
    <cellStyle name="Salomon Logo 2" xfId="4713"/>
    <cellStyle name="SAPBEXaggData" xfId="1505"/>
    <cellStyle name="SAPBEXaggData 2" xfId="1506"/>
    <cellStyle name="SAPBEXaggData 2 2" xfId="4714"/>
    <cellStyle name="SAPBEXaggData 3" xfId="4715"/>
    <cellStyle name="SAPBEXaggData 3 2" xfId="4716"/>
    <cellStyle name="SAPBEXaggData 4" xfId="4717"/>
    <cellStyle name="SAPBEXaggDataEmph" xfId="1507"/>
    <cellStyle name="SAPBEXaggDataEmph 2" xfId="1508"/>
    <cellStyle name="SAPBEXaggDataEmph 2 2" xfId="4718"/>
    <cellStyle name="SAPBEXaggDataEmph 3" xfId="4719"/>
    <cellStyle name="SAPBEXaggDataEmph 3 2" xfId="4720"/>
    <cellStyle name="SAPBEXaggDataEmph 4" xfId="4721"/>
    <cellStyle name="SAPBEXaggItem" xfId="1509"/>
    <cellStyle name="SAPBEXaggItem 2" xfId="1510"/>
    <cellStyle name="SAPBEXaggItem 2 2" xfId="4722"/>
    <cellStyle name="SAPBEXaggItem 3" xfId="4723"/>
    <cellStyle name="SAPBEXaggItem 3 2" xfId="4724"/>
    <cellStyle name="SAPBEXaggItem 4" xfId="4725"/>
    <cellStyle name="SAPBEXaggItemX" xfId="1511"/>
    <cellStyle name="SAPBEXaggItemX 2" xfId="1512"/>
    <cellStyle name="SAPBEXaggItemX 2 2" xfId="4726"/>
    <cellStyle name="SAPBEXaggItemX 3" xfId="4727"/>
    <cellStyle name="SAPBEXaggItemX 3 2" xfId="4728"/>
    <cellStyle name="SAPBEXaggItemX 4" xfId="4729"/>
    <cellStyle name="SAPBEXchaText" xfId="1513"/>
    <cellStyle name="SAPBEXchaText 2" xfId="1514"/>
    <cellStyle name="SAPBEXchaText 2 2" xfId="1515"/>
    <cellStyle name="SAPBEXchaText 2 2 2" xfId="4730"/>
    <cellStyle name="SAPBEXchaText 2 3" xfId="4731"/>
    <cellStyle name="SAPBEXchaText 3" xfId="1516"/>
    <cellStyle name="SAPBEXchaText 3 2" xfId="1517"/>
    <cellStyle name="SAPBEXchaText 3 2 2" xfId="4732"/>
    <cellStyle name="SAPBEXchaText 3 3" xfId="4733"/>
    <cellStyle name="SAPBEXchaText 4" xfId="1518"/>
    <cellStyle name="SAPBEXchaText 4 2" xfId="4734"/>
    <cellStyle name="SAPBEXchaText 5" xfId="4735"/>
    <cellStyle name="SAPBEXexcBad7" xfId="1519"/>
    <cellStyle name="SAPBEXexcBad7 2" xfId="1520"/>
    <cellStyle name="SAPBEXexcBad7 2 2" xfId="4736"/>
    <cellStyle name="SAPBEXexcBad7 3" xfId="4737"/>
    <cellStyle name="SAPBEXexcBad7 3 2" xfId="4738"/>
    <cellStyle name="SAPBEXexcBad7 4" xfId="4739"/>
    <cellStyle name="SAPBEXexcBad8" xfId="1521"/>
    <cellStyle name="SAPBEXexcBad8 2" xfId="1522"/>
    <cellStyle name="SAPBEXexcBad8 2 2" xfId="4740"/>
    <cellStyle name="SAPBEXexcBad8 3" xfId="4741"/>
    <cellStyle name="SAPBEXexcBad8 3 2" xfId="4742"/>
    <cellStyle name="SAPBEXexcBad8 4" xfId="4743"/>
    <cellStyle name="SAPBEXexcBad9" xfId="1523"/>
    <cellStyle name="SAPBEXexcBad9 2" xfId="1524"/>
    <cellStyle name="SAPBEXexcBad9 2 2" xfId="4744"/>
    <cellStyle name="SAPBEXexcBad9 3" xfId="4745"/>
    <cellStyle name="SAPBEXexcBad9 3 2" xfId="4746"/>
    <cellStyle name="SAPBEXexcBad9 4" xfId="4747"/>
    <cellStyle name="SAPBEXexcCritical4" xfId="1525"/>
    <cellStyle name="SAPBEXexcCritical4 2" xfId="1526"/>
    <cellStyle name="SAPBEXexcCritical4 2 2" xfId="4748"/>
    <cellStyle name="SAPBEXexcCritical4 3" xfId="4749"/>
    <cellStyle name="SAPBEXexcCritical4 3 2" xfId="4750"/>
    <cellStyle name="SAPBEXexcCritical4 4" xfId="4751"/>
    <cellStyle name="SAPBEXexcCritical5" xfId="1527"/>
    <cellStyle name="SAPBEXexcCritical5 2" xfId="1528"/>
    <cellStyle name="SAPBEXexcCritical5 2 2" xfId="4752"/>
    <cellStyle name="SAPBEXexcCritical5 3" xfId="4753"/>
    <cellStyle name="SAPBEXexcCritical5 3 2" xfId="4754"/>
    <cellStyle name="SAPBEXexcCritical5 4" xfId="4755"/>
    <cellStyle name="SAPBEXexcCritical6" xfId="1529"/>
    <cellStyle name="SAPBEXexcCritical6 2" xfId="1530"/>
    <cellStyle name="SAPBEXexcCritical6 2 2" xfId="4756"/>
    <cellStyle name="SAPBEXexcCritical6 3" xfId="4757"/>
    <cellStyle name="SAPBEXexcCritical6 3 2" xfId="4758"/>
    <cellStyle name="SAPBEXexcCritical6 4" xfId="4759"/>
    <cellStyle name="SAPBEXexcGood1" xfId="1531"/>
    <cellStyle name="SAPBEXexcGood1 2" xfId="1532"/>
    <cellStyle name="SAPBEXexcGood1 2 2" xfId="4760"/>
    <cellStyle name="SAPBEXexcGood1 3" xfId="4761"/>
    <cellStyle name="SAPBEXexcGood1 3 2" xfId="4762"/>
    <cellStyle name="SAPBEXexcGood1 4" xfId="4763"/>
    <cellStyle name="SAPBEXexcGood2" xfId="1533"/>
    <cellStyle name="SAPBEXexcGood2 2" xfId="1534"/>
    <cellStyle name="SAPBEXexcGood2 2 2" xfId="4764"/>
    <cellStyle name="SAPBEXexcGood2 3" xfId="4765"/>
    <cellStyle name="SAPBEXexcGood2 3 2" xfId="4766"/>
    <cellStyle name="SAPBEXexcGood2 4" xfId="4767"/>
    <cellStyle name="SAPBEXexcGood3" xfId="1535"/>
    <cellStyle name="SAPBEXexcGood3 2" xfId="1536"/>
    <cellStyle name="SAPBEXexcGood3 2 2" xfId="4768"/>
    <cellStyle name="SAPBEXexcGood3 3" xfId="4769"/>
    <cellStyle name="SAPBEXexcGood3 3 2" xfId="4770"/>
    <cellStyle name="SAPBEXexcGood3 4" xfId="4771"/>
    <cellStyle name="SAPBEXfilterDrill" xfId="1537"/>
    <cellStyle name="SAPBEXfilterDrill 2" xfId="1538"/>
    <cellStyle name="SAPBEXfilterDrill 2 2" xfId="4772"/>
    <cellStyle name="SAPBEXfilterDrill 3" xfId="4773"/>
    <cellStyle name="SAPBEXfilterDrill 3 2" xfId="4774"/>
    <cellStyle name="SAPBEXfilterDrill 4" xfId="4775"/>
    <cellStyle name="SAPBEXfilterItem" xfId="1539"/>
    <cellStyle name="SAPBEXfilterItem 2" xfId="1540"/>
    <cellStyle name="SAPBEXfilterText" xfId="1541"/>
    <cellStyle name="SAPBEXformats" xfId="1542"/>
    <cellStyle name="SAPBEXformats 2" xfId="1543"/>
    <cellStyle name="SAPBEXformats 2 2" xfId="1544"/>
    <cellStyle name="SAPBEXformats 2 2 2" xfId="4776"/>
    <cellStyle name="SAPBEXformats 2 3" xfId="4777"/>
    <cellStyle name="SAPBEXformats 3" xfId="1545"/>
    <cellStyle name="SAPBEXformats 3 2" xfId="1546"/>
    <cellStyle name="SAPBEXformats 3 2 2" xfId="4778"/>
    <cellStyle name="SAPBEXformats 3 3" xfId="4779"/>
    <cellStyle name="SAPBEXformats 4" xfId="1547"/>
    <cellStyle name="SAPBEXformats 4 2" xfId="4780"/>
    <cellStyle name="SAPBEXformats 5" xfId="4781"/>
    <cellStyle name="SAPBEXheaderItem" xfId="1548"/>
    <cellStyle name="SAPBEXheaderItem 2" xfId="1549"/>
    <cellStyle name="SAPBEXheaderItem 2 2" xfId="4782"/>
    <cellStyle name="SAPBEXheaderItem 3" xfId="4783"/>
    <cellStyle name="SAPBEXheaderItem 3 2" xfId="4784"/>
    <cellStyle name="SAPBEXheaderItem 4" xfId="4785"/>
    <cellStyle name="SAPBEXheaderText" xfId="1550"/>
    <cellStyle name="SAPBEXheaderText 2" xfId="1551"/>
    <cellStyle name="SAPBEXheaderText 2 2" xfId="4786"/>
    <cellStyle name="SAPBEXheaderText 3" xfId="4787"/>
    <cellStyle name="SAPBEXheaderText 3 2" xfId="4788"/>
    <cellStyle name="SAPBEXheaderText 4" xfId="4789"/>
    <cellStyle name="SAPBEXHLevel0" xfId="1552"/>
    <cellStyle name="SAPBEXHLevel0 2" xfId="1553"/>
    <cellStyle name="SAPBEXHLevel0 2 2" xfId="1554"/>
    <cellStyle name="SAPBEXHLevel0 2 2 2" xfId="4790"/>
    <cellStyle name="SAPBEXHLevel0 2 3" xfId="4791"/>
    <cellStyle name="SAPBEXHLevel0 3" xfId="1555"/>
    <cellStyle name="SAPBEXHLevel0 3 2" xfId="1556"/>
    <cellStyle name="SAPBEXHLevel0 3 2 2" xfId="4792"/>
    <cellStyle name="SAPBEXHLevel0 3 3" xfId="4793"/>
    <cellStyle name="SAPBEXHLevel0 4" xfId="1557"/>
    <cellStyle name="SAPBEXHLevel0 4 2" xfId="4794"/>
    <cellStyle name="SAPBEXHLevel0 5" xfId="4795"/>
    <cellStyle name="SAPBEXHLevel0X" xfId="1558"/>
    <cellStyle name="SAPBEXHLevel0X 2" xfId="1559"/>
    <cellStyle name="SAPBEXHLevel0X 2 2" xfId="1560"/>
    <cellStyle name="SAPBEXHLevel0X 2 2 2" xfId="4796"/>
    <cellStyle name="SAPBEXHLevel0X 2 3" xfId="4797"/>
    <cellStyle name="SAPBEXHLevel0X 3" xfId="1561"/>
    <cellStyle name="SAPBEXHLevel0X 3 2" xfId="1562"/>
    <cellStyle name="SAPBEXHLevel0X 3 2 2" xfId="4798"/>
    <cellStyle name="SAPBEXHLevel0X 3 3" xfId="4799"/>
    <cellStyle name="SAPBEXHLevel0X 4" xfId="1563"/>
    <cellStyle name="SAPBEXHLevel0X 4 2" xfId="4800"/>
    <cellStyle name="SAPBEXHLevel0X 5" xfId="4801"/>
    <cellStyle name="SAPBEXHLevel1" xfId="1564"/>
    <cellStyle name="SAPBEXHLevel1 2" xfId="1565"/>
    <cellStyle name="SAPBEXHLevel1 2 2" xfId="1566"/>
    <cellStyle name="SAPBEXHLevel1 2 2 2" xfId="4802"/>
    <cellStyle name="SAPBEXHLevel1 2 3" xfId="4803"/>
    <cellStyle name="SAPBEXHLevel1 3" xfId="1567"/>
    <cellStyle name="SAPBEXHLevel1 3 2" xfId="1568"/>
    <cellStyle name="SAPBEXHLevel1 3 2 2" xfId="4804"/>
    <cellStyle name="SAPBEXHLevel1 3 3" xfId="4805"/>
    <cellStyle name="SAPBEXHLevel1 4" xfId="1569"/>
    <cellStyle name="SAPBEXHLevel1 4 2" xfId="4806"/>
    <cellStyle name="SAPBEXHLevel1 5" xfId="4807"/>
    <cellStyle name="SAPBEXHLevel1X" xfId="1570"/>
    <cellStyle name="SAPBEXHLevel1X 2" xfId="1571"/>
    <cellStyle name="SAPBEXHLevel1X 2 2" xfId="1572"/>
    <cellStyle name="SAPBEXHLevel1X 2 2 2" xfId="4808"/>
    <cellStyle name="SAPBEXHLevel1X 2 3" xfId="4809"/>
    <cellStyle name="SAPBEXHLevel1X 3" xfId="1573"/>
    <cellStyle name="SAPBEXHLevel1X 3 2" xfId="1574"/>
    <cellStyle name="SAPBEXHLevel1X 3 2 2" xfId="4810"/>
    <cellStyle name="SAPBEXHLevel1X 3 3" xfId="4811"/>
    <cellStyle name="SAPBEXHLevel1X 4" xfId="1575"/>
    <cellStyle name="SAPBEXHLevel1X 4 2" xfId="4812"/>
    <cellStyle name="SAPBEXHLevel1X 5" xfId="4813"/>
    <cellStyle name="SAPBEXHLevel2" xfId="1576"/>
    <cellStyle name="SAPBEXHLevel2 2" xfId="1577"/>
    <cellStyle name="SAPBEXHLevel2 2 2" xfId="1578"/>
    <cellStyle name="SAPBEXHLevel2 2 2 2" xfId="4814"/>
    <cellStyle name="SAPBEXHLevel2 2 3" xfId="4815"/>
    <cellStyle name="SAPBEXHLevel2 3" xfId="1579"/>
    <cellStyle name="SAPBEXHLevel2 3 2" xfId="1580"/>
    <cellStyle name="SAPBEXHLevel2 3 2 2" xfId="4816"/>
    <cellStyle name="SAPBEXHLevel2 3 3" xfId="4817"/>
    <cellStyle name="SAPBEXHLevel2 4" xfId="1581"/>
    <cellStyle name="SAPBEXHLevel2 4 2" xfId="4818"/>
    <cellStyle name="SAPBEXHLevel2 5" xfId="4819"/>
    <cellStyle name="SAPBEXHLevel2X" xfId="1582"/>
    <cellStyle name="SAPBEXHLevel2X 2" xfId="1583"/>
    <cellStyle name="SAPBEXHLevel2X 2 2" xfId="1584"/>
    <cellStyle name="SAPBEXHLevel2X 2 2 2" xfId="4820"/>
    <cellStyle name="SAPBEXHLevel2X 2 3" xfId="4821"/>
    <cellStyle name="SAPBEXHLevel2X 3" xfId="1585"/>
    <cellStyle name="SAPBEXHLevel2X 3 2" xfId="1586"/>
    <cellStyle name="SAPBEXHLevel2X 3 2 2" xfId="4822"/>
    <cellStyle name="SAPBEXHLevel2X 3 3" xfId="4823"/>
    <cellStyle name="SAPBEXHLevel2X 4" xfId="1587"/>
    <cellStyle name="SAPBEXHLevel2X 4 2" xfId="4824"/>
    <cellStyle name="SAPBEXHLevel2X 5" xfId="4825"/>
    <cellStyle name="SAPBEXHLevel3" xfId="1588"/>
    <cellStyle name="SAPBEXHLevel3 2" xfId="1589"/>
    <cellStyle name="SAPBEXHLevel3 2 2" xfId="1590"/>
    <cellStyle name="SAPBEXHLevel3 2 2 2" xfId="4826"/>
    <cellStyle name="SAPBEXHLevel3 2 3" xfId="4827"/>
    <cellStyle name="SAPBEXHLevel3 3" xfId="1591"/>
    <cellStyle name="SAPBEXHLevel3 3 2" xfId="1592"/>
    <cellStyle name="SAPBEXHLevel3 3 2 2" xfId="4828"/>
    <cellStyle name="SAPBEXHLevel3 3 3" xfId="4829"/>
    <cellStyle name="SAPBEXHLevel3 4" xfId="1593"/>
    <cellStyle name="SAPBEXHLevel3 4 2" xfId="4830"/>
    <cellStyle name="SAPBEXHLevel3 5" xfId="4831"/>
    <cellStyle name="SAPBEXHLevel3X" xfId="1594"/>
    <cellStyle name="SAPBEXHLevel3X 2" xfId="1595"/>
    <cellStyle name="SAPBEXHLevel3X 2 2" xfId="1596"/>
    <cellStyle name="SAPBEXHLevel3X 2 2 2" xfId="4832"/>
    <cellStyle name="SAPBEXHLevel3X 2 3" xfId="4833"/>
    <cellStyle name="SAPBEXHLevel3X 3" xfId="1597"/>
    <cellStyle name="SAPBEXHLevel3X 3 2" xfId="1598"/>
    <cellStyle name="SAPBEXHLevel3X 3 2 2" xfId="4834"/>
    <cellStyle name="SAPBEXHLevel3X 3 3" xfId="4835"/>
    <cellStyle name="SAPBEXHLevel3X 4" xfId="1599"/>
    <cellStyle name="SAPBEXHLevel3X 4 2" xfId="4836"/>
    <cellStyle name="SAPBEXHLevel3X 5" xfId="4837"/>
    <cellStyle name="SAPBEXinputData" xfId="1600"/>
    <cellStyle name="SAPBEXresData" xfId="1601"/>
    <cellStyle name="SAPBEXresData 2" xfId="1602"/>
    <cellStyle name="SAPBEXresData 2 2" xfId="4838"/>
    <cellStyle name="SAPBEXresData 3" xfId="4839"/>
    <cellStyle name="SAPBEXresData 3 2" xfId="4840"/>
    <cellStyle name="SAPBEXresData 4" xfId="4841"/>
    <cellStyle name="SAPBEXresDataEmph" xfId="1603"/>
    <cellStyle name="SAPBEXresDataEmph 2" xfId="1604"/>
    <cellStyle name="SAPBEXresDataEmph 2 2" xfId="4842"/>
    <cellStyle name="SAPBEXresDataEmph 3" xfId="4843"/>
    <cellStyle name="SAPBEXresDataEmph 3 2" xfId="4844"/>
    <cellStyle name="SAPBEXresDataEmph 4" xfId="4845"/>
    <cellStyle name="SAPBEXresItem" xfId="1605"/>
    <cellStyle name="SAPBEXresItem 2" xfId="1606"/>
    <cellStyle name="SAPBEXresItem 2 2" xfId="4846"/>
    <cellStyle name="SAPBEXresItem 3" xfId="4847"/>
    <cellStyle name="SAPBEXresItem 3 2" xfId="4848"/>
    <cellStyle name="SAPBEXresItem 4" xfId="4849"/>
    <cellStyle name="SAPBEXresItemX" xfId="1607"/>
    <cellStyle name="SAPBEXresItemX 2" xfId="1608"/>
    <cellStyle name="SAPBEXresItemX 2 2" xfId="4850"/>
    <cellStyle name="SAPBEXresItemX 3" xfId="4851"/>
    <cellStyle name="SAPBEXresItemX 3 2" xfId="4852"/>
    <cellStyle name="SAPBEXresItemX 4" xfId="4853"/>
    <cellStyle name="SAPBEXstdData" xfId="1609"/>
    <cellStyle name="SAPBEXstdData 2" xfId="1610"/>
    <cellStyle name="SAPBEXstdData 2 2" xfId="4854"/>
    <cellStyle name="SAPBEXstdData 3" xfId="4855"/>
    <cellStyle name="SAPBEXstdData 3 2" xfId="4856"/>
    <cellStyle name="SAPBEXstdData 4" xfId="4857"/>
    <cellStyle name="SAPBEXstdDataEmph" xfId="1611"/>
    <cellStyle name="SAPBEXstdDataEmph 2" xfId="1612"/>
    <cellStyle name="SAPBEXstdDataEmph 2 2" xfId="4858"/>
    <cellStyle name="SAPBEXstdDataEmph 3" xfId="4859"/>
    <cellStyle name="SAPBEXstdDataEmph 3 2" xfId="4860"/>
    <cellStyle name="SAPBEXstdDataEmph 4" xfId="4861"/>
    <cellStyle name="SAPBEXstdItem" xfId="1613"/>
    <cellStyle name="SAPBEXstdItem 2" xfId="1614"/>
    <cellStyle name="SAPBEXstdItem 2 2" xfId="1615"/>
    <cellStyle name="SAPBEXstdItem 2 2 2" xfId="4862"/>
    <cellStyle name="SAPBEXstdItem 2 3" xfId="4863"/>
    <cellStyle name="SAPBEXstdItem 3" xfId="1616"/>
    <cellStyle name="SAPBEXstdItem 3 2" xfId="1617"/>
    <cellStyle name="SAPBEXstdItem 3 2 2" xfId="4864"/>
    <cellStyle name="SAPBEXstdItem 3 3" xfId="4865"/>
    <cellStyle name="SAPBEXstdItem 4" xfId="1618"/>
    <cellStyle name="SAPBEXstdItem 4 2" xfId="4866"/>
    <cellStyle name="SAPBEXstdItem 5" xfId="4867"/>
    <cellStyle name="SAPBEXstdItemX" xfId="1619"/>
    <cellStyle name="SAPBEXstdItemX 2" xfId="1620"/>
    <cellStyle name="SAPBEXstdItemX 2 2" xfId="1621"/>
    <cellStyle name="SAPBEXstdItemX 2 2 2" xfId="4868"/>
    <cellStyle name="SAPBEXstdItemX 2 3" xfId="4869"/>
    <cellStyle name="SAPBEXstdItemX 3" xfId="1622"/>
    <cellStyle name="SAPBEXstdItemX 3 2" xfId="1623"/>
    <cellStyle name="SAPBEXstdItemX 3 2 2" xfId="4870"/>
    <cellStyle name="SAPBEXstdItemX 3 3" xfId="4871"/>
    <cellStyle name="SAPBEXstdItemX 4" xfId="1624"/>
    <cellStyle name="SAPBEXstdItemX 4 2" xfId="4872"/>
    <cellStyle name="SAPBEXstdItemX 5" xfId="4873"/>
    <cellStyle name="SAPBEXtitle" xfId="1625"/>
    <cellStyle name="SAPBEXundefined" xfId="1626"/>
    <cellStyle name="SAPBEXundefined 2" xfId="1627"/>
    <cellStyle name="SAPBEXundefined 2 2" xfId="4874"/>
    <cellStyle name="SAPBEXundefined 3" xfId="4875"/>
    <cellStyle name="SAPBEXundefined 3 2" xfId="4876"/>
    <cellStyle name="SAPBEXundefined 4" xfId="4877"/>
    <cellStyle name="st1" xfId="1628"/>
    <cellStyle name="Standard_NEGS" xfId="1629"/>
    <cellStyle name="Style 1" xfId="1630"/>
    <cellStyle name="styleColumnTitles" xfId="1631"/>
    <cellStyle name="styleColumnTitles 2" xfId="4878"/>
    <cellStyle name="styleDateRange" xfId="1632"/>
    <cellStyle name="styleDateRange 2" xfId="4879"/>
    <cellStyle name="styleHidden" xfId="1633"/>
    <cellStyle name="styleNormal" xfId="1634"/>
    <cellStyle name="styleSeriesAttributes" xfId="1635"/>
    <cellStyle name="styleSeriesAttributes 2" xfId="4880"/>
    <cellStyle name="styleSeriesData" xfId="1636"/>
    <cellStyle name="styleSeriesData 2" xfId="4881"/>
    <cellStyle name="styleSeriesDataForecast" xfId="1637"/>
    <cellStyle name="styleSeriesDataForecast 2" xfId="4882"/>
    <cellStyle name="styleSeriesDataForecastNA" xfId="1638"/>
    <cellStyle name="styleSeriesDataForecastNA 2" xfId="4883"/>
    <cellStyle name="styleSeriesDataNA" xfId="1639"/>
    <cellStyle name="styleSeriesDataNA 2" xfId="4884"/>
    <cellStyle name="Table Head" xfId="1640"/>
    <cellStyle name="Table Head Aligned" xfId="1641"/>
    <cellStyle name="Table Head Blue" xfId="1642"/>
    <cellStyle name="Table Head Green" xfId="1643"/>
    <cellStyle name="Table Head_Val_Sum_Graph" xfId="1644"/>
    <cellStyle name="Table Heading" xfId="1645"/>
    <cellStyle name="Table Heading 2" xfId="1646"/>
    <cellStyle name="Table Heading_46EP.2011(v2.0)" xfId="1647"/>
    <cellStyle name="Table Text" xfId="1648"/>
    <cellStyle name="Table Title" xfId="1649"/>
    <cellStyle name="Table Units" xfId="1650"/>
    <cellStyle name="Table_Header" xfId="1651"/>
    <cellStyle name="Text" xfId="1652"/>
    <cellStyle name="Text 1" xfId="1653"/>
    <cellStyle name="Text Head" xfId="1654"/>
    <cellStyle name="Text Head 1" xfId="1655"/>
    <cellStyle name="Title" xfId="1656"/>
    <cellStyle name="Title 4" xfId="1657"/>
    <cellStyle name="Total" xfId="1658"/>
    <cellStyle name="Total 2" xfId="1659"/>
    <cellStyle name="Total 2 2" xfId="4885"/>
    <cellStyle name="Total 3" xfId="4886"/>
    <cellStyle name="Total 3 2" xfId="4887"/>
    <cellStyle name="Total 4" xfId="4888"/>
    <cellStyle name="TotalCurrency" xfId="1660"/>
    <cellStyle name="Underline_Single" xfId="1661"/>
    <cellStyle name="Unit" xfId="1662"/>
    <cellStyle name="Warning Text" xfId="1663"/>
    <cellStyle name="year" xfId="1664"/>
    <cellStyle name="Акцент1 10" xfId="1665"/>
    <cellStyle name="Акцент1 2" xfId="1666"/>
    <cellStyle name="Акцент1 2 2" xfId="1667"/>
    <cellStyle name="Акцент1 3" xfId="1668"/>
    <cellStyle name="Акцент1 3 2" xfId="1669"/>
    <cellStyle name="Акцент1 3 3" xfId="1670"/>
    <cellStyle name="Акцент1 3 3 2" xfId="1671"/>
    <cellStyle name="Акцент1 3 4" xfId="4889"/>
    <cellStyle name="Акцент1 4" xfId="1672"/>
    <cellStyle name="Акцент1 4 2" xfId="1673"/>
    <cellStyle name="Акцент1 5" xfId="1674"/>
    <cellStyle name="Акцент1 5 2" xfId="1675"/>
    <cellStyle name="Акцент1 6" xfId="1676"/>
    <cellStyle name="Акцент1 6 2" xfId="1677"/>
    <cellStyle name="Акцент1 7" xfId="1678"/>
    <cellStyle name="Акцент1 7 2" xfId="1679"/>
    <cellStyle name="Акцент1 8" xfId="1680"/>
    <cellStyle name="Акцент1 8 2" xfId="1681"/>
    <cellStyle name="Акцент1 9" xfId="1682"/>
    <cellStyle name="Акцент1 9 2" xfId="1683"/>
    <cellStyle name="Акцент2 10" xfId="1684"/>
    <cellStyle name="Акцент2 2" xfId="1685"/>
    <cellStyle name="Акцент2 2 2" xfId="1686"/>
    <cellStyle name="Акцент2 3" xfId="1687"/>
    <cellStyle name="Акцент2 3 2" xfId="1688"/>
    <cellStyle name="Акцент2 3 3" xfId="1689"/>
    <cellStyle name="Акцент2 3 3 2" xfId="1690"/>
    <cellStyle name="Акцент2 3 4" xfId="4890"/>
    <cellStyle name="Акцент2 4" xfId="1691"/>
    <cellStyle name="Акцент2 4 2" xfId="1692"/>
    <cellStyle name="Акцент2 5" xfId="1693"/>
    <cellStyle name="Акцент2 5 2" xfId="1694"/>
    <cellStyle name="Акцент2 6" xfId="1695"/>
    <cellStyle name="Акцент2 6 2" xfId="1696"/>
    <cellStyle name="Акцент2 7" xfId="1697"/>
    <cellStyle name="Акцент2 7 2" xfId="1698"/>
    <cellStyle name="Акцент2 8" xfId="1699"/>
    <cellStyle name="Акцент2 8 2" xfId="1700"/>
    <cellStyle name="Акцент2 9" xfId="1701"/>
    <cellStyle name="Акцент2 9 2" xfId="1702"/>
    <cellStyle name="Акцент3 10" xfId="1703"/>
    <cellStyle name="Акцент3 2" xfId="1704"/>
    <cellStyle name="Акцент3 2 2" xfId="1705"/>
    <cellStyle name="Акцент3 3" xfId="1706"/>
    <cellStyle name="Акцент3 3 2" xfId="1707"/>
    <cellStyle name="Акцент3 3 3" xfId="1708"/>
    <cellStyle name="Акцент3 3 3 2" xfId="1709"/>
    <cellStyle name="Акцент3 3 4" xfId="4891"/>
    <cellStyle name="Акцент3 4" xfId="1710"/>
    <cellStyle name="Акцент3 4 2" xfId="1711"/>
    <cellStyle name="Акцент3 5" xfId="1712"/>
    <cellStyle name="Акцент3 5 2" xfId="1713"/>
    <cellStyle name="Акцент3 6" xfId="1714"/>
    <cellStyle name="Акцент3 6 2" xfId="1715"/>
    <cellStyle name="Акцент3 7" xfId="1716"/>
    <cellStyle name="Акцент3 7 2" xfId="1717"/>
    <cellStyle name="Акцент3 8" xfId="1718"/>
    <cellStyle name="Акцент3 8 2" xfId="1719"/>
    <cellStyle name="Акцент3 9" xfId="1720"/>
    <cellStyle name="Акцент3 9 2" xfId="1721"/>
    <cellStyle name="Акцент4 10" xfId="1722"/>
    <cellStyle name="Акцент4 2" xfId="1723"/>
    <cellStyle name="Акцент4 2 2" xfId="1724"/>
    <cellStyle name="Акцент4 3" xfId="1725"/>
    <cellStyle name="Акцент4 3 2" xfId="1726"/>
    <cellStyle name="Акцент4 3 3" xfId="1727"/>
    <cellStyle name="Акцент4 3 3 2" xfId="1728"/>
    <cellStyle name="Акцент4 3 4" xfId="4892"/>
    <cellStyle name="Акцент4 4" xfId="1729"/>
    <cellStyle name="Акцент4 4 2" xfId="1730"/>
    <cellStyle name="Акцент4 5" xfId="1731"/>
    <cellStyle name="Акцент4 5 2" xfId="1732"/>
    <cellStyle name="Акцент4 6" xfId="1733"/>
    <cellStyle name="Акцент4 6 2" xfId="1734"/>
    <cellStyle name="Акцент4 7" xfId="1735"/>
    <cellStyle name="Акцент4 7 2" xfId="1736"/>
    <cellStyle name="Акцент4 8" xfId="1737"/>
    <cellStyle name="Акцент4 8 2" xfId="1738"/>
    <cellStyle name="Акцент4 9" xfId="1739"/>
    <cellStyle name="Акцент4 9 2" xfId="1740"/>
    <cellStyle name="Акцент5 10" xfId="1741"/>
    <cellStyle name="Акцент5 2" xfId="1742"/>
    <cellStyle name="Акцент5 2 2" xfId="1743"/>
    <cellStyle name="Акцент5 3" xfId="1744"/>
    <cellStyle name="Акцент5 3 2" xfId="1745"/>
    <cellStyle name="Акцент5 3 3" xfId="1746"/>
    <cellStyle name="Акцент5 3 3 2" xfId="1747"/>
    <cellStyle name="Акцент5 3 4" xfId="4893"/>
    <cellStyle name="Акцент5 4" xfId="1748"/>
    <cellStyle name="Акцент5 4 2" xfId="1749"/>
    <cellStyle name="Акцент5 5" xfId="1750"/>
    <cellStyle name="Акцент5 5 2" xfId="1751"/>
    <cellStyle name="Акцент5 6" xfId="1752"/>
    <cellStyle name="Акцент5 6 2" xfId="1753"/>
    <cellStyle name="Акцент5 7" xfId="1754"/>
    <cellStyle name="Акцент5 7 2" xfId="1755"/>
    <cellStyle name="Акцент5 8" xfId="1756"/>
    <cellStyle name="Акцент5 8 2" xfId="1757"/>
    <cellStyle name="Акцент5 9" xfId="1758"/>
    <cellStyle name="Акцент5 9 2" xfId="1759"/>
    <cellStyle name="Акцент6 10" xfId="1760"/>
    <cellStyle name="Акцент6 2" xfId="1761"/>
    <cellStyle name="Акцент6 2 2" xfId="1762"/>
    <cellStyle name="Акцент6 3" xfId="1763"/>
    <cellStyle name="Акцент6 3 2" xfId="1764"/>
    <cellStyle name="Акцент6 3 3" xfId="1765"/>
    <cellStyle name="Акцент6 3 3 2" xfId="1766"/>
    <cellStyle name="Акцент6 3 4" xfId="4894"/>
    <cellStyle name="Акцент6 4" xfId="1767"/>
    <cellStyle name="Акцент6 4 2" xfId="1768"/>
    <cellStyle name="Акцент6 5" xfId="1769"/>
    <cellStyle name="Акцент6 5 2" xfId="1770"/>
    <cellStyle name="Акцент6 6" xfId="1771"/>
    <cellStyle name="Акцент6 6 2" xfId="1772"/>
    <cellStyle name="Акцент6 7" xfId="1773"/>
    <cellStyle name="Акцент6 7 2" xfId="1774"/>
    <cellStyle name="Акцент6 8" xfId="1775"/>
    <cellStyle name="Акцент6 8 2" xfId="1776"/>
    <cellStyle name="Акцент6 9" xfId="1777"/>
    <cellStyle name="Акцент6 9 2" xfId="1778"/>
    <cellStyle name="Беззащитный" xfId="1779"/>
    <cellStyle name="Ввод  10" xfId="1780"/>
    <cellStyle name="Ввод  10 2" xfId="4895"/>
    <cellStyle name="Ввод  2" xfId="1781"/>
    <cellStyle name="Ввод  2 2" xfId="1782"/>
    <cellStyle name="Ввод  2 2 2" xfId="1783"/>
    <cellStyle name="Ввод  2 2 2 2" xfId="4896"/>
    <cellStyle name="Ввод  2 2 3" xfId="4897"/>
    <cellStyle name="Ввод  2 2 3 2" xfId="4898"/>
    <cellStyle name="Ввод  2 2 4" xfId="4899"/>
    <cellStyle name="Ввод  2 3" xfId="1784"/>
    <cellStyle name="Ввод  2 3 2" xfId="4900"/>
    <cellStyle name="Ввод  2 4" xfId="4901"/>
    <cellStyle name="Ввод  2 4 2" xfId="4902"/>
    <cellStyle name="Ввод  2 5" xfId="4903"/>
    <cellStyle name="Ввод  2_46EE.2011(v1.0)" xfId="1785"/>
    <cellStyle name="Ввод  3" xfId="1786"/>
    <cellStyle name="Ввод  3 2" xfId="1787"/>
    <cellStyle name="Ввод  3 2 2" xfId="1788"/>
    <cellStyle name="Ввод  3 2 2 2" xfId="4904"/>
    <cellStyle name="Ввод  3 2 3" xfId="4905"/>
    <cellStyle name="Ввод  3 2 3 2" xfId="4906"/>
    <cellStyle name="Ввод  3 2 4" xfId="4907"/>
    <cellStyle name="Ввод  3 3" xfId="1789"/>
    <cellStyle name="Ввод  3 3 2" xfId="1790"/>
    <cellStyle name="Ввод  3 3 2 2" xfId="4908"/>
    <cellStyle name="Ввод  3 3 3" xfId="4909"/>
    <cellStyle name="Ввод  3 4" xfId="4910"/>
    <cellStyle name="Ввод  3 4 2" xfId="4911"/>
    <cellStyle name="Ввод  3 5" xfId="4912"/>
    <cellStyle name="Ввод  3 6" xfId="4913"/>
    <cellStyle name="Ввод  3_46EE.2011(v1.0)" xfId="1791"/>
    <cellStyle name="Ввод  4" xfId="1792"/>
    <cellStyle name="Ввод  4 2" xfId="1793"/>
    <cellStyle name="Ввод  4 2 2" xfId="1794"/>
    <cellStyle name="Ввод  4 2 2 2" xfId="4914"/>
    <cellStyle name="Ввод  4 2 3" xfId="4915"/>
    <cellStyle name="Ввод  4 2 3 2" xfId="4916"/>
    <cellStyle name="Ввод  4 2 4" xfId="4917"/>
    <cellStyle name="Ввод  4 3" xfId="1795"/>
    <cellStyle name="Ввод  4 3 2" xfId="4918"/>
    <cellStyle name="Ввод  4 4" xfId="4919"/>
    <cellStyle name="Ввод  4 4 2" xfId="4920"/>
    <cellStyle name="Ввод  4 5" xfId="4921"/>
    <cellStyle name="Ввод  4_46EE.2011(v1.0)" xfId="1796"/>
    <cellStyle name="Ввод  5" xfId="1797"/>
    <cellStyle name="Ввод  5 2" xfId="1798"/>
    <cellStyle name="Ввод  5 2 2" xfId="1799"/>
    <cellStyle name="Ввод  5 2 2 2" xfId="4922"/>
    <cellStyle name="Ввод  5 2 3" xfId="4923"/>
    <cellStyle name="Ввод  5 2 3 2" xfId="4924"/>
    <cellStyle name="Ввод  5 2 4" xfId="4925"/>
    <cellStyle name="Ввод  5 3" xfId="1800"/>
    <cellStyle name="Ввод  5 3 2" xfId="4926"/>
    <cellStyle name="Ввод  5 4" xfId="4927"/>
    <cellStyle name="Ввод  5 4 2" xfId="4928"/>
    <cellStyle name="Ввод  5 5" xfId="4929"/>
    <cellStyle name="Ввод  5_46EE.2011(v1.0)" xfId="1801"/>
    <cellStyle name="Ввод  6" xfId="1802"/>
    <cellStyle name="Ввод  6 2" xfId="1803"/>
    <cellStyle name="Ввод  6 2 2" xfId="1804"/>
    <cellStyle name="Ввод  6 2 2 2" xfId="4930"/>
    <cellStyle name="Ввод  6 2 3" xfId="4931"/>
    <cellStyle name="Ввод  6 2 3 2" xfId="4932"/>
    <cellStyle name="Ввод  6 2 4" xfId="4933"/>
    <cellStyle name="Ввод  6 3" xfId="1805"/>
    <cellStyle name="Ввод  6 3 2" xfId="4934"/>
    <cellStyle name="Ввод  6 4" xfId="4935"/>
    <cellStyle name="Ввод  6 4 2" xfId="4936"/>
    <cellStyle name="Ввод  6 5" xfId="4937"/>
    <cellStyle name="Ввод  6_46EE.2011(v1.0)" xfId="1806"/>
    <cellStyle name="Ввод  7" xfId="1807"/>
    <cellStyle name="Ввод  7 2" xfId="1808"/>
    <cellStyle name="Ввод  7 2 2" xfId="1809"/>
    <cellStyle name="Ввод  7 2 2 2" xfId="4938"/>
    <cellStyle name="Ввод  7 2 3" xfId="4939"/>
    <cellStyle name="Ввод  7 2 3 2" xfId="4940"/>
    <cellStyle name="Ввод  7 2 4" xfId="4941"/>
    <cellStyle name="Ввод  7 3" xfId="1810"/>
    <cellStyle name="Ввод  7 3 2" xfId="4942"/>
    <cellStyle name="Ввод  7 4" xfId="4943"/>
    <cellStyle name="Ввод  7 4 2" xfId="4944"/>
    <cellStyle name="Ввод  7 5" xfId="4945"/>
    <cellStyle name="Ввод  7_46EE.2011(v1.0)" xfId="1811"/>
    <cellStyle name="Ввод  8" xfId="1812"/>
    <cellStyle name="Ввод  8 2" xfId="1813"/>
    <cellStyle name="Ввод  8 2 2" xfId="1814"/>
    <cellStyle name="Ввод  8 2 2 2" xfId="4946"/>
    <cellStyle name="Ввод  8 2 3" xfId="4947"/>
    <cellStyle name="Ввод  8 2 3 2" xfId="4948"/>
    <cellStyle name="Ввод  8 2 4" xfId="4949"/>
    <cellStyle name="Ввод  8 3" xfId="1815"/>
    <cellStyle name="Ввод  8 3 2" xfId="4950"/>
    <cellStyle name="Ввод  8 4" xfId="4951"/>
    <cellStyle name="Ввод  8 4 2" xfId="4952"/>
    <cellStyle name="Ввод  8 5" xfId="4953"/>
    <cellStyle name="Ввод  8_46EE.2011(v1.0)" xfId="1816"/>
    <cellStyle name="Ввод  9" xfId="1817"/>
    <cellStyle name="Ввод  9 2" xfId="1818"/>
    <cellStyle name="Ввод  9 2 2" xfId="1819"/>
    <cellStyle name="Ввод  9 2 2 2" xfId="4954"/>
    <cellStyle name="Ввод  9 2 3" xfId="4955"/>
    <cellStyle name="Ввод  9 2 3 2" xfId="4956"/>
    <cellStyle name="Ввод  9 2 4" xfId="4957"/>
    <cellStyle name="Ввод  9 3" xfId="1820"/>
    <cellStyle name="Ввод  9 3 2" xfId="4958"/>
    <cellStyle name="Ввод  9 4" xfId="4959"/>
    <cellStyle name="Ввод  9 4 2" xfId="4960"/>
    <cellStyle name="Ввод  9 5" xfId="4961"/>
    <cellStyle name="Ввод  9_46EE.2011(v1.0)" xfId="1821"/>
    <cellStyle name="Верт. заголовок" xfId="1822"/>
    <cellStyle name="Вес_продукта" xfId="1823"/>
    <cellStyle name="Вывод 10" xfId="1824"/>
    <cellStyle name="Вывод 10 2" xfId="4962"/>
    <cellStyle name="Вывод 2" xfId="1825"/>
    <cellStyle name="Вывод 2 2" xfId="1826"/>
    <cellStyle name="Вывод 2 2 2" xfId="1827"/>
    <cellStyle name="Вывод 2 2 2 2" xfId="4963"/>
    <cellStyle name="Вывод 2 2 3" xfId="4964"/>
    <cellStyle name="Вывод 2 2 3 2" xfId="4965"/>
    <cellStyle name="Вывод 2 2 4" xfId="4966"/>
    <cellStyle name="Вывод 2 3" xfId="1828"/>
    <cellStyle name="Вывод 2 3 2" xfId="4967"/>
    <cellStyle name="Вывод 2 4" xfId="4968"/>
    <cellStyle name="Вывод 2 4 2" xfId="4969"/>
    <cellStyle name="Вывод 2 5" xfId="4970"/>
    <cellStyle name="Вывод 2_46EE.2011(v1.0)" xfId="1829"/>
    <cellStyle name="Вывод 3" xfId="1830"/>
    <cellStyle name="Вывод 3 2" xfId="1831"/>
    <cellStyle name="Вывод 3 2 2" xfId="1832"/>
    <cellStyle name="Вывод 3 2 2 2" xfId="4971"/>
    <cellStyle name="Вывод 3 2 3" xfId="4972"/>
    <cellStyle name="Вывод 3 2 3 2" xfId="4973"/>
    <cellStyle name="Вывод 3 2 4" xfId="4974"/>
    <cellStyle name="Вывод 3 3" xfId="1833"/>
    <cellStyle name="Вывод 3 3 2" xfId="1834"/>
    <cellStyle name="Вывод 3 3 2 2" xfId="4975"/>
    <cellStyle name="Вывод 3 3 3" xfId="4976"/>
    <cellStyle name="Вывод 3 4" xfId="4977"/>
    <cellStyle name="Вывод 3 4 2" xfId="4978"/>
    <cellStyle name="Вывод 3 5" xfId="4979"/>
    <cellStyle name="Вывод 3 6" xfId="4980"/>
    <cellStyle name="Вывод 3_46EE.2011(v1.0)" xfId="1835"/>
    <cellStyle name="Вывод 4" xfId="1836"/>
    <cellStyle name="Вывод 4 2" xfId="1837"/>
    <cellStyle name="Вывод 4 2 2" xfId="1838"/>
    <cellStyle name="Вывод 4 2 2 2" xfId="4981"/>
    <cellStyle name="Вывод 4 2 3" xfId="4982"/>
    <cellStyle name="Вывод 4 2 3 2" xfId="4983"/>
    <cellStyle name="Вывод 4 2 4" xfId="4984"/>
    <cellStyle name="Вывод 4 3" xfId="1839"/>
    <cellStyle name="Вывод 4 3 2" xfId="4985"/>
    <cellStyle name="Вывод 4 4" xfId="4986"/>
    <cellStyle name="Вывод 4 4 2" xfId="4987"/>
    <cellStyle name="Вывод 4 5" xfId="4988"/>
    <cellStyle name="Вывод 4_46EE.2011(v1.0)" xfId="1840"/>
    <cellStyle name="Вывод 5" xfId="1841"/>
    <cellStyle name="Вывод 5 2" xfId="1842"/>
    <cellStyle name="Вывод 5 2 2" xfId="1843"/>
    <cellStyle name="Вывод 5 2 2 2" xfId="4989"/>
    <cellStyle name="Вывод 5 2 3" xfId="4990"/>
    <cellStyle name="Вывод 5 2 3 2" xfId="4991"/>
    <cellStyle name="Вывод 5 2 4" xfId="4992"/>
    <cellStyle name="Вывод 5 3" xfId="1844"/>
    <cellStyle name="Вывод 5 3 2" xfId="4993"/>
    <cellStyle name="Вывод 5 4" xfId="4994"/>
    <cellStyle name="Вывод 5 4 2" xfId="4995"/>
    <cellStyle name="Вывод 5 5" xfId="4996"/>
    <cellStyle name="Вывод 5_46EE.2011(v1.0)" xfId="1845"/>
    <cellStyle name="Вывод 6" xfId="1846"/>
    <cellStyle name="Вывод 6 2" xfId="1847"/>
    <cellStyle name="Вывод 6 2 2" xfId="1848"/>
    <cellStyle name="Вывод 6 2 2 2" xfId="4997"/>
    <cellStyle name="Вывод 6 2 3" xfId="4998"/>
    <cellStyle name="Вывод 6 2 3 2" xfId="4999"/>
    <cellStyle name="Вывод 6 2 4" xfId="5000"/>
    <cellStyle name="Вывод 6 3" xfId="1849"/>
    <cellStyle name="Вывод 6 3 2" xfId="5001"/>
    <cellStyle name="Вывод 6 4" xfId="5002"/>
    <cellStyle name="Вывод 6 4 2" xfId="5003"/>
    <cellStyle name="Вывод 6 5" xfId="5004"/>
    <cellStyle name="Вывод 6_46EE.2011(v1.0)" xfId="1850"/>
    <cellStyle name="Вывод 7" xfId="1851"/>
    <cellStyle name="Вывод 7 2" xfId="1852"/>
    <cellStyle name="Вывод 7 2 2" xfId="1853"/>
    <cellStyle name="Вывод 7 2 2 2" xfId="5005"/>
    <cellStyle name="Вывод 7 2 3" xfId="5006"/>
    <cellStyle name="Вывод 7 2 3 2" xfId="5007"/>
    <cellStyle name="Вывод 7 2 4" xfId="5008"/>
    <cellStyle name="Вывод 7 3" xfId="1854"/>
    <cellStyle name="Вывод 7 3 2" xfId="5009"/>
    <cellStyle name="Вывод 7 4" xfId="5010"/>
    <cellStyle name="Вывод 7 4 2" xfId="5011"/>
    <cellStyle name="Вывод 7 5" xfId="5012"/>
    <cellStyle name="Вывод 7_46EE.2011(v1.0)" xfId="1855"/>
    <cellStyle name="Вывод 8" xfId="1856"/>
    <cellStyle name="Вывод 8 2" xfId="1857"/>
    <cellStyle name="Вывод 8 2 2" xfId="1858"/>
    <cellStyle name="Вывод 8 2 2 2" xfId="5013"/>
    <cellStyle name="Вывод 8 2 3" xfId="5014"/>
    <cellStyle name="Вывод 8 2 3 2" xfId="5015"/>
    <cellStyle name="Вывод 8 2 4" xfId="5016"/>
    <cellStyle name="Вывод 8 3" xfId="1859"/>
    <cellStyle name="Вывод 8 3 2" xfId="5017"/>
    <cellStyle name="Вывод 8 4" xfId="5018"/>
    <cellStyle name="Вывод 8 4 2" xfId="5019"/>
    <cellStyle name="Вывод 8 5" xfId="5020"/>
    <cellStyle name="Вывод 8_46EE.2011(v1.0)" xfId="1860"/>
    <cellStyle name="Вывод 9" xfId="1861"/>
    <cellStyle name="Вывод 9 2" xfId="1862"/>
    <cellStyle name="Вывод 9 2 2" xfId="1863"/>
    <cellStyle name="Вывод 9 2 2 2" xfId="5021"/>
    <cellStyle name="Вывод 9 2 3" xfId="5022"/>
    <cellStyle name="Вывод 9 2 3 2" xfId="5023"/>
    <cellStyle name="Вывод 9 2 4" xfId="5024"/>
    <cellStyle name="Вывод 9 3" xfId="1864"/>
    <cellStyle name="Вывод 9 3 2" xfId="5025"/>
    <cellStyle name="Вывод 9 4" xfId="5026"/>
    <cellStyle name="Вывод 9 4 2" xfId="5027"/>
    <cellStyle name="Вывод 9 5" xfId="5028"/>
    <cellStyle name="Вывод 9_46EE.2011(v1.0)" xfId="1865"/>
    <cellStyle name="Вычисление 10" xfId="1866"/>
    <cellStyle name="Вычисление 10 2" xfId="5029"/>
    <cellStyle name="Вычисление 2" xfId="1867"/>
    <cellStyle name="Вычисление 2 2" xfId="1868"/>
    <cellStyle name="Вычисление 2 2 2" xfId="1869"/>
    <cellStyle name="Вычисление 2 2 2 2" xfId="5030"/>
    <cellStyle name="Вычисление 2 2 3" xfId="5031"/>
    <cellStyle name="Вычисление 2 2 3 2" xfId="5032"/>
    <cellStyle name="Вычисление 2 2 4" xfId="5033"/>
    <cellStyle name="Вычисление 2 3" xfId="1870"/>
    <cellStyle name="Вычисление 2 3 2" xfId="5034"/>
    <cellStyle name="Вычисление 2 4" xfId="5035"/>
    <cellStyle name="Вычисление 2 4 2" xfId="5036"/>
    <cellStyle name="Вычисление 2 5" xfId="5037"/>
    <cellStyle name="Вычисление 2_46EE.2011(v1.0)" xfId="1871"/>
    <cellStyle name="Вычисление 3" xfId="1872"/>
    <cellStyle name="Вычисление 3 2" xfId="1873"/>
    <cellStyle name="Вычисление 3 2 2" xfId="1874"/>
    <cellStyle name="Вычисление 3 2 2 2" xfId="5038"/>
    <cellStyle name="Вычисление 3 2 3" xfId="5039"/>
    <cellStyle name="Вычисление 3 2 3 2" xfId="5040"/>
    <cellStyle name="Вычисление 3 2 4" xfId="5041"/>
    <cellStyle name="Вычисление 3 3" xfId="1875"/>
    <cellStyle name="Вычисление 3 3 2" xfId="1876"/>
    <cellStyle name="Вычисление 3 3 2 2" xfId="5042"/>
    <cellStyle name="Вычисление 3 3 3" xfId="5043"/>
    <cellStyle name="Вычисление 3 4" xfId="5044"/>
    <cellStyle name="Вычисление 3 4 2" xfId="5045"/>
    <cellStyle name="Вычисление 3 5" xfId="5046"/>
    <cellStyle name="Вычисление 3 6" xfId="5047"/>
    <cellStyle name="Вычисление 3_46EE.2011(v1.0)" xfId="1877"/>
    <cellStyle name="Вычисление 4" xfId="1878"/>
    <cellStyle name="Вычисление 4 2" xfId="1879"/>
    <cellStyle name="Вычисление 4 2 2" xfId="1880"/>
    <cellStyle name="Вычисление 4 2 2 2" xfId="5048"/>
    <cellStyle name="Вычисление 4 2 3" xfId="5049"/>
    <cellStyle name="Вычисление 4 2 3 2" xfId="5050"/>
    <cellStyle name="Вычисление 4 2 4" xfId="5051"/>
    <cellStyle name="Вычисление 4 3" xfId="1881"/>
    <cellStyle name="Вычисление 4 3 2" xfId="5052"/>
    <cellStyle name="Вычисление 4 4" xfId="5053"/>
    <cellStyle name="Вычисление 4 4 2" xfId="5054"/>
    <cellStyle name="Вычисление 4 5" xfId="5055"/>
    <cellStyle name="Вычисление 4_46EE.2011(v1.0)" xfId="1882"/>
    <cellStyle name="Вычисление 5" xfId="1883"/>
    <cellStyle name="Вычисление 5 2" xfId="1884"/>
    <cellStyle name="Вычисление 5 2 2" xfId="1885"/>
    <cellStyle name="Вычисление 5 2 2 2" xfId="5056"/>
    <cellStyle name="Вычисление 5 2 3" xfId="5057"/>
    <cellStyle name="Вычисление 5 2 3 2" xfId="5058"/>
    <cellStyle name="Вычисление 5 2 4" xfId="5059"/>
    <cellStyle name="Вычисление 5 3" xfId="1886"/>
    <cellStyle name="Вычисление 5 3 2" xfId="5060"/>
    <cellStyle name="Вычисление 5 4" xfId="5061"/>
    <cellStyle name="Вычисление 5 4 2" xfId="5062"/>
    <cellStyle name="Вычисление 5 5" xfId="5063"/>
    <cellStyle name="Вычисление 5_46EE.2011(v1.0)" xfId="1887"/>
    <cellStyle name="Вычисление 6" xfId="1888"/>
    <cellStyle name="Вычисление 6 2" xfId="1889"/>
    <cellStyle name="Вычисление 6 2 2" xfId="1890"/>
    <cellStyle name="Вычисление 6 2 2 2" xfId="5064"/>
    <cellStyle name="Вычисление 6 2 3" xfId="5065"/>
    <cellStyle name="Вычисление 6 2 3 2" xfId="5066"/>
    <cellStyle name="Вычисление 6 2 4" xfId="5067"/>
    <cellStyle name="Вычисление 6 3" xfId="1891"/>
    <cellStyle name="Вычисление 6 3 2" xfId="5068"/>
    <cellStyle name="Вычисление 6 4" xfId="5069"/>
    <cellStyle name="Вычисление 6 4 2" xfId="5070"/>
    <cellStyle name="Вычисление 6 5" xfId="5071"/>
    <cellStyle name="Вычисление 6_46EE.2011(v1.0)" xfId="1892"/>
    <cellStyle name="Вычисление 7" xfId="1893"/>
    <cellStyle name="Вычисление 7 2" xfId="1894"/>
    <cellStyle name="Вычисление 7 2 2" xfId="1895"/>
    <cellStyle name="Вычисление 7 2 2 2" xfId="5072"/>
    <cellStyle name="Вычисление 7 2 3" xfId="5073"/>
    <cellStyle name="Вычисление 7 2 3 2" xfId="5074"/>
    <cellStyle name="Вычисление 7 2 4" xfId="5075"/>
    <cellStyle name="Вычисление 7 3" xfId="1896"/>
    <cellStyle name="Вычисление 7 3 2" xfId="5076"/>
    <cellStyle name="Вычисление 7 4" xfId="5077"/>
    <cellStyle name="Вычисление 7 4 2" xfId="5078"/>
    <cellStyle name="Вычисление 7 5" xfId="5079"/>
    <cellStyle name="Вычисление 7_46EE.2011(v1.0)" xfId="1897"/>
    <cellStyle name="Вычисление 8" xfId="1898"/>
    <cellStyle name="Вычисление 8 2" xfId="1899"/>
    <cellStyle name="Вычисление 8 2 2" xfId="1900"/>
    <cellStyle name="Вычисление 8 2 2 2" xfId="5080"/>
    <cellStyle name="Вычисление 8 2 3" xfId="5081"/>
    <cellStyle name="Вычисление 8 2 3 2" xfId="5082"/>
    <cellStyle name="Вычисление 8 2 4" xfId="5083"/>
    <cellStyle name="Вычисление 8 3" xfId="1901"/>
    <cellStyle name="Вычисление 8 3 2" xfId="5084"/>
    <cellStyle name="Вычисление 8 4" xfId="5085"/>
    <cellStyle name="Вычисление 8 4 2" xfId="5086"/>
    <cellStyle name="Вычисление 8 5" xfId="5087"/>
    <cellStyle name="Вычисление 8_46EE.2011(v1.0)" xfId="1902"/>
    <cellStyle name="Вычисление 9" xfId="1903"/>
    <cellStyle name="Вычисление 9 2" xfId="1904"/>
    <cellStyle name="Вычисление 9 2 2" xfId="1905"/>
    <cellStyle name="Вычисление 9 2 2 2" xfId="5088"/>
    <cellStyle name="Вычисление 9 2 3" xfId="5089"/>
    <cellStyle name="Вычисление 9 2 3 2" xfId="5090"/>
    <cellStyle name="Вычисление 9 2 4" xfId="5091"/>
    <cellStyle name="Вычисление 9 3" xfId="1906"/>
    <cellStyle name="Вычисление 9 3 2" xfId="5092"/>
    <cellStyle name="Вычисление 9 4" xfId="5093"/>
    <cellStyle name="Вычисление 9 4 2" xfId="5094"/>
    <cellStyle name="Вычисление 9 5" xfId="5095"/>
    <cellStyle name="Вычисление 9_46EE.2011(v1.0)" xfId="1907"/>
    <cellStyle name="Гиперссылка" xfId="1" builtinId="8"/>
    <cellStyle name="Гиперссылка 2" xfId="1908"/>
    <cellStyle name="Гиперссылка 2 2" xfId="1909"/>
    <cellStyle name="Гиперссылка 2_косвен" xfId="1910"/>
    <cellStyle name="Гиперссылка 3" xfId="1911"/>
    <cellStyle name="Гиперссылка 4" xfId="1912"/>
    <cellStyle name="Гиперссылка 4 2" xfId="1913"/>
    <cellStyle name="Гиперссылка 5" xfId="1914"/>
    <cellStyle name="Группа" xfId="1915"/>
    <cellStyle name="Группа 0" xfId="1916"/>
    <cellStyle name="Группа 1" xfId="1917"/>
    <cellStyle name="Группа 2" xfId="1918"/>
    <cellStyle name="Группа 3" xfId="1919"/>
    <cellStyle name="Группа 4" xfId="1920"/>
    <cellStyle name="Группа 5" xfId="1921"/>
    <cellStyle name="Группа 6" xfId="1922"/>
    <cellStyle name="Группа 7" xfId="1923"/>
    <cellStyle name="Группа 8" xfId="1924"/>
    <cellStyle name="Группа_4DNS.UPDATE.EXAMPLE" xfId="1925"/>
    <cellStyle name="ДАТА" xfId="1926"/>
    <cellStyle name="ДАТА 2" xfId="1927"/>
    <cellStyle name="ДАТА 3" xfId="1928"/>
    <cellStyle name="ДАТА 4" xfId="1929"/>
    <cellStyle name="ДАТА 5" xfId="1930"/>
    <cellStyle name="ДАТА 6" xfId="1931"/>
    <cellStyle name="ДАТА 7" xfId="1932"/>
    <cellStyle name="ДАТА 8" xfId="1933"/>
    <cellStyle name="ДАТА 9" xfId="1934"/>
    <cellStyle name="ДАТА_1" xfId="1935"/>
    <cellStyle name="Денежный 2" xfId="1936"/>
    <cellStyle name="Денежный 2 2" xfId="1937"/>
    <cellStyle name="Денежный 2 3" xfId="1938"/>
    <cellStyle name="Денежный 2_INDEX.STATION.2012(v1.0)_" xfId="1939"/>
    <cellStyle name="Денежный 3" xfId="1940"/>
    <cellStyle name="Денежный 3 10" xfId="5689"/>
    <cellStyle name="Денежный 3 2" xfId="1941"/>
    <cellStyle name="Денежный 3 2 2" xfId="1942"/>
    <cellStyle name="Денежный 3 2 2 2" xfId="5690"/>
    <cellStyle name="Денежный 3 2 2 3" xfId="5691"/>
    <cellStyle name="Денежный 3 2 2 4" xfId="5692"/>
    <cellStyle name="Денежный 3 2 2 5" xfId="5693"/>
    <cellStyle name="Денежный 3 2 2 6" xfId="5694"/>
    <cellStyle name="Денежный 3 2 3" xfId="1943"/>
    <cellStyle name="Денежный 3 2 3 2" xfId="5695"/>
    <cellStyle name="Денежный 3 2 3 3" xfId="5696"/>
    <cellStyle name="Денежный 3 2 3 4" xfId="5697"/>
    <cellStyle name="Денежный 3 2 3 5" xfId="5698"/>
    <cellStyle name="Денежный 3 2 3 6" xfId="5699"/>
    <cellStyle name="Денежный 3 2 4" xfId="1944"/>
    <cellStyle name="Денежный 3 2 4 2" xfId="5700"/>
    <cellStyle name="Денежный 3 2 4 3" xfId="5701"/>
    <cellStyle name="Денежный 3 2 4 4" xfId="5702"/>
    <cellStyle name="Денежный 3 2 4 5" xfId="5703"/>
    <cellStyle name="Денежный 3 2 4 6" xfId="5704"/>
    <cellStyle name="Денежный 3 2 5" xfId="5705"/>
    <cellStyle name="Денежный 3 2 6" xfId="5706"/>
    <cellStyle name="Денежный 3 2 7" xfId="5707"/>
    <cellStyle name="Денежный 3 2 8" xfId="5708"/>
    <cellStyle name="Денежный 3 2 9" xfId="5709"/>
    <cellStyle name="Денежный 3 3" xfId="1945"/>
    <cellStyle name="Денежный 3 3 2" xfId="5710"/>
    <cellStyle name="Денежный 3 3 3" xfId="5711"/>
    <cellStyle name="Денежный 3 3 4" xfId="5712"/>
    <cellStyle name="Денежный 3 3 5" xfId="5713"/>
    <cellStyle name="Денежный 3 3 6" xfId="5714"/>
    <cellStyle name="Денежный 3 4" xfId="1946"/>
    <cellStyle name="Денежный 3 4 2" xfId="5715"/>
    <cellStyle name="Денежный 3 4 3" xfId="5716"/>
    <cellStyle name="Денежный 3 4 4" xfId="5717"/>
    <cellStyle name="Денежный 3 4 5" xfId="5718"/>
    <cellStyle name="Денежный 3 4 6" xfId="5719"/>
    <cellStyle name="Денежный 3 5" xfId="1947"/>
    <cellStyle name="Денежный 3 5 2" xfId="5720"/>
    <cellStyle name="Денежный 3 5 3" xfId="5721"/>
    <cellStyle name="Денежный 3 5 4" xfId="5722"/>
    <cellStyle name="Денежный 3 5 5" xfId="5723"/>
    <cellStyle name="Денежный 3 5 6" xfId="5724"/>
    <cellStyle name="Денежный 3 6" xfId="5725"/>
    <cellStyle name="Денежный 3 7" xfId="5726"/>
    <cellStyle name="Денежный 3 8" xfId="5727"/>
    <cellStyle name="Денежный 3 9" xfId="5728"/>
    <cellStyle name="Заголовок" xfId="7"/>
    <cellStyle name="Заголовок 1 10" xfId="1948"/>
    <cellStyle name="Заголовок 1 2" xfId="1949"/>
    <cellStyle name="Заголовок 1 2 2" xfId="1950"/>
    <cellStyle name="Заголовок 1 2_46EE.2011(v1.0)" xfId="1951"/>
    <cellStyle name="Заголовок 1 3" xfId="1952"/>
    <cellStyle name="Заголовок 1 3 2" xfId="1953"/>
    <cellStyle name="Заголовок 1 3 3" xfId="1954"/>
    <cellStyle name="Заголовок 1 3 3 2" xfId="1955"/>
    <cellStyle name="Заголовок 1 3 4" xfId="5096"/>
    <cellStyle name="Заголовок 1 3_46EE.2011(v1.0)" xfId="1956"/>
    <cellStyle name="Заголовок 1 4" xfId="1957"/>
    <cellStyle name="Заголовок 1 4 2" xfId="1958"/>
    <cellStyle name="Заголовок 1 4_46EE.2011(v1.0)" xfId="1959"/>
    <cellStyle name="Заголовок 1 5" xfId="1960"/>
    <cellStyle name="Заголовок 1 5 2" xfId="1961"/>
    <cellStyle name="Заголовок 1 5_46EE.2011(v1.0)" xfId="1962"/>
    <cellStyle name="Заголовок 1 6" xfId="1963"/>
    <cellStyle name="Заголовок 1 6 2" xfId="1964"/>
    <cellStyle name="Заголовок 1 6_46EE.2011(v1.0)" xfId="1965"/>
    <cellStyle name="Заголовок 1 7" xfId="1966"/>
    <cellStyle name="Заголовок 1 7 2" xfId="1967"/>
    <cellStyle name="Заголовок 1 7_46EE.2011(v1.0)" xfId="1968"/>
    <cellStyle name="Заголовок 1 8" xfId="1969"/>
    <cellStyle name="Заголовок 1 8 2" xfId="1970"/>
    <cellStyle name="Заголовок 1 8_46EE.2011(v1.0)" xfId="1971"/>
    <cellStyle name="Заголовок 1 9" xfId="1972"/>
    <cellStyle name="Заголовок 1 9 2" xfId="1973"/>
    <cellStyle name="Заголовок 1 9_46EE.2011(v1.0)" xfId="1974"/>
    <cellStyle name="Заголовок 2 10" xfId="1975"/>
    <cellStyle name="Заголовок 2 2" xfId="1976"/>
    <cellStyle name="Заголовок 2 2 2" xfId="1977"/>
    <cellStyle name="Заголовок 2 2_46EE.2011(v1.0)" xfId="1978"/>
    <cellStyle name="Заголовок 2 3" xfId="1979"/>
    <cellStyle name="Заголовок 2 3 2" xfId="1980"/>
    <cellStyle name="Заголовок 2 3 3" xfId="1981"/>
    <cellStyle name="Заголовок 2 3 3 2" xfId="1982"/>
    <cellStyle name="Заголовок 2 3 4" xfId="5097"/>
    <cellStyle name="Заголовок 2 3_46EE.2011(v1.0)" xfId="1983"/>
    <cellStyle name="Заголовок 2 4" xfId="1984"/>
    <cellStyle name="Заголовок 2 4 2" xfId="1985"/>
    <cellStyle name="Заголовок 2 4_46EE.2011(v1.0)" xfId="1986"/>
    <cellStyle name="Заголовок 2 5" xfId="1987"/>
    <cellStyle name="Заголовок 2 5 2" xfId="1988"/>
    <cellStyle name="Заголовок 2 5_46EE.2011(v1.0)" xfId="1989"/>
    <cellStyle name="Заголовок 2 6" xfId="1990"/>
    <cellStyle name="Заголовок 2 6 2" xfId="1991"/>
    <cellStyle name="Заголовок 2 6_46EE.2011(v1.0)" xfId="1992"/>
    <cellStyle name="Заголовок 2 7" xfId="1993"/>
    <cellStyle name="Заголовок 2 7 2" xfId="1994"/>
    <cellStyle name="Заголовок 2 7_46EE.2011(v1.0)" xfId="1995"/>
    <cellStyle name="Заголовок 2 8" xfId="1996"/>
    <cellStyle name="Заголовок 2 8 2" xfId="1997"/>
    <cellStyle name="Заголовок 2 8_46EE.2011(v1.0)" xfId="1998"/>
    <cellStyle name="Заголовок 2 9" xfId="1999"/>
    <cellStyle name="Заголовок 2 9 2" xfId="2000"/>
    <cellStyle name="Заголовок 2 9_46EE.2011(v1.0)" xfId="2001"/>
    <cellStyle name="Заголовок 3 10" xfId="2002"/>
    <cellStyle name="Заголовок 3 10 2" xfId="2003"/>
    <cellStyle name="Заголовок 3 11" xfId="2004"/>
    <cellStyle name="Заголовок 3 11 2" xfId="5098"/>
    <cellStyle name="Заголовок 3 2" xfId="2005"/>
    <cellStyle name="Заголовок 3 2 2" xfId="2006"/>
    <cellStyle name="Заголовок 3 2 2 2" xfId="2007"/>
    <cellStyle name="Заголовок 3 2 2 2 2" xfId="5099"/>
    <cellStyle name="Заголовок 3 2 2 3" xfId="2008"/>
    <cellStyle name="Заголовок 3 2 2 3 2" xfId="2009"/>
    <cellStyle name="Заголовок 3 2 2 4" xfId="2010"/>
    <cellStyle name="Заголовок 3 2 2 4 2" xfId="5100"/>
    <cellStyle name="Заголовок 3 2 2 5" xfId="2011"/>
    <cellStyle name="Заголовок 3 2 2 5 2" xfId="5101"/>
    <cellStyle name="Заголовок 3 2 2 6" xfId="5102"/>
    <cellStyle name="Заголовок 3 2 3" xfId="2012"/>
    <cellStyle name="Заголовок 3 2 3 2" xfId="5103"/>
    <cellStyle name="Заголовок 3 2 4" xfId="2013"/>
    <cellStyle name="Заголовок 3 2 4 2" xfId="2014"/>
    <cellStyle name="Заголовок 3 2 5" xfId="2015"/>
    <cellStyle name="Заголовок 3 2 5 2" xfId="5104"/>
    <cellStyle name="Заголовок 3 2 6" xfId="2016"/>
    <cellStyle name="Заголовок 3 2 6 2" xfId="5105"/>
    <cellStyle name="Заголовок 3 2 7" xfId="5106"/>
    <cellStyle name="Заголовок 3 2_46EE.2011(v1.0)" xfId="2017"/>
    <cellStyle name="Заголовок 3 3" xfId="2018"/>
    <cellStyle name="Заголовок 3 3 2" xfId="2019"/>
    <cellStyle name="Заголовок 3 3 2 2" xfId="2020"/>
    <cellStyle name="Заголовок 3 3 2 2 2" xfId="5107"/>
    <cellStyle name="Заголовок 3 3 2 3" xfId="2021"/>
    <cellStyle name="Заголовок 3 3 2 3 2" xfId="2022"/>
    <cellStyle name="Заголовок 3 3 2 4" xfId="2023"/>
    <cellStyle name="Заголовок 3 3 2 4 2" xfId="5108"/>
    <cellStyle name="Заголовок 3 3 2 5" xfId="2024"/>
    <cellStyle name="Заголовок 3 3 2 5 2" xfId="5109"/>
    <cellStyle name="Заголовок 3 3 2 6" xfId="5110"/>
    <cellStyle name="Заголовок 3 3 3" xfId="2025"/>
    <cellStyle name="Заголовок 3 3 3 2" xfId="2026"/>
    <cellStyle name="Заголовок 3 3 3 2 2" xfId="5111"/>
    <cellStyle name="Заголовок 3 3 3 3" xfId="2027"/>
    <cellStyle name="Заголовок 3 3 3 3 2" xfId="5112"/>
    <cellStyle name="Заголовок 3 3 3 4" xfId="5113"/>
    <cellStyle name="Заголовок 3 3 4" xfId="2028"/>
    <cellStyle name="Заголовок 3 3 4 2" xfId="2029"/>
    <cellStyle name="Заголовок 3 3 5" xfId="2030"/>
    <cellStyle name="Заголовок 3 3 5 2" xfId="5114"/>
    <cellStyle name="Заголовок 3 3 6" xfId="2031"/>
    <cellStyle name="Заголовок 3 3 6 2" xfId="5115"/>
    <cellStyle name="Заголовок 3 3 7" xfId="5116"/>
    <cellStyle name="Заголовок 3 3 8" xfId="5117"/>
    <cellStyle name="Заголовок 3 3_46EE.2011(v1.0)" xfId="2032"/>
    <cellStyle name="Заголовок 3 4" xfId="2033"/>
    <cellStyle name="Заголовок 3 4 2" xfId="2034"/>
    <cellStyle name="Заголовок 3 4 2 2" xfId="2035"/>
    <cellStyle name="Заголовок 3 4 2 2 2" xfId="5118"/>
    <cellStyle name="Заголовок 3 4 2 3" xfId="2036"/>
    <cellStyle name="Заголовок 3 4 2 3 2" xfId="2037"/>
    <cellStyle name="Заголовок 3 4 2 4" xfId="2038"/>
    <cellStyle name="Заголовок 3 4 2 4 2" xfId="5119"/>
    <cellStyle name="Заголовок 3 4 2 5" xfId="2039"/>
    <cellStyle name="Заголовок 3 4 2 5 2" xfId="5120"/>
    <cellStyle name="Заголовок 3 4 2 6" xfId="5121"/>
    <cellStyle name="Заголовок 3 4 3" xfId="2040"/>
    <cellStyle name="Заголовок 3 4 3 2" xfId="5122"/>
    <cellStyle name="Заголовок 3 4 4" xfId="2041"/>
    <cellStyle name="Заголовок 3 4 4 2" xfId="2042"/>
    <cellStyle name="Заголовок 3 4 5" xfId="2043"/>
    <cellStyle name="Заголовок 3 4 5 2" xfId="5123"/>
    <cellStyle name="Заголовок 3 4 6" xfId="2044"/>
    <cellStyle name="Заголовок 3 4 6 2" xfId="5124"/>
    <cellStyle name="Заголовок 3 4 7" xfId="5125"/>
    <cellStyle name="Заголовок 3 4_46EE.2011(v1.0)" xfId="2045"/>
    <cellStyle name="Заголовок 3 5" xfId="2046"/>
    <cellStyle name="Заголовок 3 5 2" xfId="2047"/>
    <cellStyle name="Заголовок 3 5 2 2" xfId="2048"/>
    <cellStyle name="Заголовок 3 5 2 2 2" xfId="5126"/>
    <cellStyle name="Заголовок 3 5 2 3" xfId="2049"/>
    <cellStyle name="Заголовок 3 5 2 3 2" xfId="2050"/>
    <cellStyle name="Заголовок 3 5 2 4" xfId="2051"/>
    <cellStyle name="Заголовок 3 5 2 4 2" xfId="5127"/>
    <cellStyle name="Заголовок 3 5 2 5" xfId="2052"/>
    <cellStyle name="Заголовок 3 5 2 5 2" xfId="5128"/>
    <cellStyle name="Заголовок 3 5 2 6" xfId="5129"/>
    <cellStyle name="Заголовок 3 5 3" xfId="2053"/>
    <cellStyle name="Заголовок 3 5 3 2" xfId="5130"/>
    <cellStyle name="Заголовок 3 5 4" xfId="2054"/>
    <cellStyle name="Заголовок 3 5 4 2" xfId="2055"/>
    <cellStyle name="Заголовок 3 5 5" xfId="2056"/>
    <cellStyle name="Заголовок 3 5 5 2" xfId="5131"/>
    <cellStyle name="Заголовок 3 5 6" xfId="2057"/>
    <cellStyle name="Заголовок 3 5 6 2" xfId="5132"/>
    <cellStyle name="Заголовок 3 5 7" xfId="5133"/>
    <cellStyle name="Заголовок 3 5_46EE.2011(v1.0)" xfId="2058"/>
    <cellStyle name="Заголовок 3 6" xfId="2059"/>
    <cellStyle name="Заголовок 3 6 2" xfId="2060"/>
    <cellStyle name="Заголовок 3 6 2 2" xfId="2061"/>
    <cellStyle name="Заголовок 3 6 2 2 2" xfId="5134"/>
    <cellStyle name="Заголовок 3 6 2 3" xfId="2062"/>
    <cellStyle name="Заголовок 3 6 2 3 2" xfId="2063"/>
    <cellStyle name="Заголовок 3 6 2 4" xfId="2064"/>
    <cellStyle name="Заголовок 3 6 2 4 2" xfId="5135"/>
    <cellStyle name="Заголовок 3 6 2 5" xfId="2065"/>
    <cellStyle name="Заголовок 3 6 2 5 2" xfId="5136"/>
    <cellStyle name="Заголовок 3 6 2 6" xfId="5137"/>
    <cellStyle name="Заголовок 3 6 3" xfId="2066"/>
    <cellStyle name="Заголовок 3 6 3 2" xfId="5138"/>
    <cellStyle name="Заголовок 3 6 4" xfId="2067"/>
    <cellStyle name="Заголовок 3 6 4 2" xfId="2068"/>
    <cellStyle name="Заголовок 3 6 5" xfId="2069"/>
    <cellStyle name="Заголовок 3 6 5 2" xfId="5139"/>
    <cellStyle name="Заголовок 3 6 6" xfId="2070"/>
    <cellStyle name="Заголовок 3 6 6 2" xfId="5140"/>
    <cellStyle name="Заголовок 3 6 7" xfId="5141"/>
    <cellStyle name="Заголовок 3 6_46EE.2011(v1.0)" xfId="2071"/>
    <cellStyle name="Заголовок 3 7" xfId="2072"/>
    <cellStyle name="Заголовок 3 7 2" xfId="2073"/>
    <cellStyle name="Заголовок 3 7 2 2" xfId="2074"/>
    <cellStyle name="Заголовок 3 7 2 2 2" xfId="5142"/>
    <cellStyle name="Заголовок 3 7 2 3" xfId="2075"/>
    <cellStyle name="Заголовок 3 7 2 3 2" xfId="2076"/>
    <cellStyle name="Заголовок 3 7 2 4" xfId="2077"/>
    <cellStyle name="Заголовок 3 7 2 4 2" xfId="5143"/>
    <cellStyle name="Заголовок 3 7 2 5" xfId="2078"/>
    <cellStyle name="Заголовок 3 7 2 5 2" xfId="5144"/>
    <cellStyle name="Заголовок 3 7 2 6" xfId="5145"/>
    <cellStyle name="Заголовок 3 7 3" xfId="2079"/>
    <cellStyle name="Заголовок 3 7 3 2" xfId="5146"/>
    <cellStyle name="Заголовок 3 7 4" xfId="2080"/>
    <cellStyle name="Заголовок 3 7 4 2" xfId="2081"/>
    <cellStyle name="Заголовок 3 7 5" xfId="2082"/>
    <cellStyle name="Заголовок 3 7 5 2" xfId="5147"/>
    <cellStyle name="Заголовок 3 7 6" xfId="2083"/>
    <cellStyle name="Заголовок 3 7 6 2" xfId="5148"/>
    <cellStyle name="Заголовок 3 7 7" xfId="5149"/>
    <cellStyle name="Заголовок 3 7_46EE.2011(v1.0)" xfId="2084"/>
    <cellStyle name="Заголовок 3 8" xfId="2085"/>
    <cellStyle name="Заголовок 3 8 2" xfId="2086"/>
    <cellStyle name="Заголовок 3 8 2 2" xfId="2087"/>
    <cellStyle name="Заголовок 3 8 2 2 2" xfId="5150"/>
    <cellStyle name="Заголовок 3 8 2 3" xfId="2088"/>
    <cellStyle name="Заголовок 3 8 2 3 2" xfId="2089"/>
    <cellStyle name="Заголовок 3 8 2 4" xfId="2090"/>
    <cellStyle name="Заголовок 3 8 2 4 2" xfId="5151"/>
    <cellStyle name="Заголовок 3 8 2 5" xfId="2091"/>
    <cellStyle name="Заголовок 3 8 2 5 2" xfId="5152"/>
    <cellStyle name="Заголовок 3 8 2 6" xfId="5153"/>
    <cellStyle name="Заголовок 3 8 3" xfId="2092"/>
    <cellStyle name="Заголовок 3 8 3 2" xfId="5154"/>
    <cellStyle name="Заголовок 3 8 4" xfId="2093"/>
    <cellStyle name="Заголовок 3 8 4 2" xfId="2094"/>
    <cellStyle name="Заголовок 3 8 5" xfId="2095"/>
    <cellStyle name="Заголовок 3 8 5 2" xfId="5155"/>
    <cellStyle name="Заголовок 3 8 6" xfId="2096"/>
    <cellStyle name="Заголовок 3 8 6 2" xfId="5156"/>
    <cellStyle name="Заголовок 3 8 7" xfId="5157"/>
    <cellStyle name="Заголовок 3 8_46EE.2011(v1.0)" xfId="2097"/>
    <cellStyle name="Заголовок 3 9" xfId="2098"/>
    <cellStyle name="Заголовок 3 9 2" xfId="2099"/>
    <cellStyle name="Заголовок 3 9 2 2" xfId="2100"/>
    <cellStyle name="Заголовок 3 9 2 2 2" xfId="5158"/>
    <cellStyle name="Заголовок 3 9 2 3" xfId="2101"/>
    <cellStyle name="Заголовок 3 9 2 3 2" xfId="2102"/>
    <cellStyle name="Заголовок 3 9 2 4" xfId="2103"/>
    <cellStyle name="Заголовок 3 9 2 4 2" xfId="5159"/>
    <cellStyle name="Заголовок 3 9 2 5" xfId="2104"/>
    <cellStyle name="Заголовок 3 9 2 5 2" xfId="5160"/>
    <cellStyle name="Заголовок 3 9 2 6" xfId="5161"/>
    <cellStyle name="Заголовок 3 9 3" xfId="2105"/>
    <cellStyle name="Заголовок 3 9 3 2" xfId="5162"/>
    <cellStyle name="Заголовок 3 9 4" xfId="2106"/>
    <cellStyle name="Заголовок 3 9 4 2" xfId="2107"/>
    <cellStyle name="Заголовок 3 9 5" xfId="2108"/>
    <cellStyle name="Заголовок 3 9 5 2" xfId="5163"/>
    <cellStyle name="Заголовок 3 9 6" xfId="2109"/>
    <cellStyle name="Заголовок 3 9 6 2" xfId="5164"/>
    <cellStyle name="Заголовок 3 9 7" xfId="5165"/>
    <cellStyle name="Заголовок 3 9_46EE.2011(v1.0)" xfId="2110"/>
    <cellStyle name="Заголовок 4 10" xfId="2111"/>
    <cellStyle name="Заголовок 4 2" xfId="2112"/>
    <cellStyle name="Заголовок 4 2 2" xfId="2113"/>
    <cellStyle name="Заголовок 4 3" xfId="2114"/>
    <cellStyle name="Заголовок 4 3 2" xfId="2115"/>
    <cellStyle name="Заголовок 4 3 3" xfId="2116"/>
    <cellStyle name="Заголовок 4 3 3 2" xfId="2117"/>
    <cellStyle name="Заголовок 4 3 4" xfId="5166"/>
    <cellStyle name="Заголовок 4 4" xfId="2118"/>
    <cellStyle name="Заголовок 4 4 2" xfId="2119"/>
    <cellStyle name="Заголовок 4 5" xfId="2120"/>
    <cellStyle name="Заголовок 4 5 2" xfId="2121"/>
    <cellStyle name="Заголовок 4 6" xfId="2122"/>
    <cellStyle name="Заголовок 4 6 2" xfId="2123"/>
    <cellStyle name="Заголовок 4 7" xfId="2124"/>
    <cellStyle name="Заголовок 4 7 2" xfId="2125"/>
    <cellStyle name="Заголовок 4 8" xfId="2126"/>
    <cellStyle name="Заголовок 4 8 2" xfId="2127"/>
    <cellStyle name="Заголовок 4 9" xfId="2128"/>
    <cellStyle name="Заголовок 4 9 2" xfId="2129"/>
    <cellStyle name="ЗАГОЛОВОК1" xfId="2130"/>
    <cellStyle name="ЗАГОЛОВОК2" xfId="2131"/>
    <cellStyle name="ЗаголовокСтолбца" xfId="6"/>
    <cellStyle name="ЗаголовокСтолбца 2" xfId="5167"/>
    <cellStyle name="ЗаголовокСтолбца 2 2" xfId="5168"/>
    <cellStyle name="ЗаголовокСтолбца 3" xfId="5169"/>
    <cellStyle name="Защитный" xfId="2132"/>
    <cellStyle name="Значение" xfId="9"/>
    <cellStyle name="Значение 2" xfId="2133"/>
    <cellStyle name="Значение 3" xfId="5170"/>
    <cellStyle name="Значение 3 2" xfId="5171"/>
    <cellStyle name="Зоголовок" xfId="2134"/>
    <cellStyle name="Итог 10" xfId="2135"/>
    <cellStyle name="Итог 10 2" xfId="5172"/>
    <cellStyle name="Итог 2" xfId="2136"/>
    <cellStyle name="Итог 2 2" xfId="2137"/>
    <cellStyle name="Итог 2 2 2" xfId="2138"/>
    <cellStyle name="Итог 2 2 2 2" xfId="5173"/>
    <cellStyle name="Итог 2 2 3" xfId="5174"/>
    <cellStyle name="Итог 2 2 3 2" xfId="5175"/>
    <cellStyle name="Итог 2 2 4" xfId="5176"/>
    <cellStyle name="Итог 2 3" xfId="2139"/>
    <cellStyle name="Итог 2 3 2" xfId="5177"/>
    <cellStyle name="Итог 2 4" xfId="5178"/>
    <cellStyle name="Итог 2 4 2" xfId="5179"/>
    <cellStyle name="Итог 2 5" xfId="5180"/>
    <cellStyle name="Итог 2_46EE.2011(v1.0)" xfId="2140"/>
    <cellStyle name="Итог 3" xfId="2141"/>
    <cellStyle name="Итог 3 2" xfId="2142"/>
    <cellStyle name="Итог 3 2 2" xfId="2143"/>
    <cellStyle name="Итог 3 2 2 2" xfId="5181"/>
    <cellStyle name="Итог 3 2 3" xfId="5182"/>
    <cellStyle name="Итог 3 2 3 2" xfId="5183"/>
    <cellStyle name="Итог 3 2 4" xfId="5184"/>
    <cellStyle name="Итог 3 3" xfId="2144"/>
    <cellStyle name="Итог 3 3 2" xfId="2145"/>
    <cellStyle name="Итог 3 3 2 2" xfId="5185"/>
    <cellStyle name="Итог 3 3 3" xfId="5186"/>
    <cellStyle name="Итог 3 4" xfId="5187"/>
    <cellStyle name="Итог 3 4 2" xfId="5188"/>
    <cellStyle name="Итог 3 5" xfId="5189"/>
    <cellStyle name="Итог 3 6" xfId="5190"/>
    <cellStyle name="Итог 3_46EE.2011(v1.0)" xfId="2146"/>
    <cellStyle name="Итог 4" xfId="2147"/>
    <cellStyle name="Итог 4 2" xfId="2148"/>
    <cellStyle name="Итог 4 2 2" xfId="2149"/>
    <cellStyle name="Итог 4 2 2 2" xfId="5191"/>
    <cellStyle name="Итог 4 2 3" xfId="5192"/>
    <cellStyle name="Итог 4 2 3 2" xfId="5193"/>
    <cellStyle name="Итог 4 2 4" xfId="5194"/>
    <cellStyle name="Итог 4 3" xfId="2150"/>
    <cellStyle name="Итог 4 3 2" xfId="5195"/>
    <cellStyle name="Итог 4 4" xfId="5196"/>
    <cellStyle name="Итог 4 4 2" xfId="5197"/>
    <cellStyle name="Итог 4 5" xfId="5198"/>
    <cellStyle name="Итог 4_46EE.2011(v1.0)" xfId="2151"/>
    <cellStyle name="Итог 5" xfId="2152"/>
    <cellStyle name="Итог 5 2" xfId="2153"/>
    <cellStyle name="Итог 5 2 2" xfId="2154"/>
    <cellStyle name="Итог 5 2 2 2" xfId="5199"/>
    <cellStyle name="Итог 5 2 3" xfId="5200"/>
    <cellStyle name="Итог 5 2 3 2" xfId="5201"/>
    <cellStyle name="Итог 5 2 4" xfId="5202"/>
    <cellStyle name="Итог 5 3" xfId="2155"/>
    <cellStyle name="Итог 5 3 2" xfId="5203"/>
    <cellStyle name="Итог 5 4" xfId="5204"/>
    <cellStyle name="Итог 5 4 2" xfId="5205"/>
    <cellStyle name="Итог 5 5" xfId="5206"/>
    <cellStyle name="Итог 5_46EE.2011(v1.0)" xfId="2156"/>
    <cellStyle name="Итог 6" xfId="2157"/>
    <cellStyle name="Итог 6 2" xfId="2158"/>
    <cellStyle name="Итог 6 2 2" xfId="2159"/>
    <cellStyle name="Итог 6 2 2 2" xfId="5207"/>
    <cellStyle name="Итог 6 2 3" xfId="5208"/>
    <cellStyle name="Итог 6 2 3 2" xfId="5209"/>
    <cellStyle name="Итог 6 2 4" xfId="5210"/>
    <cellStyle name="Итог 6 3" xfId="2160"/>
    <cellStyle name="Итог 6 3 2" xfId="5211"/>
    <cellStyle name="Итог 6 4" xfId="5212"/>
    <cellStyle name="Итог 6 4 2" xfId="5213"/>
    <cellStyle name="Итог 6 5" xfId="5214"/>
    <cellStyle name="Итог 6_46EE.2011(v1.0)" xfId="2161"/>
    <cellStyle name="Итог 7" xfId="2162"/>
    <cellStyle name="Итог 7 2" xfId="2163"/>
    <cellStyle name="Итог 7 2 2" xfId="2164"/>
    <cellStyle name="Итог 7 2 2 2" xfId="5215"/>
    <cellStyle name="Итог 7 2 3" xfId="5216"/>
    <cellStyle name="Итог 7 2 3 2" xfId="5217"/>
    <cellStyle name="Итог 7 2 4" xfId="5218"/>
    <cellStyle name="Итог 7 3" xfId="2165"/>
    <cellStyle name="Итог 7 3 2" xfId="5219"/>
    <cellStyle name="Итог 7 4" xfId="5220"/>
    <cellStyle name="Итог 7 4 2" xfId="5221"/>
    <cellStyle name="Итог 7 5" xfId="5222"/>
    <cellStyle name="Итог 7_46EE.2011(v1.0)" xfId="2166"/>
    <cellStyle name="Итог 8" xfId="2167"/>
    <cellStyle name="Итог 8 2" xfId="2168"/>
    <cellStyle name="Итог 8 2 2" xfId="2169"/>
    <cellStyle name="Итог 8 2 2 2" xfId="5223"/>
    <cellStyle name="Итог 8 2 3" xfId="5224"/>
    <cellStyle name="Итог 8 2 3 2" xfId="5225"/>
    <cellStyle name="Итог 8 2 4" xfId="5226"/>
    <cellStyle name="Итог 8 3" xfId="2170"/>
    <cellStyle name="Итог 8 3 2" xfId="5227"/>
    <cellStyle name="Итог 8 4" xfId="5228"/>
    <cellStyle name="Итог 8 4 2" xfId="5229"/>
    <cellStyle name="Итог 8 5" xfId="5230"/>
    <cellStyle name="Итог 8_46EE.2011(v1.0)" xfId="2171"/>
    <cellStyle name="Итог 9" xfId="2172"/>
    <cellStyle name="Итог 9 2" xfId="2173"/>
    <cellStyle name="Итог 9 2 2" xfId="2174"/>
    <cellStyle name="Итог 9 2 2 2" xfId="5231"/>
    <cellStyle name="Итог 9 2 3" xfId="5232"/>
    <cellStyle name="Итог 9 2 3 2" xfId="5233"/>
    <cellStyle name="Итог 9 2 4" xfId="5234"/>
    <cellStyle name="Итог 9 3" xfId="2175"/>
    <cellStyle name="Итог 9 3 2" xfId="5235"/>
    <cellStyle name="Итог 9 4" xfId="5236"/>
    <cellStyle name="Итог 9 4 2" xfId="5237"/>
    <cellStyle name="Итог 9 5" xfId="5238"/>
    <cellStyle name="Итог 9_46EE.2011(v1.0)" xfId="2176"/>
    <cellStyle name="Итого" xfId="2177"/>
    <cellStyle name="Итого 2" xfId="2178"/>
    <cellStyle name="Итого 3" xfId="5239"/>
    <cellStyle name="Итого 3 2" xfId="5240"/>
    <cellStyle name="ИТОГОВЫЙ" xfId="2179"/>
    <cellStyle name="ИТОГОВЫЙ 2" xfId="2180"/>
    <cellStyle name="ИТОГОВЫЙ 3" xfId="2181"/>
    <cellStyle name="ИТОГОВЫЙ 4" xfId="2182"/>
    <cellStyle name="ИТОГОВЫЙ 5" xfId="2183"/>
    <cellStyle name="ИТОГОВЫЙ 6" xfId="2184"/>
    <cellStyle name="ИТОГОВЫЙ 7" xfId="2185"/>
    <cellStyle name="ИТОГОВЫЙ 8" xfId="2186"/>
    <cellStyle name="ИТОГОВЫЙ 9" xfId="2187"/>
    <cellStyle name="ИТОГОВЫЙ_1" xfId="2188"/>
    <cellStyle name="Контрольная ячейка 10" xfId="2189"/>
    <cellStyle name="Контрольная ячейка 2" xfId="2190"/>
    <cellStyle name="Контрольная ячейка 2 2" xfId="2191"/>
    <cellStyle name="Контрольная ячейка 2_46EE.2011(v1.0)" xfId="2192"/>
    <cellStyle name="Контрольная ячейка 3" xfId="2193"/>
    <cellStyle name="Контрольная ячейка 3 2" xfId="2194"/>
    <cellStyle name="Контрольная ячейка 3 3" xfId="2195"/>
    <cellStyle name="Контрольная ячейка 3 3 2" xfId="2196"/>
    <cellStyle name="Контрольная ячейка 3 4" xfId="5241"/>
    <cellStyle name="Контрольная ячейка 3_46EE.2011(v1.0)" xfId="2197"/>
    <cellStyle name="Контрольная ячейка 4" xfId="2198"/>
    <cellStyle name="Контрольная ячейка 4 2" xfId="2199"/>
    <cellStyle name="Контрольная ячейка 4_46EE.2011(v1.0)" xfId="2200"/>
    <cellStyle name="Контрольная ячейка 5" xfId="2201"/>
    <cellStyle name="Контрольная ячейка 5 2" xfId="2202"/>
    <cellStyle name="Контрольная ячейка 5_46EE.2011(v1.0)" xfId="2203"/>
    <cellStyle name="Контрольная ячейка 6" xfId="2204"/>
    <cellStyle name="Контрольная ячейка 6 2" xfId="2205"/>
    <cellStyle name="Контрольная ячейка 6_46EE.2011(v1.0)" xfId="2206"/>
    <cellStyle name="Контрольная ячейка 7" xfId="2207"/>
    <cellStyle name="Контрольная ячейка 7 2" xfId="2208"/>
    <cellStyle name="Контрольная ячейка 7_46EE.2011(v1.0)" xfId="2209"/>
    <cellStyle name="Контрольная ячейка 8" xfId="2210"/>
    <cellStyle name="Контрольная ячейка 8 2" xfId="2211"/>
    <cellStyle name="Контрольная ячейка 8_46EE.2011(v1.0)" xfId="2212"/>
    <cellStyle name="Контрольная ячейка 9" xfId="2213"/>
    <cellStyle name="Контрольная ячейка 9 2" xfId="2214"/>
    <cellStyle name="Контрольная ячейка 9_46EE.2011(v1.0)" xfId="2215"/>
    <cellStyle name="Миша (бланки отчетности)" xfId="2216"/>
    <cellStyle name="Мой заголовок" xfId="2217"/>
    <cellStyle name="Мой заголовок листа" xfId="2218"/>
    <cellStyle name="Мой заголовок листа 2" xfId="2219"/>
    <cellStyle name="Мой заголовок листа 3" xfId="2220"/>
    <cellStyle name="Мой заголовок_Новая инструкция1_фст" xfId="2221"/>
    <cellStyle name="Мои наименования показателей" xfId="2222"/>
    <cellStyle name="Мои наименования показателей 2" xfId="2223"/>
    <cellStyle name="Мои наименования показателей 2 2" xfId="2224"/>
    <cellStyle name="Мои наименования показателей 2 3" xfId="2225"/>
    <cellStyle name="Мои наименования показателей 2 4" xfId="2226"/>
    <cellStyle name="Мои наименования показателей 2 5" xfId="2227"/>
    <cellStyle name="Мои наименования показателей 2 6" xfId="2228"/>
    <cellStyle name="Мои наименования показателей 2 7" xfId="2229"/>
    <cellStyle name="Мои наименования показателей 2 8" xfId="2230"/>
    <cellStyle name="Мои наименования показателей 2 9" xfId="2231"/>
    <cellStyle name="Мои наименования показателей 2_1" xfId="2232"/>
    <cellStyle name="Мои наименования показателей 3" xfId="2233"/>
    <cellStyle name="Мои наименования показателей 3 2" xfId="2234"/>
    <cellStyle name="Мои наименования показателей 3 3" xfId="2235"/>
    <cellStyle name="Мои наименования показателей 3 4" xfId="2236"/>
    <cellStyle name="Мои наименования показателей 3 5" xfId="2237"/>
    <cellStyle name="Мои наименования показателей 3 6" xfId="2238"/>
    <cellStyle name="Мои наименования показателей 3 7" xfId="2239"/>
    <cellStyle name="Мои наименования показателей 3 8" xfId="2240"/>
    <cellStyle name="Мои наименования показателей 3 9" xfId="2241"/>
    <cellStyle name="Мои наименования показателей 3_1" xfId="2242"/>
    <cellStyle name="Мои наименования показателей 4" xfId="2243"/>
    <cellStyle name="Мои наименования показателей 4 2" xfId="2244"/>
    <cellStyle name="Мои наименования показателей 4 3" xfId="2245"/>
    <cellStyle name="Мои наименования показателей 4 4" xfId="2246"/>
    <cellStyle name="Мои наименования показателей 4 5" xfId="2247"/>
    <cellStyle name="Мои наименования показателей 4 6" xfId="2248"/>
    <cellStyle name="Мои наименования показателей 4 7" xfId="2249"/>
    <cellStyle name="Мои наименования показателей 4 8" xfId="2250"/>
    <cellStyle name="Мои наименования показателей 4 9" xfId="2251"/>
    <cellStyle name="Мои наименования показателей 4_1" xfId="2252"/>
    <cellStyle name="Мои наименования показателей 5" xfId="2253"/>
    <cellStyle name="Мои наименования показателей 5 2" xfId="2254"/>
    <cellStyle name="Мои наименования показателей 5 3" xfId="2255"/>
    <cellStyle name="Мои наименования показателей 5 4" xfId="2256"/>
    <cellStyle name="Мои наименования показателей 5 5" xfId="2257"/>
    <cellStyle name="Мои наименования показателей 5 6" xfId="2258"/>
    <cellStyle name="Мои наименования показателей 5 7" xfId="2259"/>
    <cellStyle name="Мои наименования показателей 5 8" xfId="2260"/>
    <cellStyle name="Мои наименования показателей 5 9" xfId="2261"/>
    <cellStyle name="Мои наименования показателей 5_1" xfId="2262"/>
    <cellStyle name="Мои наименования показателей 6" xfId="2263"/>
    <cellStyle name="Мои наименования показателей 6 2" xfId="2264"/>
    <cellStyle name="Мои наименования показателей 6 3" xfId="2265"/>
    <cellStyle name="Мои наименования показателей 6_46EE.2011(v1.0)" xfId="2266"/>
    <cellStyle name="Мои наименования показателей 7" xfId="2267"/>
    <cellStyle name="Мои наименования показателей 7 2" xfId="2268"/>
    <cellStyle name="Мои наименования показателей 7 3" xfId="2269"/>
    <cellStyle name="Мои наименования показателей 7_46EE.2011(v1.0)" xfId="2270"/>
    <cellStyle name="Мои наименования показателей 8" xfId="2271"/>
    <cellStyle name="Мои наименования показателей 8 2" xfId="2272"/>
    <cellStyle name="Мои наименования показателей 8 3" xfId="2273"/>
    <cellStyle name="Мои наименования показателей 8_46EE.2011(v1.0)" xfId="2274"/>
    <cellStyle name="Мои наименования показателей_46EE.2011" xfId="2275"/>
    <cellStyle name="назв фил" xfId="2276"/>
    <cellStyle name="назв фил 2" xfId="2277"/>
    <cellStyle name="назв фил 3" xfId="5242"/>
    <cellStyle name="назв фил 3 2" xfId="5243"/>
    <cellStyle name="Название 10" xfId="2278"/>
    <cellStyle name="Название 2" xfId="2279"/>
    <cellStyle name="Название 2 2" xfId="2280"/>
    <cellStyle name="Название 3" xfId="2281"/>
    <cellStyle name="Название 3 2" xfId="2282"/>
    <cellStyle name="Название 4" xfId="2283"/>
    <cellStyle name="Название 4 2" xfId="2284"/>
    <cellStyle name="Название 5" xfId="2285"/>
    <cellStyle name="Название 5 2" xfId="2286"/>
    <cellStyle name="Название 6" xfId="2287"/>
    <cellStyle name="Название 6 2" xfId="2288"/>
    <cellStyle name="Название 7" xfId="2289"/>
    <cellStyle name="Название 7 2" xfId="2290"/>
    <cellStyle name="Название 8" xfId="2291"/>
    <cellStyle name="Название 8 2" xfId="2292"/>
    <cellStyle name="Название 9" xfId="2293"/>
    <cellStyle name="Название 9 2" xfId="2294"/>
    <cellStyle name="Невидимый" xfId="2295"/>
    <cellStyle name="Нейтральный" xfId="4661" builtinId="28"/>
    <cellStyle name="Нейтральный 10" xfId="2296"/>
    <cellStyle name="Нейтральный 2" xfId="2297"/>
    <cellStyle name="Нейтральный 2 2" xfId="2298"/>
    <cellStyle name="Нейтральный 3" xfId="2299"/>
    <cellStyle name="Нейтральный 3 2" xfId="2300"/>
    <cellStyle name="Нейтральный 3 3" xfId="2301"/>
    <cellStyle name="Нейтральный 3 3 2" xfId="2302"/>
    <cellStyle name="Нейтральный 3 4" xfId="5244"/>
    <cellStyle name="Нейтральный 4" xfId="2303"/>
    <cellStyle name="Нейтральный 4 2" xfId="2304"/>
    <cellStyle name="Нейтральный 5" xfId="2305"/>
    <cellStyle name="Нейтральный 5 2" xfId="2306"/>
    <cellStyle name="Нейтральный 6" xfId="2307"/>
    <cellStyle name="Нейтральный 6 2" xfId="2308"/>
    <cellStyle name="Нейтральный 7" xfId="2309"/>
    <cellStyle name="Нейтральный 7 2" xfId="2310"/>
    <cellStyle name="Нейтральный 8" xfId="2311"/>
    <cellStyle name="Нейтральный 8 2" xfId="2312"/>
    <cellStyle name="Нейтральный 9" xfId="2313"/>
    <cellStyle name="Нейтральный 9 2" xfId="2314"/>
    <cellStyle name="Низ1" xfId="2315"/>
    <cellStyle name="Низ1 2" xfId="5245"/>
    <cellStyle name="Низ2" xfId="2316"/>
    <cellStyle name="Обычный" xfId="0" builtinId="0"/>
    <cellStyle name="Обычный 10" xfId="2317"/>
    <cellStyle name="Обычный 10 2" xfId="2318"/>
    <cellStyle name="Обычный 10 2 2" xfId="2319"/>
    <cellStyle name="Обычный 10 2 2 2" xfId="2320"/>
    <cellStyle name="Обычный 10 2 2 2 2" xfId="2321"/>
    <cellStyle name="Обычный 10 2 2 3" xfId="2322"/>
    <cellStyle name="Обычный 10 3" xfId="2323"/>
    <cellStyle name="Обычный 10 3 2" xfId="2324"/>
    <cellStyle name="Обычный 10 3 2 2" xfId="2325"/>
    <cellStyle name="Обычный 10 3 2 2 2" xfId="2326"/>
    <cellStyle name="Обычный 10 3 2 3" xfId="2327"/>
    <cellStyle name="Обычный 10 4" xfId="12"/>
    <cellStyle name="Обычный 10 4 2" xfId="2328"/>
    <cellStyle name="Обычный 10 4 3" xfId="5246"/>
    <cellStyle name="Обычный 10 5" xfId="2329"/>
    <cellStyle name="Обычный 10 5 2" xfId="2330"/>
    <cellStyle name="Обычный 10 6" xfId="2331"/>
    <cellStyle name="Обычный 10 7" xfId="5247"/>
    <cellStyle name="Обычный 10_БДР по видам деят-ти за 12 г." xfId="2332"/>
    <cellStyle name="Обычный 11" xfId="2333"/>
    <cellStyle name="Обычный 11 2" xfId="2334"/>
    <cellStyle name="Обычный 11 2 2" xfId="2335"/>
    <cellStyle name="Обычный 11 3" xfId="2336"/>
    <cellStyle name="Обычный 11 3 2" xfId="2337"/>
    <cellStyle name="Обычный 11 3 2 2" xfId="2338"/>
    <cellStyle name="Обычный 11 3 3" xfId="2339"/>
    <cellStyle name="Обычный 11 4" xfId="2340"/>
    <cellStyle name="Обычный 11 5" xfId="2341"/>
    <cellStyle name="Обычный 11_46EE.2011(v1.2)" xfId="2342"/>
    <cellStyle name="Обычный 12" xfId="2343"/>
    <cellStyle name="Обычный 12 2" xfId="2344"/>
    <cellStyle name="Обычный 12 2 10" xfId="2345"/>
    <cellStyle name="Обычный 12 2 10 2" xfId="5729"/>
    <cellStyle name="Обычный 12 2 10 3" xfId="5730"/>
    <cellStyle name="Обычный 12 2 10 4" xfId="5731"/>
    <cellStyle name="Обычный 12 2 10 5" xfId="5732"/>
    <cellStyle name="Обычный 12 2 10 6" xfId="5733"/>
    <cellStyle name="Обычный 12 2 11" xfId="5248"/>
    <cellStyle name="Обычный 12 2 12" xfId="5734"/>
    <cellStyle name="Обычный 12 2 13" xfId="5735"/>
    <cellStyle name="Обычный 12 2 14" xfId="5736"/>
    <cellStyle name="Обычный 12 2 15" xfId="5737"/>
    <cellStyle name="Обычный 12 2 2" xfId="2346"/>
    <cellStyle name="Обычный 12 2 2 10" xfId="5738"/>
    <cellStyle name="Обычный 12 2 2 11" xfId="5739"/>
    <cellStyle name="Обычный 12 2 2 12" xfId="5740"/>
    <cellStyle name="Обычный 12 2 2 2" xfId="2347"/>
    <cellStyle name="Обычный 12 2 2 2 10" xfId="5741"/>
    <cellStyle name="Обычный 12 2 2 2 2" xfId="2348"/>
    <cellStyle name="Обычный 12 2 2 2 2 2" xfId="2349"/>
    <cellStyle name="Обычный 12 2 2 2 2 2 2" xfId="5742"/>
    <cellStyle name="Обычный 12 2 2 2 2 2 3" xfId="5743"/>
    <cellStyle name="Обычный 12 2 2 2 2 2 4" xfId="5744"/>
    <cellStyle name="Обычный 12 2 2 2 2 2 5" xfId="5745"/>
    <cellStyle name="Обычный 12 2 2 2 2 2 6" xfId="5746"/>
    <cellStyle name="Обычный 12 2 2 2 2 3" xfId="2350"/>
    <cellStyle name="Обычный 12 2 2 2 2 3 2" xfId="5747"/>
    <cellStyle name="Обычный 12 2 2 2 2 3 3" xfId="5748"/>
    <cellStyle name="Обычный 12 2 2 2 2 3 4" xfId="5749"/>
    <cellStyle name="Обычный 12 2 2 2 2 3 5" xfId="5750"/>
    <cellStyle name="Обычный 12 2 2 2 2 3 6" xfId="5751"/>
    <cellStyle name="Обычный 12 2 2 2 2 4" xfId="2351"/>
    <cellStyle name="Обычный 12 2 2 2 2 4 2" xfId="5752"/>
    <cellStyle name="Обычный 12 2 2 2 2 4 3" xfId="5753"/>
    <cellStyle name="Обычный 12 2 2 2 2 4 4" xfId="5754"/>
    <cellStyle name="Обычный 12 2 2 2 2 4 5" xfId="5755"/>
    <cellStyle name="Обычный 12 2 2 2 2 4 6" xfId="5756"/>
    <cellStyle name="Обычный 12 2 2 2 2 5" xfId="5757"/>
    <cellStyle name="Обычный 12 2 2 2 2 6" xfId="5758"/>
    <cellStyle name="Обычный 12 2 2 2 2 7" xfId="5759"/>
    <cellStyle name="Обычный 12 2 2 2 2 8" xfId="5760"/>
    <cellStyle name="Обычный 12 2 2 2 2 9" xfId="5761"/>
    <cellStyle name="Обычный 12 2 2 2 3" xfId="2352"/>
    <cellStyle name="Обычный 12 2 2 2 3 2" xfId="5762"/>
    <cellStyle name="Обычный 12 2 2 2 3 3" xfId="5763"/>
    <cellStyle name="Обычный 12 2 2 2 3 4" xfId="5764"/>
    <cellStyle name="Обычный 12 2 2 2 3 5" xfId="5765"/>
    <cellStyle name="Обычный 12 2 2 2 3 6" xfId="5766"/>
    <cellStyle name="Обычный 12 2 2 2 4" xfId="2353"/>
    <cellStyle name="Обычный 12 2 2 2 4 2" xfId="5767"/>
    <cellStyle name="Обычный 12 2 2 2 4 3" xfId="5768"/>
    <cellStyle name="Обычный 12 2 2 2 4 4" xfId="5769"/>
    <cellStyle name="Обычный 12 2 2 2 4 5" xfId="5770"/>
    <cellStyle name="Обычный 12 2 2 2 4 6" xfId="5771"/>
    <cellStyle name="Обычный 12 2 2 2 5" xfId="2354"/>
    <cellStyle name="Обычный 12 2 2 2 5 2" xfId="5772"/>
    <cellStyle name="Обычный 12 2 2 2 5 3" xfId="5773"/>
    <cellStyle name="Обычный 12 2 2 2 5 4" xfId="5774"/>
    <cellStyle name="Обычный 12 2 2 2 5 5" xfId="5775"/>
    <cellStyle name="Обычный 12 2 2 2 5 6" xfId="5776"/>
    <cellStyle name="Обычный 12 2 2 2 6" xfId="5777"/>
    <cellStyle name="Обычный 12 2 2 2 7" xfId="5778"/>
    <cellStyle name="Обычный 12 2 2 2 8" xfId="5779"/>
    <cellStyle name="Обычный 12 2 2 2 9" xfId="5780"/>
    <cellStyle name="Обычный 12 2 2 3" xfId="2355"/>
    <cellStyle name="Обычный 12 2 2 3 10" xfId="5781"/>
    <cellStyle name="Обычный 12 2 2 3 2" xfId="2356"/>
    <cellStyle name="Обычный 12 2 2 3 2 2" xfId="2357"/>
    <cellStyle name="Обычный 12 2 2 3 2 2 2" xfId="5782"/>
    <cellStyle name="Обычный 12 2 2 3 2 2 3" xfId="5783"/>
    <cellStyle name="Обычный 12 2 2 3 2 2 4" xfId="5784"/>
    <cellStyle name="Обычный 12 2 2 3 2 2 5" xfId="5785"/>
    <cellStyle name="Обычный 12 2 2 3 2 2 6" xfId="5786"/>
    <cellStyle name="Обычный 12 2 2 3 2 3" xfId="2358"/>
    <cellStyle name="Обычный 12 2 2 3 2 3 2" xfId="5787"/>
    <cellStyle name="Обычный 12 2 2 3 2 3 3" xfId="5788"/>
    <cellStyle name="Обычный 12 2 2 3 2 3 4" xfId="5789"/>
    <cellStyle name="Обычный 12 2 2 3 2 3 5" xfId="5790"/>
    <cellStyle name="Обычный 12 2 2 3 2 3 6" xfId="5791"/>
    <cellStyle name="Обычный 12 2 2 3 2 4" xfId="2359"/>
    <cellStyle name="Обычный 12 2 2 3 2 4 2" xfId="5792"/>
    <cellStyle name="Обычный 12 2 2 3 2 4 3" xfId="5793"/>
    <cellStyle name="Обычный 12 2 2 3 2 4 4" xfId="5794"/>
    <cellStyle name="Обычный 12 2 2 3 2 4 5" xfId="5795"/>
    <cellStyle name="Обычный 12 2 2 3 2 4 6" xfId="5796"/>
    <cellStyle name="Обычный 12 2 2 3 2 5" xfId="5797"/>
    <cellStyle name="Обычный 12 2 2 3 2 6" xfId="5798"/>
    <cellStyle name="Обычный 12 2 2 3 2 7" xfId="5799"/>
    <cellStyle name="Обычный 12 2 2 3 2 8" xfId="5800"/>
    <cellStyle name="Обычный 12 2 2 3 2 9" xfId="5801"/>
    <cellStyle name="Обычный 12 2 2 3 3" xfId="2360"/>
    <cellStyle name="Обычный 12 2 2 3 3 2" xfId="5802"/>
    <cellStyle name="Обычный 12 2 2 3 3 3" xfId="5803"/>
    <cellStyle name="Обычный 12 2 2 3 3 4" xfId="5804"/>
    <cellStyle name="Обычный 12 2 2 3 3 5" xfId="5805"/>
    <cellStyle name="Обычный 12 2 2 3 3 6" xfId="5806"/>
    <cellStyle name="Обычный 12 2 2 3 4" xfId="2361"/>
    <cellStyle name="Обычный 12 2 2 3 4 2" xfId="5807"/>
    <cellStyle name="Обычный 12 2 2 3 4 3" xfId="5808"/>
    <cellStyle name="Обычный 12 2 2 3 4 4" xfId="5809"/>
    <cellStyle name="Обычный 12 2 2 3 4 5" xfId="5810"/>
    <cellStyle name="Обычный 12 2 2 3 4 6" xfId="5811"/>
    <cellStyle name="Обычный 12 2 2 3 5" xfId="2362"/>
    <cellStyle name="Обычный 12 2 2 3 5 2" xfId="5812"/>
    <cellStyle name="Обычный 12 2 2 3 5 3" xfId="5813"/>
    <cellStyle name="Обычный 12 2 2 3 5 4" xfId="5814"/>
    <cellStyle name="Обычный 12 2 2 3 5 5" xfId="5815"/>
    <cellStyle name="Обычный 12 2 2 3 5 6" xfId="5816"/>
    <cellStyle name="Обычный 12 2 2 3 6" xfId="5817"/>
    <cellStyle name="Обычный 12 2 2 3 7" xfId="5818"/>
    <cellStyle name="Обычный 12 2 2 3 8" xfId="5819"/>
    <cellStyle name="Обычный 12 2 2 3 9" xfId="5820"/>
    <cellStyle name="Обычный 12 2 2 4" xfId="2363"/>
    <cellStyle name="Обычный 12 2 2 4 2" xfId="2364"/>
    <cellStyle name="Обычный 12 2 2 4 2 2" xfId="5821"/>
    <cellStyle name="Обычный 12 2 2 4 2 3" xfId="5822"/>
    <cellStyle name="Обычный 12 2 2 4 2 4" xfId="5823"/>
    <cellStyle name="Обычный 12 2 2 4 2 5" xfId="5824"/>
    <cellStyle name="Обычный 12 2 2 4 2 6" xfId="5825"/>
    <cellStyle name="Обычный 12 2 2 4 3" xfId="2365"/>
    <cellStyle name="Обычный 12 2 2 4 3 2" xfId="5826"/>
    <cellStyle name="Обычный 12 2 2 4 3 3" xfId="5827"/>
    <cellStyle name="Обычный 12 2 2 4 3 4" xfId="5828"/>
    <cellStyle name="Обычный 12 2 2 4 3 5" xfId="5829"/>
    <cellStyle name="Обычный 12 2 2 4 3 6" xfId="5830"/>
    <cellStyle name="Обычный 12 2 2 4 4" xfId="2366"/>
    <cellStyle name="Обычный 12 2 2 4 4 2" xfId="5831"/>
    <cellStyle name="Обычный 12 2 2 4 4 3" xfId="5832"/>
    <cellStyle name="Обычный 12 2 2 4 4 4" xfId="5833"/>
    <cellStyle name="Обычный 12 2 2 4 4 5" xfId="5834"/>
    <cellStyle name="Обычный 12 2 2 4 4 6" xfId="5835"/>
    <cellStyle name="Обычный 12 2 2 4 5" xfId="5836"/>
    <cellStyle name="Обычный 12 2 2 4 6" xfId="5837"/>
    <cellStyle name="Обычный 12 2 2 4 7" xfId="5838"/>
    <cellStyle name="Обычный 12 2 2 4 8" xfId="5839"/>
    <cellStyle name="Обычный 12 2 2 4 9" xfId="5840"/>
    <cellStyle name="Обычный 12 2 2 5" xfId="2367"/>
    <cellStyle name="Обычный 12 2 2 5 2" xfId="5841"/>
    <cellStyle name="Обычный 12 2 2 5 3" xfId="5842"/>
    <cellStyle name="Обычный 12 2 2 5 4" xfId="5843"/>
    <cellStyle name="Обычный 12 2 2 5 5" xfId="5844"/>
    <cellStyle name="Обычный 12 2 2 5 6" xfId="5845"/>
    <cellStyle name="Обычный 12 2 2 6" xfId="2368"/>
    <cellStyle name="Обычный 12 2 2 6 2" xfId="5846"/>
    <cellStyle name="Обычный 12 2 2 6 3" xfId="5847"/>
    <cellStyle name="Обычный 12 2 2 6 4" xfId="5848"/>
    <cellStyle name="Обычный 12 2 2 6 5" xfId="5849"/>
    <cellStyle name="Обычный 12 2 2 6 6" xfId="5850"/>
    <cellStyle name="Обычный 12 2 2 7" xfId="2369"/>
    <cellStyle name="Обычный 12 2 2 7 2" xfId="5851"/>
    <cellStyle name="Обычный 12 2 2 7 3" xfId="5852"/>
    <cellStyle name="Обычный 12 2 2 7 4" xfId="5853"/>
    <cellStyle name="Обычный 12 2 2 7 5" xfId="5854"/>
    <cellStyle name="Обычный 12 2 2 7 6" xfId="5855"/>
    <cellStyle name="Обычный 12 2 2 8" xfId="5856"/>
    <cellStyle name="Обычный 12 2 2 9" xfId="5857"/>
    <cellStyle name="Обычный 12 2 3" xfId="2370"/>
    <cellStyle name="Обычный 12 2 3 10" xfId="5858"/>
    <cellStyle name="Обычный 12 2 3 2" xfId="2371"/>
    <cellStyle name="Обычный 12 2 3 2 2" xfId="2372"/>
    <cellStyle name="Обычный 12 2 3 2 2 2" xfId="5859"/>
    <cellStyle name="Обычный 12 2 3 2 2 3" xfId="5860"/>
    <cellStyle name="Обычный 12 2 3 2 2 4" xfId="5861"/>
    <cellStyle name="Обычный 12 2 3 2 2 5" xfId="5862"/>
    <cellStyle name="Обычный 12 2 3 2 2 6" xfId="5863"/>
    <cellStyle name="Обычный 12 2 3 2 3" xfId="2373"/>
    <cellStyle name="Обычный 12 2 3 2 3 2" xfId="5864"/>
    <cellStyle name="Обычный 12 2 3 2 3 3" xfId="5865"/>
    <cellStyle name="Обычный 12 2 3 2 3 4" xfId="5866"/>
    <cellStyle name="Обычный 12 2 3 2 3 5" xfId="5867"/>
    <cellStyle name="Обычный 12 2 3 2 3 6" xfId="5868"/>
    <cellStyle name="Обычный 12 2 3 2 4" xfId="2374"/>
    <cellStyle name="Обычный 12 2 3 2 4 2" xfId="5869"/>
    <cellStyle name="Обычный 12 2 3 2 4 3" xfId="5870"/>
    <cellStyle name="Обычный 12 2 3 2 4 4" xfId="5871"/>
    <cellStyle name="Обычный 12 2 3 2 4 5" xfId="5872"/>
    <cellStyle name="Обычный 12 2 3 2 4 6" xfId="5873"/>
    <cellStyle name="Обычный 12 2 3 2 5" xfId="5874"/>
    <cellStyle name="Обычный 12 2 3 2 6" xfId="5875"/>
    <cellStyle name="Обычный 12 2 3 2 7" xfId="5876"/>
    <cellStyle name="Обычный 12 2 3 2 8" xfId="5877"/>
    <cellStyle name="Обычный 12 2 3 2 9" xfId="5878"/>
    <cellStyle name="Обычный 12 2 3 3" xfId="2375"/>
    <cellStyle name="Обычный 12 2 3 3 2" xfId="5879"/>
    <cellStyle name="Обычный 12 2 3 3 3" xfId="5880"/>
    <cellStyle name="Обычный 12 2 3 3 4" xfId="5881"/>
    <cellStyle name="Обычный 12 2 3 3 5" xfId="5882"/>
    <cellStyle name="Обычный 12 2 3 3 6" xfId="5883"/>
    <cellStyle name="Обычный 12 2 3 4" xfId="2376"/>
    <cellStyle name="Обычный 12 2 3 4 2" xfId="5884"/>
    <cellStyle name="Обычный 12 2 3 4 3" xfId="5885"/>
    <cellStyle name="Обычный 12 2 3 4 4" xfId="5886"/>
    <cellStyle name="Обычный 12 2 3 4 5" xfId="5887"/>
    <cellStyle name="Обычный 12 2 3 4 6" xfId="5888"/>
    <cellStyle name="Обычный 12 2 3 5" xfId="2377"/>
    <cellStyle name="Обычный 12 2 3 5 2" xfId="5889"/>
    <cellStyle name="Обычный 12 2 3 5 3" xfId="5890"/>
    <cellStyle name="Обычный 12 2 3 5 4" xfId="5891"/>
    <cellStyle name="Обычный 12 2 3 5 5" xfId="5892"/>
    <cellStyle name="Обычный 12 2 3 5 6" xfId="5893"/>
    <cellStyle name="Обычный 12 2 3 6" xfId="5894"/>
    <cellStyle name="Обычный 12 2 3 7" xfId="5895"/>
    <cellStyle name="Обычный 12 2 3 8" xfId="5896"/>
    <cellStyle name="Обычный 12 2 3 9" xfId="5897"/>
    <cellStyle name="Обычный 12 2 4" xfId="2378"/>
    <cellStyle name="Обычный 12 2 4 10" xfId="5898"/>
    <cellStyle name="Обычный 12 2 4 11" xfId="5899"/>
    <cellStyle name="Обычный 12 2 4 2" xfId="2379"/>
    <cellStyle name="Обычный 12 2 4 2 10" xfId="5900"/>
    <cellStyle name="Обычный 12 2 4 2 2" xfId="2380"/>
    <cellStyle name="Обычный 12 2 4 2 2 2" xfId="2381"/>
    <cellStyle name="Обычный 12 2 4 2 2 2 2" xfId="5901"/>
    <cellStyle name="Обычный 12 2 4 2 2 2 3" xfId="5902"/>
    <cellStyle name="Обычный 12 2 4 2 2 2 4" xfId="5903"/>
    <cellStyle name="Обычный 12 2 4 2 2 2 5" xfId="5904"/>
    <cellStyle name="Обычный 12 2 4 2 2 2 6" xfId="5905"/>
    <cellStyle name="Обычный 12 2 4 2 2 3" xfId="2382"/>
    <cellStyle name="Обычный 12 2 4 2 2 3 2" xfId="5906"/>
    <cellStyle name="Обычный 12 2 4 2 2 3 3" xfId="5907"/>
    <cellStyle name="Обычный 12 2 4 2 2 3 4" xfId="5908"/>
    <cellStyle name="Обычный 12 2 4 2 2 3 5" xfId="5909"/>
    <cellStyle name="Обычный 12 2 4 2 2 3 6" xfId="5910"/>
    <cellStyle name="Обычный 12 2 4 2 2 4" xfId="2383"/>
    <cellStyle name="Обычный 12 2 4 2 2 4 2" xfId="5911"/>
    <cellStyle name="Обычный 12 2 4 2 2 4 3" xfId="5912"/>
    <cellStyle name="Обычный 12 2 4 2 2 4 4" xfId="5913"/>
    <cellStyle name="Обычный 12 2 4 2 2 4 5" xfId="5914"/>
    <cellStyle name="Обычный 12 2 4 2 2 4 6" xfId="5915"/>
    <cellStyle name="Обычный 12 2 4 2 2 5" xfId="5916"/>
    <cellStyle name="Обычный 12 2 4 2 2 6" xfId="5917"/>
    <cellStyle name="Обычный 12 2 4 2 2 7" xfId="5918"/>
    <cellStyle name="Обычный 12 2 4 2 2 8" xfId="5919"/>
    <cellStyle name="Обычный 12 2 4 2 2 9" xfId="5920"/>
    <cellStyle name="Обычный 12 2 4 2 3" xfId="2384"/>
    <cellStyle name="Обычный 12 2 4 2 3 2" xfId="5921"/>
    <cellStyle name="Обычный 12 2 4 2 3 3" xfId="5922"/>
    <cellStyle name="Обычный 12 2 4 2 3 4" xfId="5923"/>
    <cellStyle name="Обычный 12 2 4 2 3 5" xfId="5924"/>
    <cellStyle name="Обычный 12 2 4 2 3 6" xfId="5925"/>
    <cellStyle name="Обычный 12 2 4 2 4" xfId="2385"/>
    <cellStyle name="Обычный 12 2 4 2 4 2" xfId="5926"/>
    <cellStyle name="Обычный 12 2 4 2 4 3" xfId="5927"/>
    <cellStyle name="Обычный 12 2 4 2 4 4" xfId="5928"/>
    <cellStyle name="Обычный 12 2 4 2 4 5" xfId="5929"/>
    <cellStyle name="Обычный 12 2 4 2 4 6" xfId="5930"/>
    <cellStyle name="Обычный 12 2 4 2 5" xfId="2386"/>
    <cellStyle name="Обычный 12 2 4 2 5 2" xfId="5931"/>
    <cellStyle name="Обычный 12 2 4 2 5 3" xfId="5932"/>
    <cellStyle name="Обычный 12 2 4 2 5 4" xfId="5933"/>
    <cellStyle name="Обычный 12 2 4 2 5 5" xfId="5934"/>
    <cellStyle name="Обычный 12 2 4 2 5 6" xfId="5935"/>
    <cellStyle name="Обычный 12 2 4 2 6" xfId="5936"/>
    <cellStyle name="Обычный 12 2 4 2 7" xfId="5937"/>
    <cellStyle name="Обычный 12 2 4 2 8" xfId="5938"/>
    <cellStyle name="Обычный 12 2 4 2 9" xfId="5939"/>
    <cellStyle name="Обычный 12 2 4 3" xfId="2387"/>
    <cellStyle name="Обычный 12 2 4 3 2" xfId="2388"/>
    <cellStyle name="Обычный 12 2 4 3 2 2" xfId="5940"/>
    <cellStyle name="Обычный 12 2 4 3 2 3" xfId="5941"/>
    <cellStyle name="Обычный 12 2 4 3 2 4" xfId="5942"/>
    <cellStyle name="Обычный 12 2 4 3 2 5" xfId="5943"/>
    <cellStyle name="Обычный 12 2 4 3 2 6" xfId="5944"/>
    <cellStyle name="Обычный 12 2 4 3 3" xfId="2389"/>
    <cellStyle name="Обычный 12 2 4 3 3 2" xfId="5945"/>
    <cellStyle name="Обычный 12 2 4 3 3 3" xfId="5946"/>
    <cellStyle name="Обычный 12 2 4 3 3 4" xfId="5947"/>
    <cellStyle name="Обычный 12 2 4 3 3 5" xfId="5948"/>
    <cellStyle name="Обычный 12 2 4 3 3 6" xfId="5949"/>
    <cellStyle name="Обычный 12 2 4 3 4" xfId="2390"/>
    <cellStyle name="Обычный 12 2 4 3 4 2" xfId="5950"/>
    <cellStyle name="Обычный 12 2 4 3 4 3" xfId="5951"/>
    <cellStyle name="Обычный 12 2 4 3 4 4" xfId="5952"/>
    <cellStyle name="Обычный 12 2 4 3 4 5" xfId="5953"/>
    <cellStyle name="Обычный 12 2 4 3 4 6" xfId="5954"/>
    <cellStyle name="Обычный 12 2 4 3 5" xfId="5955"/>
    <cellStyle name="Обычный 12 2 4 3 6" xfId="5956"/>
    <cellStyle name="Обычный 12 2 4 3 7" xfId="5957"/>
    <cellStyle name="Обычный 12 2 4 3 8" xfId="5958"/>
    <cellStyle name="Обычный 12 2 4 3 9" xfId="5959"/>
    <cellStyle name="Обычный 12 2 4 4" xfId="2391"/>
    <cellStyle name="Обычный 12 2 4 4 2" xfId="5960"/>
    <cellStyle name="Обычный 12 2 4 4 3" xfId="5961"/>
    <cellStyle name="Обычный 12 2 4 4 4" xfId="5962"/>
    <cellStyle name="Обычный 12 2 4 4 5" xfId="5963"/>
    <cellStyle name="Обычный 12 2 4 4 6" xfId="5964"/>
    <cellStyle name="Обычный 12 2 4 5" xfId="2392"/>
    <cellStyle name="Обычный 12 2 4 5 2" xfId="5965"/>
    <cellStyle name="Обычный 12 2 4 5 3" xfId="5966"/>
    <cellStyle name="Обычный 12 2 4 5 4" xfId="5967"/>
    <cellStyle name="Обычный 12 2 4 5 5" xfId="5968"/>
    <cellStyle name="Обычный 12 2 4 5 6" xfId="5969"/>
    <cellStyle name="Обычный 12 2 4 6" xfId="2393"/>
    <cellStyle name="Обычный 12 2 4 6 2" xfId="5970"/>
    <cellStyle name="Обычный 12 2 4 6 3" xfId="5971"/>
    <cellStyle name="Обычный 12 2 4 6 4" xfId="5972"/>
    <cellStyle name="Обычный 12 2 4 6 5" xfId="5973"/>
    <cellStyle name="Обычный 12 2 4 6 6" xfId="5974"/>
    <cellStyle name="Обычный 12 2 4 7" xfId="5975"/>
    <cellStyle name="Обычный 12 2 4 8" xfId="5976"/>
    <cellStyle name="Обычный 12 2 4 9" xfId="5977"/>
    <cellStyle name="Обычный 12 2 5" xfId="2394"/>
    <cellStyle name="Обычный 12 2 5 10" xfId="5978"/>
    <cellStyle name="Обычный 12 2 5 2" xfId="2395"/>
    <cellStyle name="Обычный 12 2 5 2 2" xfId="2396"/>
    <cellStyle name="Обычный 12 2 5 2 2 2" xfId="5979"/>
    <cellStyle name="Обычный 12 2 5 2 2 3" xfId="5980"/>
    <cellStyle name="Обычный 12 2 5 2 2 4" xfId="5981"/>
    <cellStyle name="Обычный 12 2 5 2 2 5" xfId="5982"/>
    <cellStyle name="Обычный 12 2 5 2 2 6" xfId="5983"/>
    <cellStyle name="Обычный 12 2 5 2 3" xfId="2397"/>
    <cellStyle name="Обычный 12 2 5 2 3 2" xfId="5984"/>
    <cellStyle name="Обычный 12 2 5 2 3 3" xfId="5985"/>
    <cellStyle name="Обычный 12 2 5 2 3 4" xfId="5986"/>
    <cellStyle name="Обычный 12 2 5 2 3 5" xfId="5987"/>
    <cellStyle name="Обычный 12 2 5 2 3 6" xfId="5988"/>
    <cellStyle name="Обычный 12 2 5 2 4" xfId="2398"/>
    <cellStyle name="Обычный 12 2 5 2 4 2" xfId="5989"/>
    <cellStyle name="Обычный 12 2 5 2 4 3" xfId="5990"/>
    <cellStyle name="Обычный 12 2 5 2 4 4" xfId="5991"/>
    <cellStyle name="Обычный 12 2 5 2 4 5" xfId="5992"/>
    <cellStyle name="Обычный 12 2 5 2 4 6" xfId="5993"/>
    <cellStyle name="Обычный 12 2 5 2 5" xfId="5994"/>
    <cellStyle name="Обычный 12 2 5 2 6" xfId="5995"/>
    <cellStyle name="Обычный 12 2 5 2 7" xfId="5996"/>
    <cellStyle name="Обычный 12 2 5 2 8" xfId="5997"/>
    <cellStyle name="Обычный 12 2 5 2 9" xfId="5998"/>
    <cellStyle name="Обычный 12 2 5 3" xfId="2399"/>
    <cellStyle name="Обычный 12 2 5 3 2" xfId="5999"/>
    <cellStyle name="Обычный 12 2 5 3 3" xfId="6000"/>
    <cellStyle name="Обычный 12 2 5 3 4" xfId="6001"/>
    <cellStyle name="Обычный 12 2 5 3 5" xfId="6002"/>
    <cellStyle name="Обычный 12 2 5 3 6" xfId="6003"/>
    <cellStyle name="Обычный 12 2 5 4" xfId="2400"/>
    <cellStyle name="Обычный 12 2 5 4 2" xfId="6004"/>
    <cellStyle name="Обычный 12 2 5 4 3" xfId="6005"/>
    <cellStyle name="Обычный 12 2 5 4 4" xfId="6006"/>
    <cellStyle name="Обычный 12 2 5 4 5" xfId="6007"/>
    <cellStyle name="Обычный 12 2 5 4 6" xfId="6008"/>
    <cellStyle name="Обычный 12 2 5 5" xfId="2401"/>
    <cellStyle name="Обычный 12 2 5 5 2" xfId="6009"/>
    <cellStyle name="Обычный 12 2 5 5 3" xfId="6010"/>
    <cellStyle name="Обычный 12 2 5 5 4" xfId="6011"/>
    <cellStyle name="Обычный 12 2 5 5 5" xfId="6012"/>
    <cellStyle name="Обычный 12 2 5 5 6" xfId="6013"/>
    <cellStyle name="Обычный 12 2 5 6" xfId="6014"/>
    <cellStyle name="Обычный 12 2 5 7" xfId="6015"/>
    <cellStyle name="Обычный 12 2 5 8" xfId="6016"/>
    <cellStyle name="Обычный 12 2 5 9" xfId="6017"/>
    <cellStyle name="Обычный 12 2 6" xfId="2402"/>
    <cellStyle name="Обычный 12 2 6 2" xfId="2403"/>
    <cellStyle name="Обычный 12 2 6 2 2" xfId="6018"/>
    <cellStyle name="Обычный 12 2 6 2 3" xfId="6019"/>
    <cellStyle name="Обычный 12 2 6 2 4" xfId="6020"/>
    <cellStyle name="Обычный 12 2 6 2 5" xfId="6021"/>
    <cellStyle name="Обычный 12 2 6 2 6" xfId="6022"/>
    <cellStyle name="Обычный 12 2 6 3" xfId="2404"/>
    <cellStyle name="Обычный 12 2 6 3 2" xfId="6023"/>
    <cellStyle name="Обычный 12 2 6 3 3" xfId="6024"/>
    <cellStyle name="Обычный 12 2 6 3 4" xfId="6025"/>
    <cellStyle name="Обычный 12 2 6 3 5" xfId="6026"/>
    <cellStyle name="Обычный 12 2 6 3 6" xfId="6027"/>
    <cellStyle name="Обычный 12 2 6 4" xfId="2405"/>
    <cellStyle name="Обычный 12 2 6 4 2" xfId="6028"/>
    <cellStyle name="Обычный 12 2 6 4 3" xfId="6029"/>
    <cellStyle name="Обычный 12 2 6 4 4" xfId="6030"/>
    <cellStyle name="Обычный 12 2 6 4 5" xfId="6031"/>
    <cellStyle name="Обычный 12 2 6 4 6" xfId="6032"/>
    <cellStyle name="Обычный 12 2 6 5" xfId="6033"/>
    <cellStyle name="Обычный 12 2 6 6" xfId="6034"/>
    <cellStyle name="Обычный 12 2 6 7" xfId="6035"/>
    <cellStyle name="Обычный 12 2 6 8" xfId="6036"/>
    <cellStyle name="Обычный 12 2 6 9" xfId="6037"/>
    <cellStyle name="Обычный 12 2 7" xfId="2406"/>
    <cellStyle name="Обычный 12 2 7 2" xfId="2407"/>
    <cellStyle name="Обычный 12 2 7 2 2" xfId="6038"/>
    <cellStyle name="Обычный 12 2 7 2 3" xfId="6039"/>
    <cellStyle name="Обычный 12 2 7 2 4" xfId="6040"/>
    <cellStyle name="Обычный 12 2 7 2 5" xfId="6041"/>
    <cellStyle name="Обычный 12 2 7 2 6" xfId="6042"/>
    <cellStyle name="Обычный 12 2 7 3" xfId="2408"/>
    <cellStyle name="Обычный 12 2 7 3 2" xfId="6043"/>
    <cellStyle name="Обычный 12 2 7 3 3" xfId="6044"/>
    <cellStyle name="Обычный 12 2 7 3 4" xfId="6045"/>
    <cellStyle name="Обычный 12 2 7 3 5" xfId="6046"/>
    <cellStyle name="Обычный 12 2 7 3 6" xfId="6047"/>
    <cellStyle name="Обычный 12 2 7 4" xfId="2409"/>
    <cellStyle name="Обычный 12 2 7 4 2" xfId="6048"/>
    <cellStyle name="Обычный 12 2 7 4 3" xfId="6049"/>
    <cellStyle name="Обычный 12 2 7 4 4" xfId="6050"/>
    <cellStyle name="Обычный 12 2 7 4 5" xfId="6051"/>
    <cellStyle name="Обычный 12 2 7 4 6" xfId="6052"/>
    <cellStyle name="Обычный 12 2 7 5" xfId="6053"/>
    <cellStyle name="Обычный 12 2 7 6" xfId="6054"/>
    <cellStyle name="Обычный 12 2 7 7" xfId="6055"/>
    <cellStyle name="Обычный 12 2 7 8" xfId="6056"/>
    <cellStyle name="Обычный 12 2 7 9" xfId="6057"/>
    <cellStyle name="Обычный 12 2 8" xfId="2410"/>
    <cellStyle name="Обычный 12 2 8 2" xfId="6058"/>
    <cellStyle name="Обычный 12 2 8 3" xfId="6059"/>
    <cellStyle name="Обычный 12 2 8 4" xfId="6060"/>
    <cellStyle name="Обычный 12 2 8 5" xfId="6061"/>
    <cellStyle name="Обычный 12 2 8 6" xfId="6062"/>
    <cellStyle name="Обычный 12 2 9" xfId="2411"/>
    <cellStyle name="Обычный 12 2 9 2" xfId="6063"/>
    <cellStyle name="Обычный 12 2 9 3" xfId="6064"/>
    <cellStyle name="Обычный 12 2 9 4" xfId="6065"/>
    <cellStyle name="Обычный 12 2 9 5" xfId="6066"/>
    <cellStyle name="Обычный 12 2 9 6" xfId="6067"/>
    <cellStyle name="Обычный 12 3" xfId="2412"/>
    <cellStyle name="Обычный 12 3 2" xfId="2413"/>
    <cellStyle name="Обычный 12 3 2 2" xfId="2414"/>
    <cellStyle name="Обычный 12 3 2 2 2" xfId="6068"/>
    <cellStyle name="Обычный 12 3 2 2 3" xfId="6069"/>
    <cellStyle name="Обычный 12 3 2 2 4" xfId="6070"/>
    <cellStyle name="Обычный 12 3 2 2 5" xfId="6071"/>
    <cellStyle name="Обычный 12 3 2 2 6" xfId="6072"/>
    <cellStyle name="Обычный 12 3 2 3" xfId="2415"/>
    <cellStyle name="Обычный 12 3 2 3 2" xfId="6073"/>
    <cellStyle name="Обычный 12 3 2 3 3" xfId="6074"/>
    <cellStyle name="Обычный 12 3 2 3 4" xfId="6075"/>
    <cellStyle name="Обычный 12 3 2 3 5" xfId="6076"/>
    <cellStyle name="Обычный 12 3 2 3 6" xfId="6077"/>
    <cellStyle name="Обычный 12 3 2 4" xfId="2416"/>
    <cellStyle name="Обычный 12 3 2 4 2" xfId="6078"/>
    <cellStyle name="Обычный 12 3 2 4 3" xfId="6079"/>
    <cellStyle name="Обычный 12 3 2 4 4" xfId="6080"/>
    <cellStyle name="Обычный 12 3 2 4 5" xfId="6081"/>
    <cellStyle name="Обычный 12 3 2 4 6" xfId="6082"/>
    <cellStyle name="Обычный 12 3 2 5" xfId="6083"/>
    <cellStyle name="Обычный 12 3 2 6" xfId="6084"/>
    <cellStyle name="Обычный 12 3 2 7" xfId="6085"/>
    <cellStyle name="Обычный 12 3 2 8" xfId="6086"/>
    <cellStyle name="Обычный 12 3 2 9" xfId="6087"/>
    <cellStyle name="Обычный 12 3 3" xfId="2417"/>
    <cellStyle name="Обычный 12 3 3 2" xfId="2418"/>
    <cellStyle name="Обычный 12 3 3 2 2" xfId="6088"/>
    <cellStyle name="Обычный 12 3 3 2 3" xfId="6089"/>
    <cellStyle name="Обычный 12 3 3 2 4" xfId="6090"/>
    <cellStyle name="Обычный 12 3 3 2 5" xfId="6091"/>
    <cellStyle name="Обычный 12 3 3 2 6" xfId="6092"/>
    <cellStyle name="Обычный 12 3 3 3" xfId="2419"/>
    <cellStyle name="Обычный 12 3 3 3 2" xfId="6093"/>
    <cellStyle name="Обычный 12 3 3 3 3" xfId="6094"/>
    <cellStyle name="Обычный 12 3 3 3 4" xfId="6095"/>
    <cellStyle name="Обычный 12 3 3 3 5" xfId="6096"/>
    <cellStyle name="Обычный 12 3 3 3 6" xfId="6097"/>
    <cellStyle name="Обычный 12 3 3 4" xfId="2420"/>
    <cellStyle name="Обычный 12 3 3 4 2" xfId="6098"/>
    <cellStyle name="Обычный 12 3 3 4 3" xfId="6099"/>
    <cellStyle name="Обычный 12 3 3 4 4" xfId="6100"/>
    <cellStyle name="Обычный 12 3 3 4 5" xfId="6101"/>
    <cellStyle name="Обычный 12 3 3 4 6" xfId="6102"/>
    <cellStyle name="Обычный 12 3 3 5" xfId="6103"/>
    <cellStyle name="Обычный 12 3 3 6" xfId="6104"/>
    <cellStyle name="Обычный 12 3 3 7" xfId="6105"/>
    <cellStyle name="Обычный 12 3 3 8" xfId="6106"/>
    <cellStyle name="Обычный 12 3 3 9" xfId="6107"/>
    <cellStyle name="Обычный 12 3 4" xfId="5249"/>
    <cellStyle name="Обычный 12 4" xfId="5250"/>
    <cellStyle name="Обычный 13" xfId="4"/>
    <cellStyle name="Обычный 13 2" xfId="2421"/>
    <cellStyle name="Обычный 13 3" xfId="2422"/>
    <cellStyle name="Обычный 13 3 2" xfId="2423"/>
    <cellStyle name="Обычный 13 4" xfId="2424"/>
    <cellStyle name="Обычный 13 5" xfId="5251"/>
    <cellStyle name="Обычный 14" xfId="2425"/>
    <cellStyle name="Обычный 14 2" xfId="3"/>
    <cellStyle name="Обычный 14 2 2" xfId="2426"/>
    <cellStyle name="Обычный 14 3" xfId="2427"/>
    <cellStyle name="Обычный 14 4" xfId="2428"/>
    <cellStyle name="Обычный 14 5" xfId="5252"/>
    <cellStyle name="Обычный 15" xfId="2429"/>
    <cellStyle name="Обычный 15 2" xfId="2430"/>
    <cellStyle name="Обычный 15 2 2" xfId="2431"/>
    <cellStyle name="Обычный 15 3" xfId="5253"/>
    <cellStyle name="Обычный 16" xfId="2432"/>
    <cellStyle name="Обычный 16 2" xfId="2433"/>
    <cellStyle name="Обычный 16 2 2" xfId="2434"/>
    <cellStyle name="Обычный 16 3" xfId="5254"/>
    <cellStyle name="Обычный 16 4" xfId="5255"/>
    <cellStyle name="Обычный 17" xfId="2435"/>
    <cellStyle name="Обычный 17 2" xfId="2436"/>
    <cellStyle name="Обычный 17 2 2" xfId="2437"/>
    <cellStyle name="Обычный 17 2 2 2" xfId="2438"/>
    <cellStyle name="Обычный 17 2 3" xfId="2439"/>
    <cellStyle name="Обычный 17 3" xfId="2440"/>
    <cellStyle name="Обычный 17 3 10" xfId="6108"/>
    <cellStyle name="Обычный 17 3 2" xfId="2441"/>
    <cellStyle name="Обычный 17 3 2 2" xfId="2442"/>
    <cellStyle name="Обычный 17 3 2 2 2" xfId="6109"/>
    <cellStyle name="Обычный 17 3 2 2 3" xfId="6110"/>
    <cellStyle name="Обычный 17 3 2 2 4" xfId="6111"/>
    <cellStyle name="Обычный 17 3 2 2 5" xfId="6112"/>
    <cellStyle name="Обычный 17 3 2 2 6" xfId="6113"/>
    <cellStyle name="Обычный 17 3 2 3" xfId="2443"/>
    <cellStyle name="Обычный 17 3 2 3 2" xfId="6114"/>
    <cellStyle name="Обычный 17 3 2 3 3" xfId="6115"/>
    <cellStyle name="Обычный 17 3 2 3 4" xfId="6116"/>
    <cellStyle name="Обычный 17 3 2 3 5" xfId="6117"/>
    <cellStyle name="Обычный 17 3 2 3 6" xfId="6118"/>
    <cellStyle name="Обычный 17 3 2 4" xfId="2444"/>
    <cellStyle name="Обычный 17 3 2 4 2" xfId="6119"/>
    <cellStyle name="Обычный 17 3 2 4 3" xfId="6120"/>
    <cellStyle name="Обычный 17 3 2 4 4" xfId="6121"/>
    <cellStyle name="Обычный 17 3 2 4 5" xfId="6122"/>
    <cellStyle name="Обычный 17 3 2 4 6" xfId="6123"/>
    <cellStyle name="Обычный 17 3 2 5" xfId="6124"/>
    <cellStyle name="Обычный 17 3 2 6" xfId="6125"/>
    <cellStyle name="Обычный 17 3 2 7" xfId="6126"/>
    <cellStyle name="Обычный 17 3 2 8" xfId="6127"/>
    <cellStyle name="Обычный 17 3 2 9" xfId="6128"/>
    <cellStyle name="Обычный 17 3 3" xfId="2445"/>
    <cellStyle name="Обычный 17 3 3 2" xfId="6129"/>
    <cellStyle name="Обычный 17 3 3 3" xfId="6130"/>
    <cellStyle name="Обычный 17 3 3 4" xfId="6131"/>
    <cellStyle name="Обычный 17 3 3 5" xfId="6132"/>
    <cellStyle name="Обычный 17 3 3 6" xfId="6133"/>
    <cellStyle name="Обычный 17 3 4" xfId="2446"/>
    <cellStyle name="Обычный 17 3 4 2" xfId="6134"/>
    <cellStyle name="Обычный 17 3 4 3" xfId="6135"/>
    <cellStyle name="Обычный 17 3 4 4" xfId="6136"/>
    <cellStyle name="Обычный 17 3 4 5" xfId="6137"/>
    <cellStyle name="Обычный 17 3 4 6" xfId="6138"/>
    <cellStyle name="Обычный 17 3 5" xfId="2447"/>
    <cellStyle name="Обычный 17 3 5 2" xfId="6139"/>
    <cellStyle name="Обычный 17 3 5 3" xfId="6140"/>
    <cellStyle name="Обычный 17 3 5 4" xfId="6141"/>
    <cellStyle name="Обычный 17 3 5 5" xfId="6142"/>
    <cellStyle name="Обычный 17 3 5 6" xfId="6143"/>
    <cellStyle name="Обычный 17 3 6" xfId="6144"/>
    <cellStyle name="Обычный 17 3 7" xfId="6145"/>
    <cellStyle name="Обычный 17 3 8" xfId="6146"/>
    <cellStyle name="Обычный 17 3 9" xfId="6147"/>
    <cellStyle name="Обычный 17 4" xfId="2448"/>
    <cellStyle name="Обычный 17 4 2" xfId="2449"/>
    <cellStyle name="Обычный 17 4 2 2" xfId="6148"/>
    <cellStyle name="Обычный 17 4 2 3" xfId="6149"/>
    <cellStyle name="Обычный 17 4 2 4" xfId="6150"/>
    <cellStyle name="Обычный 17 4 2 5" xfId="6151"/>
    <cellStyle name="Обычный 17 4 2 6" xfId="6152"/>
    <cellStyle name="Обычный 17 4 3" xfId="2450"/>
    <cellStyle name="Обычный 17 4 3 2" xfId="6153"/>
    <cellStyle name="Обычный 17 4 3 3" xfId="6154"/>
    <cellStyle name="Обычный 17 4 3 4" xfId="6155"/>
    <cellStyle name="Обычный 17 4 3 5" xfId="6156"/>
    <cellStyle name="Обычный 17 4 3 6" xfId="6157"/>
    <cellStyle name="Обычный 17 4 4" xfId="2451"/>
    <cellStyle name="Обычный 17 4 4 2" xfId="6158"/>
    <cellStyle name="Обычный 17 4 4 3" xfId="6159"/>
    <cellStyle name="Обычный 17 4 4 4" xfId="6160"/>
    <cellStyle name="Обычный 17 4 4 5" xfId="6161"/>
    <cellStyle name="Обычный 17 4 4 6" xfId="6162"/>
    <cellStyle name="Обычный 17 4 5" xfId="6163"/>
    <cellStyle name="Обычный 17 4 6" xfId="6164"/>
    <cellStyle name="Обычный 17 4 7" xfId="6165"/>
    <cellStyle name="Обычный 17 4 8" xfId="6166"/>
    <cellStyle name="Обычный 17 4 9" xfId="6167"/>
    <cellStyle name="Обычный 17 5" xfId="5256"/>
    <cellStyle name="Обычный 18" xfId="2452"/>
    <cellStyle name="Обычный 18 10" xfId="5257"/>
    <cellStyle name="Обычный 18 11" xfId="6168"/>
    <cellStyle name="Обычный 18 12" xfId="6169"/>
    <cellStyle name="Обычный 18 13" xfId="6170"/>
    <cellStyle name="Обычный 18 14" xfId="6171"/>
    <cellStyle name="Обычный 18 2" xfId="2453"/>
    <cellStyle name="Обычный 18 2 10" xfId="6172"/>
    <cellStyle name="Обычный 18 2 11" xfId="6173"/>
    <cellStyle name="Обычный 18 2 2" xfId="2454"/>
    <cellStyle name="Обычный 18 2 2 10" xfId="6174"/>
    <cellStyle name="Обычный 18 2 2 2" xfId="2455"/>
    <cellStyle name="Обычный 18 2 2 2 2" xfId="2456"/>
    <cellStyle name="Обычный 18 2 2 2 2 2" xfId="6175"/>
    <cellStyle name="Обычный 18 2 2 2 2 3" xfId="6176"/>
    <cellStyle name="Обычный 18 2 2 2 2 4" xfId="6177"/>
    <cellStyle name="Обычный 18 2 2 2 2 5" xfId="6178"/>
    <cellStyle name="Обычный 18 2 2 2 2 6" xfId="6179"/>
    <cellStyle name="Обычный 18 2 2 2 3" xfId="2457"/>
    <cellStyle name="Обычный 18 2 2 2 3 2" xfId="6180"/>
    <cellStyle name="Обычный 18 2 2 2 3 3" xfId="6181"/>
    <cellStyle name="Обычный 18 2 2 2 3 4" xfId="6182"/>
    <cellStyle name="Обычный 18 2 2 2 3 5" xfId="6183"/>
    <cellStyle name="Обычный 18 2 2 2 3 6" xfId="6184"/>
    <cellStyle name="Обычный 18 2 2 2 4" xfId="2458"/>
    <cellStyle name="Обычный 18 2 2 2 4 2" xfId="6185"/>
    <cellStyle name="Обычный 18 2 2 2 4 3" xfId="6186"/>
    <cellStyle name="Обычный 18 2 2 2 4 4" xfId="6187"/>
    <cellStyle name="Обычный 18 2 2 2 4 5" xfId="6188"/>
    <cellStyle name="Обычный 18 2 2 2 4 6" xfId="6189"/>
    <cellStyle name="Обычный 18 2 2 2 5" xfId="6190"/>
    <cellStyle name="Обычный 18 2 2 2 6" xfId="6191"/>
    <cellStyle name="Обычный 18 2 2 2 7" xfId="6192"/>
    <cellStyle name="Обычный 18 2 2 2 8" xfId="6193"/>
    <cellStyle name="Обычный 18 2 2 2 9" xfId="6194"/>
    <cellStyle name="Обычный 18 2 2 3" xfId="2459"/>
    <cellStyle name="Обычный 18 2 2 3 2" xfId="6195"/>
    <cellStyle name="Обычный 18 2 2 3 3" xfId="6196"/>
    <cellStyle name="Обычный 18 2 2 3 4" xfId="6197"/>
    <cellStyle name="Обычный 18 2 2 3 5" xfId="6198"/>
    <cellStyle name="Обычный 18 2 2 3 6" xfId="6199"/>
    <cellStyle name="Обычный 18 2 2 4" xfId="2460"/>
    <cellStyle name="Обычный 18 2 2 4 2" xfId="6200"/>
    <cellStyle name="Обычный 18 2 2 4 3" xfId="6201"/>
    <cellStyle name="Обычный 18 2 2 4 4" xfId="6202"/>
    <cellStyle name="Обычный 18 2 2 4 5" xfId="6203"/>
    <cellStyle name="Обычный 18 2 2 4 6" xfId="6204"/>
    <cellStyle name="Обычный 18 2 2 5" xfId="2461"/>
    <cellStyle name="Обычный 18 2 2 5 2" xfId="6205"/>
    <cellStyle name="Обычный 18 2 2 5 3" xfId="6206"/>
    <cellStyle name="Обычный 18 2 2 5 4" xfId="6207"/>
    <cellStyle name="Обычный 18 2 2 5 5" xfId="6208"/>
    <cellStyle name="Обычный 18 2 2 5 6" xfId="6209"/>
    <cellStyle name="Обычный 18 2 2 6" xfId="6210"/>
    <cellStyle name="Обычный 18 2 2 7" xfId="6211"/>
    <cellStyle name="Обычный 18 2 2 8" xfId="6212"/>
    <cellStyle name="Обычный 18 2 2 9" xfId="6213"/>
    <cellStyle name="Обычный 18 2 3" xfId="2462"/>
    <cellStyle name="Обычный 18 2 3 2" xfId="2463"/>
    <cellStyle name="Обычный 18 2 3 2 2" xfId="6214"/>
    <cellStyle name="Обычный 18 2 3 2 3" xfId="6215"/>
    <cellStyle name="Обычный 18 2 3 2 4" xfId="6216"/>
    <cellStyle name="Обычный 18 2 3 2 5" xfId="6217"/>
    <cellStyle name="Обычный 18 2 3 2 6" xfId="6218"/>
    <cellStyle name="Обычный 18 2 3 3" xfId="2464"/>
    <cellStyle name="Обычный 18 2 3 3 2" xfId="6219"/>
    <cellStyle name="Обычный 18 2 3 3 3" xfId="6220"/>
    <cellStyle name="Обычный 18 2 3 3 4" xfId="6221"/>
    <cellStyle name="Обычный 18 2 3 3 5" xfId="6222"/>
    <cellStyle name="Обычный 18 2 3 3 6" xfId="6223"/>
    <cellStyle name="Обычный 18 2 3 4" xfId="2465"/>
    <cellStyle name="Обычный 18 2 3 4 2" xfId="6224"/>
    <cellStyle name="Обычный 18 2 3 4 3" xfId="6225"/>
    <cellStyle name="Обычный 18 2 3 4 4" xfId="6226"/>
    <cellStyle name="Обычный 18 2 3 4 5" xfId="6227"/>
    <cellStyle name="Обычный 18 2 3 4 6" xfId="6228"/>
    <cellStyle name="Обычный 18 2 3 5" xfId="6229"/>
    <cellStyle name="Обычный 18 2 3 6" xfId="6230"/>
    <cellStyle name="Обычный 18 2 3 7" xfId="6231"/>
    <cellStyle name="Обычный 18 2 3 8" xfId="6232"/>
    <cellStyle name="Обычный 18 2 3 9" xfId="6233"/>
    <cellStyle name="Обычный 18 2 4" xfId="2466"/>
    <cellStyle name="Обычный 18 2 4 2" xfId="6234"/>
    <cellStyle name="Обычный 18 2 4 3" xfId="6235"/>
    <cellStyle name="Обычный 18 2 4 4" xfId="6236"/>
    <cellStyle name="Обычный 18 2 4 5" xfId="6237"/>
    <cellStyle name="Обычный 18 2 4 6" xfId="6238"/>
    <cellStyle name="Обычный 18 2 5" xfId="2467"/>
    <cellStyle name="Обычный 18 2 5 2" xfId="6239"/>
    <cellStyle name="Обычный 18 2 5 3" xfId="6240"/>
    <cellStyle name="Обычный 18 2 5 4" xfId="6241"/>
    <cellStyle name="Обычный 18 2 5 5" xfId="6242"/>
    <cellStyle name="Обычный 18 2 5 6" xfId="6243"/>
    <cellStyle name="Обычный 18 2 6" xfId="2468"/>
    <cellStyle name="Обычный 18 2 6 2" xfId="6244"/>
    <cellStyle name="Обычный 18 2 6 3" xfId="6245"/>
    <cellStyle name="Обычный 18 2 6 4" xfId="6246"/>
    <cellStyle name="Обычный 18 2 6 5" xfId="6247"/>
    <cellStyle name="Обычный 18 2 6 6" xfId="6248"/>
    <cellStyle name="Обычный 18 2 7" xfId="6249"/>
    <cellStyle name="Обычный 18 2 8" xfId="6250"/>
    <cellStyle name="Обычный 18 2 9" xfId="6251"/>
    <cellStyle name="Обычный 18 3" xfId="2469"/>
    <cellStyle name="Обычный 18 3 10" xfId="6252"/>
    <cellStyle name="Обычный 18 3 2" xfId="2470"/>
    <cellStyle name="Обычный 18 3 2 2" xfId="2471"/>
    <cellStyle name="Обычный 18 3 2 2 2" xfId="6253"/>
    <cellStyle name="Обычный 18 3 2 2 3" xfId="6254"/>
    <cellStyle name="Обычный 18 3 2 2 4" xfId="6255"/>
    <cellStyle name="Обычный 18 3 2 2 5" xfId="6256"/>
    <cellStyle name="Обычный 18 3 2 2 6" xfId="6257"/>
    <cellStyle name="Обычный 18 3 2 3" xfId="2472"/>
    <cellStyle name="Обычный 18 3 2 3 2" xfId="6258"/>
    <cellStyle name="Обычный 18 3 2 3 3" xfId="6259"/>
    <cellStyle name="Обычный 18 3 2 3 4" xfId="6260"/>
    <cellStyle name="Обычный 18 3 2 3 5" xfId="6261"/>
    <cellStyle name="Обычный 18 3 2 3 6" xfId="6262"/>
    <cellStyle name="Обычный 18 3 2 4" xfId="2473"/>
    <cellStyle name="Обычный 18 3 2 4 2" xfId="6263"/>
    <cellStyle name="Обычный 18 3 2 4 3" xfId="6264"/>
    <cellStyle name="Обычный 18 3 2 4 4" xfId="6265"/>
    <cellStyle name="Обычный 18 3 2 4 5" xfId="6266"/>
    <cellStyle name="Обычный 18 3 2 4 6" xfId="6267"/>
    <cellStyle name="Обычный 18 3 2 5" xfId="6268"/>
    <cellStyle name="Обычный 18 3 2 6" xfId="6269"/>
    <cellStyle name="Обычный 18 3 2 7" xfId="6270"/>
    <cellStyle name="Обычный 18 3 2 8" xfId="6271"/>
    <cellStyle name="Обычный 18 3 2 9" xfId="6272"/>
    <cellStyle name="Обычный 18 3 3" xfId="2474"/>
    <cellStyle name="Обычный 18 3 3 2" xfId="6273"/>
    <cellStyle name="Обычный 18 3 3 3" xfId="6274"/>
    <cellStyle name="Обычный 18 3 3 4" xfId="6275"/>
    <cellStyle name="Обычный 18 3 3 5" xfId="6276"/>
    <cellStyle name="Обычный 18 3 3 6" xfId="6277"/>
    <cellStyle name="Обычный 18 3 4" xfId="2475"/>
    <cellStyle name="Обычный 18 3 4 2" xfId="6278"/>
    <cellStyle name="Обычный 18 3 4 3" xfId="6279"/>
    <cellStyle name="Обычный 18 3 4 4" xfId="6280"/>
    <cellStyle name="Обычный 18 3 4 5" xfId="6281"/>
    <cellStyle name="Обычный 18 3 4 6" xfId="6282"/>
    <cellStyle name="Обычный 18 3 5" xfId="2476"/>
    <cellStyle name="Обычный 18 3 5 2" xfId="6283"/>
    <cellStyle name="Обычный 18 3 5 3" xfId="6284"/>
    <cellStyle name="Обычный 18 3 5 4" xfId="6285"/>
    <cellStyle name="Обычный 18 3 5 5" xfId="6286"/>
    <cellStyle name="Обычный 18 3 5 6" xfId="6287"/>
    <cellStyle name="Обычный 18 3 6" xfId="6288"/>
    <cellStyle name="Обычный 18 3 7" xfId="6289"/>
    <cellStyle name="Обычный 18 3 8" xfId="6290"/>
    <cellStyle name="Обычный 18 3 9" xfId="6291"/>
    <cellStyle name="Обычный 18 4" xfId="2477"/>
    <cellStyle name="Обычный 18 4 10" xfId="6292"/>
    <cellStyle name="Обычный 18 4 2" xfId="2478"/>
    <cellStyle name="Обычный 18 4 2 2" xfId="2479"/>
    <cellStyle name="Обычный 18 4 2 2 2" xfId="6293"/>
    <cellStyle name="Обычный 18 4 2 2 3" xfId="6294"/>
    <cellStyle name="Обычный 18 4 2 2 4" xfId="6295"/>
    <cellStyle name="Обычный 18 4 2 2 5" xfId="6296"/>
    <cellStyle name="Обычный 18 4 2 2 6" xfId="6297"/>
    <cellStyle name="Обычный 18 4 2 3" xfId="2480"/>
    <cellStyle name="Обычный 18 4 2 3 2" xfId="6298"/>
    <cellStyle name="Обычный 18 4 2 3 3" xfId="6299"/>
    <cellStyle name="Обычный 18 4 2 3 4" xfId="6300"/>
    <cellStyle name="Обычный 18 4 2 3 5" xfId="6301"/>
    <cellStyle name="Обычный 18 4 2 3 6" xfId="6302"/>
    <cellStyle name="Обычный 18 4 2 4" xfId="2481"/>
    <cellStyle name="Обычный 18 4 2 4 2" xfId="6303"/>
    <cellStyle name="Обычный 18 4 2 4 3" xfId="6304"/>
    <cellStyle name="Обычный 18 4 2 4 4" xfId="6305"/>
    <cellStyle name="Обычный 18 4 2 4 5" xfId="6306"/>
    <cellStyle name="Обычный 18 4 2 4 6" xfId="6307"/>
    <cellStyle name="Обычный 18 4 2 5" xfId="6308"/>
    <cellStyle name="Обычный 18 4 2 6" xfId="6309"/>
    <cellStyle name="Обычный 18 4 2 7" xfId="6310"/>
    <cellStyle name="Обычный 18 4 2 8" xfId="6311"/>
    <cellStyle name="Обычный 18 4 2 9" xfId="6312"/>
    <cellStyle name="Обычный 18 4 3" xfId="2482"/>
    <cellStyle name="Обычный 18 4 3 2" xfId="6313"/>
    <cellStyle name="Обычный 18 4 3 3" xfId="6314"/>
    <cellStyle name="Обычный 18 4 3 4" xfId="6315"/>
    <cellStyle name="Обычный 18 4 3 5" xfId="6316"/>
    <cellStyle name="Обычный 18 4 3 6" xfId="6317"/>
    <cellStyle name="Обычный 18 4 4" xfId="2483"/>
    <cellStyle name="Обычный 18 4 4 2" xfId="6318"/>
    <cellStyle name="Обычный 18 4 4 3" xfId="6319"/>
    <cellStyle name="Обычный 18 4 4 4" xfId="6320"/>
    <cellStyle name="Обычный 18 4 4 5" xfId="6321"/>
    <cellStyle name="Обычный 18 4 4 6" xfId="6322"/>
    <cellStyle name="Обычный 18 4 5" xfId="2484"/>
    <cellStyle name="Обычный 18 4 5 2" xfId="6323"/>
    <cellStyle name="Обычный 18 4 5 3" xfId="6324"/>
    <cellStyle name="Обычный 18 4 5 4" xfId="6325"/>
    <cellStyle name="Обычный 18 4 5 5" xfId="6326"/>
    <cellStyle name="Обычный 18 4 5 6" xfId="6327"/>
    <cellStyle name="Обычный 18 4 6" xfId="6328"/>
    <cellStyle name="Обычный 18 4 7" xfId="6329"/>
    <cellStyle name="Обычный 18 4 8" xfId="6330"/>
    <cellStyle name="Обычный 18 4 9" xfId="6331"/>
    <cellStyle name="Обычный 18 5" xfId="2485"/>
    <cellStyle name="Обычный 18 5 2" xfId="2486"/>
    <cellStyle name="Обычный 18 5 2 2" xfId="6332"/>
    <cellStyle name="Обычный 18 5 2 3" xfId="6333"/>
    <cellStyle name="Обычный 18 5 2 4" xfId="6334"/>
    <cellStyle name="Обычный 18 5 2 5" xfId="6335"/>
    <cellStyle name="Обычный 18 5 2 6" xfId="6336"/>
    <cellStyle name="Обычный 18 5 3" xfId="2487"/>
    <cellStyle name="Обычный 18 5 3 2" xfId="6337"/>
    <cellStyle name="Обычный 18 5 3 3" xfId="6338"/>
    <cellStyle name="Обычный 18 5 3 4" xfId="6339"/>
    <cellStyle name="Обычный 18 5 3 5" xfId="6340"/>
    <cellStyle name="Обычный 18 5 3 6" xfId="6341"/>
    <cellStyle name="Обычный 18 5 4" xfId="2488"/>
    <cellStyle name="Обычный 18 5 4 2" xfId="6342"/>
    <cellStyle name="Обычный 18 5 4 3" xfId="6343"/>
    <cellStyle name="Обычный 18 5 4 4" xfId="6344"/>
    <cellStyle name="Обычный 18 5 4 5" xfId="6345"/>
    <cellStyle name="Обычный 18 5 4 6" xfId="6346"/>
    <cellStyle name="Обычный 18 5 5" xfId="6347"/>
    <cellStyle name="Обычный 18 5 6" xfId="6348"/>
    <cellStyle name="Обычный 18 5 7" xfId="6349"/>
    <cellStyle name="Обычный 18 5 8" xfId="6350"/>
    <cellStyle name="Обычный 18 5 9" xfId="6351"/>
    <cellStyle name="Обычный 18 6" xfId="2489"/>
    <cellStyle name="Обычный 18 6 2" xfId="2490"/>
    <cellStyle name="Обычный 18 6 2 2" xfId="6352"/>
    <cellStyle name="Обычный 18 6 2 3" xfId="6353"/>
    <cellStyle name="Обычный 18 6 2 4" xfId="6354"/>
    <cellStyle name="Обычный 18 6 2 5" xfId="6355"/>
    <cellStyle name="Обычный 18 6 2 6" xfId="6356"/>
    <cellStyle name="Обычный 18 6 3" xfId="2491"/>
    <cellStyle name="Обычный 18 6 3 2" xfId="6357"/>
    <cellStyle name="Обычный 18 6 3 3" xfId="6358"/>
    <cellStyle name="Обычный 18 6 3 4" xfId="6359"/>
    <cellStyle name="Обычный 18 6 3 5" xfId="6360"/>
    <cellStyle name="Обычный 18 6 3 6" xfId="6361"/>
    <cellStyle name="Обычный 18 6 4" xfId="2492"/>
    <cellStyle name="Обычный 18 6 4 2" xfId="6362"/>
    <cellStyle name="Обычный 18 6 4 3" xfId="6363"/>
    <cellStyle name="Обычный 18 6 4 4" xfId="6364"/>
    <cellStyle name="Обычный 18 6 4 5" xfId="6365"/>
    <cellStyle name="Обычный 18 6 4 6" xfId="6366"/>
    <cellStyle name="Обычный 18 6 5" xfId="6367"/>
    <cellStyle name="Обычный 18 6 6" xfId="6368"/>
    <cellStyle name="Обычный 18 6 7" xfId="6369"/>
    <cellStyle name="Обычный 18 6 8" xfId="6370"/>
    <cellStyle name="Обычный 18 6 9" xfId="6371"/>
    <cellStyle name="Обычный 18 7" xfId="2493"/>
    <cellStyle name="Обычный 18 7 2" xfId="6372"/>
    <cellStyle name="Обычный 18 7 3" xfId="6373"/>
    <cellStyle name="Обычный 18 7 4" xfId="6374"/>
    <cellStyle name="Обычный 18 7 5" xfId="6375"/>
    <cellStyle name="Обычный 18 7 6" xfId="6376"/>
    <cellStyle name="Обычный 18 8" xfId="2494"/>
    <cellStyle name="Обычный 18 8 2" xfId="6377"/>
    <cellStyle name="Обычный 18 8 3" xfId="6378"/>
    <cellStyle name="Обычный 18 8 4" xfId="6379"/>
    <cellStyle name="Обычный 18 8 5" xfId="6380"/>
    <cellStyle name="Обычный 18 8 6" xfId="6381"/>
    <cellStyle name="Обычный 18 9" xfId="2495"/>
    <cellStyle name="Обычный 18 9 2" xfId="6382"/>
    <cellStyle name="Обычный 18 9 3" xfId="6383"/>
    <cellStyle name="Обычный 18 9 4" xfId="6384"/>
    <cellStyle name="Обычный 18 9 5" xfId="6385"/>
    <cellStyle name="Обычный 18 9 6" xfId="6386"/>
    <cellStyle name="Обычный 19" xfId="2496"/>
    <cellStyle name="Обычный 19 10" xfId="2497"/>
    <cellStyle name="Обычный 19 10 2" xfId="6387"/>
    <cellStyle name="Обычный 19 10 3" xfId="6388"/>
    <cellStyle name="Обычный 19 10 4" xfId="6389"/>
    <cellStyle name="Обычный 19 10 5" xfId="6390"/>
    <cellStyle name="Обычный 19 10 6" xfId="6391"/>
    <cellStyle name="Обычный 19 11" xfId="2498"/>
    <cellStyle name="Обычный 19 11 2" xfId="6392"/>
    <cellStyle name="Обычный 19 11 3" xfId="6393"/>
    <cellStyle name="Обычный 19 11 4" xfId="6394"/>
    <cellStyle name="Обычный 19 11 5" xfId="6395"/>
    <cellStyle name="Обычный 19 11 6" xfId="6396"/>
    <cellStyle name="Обычный 19 12" xfId="5258"/>
    <cellStyle name="Обычный 19 13" xfId="6397"/>
    <cellStyle name="Обычный 19 14" xfId="6398"/>
    <cellStyle name="Обычный 19 15" xfId="6399"/>
    <cellStyle name="Обычный 19 16" xfId="6400"/>
    <cellStyle name="Обычный 19 2" xfId="2499"/>
    <cellStyle name="Обычный 19 2 10" xfId="6401"/>
    <cellStyle name="Обычный 19 2 11" xfId="6402"/>
    <cellStyle name="Обычный 19 2 12" xfId="6403"/>
    <cellStyle name="Обычный 19 2 2" xfId="2500"/>
    <cellStyle name="Обычный 19 2 2 10" xfId="6404"/>
    <cellStyle name="Обычный 19 2 2 11" xfId="6405"/>
    <cellStyle name="Обычный 19 2 2 2" xfId="2501"/>
    <cellStyle name="Обычный 19 2 2 2 10" xfId="6406"/>
    <cellStyle name="Обычный 19 2 2 2 2" xfId="2502"/>
    <cellStyle name="Обычный 19 2 2 2 2 2" xfId="2503"/>
    <cellStyle name="Обычный 19 2 2 2 2 2 2" xfId="6407"/>
    <cellStyle name="Обычный 19 2 2 2 2 2 3" xfId="6408"/>
    <cellStyle name="Обычный 19 2 2 2 2 2 4" xfId="6409"/>
    <cellStyle name="Обычный 19 2 2 2 2 2 5" xfId="6410"/>
    <cellStyle name="Обычный 19 2 2 2 2 2 6" xfId="6411"/>
    <cellStyle name="Обычный 19 2 2 2 2 3" xfId="2504"/>
    <cellStyle name="Обычный 19 2 2 2 2 3 2" xfId="6412"/>
    <cellStyle name="Обычный 19 2 2 2 2 3 3" xfId="6413"/>
    <cellStyle name="Обычный 19 2 2 2 2 3 4" xfId="6414"/>
    <cellStyle name="Обычный 19 2 2 2 2 3 5" xfId="6415"/>
    <cellStyle name="Обычный 19 2 2 2 2 3 6" xfId="6416"/>
    <cellStyle name="Обычный 19 2 2 2 2 4" xfId="2505"/>
    <cellStyle name="Обычный 19 2 2 2 2 4 2" xfId="6417"/>
    <cellStyle name="Обычный 19 2 2 2 2 4 3" xfId="6418"/>
    <cellStyle name="Обычный 19 2 2 2 2 4 4" xfId="6419"/>
    <cellStyle name="Обычный 19 2 2 2 2 4 5" xfId="6420"/>
    <cellStyle name="Обычный 19 2 2 2 2 4 6" xfId="6421"/>
    <cellStyle name="Обычный 19 2 2 2 2 5" xfId="6422"/>
    <cellStyle name="Обычный 19 2 2 2 2 6" xfId="6423"/>
    <cellStyle name="Обычный 19 2 2 2 2 7" xfId="6424"/>
    <cellStyle name="Обычный 19 2 2 2 2 8" xfId="6425"/>
    <cellStyle name="Обычный 19 2 2 2 2 9" xfId="6426"/>
    <cellStyle name="Обычный 19 2 2 2 3" xfId="2506"/>
    <cellStyle name="Обычный 19 2 2 2 3 2" xfId="6427"/>
    <cellStyle name="Обычный 19 2 2 2 3 3" xfId="6428"/>
    <cellStyle name="Обычный 19 2 2 2 3 4" xfId="6429"/>
    <cellStyle name="Обычный 19 2 2 2 3 5" xfId="6430"/>
    <cellStyle name="Обычный 19 2 2 2 3 6" xfId="6431"/>
    <cellStyle name="Обычный 19 2 2 2 4" xfId="2507"/>
    <cellStyle name="Обычный 19 2 2 2 4 2" xfId="6432"/>
    <cellStyle name="Обычный 19 2 2 2 4 3" xfId="6433"/>
    <cellStyle name="Обычный 19 2 2 2 4 4" xfId="6434"/>
    <cellStyle name="Обычный 19 2 2 2 4 5" xfId="6435"/>
    <cellStyle name="Обычный 19 2 2 2 4 6" xfId="6436"/>
    <cellStyle name="Обычный 19 2 2 2 5" xfId="2508"/>
    <cellStyle name="Обычный 19 2 2 2 5 2" xfId="6437"/>
    <cellStyle name="Обычный 19 2 2 2 5 3" xfId="6438"/>
    <cellStyle name="Обычный 19 2 2 2 5 4" xfId="6439"/>
    <cellStyle name="Обычный 19 2 2 2 5 5" xfId="6440"/>
    <cellStyle name="Обычный 19 2 2 2 5 6" xfId="6441"/>
    <cellStyle name="Обычный 19 2 2 2 6" xfId="6442"/>
    <cellStyle name="Обычный 19 2 2 2 7" xfId="6443"/>
    <cellStyle name="Обычный 19 2 2 2 8" xfId="6444"/>
    <cellStyle name="Обычный 19 2 2 2 9" xfId="6445"/>
    <cellStyle name="Обычный 19 2 2 3" xfId="2509"/>
    <cellStyle name="Обычный 19 2 2 3 2" xfId="2510"/>
    <cellStyle name="Обычный 19 2 2 3 2 2" xfId="6446"/>
    <cellStyle name="Обычный 19 2 2 3 2 3" xfId="6447"/>
    <cellStyle name="Обычный 19 2 2 3 2 4" xfId="6448"/>
    <cellStyle name="Обычный 19 2 2 3 2 5" xfId="6449"/>
    <cellStyle name="Обычный 19 2 2 3 2 6" xfId="6450"/>
    <cellStyle name="Обычный 19 2 2 3 3" xfId="2511"/>
    <cellStyle name="Обычный 19 2 2 3 3 2" xfId="6451"/>
    <cellStyle name="Обычный 19 2 2 3 3 3" xfId="6452"/>
    <cellStyle name="Обычный 19 2 2 3 3 4" xfId="6453"/>
    <cellStyle name="Обычный 19 2 2 3 3 5" xfId="6454"/>
    <cellStyle name="Обычный 19 2 2 3 3 6" xfId="6455"/>
    <cellStyle name="Обычный 19 2 2 3 4" xfId="2512"/>
    <cellStyle name="Обычный 19 2 2 3 4 2" xfId="6456"/>
    <cellStyle name="Обычный 19 2 2 3 4 3" xfId="6457"/>
    <cellStyle name="Обычный 19 2 2 3 4 4" xfId="6458"/>
    <cellStyle name="Обычный 19 2 2 3 4 5" xfId="6459"/>
    <cellStyle name="Обычный 19 2 2 3 4 6" xfId="6460"/>
    <cellStyle name="Обычный 19 2 2 3 5" xfId="6461"/>
    <cellStyle name="Обычный 19 2 2 3 6" xfId="6462"/>
    <cellStyle name="Обычный 19 2 2 3 7" xfId="6463"/>
    <cellStyle name="Обычный 19 2 2 3 8" xfId="6464"/>
    <cellStyle name="Обычный 19 2 2 3 9" xfId="6465"/>
    <cellStyle name="Обычный 19 2 2 4" xfId="2513"/>
    <cellStyle name="Обычный 19 2 2 4 2" xfId="6466"/>
    <cellStyle name="Обычный 19 2 2 4 3" xfId="6467"/>
    <cellStyle name="Обычный 19 2 2 4 4" xfId="6468"/>
    <cellStyle name="Обычный 19 2 2 4 5" xfId="6469"/>
    <cellStyle name="Обычный 19 2 2 4 6" xfId="6470"/>
    <cellStyle name="Обычный 19 2 2 5" xfId="2514"/>
    <cellStyle name="Обычный 19 2 2 5 2" xfId="6471"/>
    <cellStyle name="Обычный 19 2 2 5 3" xfId="6472"/>
    <cellStyle name="Обычный 19 2 2 5 4" xfId="6473"/>
    <cellStyle name="Обычный 19 2 2 5 5" xfId="6474"/>
    <cellStyle name="Обычный 19 2 2 5 6" xfId="6475"/>
    <cellStyle name="Обычный 19 2 2 6" xfId="2515"/>
    <cellStyle name="Обычный 19 2 2 6 2" xfId="6476"/>
    <cellStyle name="Обычный 19 2 2 6 3" xfId="6477"/>
    <cellStyle name="Обычный 19 2 2 6 4" xfId="6478"/>
    <cellStyle name="Обычный 19 2 2 6 5" xfId="6479"/>
    <cellStyle name="Обычный 19 2 2 6 6" xfId="6480"/>
    <cellStyle name="Обычный 19 2 2 7" xfId="6481"/>
    <cellStyle name="Обычный 19 2 2 8" xfId="6482"/>
    <cellStyle name="Обычный 19 2 2 9" xfId="6483"/>
    <cellStyle name="Обычный 19 2 3" xfId="2516"/>
    <cellStyle name="Обычный 19 2 3 10" xfId="6484"/>
    <cellStyle name="Обычный 19 2 3 2" xfId="2517"/>
    <cellStyle name="Обычный 19 2 3 2 2" xfId="2518"/>
    <cellStyle name="Обычный 19 2 3 2 2 2" xfId="6485"/>
    <cellStyle name="Обычный 19 2 3 2 2 3" xfId="6486"/>
    <cellStyle name="Обычный 19 2 3 2 2 4" xfId="6487"/>
    <cellStyle name="Обычный 19 2 3 2 2 5" xfId="6488"/>
    <cellStyle name="Обычный 19 2 3 2 2 6" xfId="6489"/>
    <cellStyle name="Обычный 19 2 3 2 3" xfId="2519"/>
    <cellStyle name="Обычный 19 2 3 2 3 2" xfId="6490"/>
    <cellStyle name="Обычный 19 2 3 2 3 3" xfId="6491"/>
    <cellStyle name="Обычный 19 2 3 2 3 4" xfId="6492"/>
    <cellStyle name="Обычный 19 2 3 2 3 5" xfId="6493"/>
    <cellStyle name="Обычный 19 2 3 2 3 6" xfId="6494"/>
    <cellStyle name="Обычный 19 2 3 2 4" xfId="2520"/>
    <cellStyle name="Обычный 19 2 3 2 4 2" xfId="6495"/>
    <cellStyle name="Обычный 19 2 3 2 4 3" xfId="6496"/>
    <cellStyle name="Обычный 19 2 3 2 4 4" xfId="6497"/>
    <cellStyle name="Обычный 19 2 3 2 4 5" xfId="6498"/>
    <cellStyle name="Обычный 19 2 3 2 4 6" xfId="6499"/>
    <cellStyle name="Обычный 19 2 3 2 5" xfId="6500"/>
    <cellStyle name="Обычный 19 2 3 2 6" xfId="6501"/>
    <cellStyle name="Обычный 19 2 3 2 7" xfId="6502"/>
    <cellStyle name="Обычный 19 2 3 2 8" xfId="6503"/>
    <cellStyle name="Обычный 19 2 3 2 9" xfId="6504"/>
    <cellStyle name="Обычный 19 2 3 3" xfId="2521"/>
    <cellStyle name="Обычный 19 2 3 3 2" xfId="6505"/>
    <cellStyle name="Обычный 19 2 3 3 3" xfId="6506"/>
    <cellStyle name="Обычный 19 2 3 3 4" xfId="6507"/>
    <cellStyle name="Обычный 19 2 3 3 5" xfId="6508"/>
    <cellStyle name="Обычный 19 2 3 3 6" xfId="6509"/>
    <cellStyle name="Обычный 19 2 3 4" xfId="2522"/>
    <cellStyle name="Обычный 19 2 3 4 2" xfId="6510"/>
    <cellStyle name="Обычный 19 2 3 4 3" xfId="6511"/>
    <cellStyle name="Обычный 19 2 3 4 4" xfId="6512"/>
    <cellStyle name="Обычный 19 2 3 4 5" xfId="6513"/>
    <cellStyle name="Обычный 19 2 3 4 6" xfId="6514"/>
    <cellStyle name="Обычный 19 2 3 5" xfId="2523"/>
    <cellStyle name="Обычный 19 2 3 5 2" xfId="6515"/>
    <cellStyle name="Обычный 19 2 3 5 3" xfId="6516"/>
    <cellStyle name="Обычный 19 2 3 5 4" xfId="6517"/>
    <cellStyle name="Обычный 19 2 3 5 5" xfId="6518"/>
    <cellStyle name="Обычный 19 2 3 5 6" xfId="6519"/>
    <cellStyle name="Обычный 19 2 3 6" xfId="6520"/>
    <cellStyle name="Обычный 19 2 3 7" xfId="6521"/>
    <cellStyle name="Обычный 19 2 3 8" xfId="6522"/>
    <cellStyle name="Обычный 19 2 3 9" xfId="6523"/>
    <cellStyle name="Обычный 19 2 4" xfId="2524"/>
    <cellStyle name="Обычный 19 2 4 2" xfId="2525"/>
    <cellStyle name="Обычный 19 2 4 2 2" xfId="6524"/>
    <cellStyle name="Обычный 19 2 4 2 3" xfId="6525"/>
    <cellStyle name="Обычный 19 2 4 2 4" xfId="6526"/>
    <cellStyle name="Обычный 19 2 4 2 5" xfId="6527"/>
    <cellStyle name="Обычный 19 2 4 2 6" xfId="6528"/>
    <cellStyle name="Обычный 19 2 4 3" xfId="2526"/>
    <cellStyle name="Обычный 19 2 4 3 2" xfId="6529"/>
    <cellStyle name="Обычный 19 2 4 3 3" xfId="6530"/>
    <cellStyle name="Обычный 19 2 4 3 4" xfId="6531"/>
    <cellStyle name="Обычный 19 2 4 3 5" xfId="6532"/>
    <cellStyle name="Обычный 19 2 4 3 6" xfId="6533"/>
    <cellStyle name="Обычный 19 2 4 4" xfId="2527"/>
    <cellStyle name="Обычный 19 2 4 4 2" xfId="6534"/>
    <cellStyle name="Обычный 19 2 4 4 3" xfId="6535"/>
    <cellStyle name="Обычный 19 2 4 4 4" xfId="6536"/>
    <cellStyle name="Обычный 19 2 4 4 5" xfId="6537"/>
    <cellStyle name="Обычный 19 2 4 4 6" xfId="6538"/>
    <cellStyle name="Обычный 19 2 4 5" xfId="6539"/>
    <cellStyle name="Обычный 19 2 4 6" xfId="6540"/>
    <cellStyle name="Обычный 19 2 4 7" xfId="6541"/>
    <cellStyle name="Обычный 19 2 4 8" xfId="6542"/>
    <cellStyle name="Обычный 19 2 4 9" xfId="6543"/>
    <cellStyle name="Обычный 19 2 5" xfId="2528"/>
    <cellStyle name="Обычный 19 2 5 2" xfId="6544"/>
    <cellStyle name="Обычный 19 2 5 3" xfId="6545"/>
    <cellStyle name="Обычный 19 2 5 4" xfId="6546"/>
    <cellStyle name="Обычный 19 2 5 5" xfId="6547"/>
    <cellStyle name="Обычный 19 2 5 6" xfId="6548"/>
    <cellStyle name="Обычный 19 2 6" xfId="2529"/>
    <cellStyle name="Обычный 19 2 6 2" xfId="6549"/>
    <cellStyle name="Обычный 19 2 6 3" xfId="6550"/>
    <cellStyle name="Обычный 19 2 6 4" xfId="6551"/>
    <cellStyle name="Обычный 19 2 6 5" xfId="6552"/>
    <cellStyle name="Обычный 19 2 6 6" xfId="6553"/>
    <cellStyle name="Обычный 19 2 7" xfId="2530"/>
    <cellStyle name="Обычный 19 2 7 2" xfId="6554"/>
    <cellStyle name="Обычный 19 2 7 3" xfId="6555"/>
    <cellStyle name="Обычный 19 2 7 4" xfId="6556"/>
    <cellStyle name="Обычный 19 2 7 5" xfId="6557"/>
    <cellStyle name="Обычный 19 2 7 6" xfId="6558"/>
    <cellStyle name="Обычный 19 2 8" xfId="5259"/>
    <cellStyle name="Обычный 19 2 9" xfId="6559"/>
    <cellStyle name="Обычный 19 3" xfId="2531"/>
    <cellStyle name="Обычный 19 3 10" xfId="6560"/>
    <cellStyle name="Обычный 19 3 11" xfId="6561"/>
    <cellStyle name="Обычный 19 3 2" xfId="2532"/>
    <cellStyle name="Обычный 19 3 2 10" xfId="6562"/>
    <cellStyle name="Обычный 19 3 2 2" xfId="2533"/>
    <cellStyle name="Обычный 19 3 2 2 2" xfId="2534"/>
    <cellStyle name="Обычный 19 3 2 2 2 2" xfId="6563"/>
    <cellStyle name="Обычный 19 3 2 2 2 3" xfId="6564"/>
    <cellStyle name="Обычный 19 3 2 2 2 4" xfId="6565"/>
    <cellStyle name="Обычный 19 3 2 2 2 5" xfId="6566"/>
    <cellStyle name="Обычный 19 3 2 2 2 6" xfId="6567"/>
    <cellStyle name="Обычный 19 3 2 2 3" xfId="2535"/>
    <cellStyle name="Обычный 19 3 2 2 3 2" xfId="6568"/>
    <cellStyle name="Обычный 19 3 2 2 3 3" xfId="6569"/>
    <cellStyle name="Обычный 19 3 2 2 3 4" xfId="6570"/>
    <cellStyle name="Обычный 19 3 2 2 3 5" xfId="6571"/>
    <cellStyle name="Обычный 19 3 2 2 3 6" xfId="6572"/>
    <cellStyle name="Обычный 19 3 2 2 4" xfId="2536"/>
    <cellStyle name="Обычный 19 3 2 2 4 2" xfId="6573"/>
    <cellStyle name="Обычный 19 3 2 2 4 3" xfId="6574"/>
    <cellStyle name="Обычный 19 3 2 2 4 4" xfId="6575"/>
    <cellStyle name="Обычный 19 3 2 2 4 5" xfId="6576"/>
    <cellStyle name="Обычный 19 3 2 2 4 6" xfId="6577"/>
    <cellStyle name="Обычный 19 3 2 2 5" xfId="6578"/>
    <cellStyle name="Обычный 19 3 2 2 6" xfId="6579"/>
    <cellStyle name="Обычный 19 3 2 2 7" xfId="6580"/>
    <cellStyle name="Обычный 19 3 2 2 8" xfId="6581"/>
    <cellStyle name="Обычный 19 3 2 2 9" xfId="6582"/>
    <cellStyle name="Обычный 19 3 2 3" xfId="2537"/>
    <cellStyle name="Обычный 19 3 2 3 2" xfId="6583"/>
    <cellStyle name="Обычный 19 3 2 3 3" xfId="6584"/>
    <cellStyle name="Обычный 19 3 2 3 4" xfId="6585"/>
    <cellStyle name="Обычный 19 3 2 3 5" xfId="6586"/>
    <cellStyle name="Обычный 19 3 2 3 6" xfId="6587"/>
    <cellStyle name="Обычный 19 3 2 4" xfId="2538"/>
    <cellStyle name="Обычный 19 3 2 4 2" xfId="6588"/>
    <cellStyle name="Обычный 19 3 2 4 3" xfId="6589"/>
    <cellStyle name="Обычный 19 3 2 4 4" xfId="6590"/>
    <cellStyle name="Обычный 19 3 2 4 5" xfId="6591"/>
    <cellStyle name="Обычный 19 3 2 4 6" xfId="6592"/>
    <cellStyle name="Обычный 19 3 2 5" xfId="2539"/>
    <cellStyle name="Обычный 19 3 2 5 2" xfId="6593"/>
    <cellStyle name="Обычный 19 3 2 5 3" xfId="6594"/>
    <cellStyle name="Обычный 19 3 2 5 4" xfId="6595"/>
    <cellStyle name="Обычный 19 3 2 5 5" xfId="6596"/>
    <cellStyle name="Обычный 19 3 2 5 6" xfId="6597"/>
    <cellStyle name="Обычный 19 3 2 6" xfId="6598"/>
    <cellStyle name="Обычный 19 3 2 7" xfId="6599"/>
    <cellStyle name="Обычный 19 3 2 8" xfId="6600"/>
    <cellStyle name="Обычный 19 3 2 9" xfId="6601"/>
    <cellStyle name="Обычный 19 3 3" xfId="2540"/>
    <cellStyle name="Обычный 19 3 3 2" xfId="2541"/>
    <cellStyle name="Обычный 19 3 3 2 2" xfId="6602"/>
    <cellStyle name="Обычный 19 3 3 2 3" xfId="6603"/>
    <cellStyle name="Обычный 19 3 3 2 4" xfId="6604"/>
    <cellStyle name="Обычный 19 3 3 2 5" xfId="6605"/>
    <cellStyle name="Обычный 19 3 3 2 6" xfId="6606"/>
    <cellStyle name="Обычный 19 3 3 3" xfId="2542"/>
    <cellStyle name="Обычный 19 3 3 3 2" xfId="6607"/>
    <cellStyle name="Обычный 19 3 3 3 3" xfId="6608"/>
    <cellStyle name="Обычный 19 3 3 3 4" xfId="6609"/>
    <cellStyle name="Обычный 19 3 3 3 5" xfId="6610"/>
    <cellStyle name="Обычный 19 3 3 3 6" xfId="6611"/>
    <cellStyle name="Обычный 19 3 3 4" xfId="2543"/>
    <cellStyle name="Обычный 19 3 3 4 2" xfId="6612"/>
    <cellStyle name="Обычный 19 3 3 4 3" xfId="6613"/>
    <cellStyle name="Обычный 19 3 3 4 4" xfId="6614"/>
    <cellStyle name="Обычный 19 3 3 4 5" xfId="6615"/>
    <cellStyle name="Обычный 19 3 3 4 6" xfId="6616"/>
    <cellStyle name="Обычный 19 3 3 5" xfId="6617"/>
    <cellStyle name="Обычный 19 3 3 6" xfId="6618"/>
    <cellStyle name="Обычный 19 3 3 7" xfId="6619"/>
    <cellStyle name="Обычный 19 3 3 8" xfId="6620"/>
    <cellStyle name="Обычный 19 3 3 9" xfId="6621"/>
    <cellStyle name="Обычный 19 3 4" xfId="2544"/>
    <cellStyle name="Обычный 19 3 4 2" xfId="6622"/>
    <cellStyle name="Обычный 19 3 4 3" xfId="6623"/>
    <cellStyle name="Обычный 19 3 4 4" xfId="6624"/>
    <cellStyle name="Обычный 19 3 4 5" xfId="6625"/>
    <cellStyle name="Обычный 19 3 4 6" xfId="6626"/>
    <cellStyle name="Обычный 19 3 5" xfId="2545"/>
    <cellStyle name="Обычный 19 3 5 2" xfId="6627"/>
    <cellStyle name="Обычный 19 3 5 3" xfId="6628"/>
    <cellStyle name="Обычный 19 3 5 4" xfId="6629"/>
    <cellStyle name="Обычный 19 3 5 5" xfId="6630"/>
    <cellStyle name="Обычный 19 3 5 6" xfId="6631"/>
    <cellStyle name="Обычный 19 3 6" xfId="2546"/>
    <cellStyle name="Обычный 19 3 6 2" xfId="6632"/>
    <cellStyle name="Обычный 19 3 6 3" xfId="6633"/>
    <cellStyle name="Обычный 19 3 6 4" xfId="6634"/>
    <cellStyle name="Обычный 19 3 6 5" xfId="6635"/>
    <cellStyle name="Обычный 19 3 6 6" xfId="6636"/>
    <cellStyle name="Обычный 19 3 7" xfId="6637"/>
    <cellStyle name="Обычный 19 3 8" xfId="6638"/>
    <cellStyle name="Обычный 19 3 9" xfId="6639"/>
    <cellStyle name="Обычный 19 4" xfId="2547"/>
    <cellStyle name="Обычный 19 4 10" xfId="6640"/>
    <cellStyle name="Обычный 19 4 11" xfId="6641"/>
    <cellStyle name="Обычный 19 4 2" xfId="2548"/>
    <cellStyle name="Обычный 19 4 2 10" xfId="6642"/>
    <cellStyle name="Обычный 19 4 2 2" xfId="2549"/>
    <cellStyle name="Обычный 19 4 2 2 2" xfId="2550"/>
    <cellStyle name="Обычный 19 4 2 2 2 2" xfId="6643"/>
    <cellStyle name="Обычный 19 4 2 2 2 3" xfId="6644"/>
    <cellStyle name="Обычный 19 4 2 2 2 4" xfId="6645"/>
    <cellStyle name="Обычный 19 4 2 2 2 5" xfId="6646"/>
    <cellStyle name="Обычный 19 4 2 2 2 6" xfId="6647"/>
    <cellStyle name="Обычный 19 4 2 2 3" xfId="2551"/>
    <cellStyle name="Обычный 19 4 2 2 3 2" xfId="6648"/>
    <cellStyle name="Обычный 19 4 2 2 3 3" xfId="6649"/>
    <cellStyle name="Обычный 19 4 2 2 3 4" xfId="6650"/>
    <cellStyle name="Обычный 19 4 2 2 3 5" xfId="6651"/>
    <cellStyle name="Обычный 19 4 2 2 3 6" xfId="6652"/>
    <cellStyle name="Обычный 19 4 2 2 4" xfId="2552"/>
    <cellStyle name="Обычный 19 4 2 2 4 2" xfId="6653"/>
    <cellStyle name="Обычный 19 4 2 2 4 3" xfId="6654"/>
    <cellStyle name="Обычный 19 4 2 2 4 4" xfId="6655"/>
    <cellStyle name="Обычный 19 4 2 2 4 5" xfId="6656"/>
    <cellStyle name="Обычный 19 4 2 2 4 6" xfId="6657"/>
    <cellStyle name="Обычный 19 4 2 2 5" xfId="6658"/>
    <cellStyle name="Обычный 19 4 2 2 6" xfId="6659"/>
    <cellStyle name="Обычный 19 4 2 2 7" xfId="6660"/>
    <cellStyle name="Обычный 19 4 2 2 8" xfId="6661"/>
    <cellStyle name="Обычный 19 4 2 2 9" xfId="6662"/>
    <cellStyle name="Обычный 19 4 2 3" xfId="2553"/>
    <cellStyle name="Обычный 19 4 2 3 2" xfId="6663"/>
    <cellStyle name="Обычный 19 4 2 3 3" xfId="6664"/>
    <cellStyle name="Обычный 19 4 2 3 4" xfId="6665"/>
    <cellStyle name="Обычный 19 4 2 3 5" xfId="6666"/>
    <cellStyle name="Обычный 19 4 2 3 6" xfId="6667"/>
    <cellStyle name="Обычный 19 4 2 4" xfId="2554"/>
    <cellStyle name="Обычный 19 4 2 4 2" xfId="6668"/>
    <cellStyle name="Обычный 19 4 2 4 3" xfId="6669"/>
    <cellStyle name="Обычный 19 4 2 4 4" xfId="6670"/>
    <cellStyle name="Обычный 19 4 2 4 5" xfId="6671"/>
    <cellStyle name="Обычный 19 4 2 4 6" xfId="6672"/>
    <cellStyle name="Обычный 19 4 2 5" xfId="2555"/>
    <cellStyle name="Обычный 19 4 2 5 2" xfId="6673"/>
    <cellStyle name="Обычный 19 4 2 5 3" xfId="6674"/>
    <cellStyle name="Обычный 19 4 2 5 4" xfId="6675"/>
    <cellStyle name="Обычный 19 4 2 5 5" xfId="6676"/>
    <cellStyle name="Обычный 19 4 2 5 6" xfId="6677"/>
    <cellStyle name="Обычный 19 4 2 6" xfId="6678"/>
    <cellStyle name="Обычный 19 4 2 7" xfId="6679"/>
    <cellStyle name="Обычный 19 4 2 8" xfId="6680"/>
    <cellStyle name="Обычный 19 4 2 9" xfId="6681"/>
    <cellStyle name="Обычный 19 4 3" xfId="2556"/>
    <cellStyle name="Обычный 19 4 3 2" xfId="2557"/>
    <cellStyle name="Обычный 19 4 3 2 2" xfId="6682"/>
    <cellStyle name="Обычный 19 4 3 2 3" xfId="6683"/>
    <cellStyle name="Обычный 19 4 3 2 4" xfId="6684"/>
    <cellStyle name="Обычный 19 4 3 2 5" xfId="6685"/>
    <cellStyle name="Обычный 19 4 3 2 6" xfId="6686"/>
    <cellStyle name="Обычный 19 4 3 3" xfId="2558"/>
    <cellStyle name="Обычный 19 4 3 3 2" xfId="6687"/>
    <cellStyle name="Обычный 19 4 3 3 3" xfId="6688"/>
    <cellStyle name="Обычный 19 4 3 3 4" xfId="6689"/>
    <cellStyle name="Обычный 19 4 3 3 5" xfId="6690"/>
    <cellStyle name="Обычный 19 4 3 3 6" xfId="6691"/>
    <cellStyle name="Обычный 19 4 3 4" xfId="2559"/>
    <cellStyle name="Обычный 19 4 3 4 2" xfId="6692"/>
    <cellStyle name="Обычный 19 4 3 4 3" xfId="6693"/>
    <cellStyle name="Обычный 19 4 3 4 4" xfId="6694"/>
    <cellStyle name="Обычный 19 4 3 4 5" xfId="6695"/>
    <cellStyle name="Обычный 19 4 3 4 6" xfId="6696"/>
    <cellStyle name="Обычный 19 4 3 5" xfId="6697"/>
    <cellStyle name="Обычный 19 4 3 6" xfId="6698"/>
    <cellStyle name="Обычный 19 4 3 7" xfId="6699"/>
    <cellStyle name="Обычный 19 4 3 8" xfId="6700"/>
    <cellStyle name="Обычный 19 4 3 9" xfId="6701"/>
    <cellStyle name="Обычный 19 4 4" xfId="2560"/>
    <cellStyle name="Обычный 19 4 4 2" xfId="6702"/>
    <cellStyle name="Обычный 19 4 4 3" xfId="6703"/>
    <cellStyle name="Обычный 19 4 4 4" xfId="6704"/>
    <cellStyle name="Обычный 19 4 4 5" xfId="6705"/>
    <cellStyle name="Обычный 19 4 4 6" xfId="6706"/>
    <cellStyle name="Обычный 19 4 5" xfId="2561"/>
    <cellStyle name="Обычный 19 4 5 2" xfId="6707"/>
    <cellStyle name="Обычный 19 4 5 3" xfId="6708"/>
    <cellStyle name="Обычный 19 4 5 4" xfId="6709"/>
    <cellStyle name="Обычный 19 4 5 5" xfId="6710"/>
    <cellStyle name="Обычный 19 4 5 6" xfId="6711"/>
    <cellStyle name="Обычный 19 4 6" xfId="2562"/>
    <cellStyle name="Обычный 19 4 6 2" xfId="6712"/>
    <cellStyle name="Обычный 19 4 6 3" xfId="6713"/>
    <cellStyle name="Обычный 19 4 6 4" xfId="6714"/>
    <cellStyle name="Обычный 19 4 6 5" xfId="6715"/>
    <cellStyle name="Обычный 19 4 6 6" xfId="6716"/>
    <cellStyle name="Обычный 19 4 7" xfId="6717"/>
    <cellStyle name="Обычный 19 4 8" xfId="6718"/>
    <cellStyle name="Обычный 19 4 9" xfId="6719"/>
    <cellStyle name="Обычный 19 5" xfId="2563"/>
    <cellStyle name="Обычный 19 5 10" xfId="6720"/>
    <cellStyle name="Обычный 19 5 2" xfId="2564"/>
    <cellStyle name="Обычный 19 5 2 2" xfId="2565"/>
    <cellStyle name="Обычный 19 5 2 2 2" xfId="6721"/>
    <cellStyle name="Обычный 19 5 2 2 3" xfId="6722"/>
    <cellStyle name="Обычный 19 5 2 2 4" xfId="6723"/>
    <cellStyle name="Обычный 19 5 2 2 5" xfId="6724"/>
    <cellStyle name="Обычный 19 5 2 2 6" xfId="6725"/>
    <cellStyle name="Обычный 19 5 2 3" xfId="2566"/>
    <cellStyle name="Обычный 19 5 2 3 2" xfId="6726"/>
    <cellStyle name="Обычный 19 5 2 3 3" xfId="6727"/>
    <cellStyle name="Обычный 19 5 2 3 4" xfId="6728"/>
    <cellStyle name="Обычный 19 5 2 3 5" xfId="6729"/>
    <cellStyle name="Обычный 19 5 2 3 6" xfId="6730"/>
    <cellStyle name="Обычный 19 5 2 4" xfId="2567"/>
    <cellStyle name="Обычный 19 5 2 4 2" xfId="6731"/>
    <cellStyle name="Обычный 19 5 2 4 3" xfId="6732"/>
    <cellStyle name="Обычный 19 5 2 4 4" xfId="6733"/>
    <cellStyle name="Обычный 19 5 2 4 5" xfId="6734"/>
    <cellStyle name="Обычный 19 5 2 4 6" xfId="6735"/>
    <cellStyle name="Обычный 19 5 2 5" xfId="6736"/>
    <cellStyle name="Обычный 19 5 2 6" xfId="6737"/>
    <cellStyle name="Обычный 19 5 2 7" xfId="6738"/>
    <cellStyle name="Обычный 19 5 2 8" xfId="6739"/>
    <cellStyle name="Обычный 19 5 2 9" xfId="6740"/>
    <cellStyle name="Обычный 19 5 3" xfId="2568"/>
    <cellStyle name="Обычный 19 5 3 2" xfId="6741"/>
    <cellStyle name="Обычный 19 5 3 3" xfId="6742"/>
    <cellStyle name="Обычный 19 5 3 4" xfId="6743"/>
    <cellStyle name="Обычный 19 5 3 5" xfId="6744"/>
    <cellStyle name="Обычный 19 5 3 6" xfId="6745"/>
    <cellStyle name="Обычный 19 5 4" xfId="2569"/>
    <cellStyle name="Обычный 19 5 4 2" xfId="6746"/>
    <cellStyle name="Обычный 19 5 4 3" xfId="6747"/>
    <cellStyle name="Обычный 19 5 4 4" xfId="6748"/>
    <cellStyle name="Обычный 19 5 4 5" xfId="6749"/>
    <cellStyle name="Обычный 19 5 4 6" xfId="6750"/>
    <cellStyle name="Обычный 19 5 5" xfId="2570"/>
    <cellStyle name="Обычный 19 5 5 2" xfId="6751"/>
    <cellStyle name="Обычный 19 5 5 3" xfId="6752"/>
    <cellStyle name="Обычный 19 5 5 4" xfId="6753"/>
    <cellStyle name="Обычный 19 5 5 5" xfId="6754"/>
    <cellStyle name="Обычный 19 5 5 6" xfId="6755"/>
    <cellStyle name="Обычный 19 5 6" xfId="6756"/>
    <cellStyle name="Обычный 19 5 7" xfId="6757"/>
    <cellStyle name="Обычный 19 5 8" xfId="6758"/>
    <cellStyle name="Обычный 19 5 9" xfId="6759"/>
    <cellStyle name="Обычный 19 6" xfId="2571"/>
    <cellStyle name="Обычный 19 6 10" xfId="6760"/>
    <cellStyle name="Обычный 19 6 2" xfId="2572"/>
    <cellStyle name="Обычный 19 6 2 2" xfId="2573"/>
    <cellStyle name="Обычный 19 6 2 2 2" xfId="6761"/>
    <cellStyle name="Обычный 19 6 2 2 3" xfId="6762"/>
    <cellStyle name="Обычный 19 6 2 2 4" xfId="6763"/>
    <cellStyle name="Обычный 19 6 2 2 5" xfId="6764"/>
    <cellStyle name="Обычный 19 6 2 2 6" xfId="6765"/>
    <cellStyle name="Обычный 19 6 2 3" xfId="2574"/>
    <cellStyle name="Обычный 19 6 2 3 2" xfId="6766"/>
    <cellStyle name="Обычный 19 6 2 3 3" xfId="6767"/>
    <cellStyle name="Обычный 19 6 2 3 4" xfId="6768"/>
    <cellStyle name="Обычный 19 6 2 3 5" xfId="6769"/>
    <cellStyle name="Обычный 19 6 2 3 6" xfId="6770"/>
    <cellStyle name="Обычный 19 6 2 4" xfId="2575"/>
    <cellStyle name="Обычный 19 6 2 4 2" xfId="6771"/>
    <cellStyle name="Обычный 19 6 2 4 3" xfId="6772"/>
    <cellStyle name="Обычный 19 6 2 4 4" xfId="6773"/>
    <cellStyle name="Обычный 19 6 2 4 5" xfId="6774"/>
    <cellStyle name="Обычный 19 6 2 4 6" xfId="6775"/>
    <cellStyle name="Обычный 19 6 2 5" xfId="6776"/>
    <cellStyle name="Обычный 19 6 2 6" xfId="6777"/>
    <cellStyle name="Обычный 19 6 2 7" xfId="6778"/>
    <cellStyle name="Обычный 19 6 2 8" xfId="6779"/>
    <cellStyle name="Обычный 19 6 2 9" xfId="6780"/>
    <cellStyle name="Обычный 19 6 3" xfId="2576"/>
    <cellStyle name="Обычный 19 6 3 2" xfId="6781"/>
    <cellStyle name="Обычный 19 6 3 3" xfId="6782"/>
    <cellStyle name="Обычный 19 6 3 4" xfId="6783"/>
    <cellStyle name="Обычный 19 6 3 5" xfId="6784"/>
    <cellStyle name="Обычный 19 6 3 6" xfId="6785"/>
    <cellStyle name="Обычный 19 6 4" xfId="2577"/>
    <cellStyle name="Обычный 19 6 4 2" xfId="6786"/>
    <cellStyle name="Обычный 19 6 4 3" xfId="6787"/>
    <cellStyle name="Обычный 19 6 4 4" xfId="6788"/>
    <cellStyle name="Обычный 19 6 4 5" xfId="6789"/>
    <cellStyle name="Обычный 19 6 4 6" xfId="6790"/>
    <cellStyle name="Обычный 19 6 5" xfId="2578"/>
    <cellStyle name="Обычный 19 6 5 2" xfId="6791"/>
    <cellStyle name="Обычный 19 6 5 3" xfId="6792"/>
    <cellStyle name="Обычный 19 6 5 4" xfId="6793"/>
    <cellStyle name="Обычный 19 6 5 5" xfId="6794"/>
    <cellStyle name="Обычный 19 6 5 6" xfId="6795"/>
    <cellStyle name="Обычный 19 6 6" xfId="6796"/>
    <cellStyle name="Обычный 19 6 7" xfId="6797"/>
    <cellStyle name="Обычный 19 6 8" xfId="6798"/>
    <cellStyle name="Обычный 19 6 9" xfId="6799"/>
    <cellStyle name="Обычный 19 7" xfId="2579"/>
    <cellStyle name="Обычный 19 7 2" xfId="2580"/>
    <cellStyle name="Обычный 19 7 2 2" xfId="6800"/>
    <cellStyle name="Обычный 19 7 2 3" xfId="6801"/>
    <cellStyle name="Обычный 19 7 2 4" xfId="6802"/>
    <cellStyle name="Обычный 19 7 2 5" xfId="6803"/>
    <cellStyle name="Обычный 19 7 2 6" xfId="6804"/>
    <cellStyle name="Обычный 19 7 3" xfId="2581"/>
    <cellStyle name="Обычный 19 7 3 2" xfId="6805"/>
    <cellStyle name="Обычный 19 7 3 3" xfId="6806"/>
    <cellStyle name="Обычный 19 7 3 4" xfId="6807"/>
    <cellStyle name="Обычный 19 7 3 5" xfId="6808"/>
    <cellStyle name="Обычный 19 7 3 6" xfId="6809"/>
    <cellStyle name="Обычный 19 7 4" xfId="2582"/>
    <cellStyle name="Обычный 19 7 4 2" xfId="6810"/>
    <cellStyle name="Обычный 19 7 4 3" xfId="6811"/>
    <cellStyle name="Обычный 19 7 4 4" xfId="6812"/>
    <cellStyle name="Обычный 19 7 4 5" xfId="6813"/>
    <cellStyle name="Обычный 19 7 4 6" xfId="6814"/>
    <cellStyle name="Обычный 19 7 5" xfId="6815"/>
    <cellStyle name="Обычный 19 7 6" xfId="6816"/>
    <cellStyle name="Обычный 19 7 7" xfId="6817"/>
    <cellStyle name="Обычный 19 7 8" xfId="6818"/>
    <cellStyle name="Обычный 19 7 9" xfId="6819"/>
    <cellStyle name="Обычный 19 8" xfId="2583"/>
    <cellStyle name="Обычный 19 8 10" xfId="6820"/>
    <cellStyle name="Обычный 19 8 2" xfId="2584"/>
    <cellStyle name="Обычный 19 8 2 2" xfId="6821"/>
    <cellStyle name="Обычный 19 8 2 3" xfId="6822"/>
    <cellStyle name="Обычный 19 8 2 4" xfId="6823"/>
    <cellStyle name="Обычный 19 8 2 5" xfId="6824"/>
    <cellStyle name="Обычный 19 8 2 6" xfId="6825"/>
    <cellStyle name="Обычный 19 8 3" xfId="2585"/>
    <cellStyle name="Обычный 19 8 3 2" xfId="6826"/>
    <cellStyle name="Обычный 19 8 3 3" xfId="6827"/>
    <cellStyle name="Обычный 19 8 3 4" xfId="6828"/>
    <cellStyle name="Обычный 19 8 3 5" xfId="6829"/>
    <cellStyle name="Обычный 19 8 3 6" xfId="6830"/>
    <cellStyle name="Обычный 19 8 4" xfId="2586"/>
    <cellStyle name="Обычный 19 8 4 2" xfId="6831"/>
    <cellStyle name="Обычный 19 8 4 3" xfId="6832"/>
    <cellStyle name="Обычный 19 8 4 4" xfId="6833"/>
    <cellStyle name="Обычный 19 8 4 5" xfId="6834"/>
    <cellStyle name="Обычный 19 8 4 6" xfId="6835"/>
    <cellStyle name="Обычный 19 8 5" xfId="2587"/>
    <cellStyle name="Обычный 19 8 6" xfId="6836"/>
    <cellStyle name="Обычный 19 8 7" xfId="6837"/>
    <cellStyle name="Обычный 19 8 8" xfId="6838"/>
    <cellStyle name="Обычный 19 8 9" xfId="6839"/>
    <cellStyle name="Обычный 19 9" xfId="2588"/>
    <cellStyle name="Обычный 19 9 2" xfId="6840"/>
    <cellStyle name="Обычный 19 9 3" xfId="6841"/>
    <cellStyle name="Обычный 19 9 4" xfId="6842"/>
    <cellStyle name="Обычный 19 9 5" xfId="6843"/>
    <cellStyle name="Обычный 19 9 6" xfId="6844"/>
    <cellStyle name="Обычный 2" xfId="2"/>
    <cellStyle name="Обычный 2 10" xfId="2589"/>
    <cellStyle name="Обычный 2 10 2" xfId="2590"/>
    <cellStyle name="Обычный 2 10 2 2" xfId="2591"/>
    <cellStyle name="Обычный 2 10 2 3" xfId="5260"/>
    <cellStyle name="Обычный 2 10 3" xfId="5261"/>
    <cellStyle name="Обычный 2 10 4" xfId="5262"/>
    <cellStyle name="Обычный 2 11" xfId="2592"/>
    <cellStyle name="Обычный 2 11 2" xfId="2593"/>
    <cellStyle name="Обычный 2 11 3" xfId="5263"/>
    <cellStyle name="Обычный 2 12" xfId="2594"/>
    <cellStyle name="Обычный 2 12 10" xfId="6845"/>
    <cellStyle name="Обычный 2 12 11" xfId="6846"/>
    <cellStyle name="Обычный 2 12 12" xfId="6847"/>
    <cellStyle name="Обычный 2 12 2" xfId="2595"/>
    <cellStyle name="Обычный 2 12 2 10" xfId="6848"/>
    <cellStyle name="Обычный 2 12 2 2" xfId="2596"/>
    <cellStyle name="Обычный 2 12 2 2 2" xfId="2597"/>
    <cellStyle name="Обычный 2 12 2 2 2 2" xfId="6849"/>
    <cellStyle name="Обычный 2 12 2 2 2 3" xfId="6850"/>
    <cellStyle name="Обычный 2 12 2 2 2 4" xfId="6851"/>
    <cellStyle name="Обычный 2 12 2 2 2 5" xfId="6852"/>
    <cellStyle name="Обычный 2 12 2 2 2 6" xfId="6853"/>
    <cellStyle name="Обычный 2 12 2 2 3" xfId="2598"/>
    <cellStyle name="Обычный 2 12 2 2 3 2" xfId="6854"/>
    <cellStyle name="Обычный 2 12 2 2 3 3" xfId="6855"/>
    <cellStyle name="Обычный 2 12 2 2 3 4" xfId="6856"/>
    <cellStyle name="Обычный 2 12 2 2 3 5" xfId="6857"/>
    <cellStyle name="Обычный 2 12 2 2 3 6" xfId="6858"/>
    <cellStyle name="Обычный 2 12 2 2 4" xfId="2599"/>
    <cellStyle name="Обычный 2 12 2 2 4 2" xfId="6859"/>
    <cellStyle name="Обычный 2 12 2 2 4 3" xfId="6860"/>
    <cellStyle name="Обычный 2 12 2 2 4 4" xfId="6861"/>
    <cellStyle name="Обычный 2 12 2 2 4 5" xfId="6862"/>
    <cellStyle name="Обычный 2 12 2 2 4 6" xfId="6863"/>
    <cellStyle name="Обычный 2 12 2 2 5" xfId="6864"/>
    <cellStyle name="Обычный 2 12 2 2 6" xfId="6865"/>
    <cellStyle name="Обычный 2 12 2 2 7" xfId="6866"/>
    <cellStyle name="Обычный 2 12 2 2 8" xfId="6867"/>
    <cellStyle name="Обычный 2 12 2 2 9" xfId="6868"/>
    <cellStyle name="Обычный 2 12 2 3" xfId="2600"/>
    <cellStyle name="Обычный 2 12 2 3 2" xfId="6869"/>
    <cellStyle name="Обычный 2 12 2 3 3" xfId="6870"/>
    <cellStyle name="Обычный 2 12 2 3 4" xfId="6871"/>
    <cellStyle name="Обычный 2 12 2 3 5" xfId="6872"/>
    <cellStyle name="Обычный 2 12 2 3 6" xfId="6873"/>
    <cellStyle name="Обычный 2 12 2 4" xfId="2601"/>
    <cellStyle name="Обычный 2 12 2 4 2" xfId="6874"/>
    <cellStyle name="Обычный 2 12 2 4 3" xfId="6875"/>
    <cellStyle name="Обычный 2 12 2 4 4" xfId="6876"/>
    <cellStyle name="Обычный 2 12 2 4 5" xfId="6877"/>
    <cellStyle name="Обычный 2 12 2 4 6" xfId="6878"/>
    <cellStyle name="Обычный 2 12 2 5" xfId="2602"/>
    <cellStyle name="Обычный 2 12 2 5 2" xfId="6879"/>
    <cellStyle name="Обычный 2 12 2 5 3" xfId="6880"/>
    <cellStyle name="Обычный 2 12 2 5 4" xfId="6881"/>
    <cellStyle name="Обычный 2 12 2 5 5" xfId="6882"/>
    <cellStyle name="Обычный 2 12 2 5 6" xfId="6883"/>
    <cellStyle name="Обычный 2 12 2 6" xfId="6884"/>
    <cellStyle name="Обычный 2 12 2 7" xfId="6885"/>
    <cellStyle name="Обычный 2 12 2 8" xfId="6886"/>
    <cellStyle name="Обычный 2 12 2 9" xfId="6887"/>
    <cellStyle name="Обычный 2 12 3" xfId="2603"/>
    <cellStyle name="Обычный 2 12 3 10" xfId="6888"/>
    <cellStyle name="Обычный 2 12 3 2" xfId="2604"/>
    <cellStyle name="Обычный 2 12 3 2 2" xfId="2605"/>
    <cellStyle name="Обычный 2 12 3 2 2 2" xfId="6889"/>
    <cellStyle name="Обычный 2 12 3 2 2 3" xfId="6890"/>
    <cellStyle name="Обычный 2 12 3 2 2 4" xfId="6891"/>
    <cellStyle name="Обычный 2 12 3 2 2 5" xfId="6892"/>
    <cellStyle name="Обычный 2 12 3 2 2 6" xfId="6893"/>
    <cellStyle name="Обычный 2 12 3 2 3" xfId="2606"/>
    <cellStyle name="Обычный 2 12 3 2 3 2" xfId="6894"/>
    <cellStyle name="Обычный 2 12 3 2 3 3" xfId="6895"/>
    <cellStyle name="Обычный 2 12 3 2 3 4" xfId="6896"/>
    <cellStyle name="Обычный 2 12 3 2 3 5" xfId="6897"/>
    <cellStyle name="Обычный 2 12 3 2 3 6" xfId="6898"/>
    <cellStyle name="Обычный 2 12 3 2 4" xfId="2607"/>
    <cellStyle name="Обычный 2 12 3 2 4 2" xfId="6899"/>
    <cellStyle name="Обычный 2 12 3 2 4 3" xfId="6900"/>
    <cellStyle name="Обычный 2 12 3 2 4 4" xfId="6901"/>
    <cellStyle name="Обычный 2 12 3 2 4 5" xfId="6902"/>
    <cellStyle name="Обычный 2 12 3 2 4 6" xfId="6903"/>
    <cellStyle name="Обычный 2 12 3 2 5" xfId="6904"/>
    <cellStyle name="Обычный 2 12 3 2 6" xfId="6905"/>
    <cellStyle name="Обычный 2 12 3 2 7" xfId="6906"/>
    <cellStyle name="Обычный 2 12 3 2 8" xfId="6907"/>
    <cellStyle name="Обычный 2 12 3 2 9" xfId="6908"/>
    <cellStyle name="Обычный 2 12 3 3" xfId="2608"/>
    <cellStyle name="Обычный 2 12 3 3 2" xfId="6909"/>
    <cellStyle name="Обычный 2 12 3 3 3" xfId="6910"/>
    <cellStyle name="Обычный 2 12 3 3 4" xfId="6911"/>
    <cellStyle name="Обычный 2 12 3 3 5" xfId="6912"/>
    <cellStyle name="Обычный 2 12 3 3 6" xfId="6913"/>
    <cellStyle name="Обычный 2 12 3 4" xfId="2609"/>
    <cellStyle name="Обычный 2 12 3 4 2" xfId="6914"/>
    <cellStyle name="Обычный 2 12 3 4 3" xfId="6915"/>
    <cellStyle name="Обычный 2 12 3 4 4" xfId="6916"/>
    <cellStyle name="Обычный 2 12 3 4 5" xfId="6917"/>
    <cellStyle name="Обычный 2 12 3 4 6" xfId="6918"/>
    <cellStyle name="Обычный 2 12 3 5" xfId="2610"/>
    <cellStyle name="Обычный 2 12 3 5 2" xfId="6919"/>
    <cellStyle name="Обычный 2 12 3 5 3" xfId="6920"/>
    <cellStyle name="Обычный 2 12 3 5 4" xfId="6921"/>
    <cellStyle name="Обычный 2 12 3 5 5" xfId="6922"/>
    <cellStyle name="Обычный 2 12 3 5 6" xfId="6923"/>
    <cellStyle name="Обычный 2 12 3 6" xfId="6924"/>
    <cellStyle name="Обычный 2 12 3 7" xfId="6925"/>
    <cellStyle name="Обычный 2 12 3 8" xfId="6926"/>
    <cellStyle name="Обычный 2 12 3 9" xfId="6927"/>
    <cellStyle name="Обычный 2 12 4" xfId="2611"/>
    <cellStyle name="Обычный 2 12 4 2" xfId="2612"/>
    <cellStyle name="Обычный 2 12 4 2 2" xfId="6928"/>
    <cellStyle name="Обычный 2 12 4 2 3" xfId="6929"/>
    <cellStyle name="Обычный 2 12 4 2 4" xfId="6930"/>
    <cellStyle name="Обычный 2 12 4 2 5" xfId="6931"/>
    <cellStyle name="Обычный 2 12 4 2 6" xfId="6932"/>
    <cellStyle name="Обычный 2 12 4 3" xfId="2613"/>
    <cellStyle name="Обычный 2 12 4 3 2" xfId="6933"/>
    <cellStyle name="Обычный 2 12 4 3 3" xfId="6934"/>
    <cellStyle name="Обычный 2 12 4 3 4" xfId="6935"/>
    <cellStyle name="Обычный 2 12 4 3 5" xfId="6936"/>
    <cellStyle name="Обычный 2 12 4 3 6" xfId="6937"/>
    <cellStyle name="Обычный 2 12 4 4" xfId="2614"/>
    <cellStyle name="Обычный 2 12 4 4 2" xfId="6938"/>
    <cellStyle name="Обычный 2 12 4 4 3" xfId="6939"/>
    <cellStyle name="Обычный 2 12 4 4 4" xfId="6940"/>
    <cellStyle name="Обычный 2 12 4 4 5" xfId="6941"/>
    <cellStyle name="Обычный 2 12 4 4 6" xfId="6942"/>
    <cellStyle name="Обычный 2 12 4 5" xfId="6943"/>
    <cellStyle name="Обычный 2 12 4 6" xfId="6944"/>
    <cellStyle name="Обычный 2 12 4 7" xfId="6945"/>
    <cellStyle name="Обычный 2 12 4 8" xfId="6946"/>
    <cellStyle name="Обычный 2 12 4 9" xfId="6947"/>
    <cellStyle name="Обычный 2 12 5" xfId="2615"/>
    <cellStyle name="Обычный 2 12 5 2" xfId="6948"/>
    <cellStyle name="Обычный 2 12 5 3" xfId="6949"/>
    <cellStyle name="Обычный 2 12 5 4" xfId="6950"/>
    <cellStyle name="Обычный 2 12 5 5" xfId="6951"/>
    <cellStyle name="Обычный 2 12 5 6" xfId="6952"/>
    <cellStyle name="Обычный 2 12 6" xfId="2616"/>
    <cellStyle name="Обычный 2 12 6 2" xfId="6953"/>
    <cellStyle name="Обычный 2 12 6 3" xfId="6954"/>
    <cellStyle name="Обычный 2 12 6 4" xfId="6955"/>
    <cellStyle name="Обычный 2 12 6 5" xfId="6956"/>
    <cellStyle name="Обычный 2 12 6 6" xfId="6957"/>
    <cellStyle name="Обычный 2 12 7" xfId="2617"/>
    <cellStyle name="Обычный 2 12 7 2" xfId="6958"/>
    <cellStyle name="Обычный 2 12 7 3" xfId="6959"/>
    <cellStyle name="Обычный 2 12 7 4" xfId="6960"/>
    <cellStyle name="Обычный 2 12 7 5" xfId="6961"/>
    <cellStyle name="Обычный 2 12 7 6" xfId="6962"/>
    <cellStyle name="Обычный 2 12 8" xfId="4667"/>
    <cellStyle name="Обычный 2 12 9" xfId="6963"/>
    <cellStyle name="Обычный 2 13" xfId="2618"/>
    <cellStyle name="Обычный 2 13 2" xfId="2619"/>
    <cellStyle name="Обычный 2 14" xfId="2620"/>
    <cellStyle name="Обычный 2 14 2" xfId="2621"/>
    <cellStyle name="Обычный 2 14 2 10" xfId="6964"/>
    <cellStyle name="Обычный 2 14 2 2" xfId="2622"/>
    <cellStyle name="Обычный 2 14 2 2 2" xfId="6965"/>
    <cellStyle name="Обычный 2 14 2 2 3" xfId="6966"/>
    <cellStyle name="Обычный 2 14 2 2 4" xfId="6967"/>
    <cellStyle name="Обычный 2 14 2 2 5" xfId="6968"/>
    <cellStyle name="Обычный 2 14 2 2 6" xfId="6969"/>
    <cellStyle name="Обычный 2 14 2 3" xfId="2623"/>
    <cellStyle name="Обычный 2 14 2 3 2" xfId="6970"/>
    <cellStyle name="Обычный 2 14 2 3 3" xfId="6971"/>
    <cellStyle name="Обычный 2 14 2 3 4" xfId="6972"/>
    <cellStyle name="Обычный 2 14 2 3 5" xfId="6973"/>
    <cellStyle name="Обычный 2 14 2 3 6" xfId="6974"/>
    <cellStyle name="Обычный 2 14 2 4" xfId="2624"/>
    <cellStyle name="Обычный 2 14 2 4 2" xfId="6975"/>
    <cellStyle name="Обычный 2 14 2 4 3" xfId="6976"/>
    <cellStyle name="Обычный 2 14 2 4 4" xfId="6977"/>
    <cellStyle name="Обычный 2 14 2 4 5" xfId="6978"/>
    <cellStyle name="Обычный 2 14 2 4 6" xfId="6979"/>
    <cellStyle name="Обычный 2 14 2 5" xfId="2625"/>
    <cellStyle name="Обычный 2 14 2 5 2" xfId="6980"/>
    <cellStyle name="Обычный 2 14 2 5 3" xfId="6981"/>
    <cellStyle name="Обычный 2 14 2 5 4" xfId="6982"/>
    <cellStyle name="Обычный 2 14 2 5 5" xfId="6983"/>
    <cellStyle name="Обычный 2 14 2 5 6" xfId="6984"/>
    <cellStyle name="Обычный 2 14 2 6" xfId="6985"/>
    <cellStyle name="Обычный 2 14 2 7" xfId="6986"/>
    <cellStyle name="Обычный 2 14 2 8" xfId="6987"/>
    <cellStyle name="Обычный 2 14 2 9" xfId="6988"/>
    <cellStyle name="Обычный 2 15" xfId="2626"/>
    <cellStyle name="Обычный 2 15 2" xfId="2627"/>
    <cellStyle name="Обычный 2 15 2 2" xfId="6989"/>
    <cellStyle name="Обычный 2 15 2 3" xfId="6990"/>
    <cellStyle name="Обычный 2 15 2 4" xfId="6991"/>
    <cellStyle name="Обычный 2 15 2 5" xfId="6992"/>
    <cellStyle name="Обычный 2 15 2 6" xfId="6993"/>
    <cellStyle name="Обычный 2 15 3" xfId="2628"/>
    <cellStyle name="Обычный 2 15 3 2" xfId="6994"/>
    <cellStyle name="Обычный 2 15 3 3" xfId="6995"/>
    <cellStyle name="Обычный 2 15 3 4" xfId="6996"/>
    <cellStyle name="Обычный 2 15 3 5" xfId="6997"/>
    <cellStyle name="Обычный 2 15 3 6" xfId="6998"/>
    <cellStyle name="Обычный 2 15 4" xfId="2629"/>
    <cellStyle name="Обычный 2 15 4 2" xfId="6999"/>
    <cellStyle name="Обычный 2 15 4 3" xfId="7000"/>
    <cellStyle name="Обычный 2 15 4 4" xfId="7001"/>
    <cellStyle name="Обычный 2 15 4 5" xfId="7002"/>
    <cellStyle name="Обычный 2 15 4 6" xfId="7003"/>
    <cellStyle name="Обычный 2 15 5" xfId="7004"/>
    <cellStyle name="Обычный 2 15 6" xfId="7005"/>
    <cellStyle name="Обычный 2 15 7" xfId="7006"/>
    <cellStyle name="Обычный 2 15 8" xfId="7007"/>
    <cellStyle name="Обычный 2 15 9" xfId="7008"/>
    <cellStyle name="Обычный 2 16" xfId="4662"/>
    <cellStyle name="Обычный 2 2" xfId="2630"/>
    <cellStyle name="Обычный 2 2 2" xfId="2631"/>
    <cellStyle name="Обычный 2 2 2 2" xfId="2632"/>
    <cellStyle name="Обычный 2 2 2 3" xfId="2633"/>
    <cellStyle name="Обычный 2 2 3" xfId="2634"/>
    <cellStyle name="Обычный 2 2 3 2" xfId="2635"/>
    <cellStyle name="Обычный 2 2 3 2 10" xfId="7009"/>
    <cellStyle name="Обычный 2 2 3 2 2" xfId="2636"/>
    <cellStyle name="Обычный 2 2 3 2 2 2" xfId="2637"/>
    <cellStyle name="Обычный 2 2 3 2 2 2 2" xfId="7010"/>
    <cellStyle name="Обычный 2 2 3 2 2 2 3" xfId="7011"/>
    <cellStyle name="Обычный 2 2 3 2 2 2 4" xfId="7012"/>
    <cellStyle name="Обычный 2 2 3 2 2 2 5" xfId="7013"/>
    <cellStyle name="Обычный 2 2 3 2 2 2 6" xfId="7014"/>
    <cellStyle name="Обычный 2 2 3 2 2 3" xfId="2638"/>
    <cellStyle name="Обычный 2 2 3 2 2 3 2" xfId="7015"/>
    <cellStyle name="Обычный 2 2 3 2 2 3 3" xfId="7016"/>
    <cellStyle name="Обычный 2 2 3 2 2 3 4" xfId="7017"/>
    <cellStyle name="Обычный 2 2 3 2 2 3 5" xfId="7018"/>
    <cellStyle name="Обычный 2 2 3 2 2 3 6" xfId="7019"/>
    <cellStyle name="Обычный 2 2 3 2 2 4" xfId="2639"/>
    <cellStyle name="Обычный 2 2 3 2 2 4 2" xfId="7020"/>
    <cellStyle name="Обычный 2 2 3 2 2 4 3" xfId="7021"/>
    <cellStyle name="Обычный 2 2 3 2 2 4 4" xfId="7022"/>
    <cellStyle name="Обычный 2 2 3 2 2 4 5" xfId="7023"/>
    <cellStyle name="Обычный 2 2 3 2 2 4 6" xfId="7024"/>
    <cellStyle name="Обычный 2 2 3 2 2 5" xfId="7025"/>
    <cellStyle name="Обычный 2 2 3 2 2 6" xfId="7026"/>
    <cellStyle name="Обычный 2 2 3 2 2 7" xfId="7027"/>
    <cellStyle name="Обычный 2 2 3 2 2 8" xfId="7028"/>
    <cellStyle name="Обычный 2 2 3 2 2 9" xfId="7029"/>
    <cellStyle name="Обычный 2 2 3 2 3" xfId="2640"/>
    <cellStyle name="Обычный 2 2 3 2 3 2" xfId="7030"/>
    <cellStyle name="Обычный 2 2 3 2 3 3" xfId="7031"/>
    <cellStyle name="Обычный 2 2 3 2 3 4" xfId="7032"/>
    <cellStyle name="Обычный 2 2 3 2 3 5" xfId="7033"/>
    <cellStyle name="Обычный 2 2 3 2 3 6" xfId="7034"/>
    <cellStyle name="Обычный 2 2 3 2 4" xfId="2641"/>
    <cellStyle name="Обычный 2 2 3 2 4 2" xfId="7035"/>
    <cellStyle name="Обычный 2 2 3 2 4 3" xfId="7036"/>
    <cellStyle name="Обычный 2 2 3 2 4 4" xfId="7037"/>
    <cellStyle name="Обычный 2 2 3 2 4 5" xfId="7038"/>
    <cellStyle name="Обычный 2 2 3 2 4 6" xfId="7039"/>
    <cellStyle name="Обычный 2 2 3 2 5" xfId="2642"/>
    <cellStyle name="Обычный 2 2 3 2 5 2" xfId="7040"/>
    <cellStyle name="Обычный 2 2 3 2 5 3" xfId="7041"/>
    <cellStyle name="Обычный 2 2 3 2 5 4" xfId="7042"/>
    <cellStyle name="Обычный 2 2 3 2 5 5" xfId="7043"/>
    <cellStyle name="Обычный 2 2 3 2 5 6" xfId="7044"/>
    <cellStyle name="Обычный 2 2 3 2 6" xfId="7045"/>
    <cellStyle name="Обычный 2 2 3 2 7" xfId="7046"/>
    <cellStyle name="Обычный 2 2 3 2 8" xfId="7047"/>
    <cellStyle name="Обычный 2 2 3 2 9" xfId="7048"/>
    <cellStyle name="Обычный 2 2 3 3" xfId="2643"/>
    <cellStyle name="Обычный 2 2 3 3 2" xfId="2644"/>
    <cellStyle name="Обычный 2 2 3 3 2 2" xfId="7049"/>
    <cellStyle name="Обычный 2 2 3 3 2 3" xfId="7050"/>
    <cellStyle name="Обычный 2 2 3 3 2 4" xfId="7051"/>
    <cellStyle name="Обычный 2 2 3 3 2 5" xfId="7052"/>
    <cellStyle name="Обычный 2 2 3 3 2 6" xfId="7053"/>
    <cellStyle name="Обычный 2 2 3 3 3" xfId="2645"/>
    <cellStyle name="Обычный 2 2 3 3 3 2" xfId="7054"/>
    <cellStyle name="Обычный 2 2 3 3 3 3" xfId="7055"/>
    <cellStyle name="Обычный 2 2 3 3 3 4" xfId="7056"/>
    <cellStyle name="Обычный 2 2 3 3 3 5" xfId="7057"/>
    <cellStyle name="Обычный 2 2 3 3 3 6" xfId="7058"/>
    <cellStyle name="Обычный 2 2 3 3 4" xfId="2646"/>
    <cellStyle name="Обычный 2 2 3 3 4 2" xfId="7059"/>
    <cellStyle name="Обычный 2 2 3 3 4 3" xfId="7060"/>
    <cellStyle name="Обычный 2 2 3 3 4 4" xfId="7061"/>
    <cellStyle name="Обычный 2 2 3 3 4 5" xfId="7062"/>
    <cellStyle name="Обычный 2 2 3 3 4 6" xfId="7063"/>
    <cellStyle name="Обычный 2 2 3 3 5" xfId="7064"/>
    <cellStyle name="Обычный 2 2 3 3 6" xfId="7065"/>
    <cellStyle name="Обычный 2 2 3 3 7" xfId="7066"/>
    <cellStyle name="Обычный 2 2 3 3 8" xfId="7067"/>
    <cellStyle name="Обычный 2 2 3 3 9" xfId="7068"/>
    <cellStyle name="Обычный 2 2 3 4" xfId="2647"/>
    <cellStyle name="Обычный 2 2 3 4 2" xfId="2648"/>
    <cellStyle name="Обычный 2 2 3 4 2 2" xfId="7069"/>
    <cellStyle name="Обычный 2 2 3 4 2 3" xfId="7070"/>
    <cellStyle name="Обычный 2 2 3 4 2 4" xfId="7071"/>
    <cellStyle name="Обычный 2 2 3 4 2 5" xfId="7072"/>
    <cellStyle name="Обычный 2 2 3 4 2 6" xfId="7073"/>
    <cellStyle name="Обычный 2 2 3 4 3" xfId="2649"/>
    <cellStyle name="Обычный 2 2 3 4 3 2" xfId="7074"/>
    <cellStyle name="Обычный 2 2 3 4 3 3" xfId="7075"/>
    <cellStyle name="Обычный 2 2 3 4 3 4" xfId="7076"/>
    <cellStyle name="Обычный 2 2 3 4 3 5" xfId="7077"/>
    <cellStyle name="Обычный 2 2 3 4 3 6" xfId="7078"/>
    <cellStyle name="Обычный 2 2 3 4 4" xfId="2650"/>
    <cellStyle name="Обычный 2 2 3 4 4 2" xfId="7079"/>
    <cellStyle name="Обычный 2 2 3 4 4 3" xfId="7080"/>
    <cellStyle name="Обычный 2 2 3 4 4 4" xfId="7081"/>
    <cellStyle name="Обычный 2 2 3 4 4 5" xfId="7082"/>
    <cellStyle name="Обычный 2 2 3 4 4 6" xfId="7083"/>
    <cellStyle name="Обычный 2 2 3 4 5" xfId="7084"/>
    <cellStyle name="Обычный 2 2 3 4 6" xfId="7085"/>
    <cellStyle name="Обычный 2 2 3 4 7" xfId="7086"/>
    <cellStyle name="Обычный 2 2 3 4 8" xfId="7087"/>
    <cellStyle name="Обычный 2 2 3 4 9" xfId="7088"/>
    <cellStyle name="Обычный 2 2 3 5" xfId="5264"/>
    <cellStyle name="Обычный 2 2 4" xfId="2651"/>
    <cellStyle name="Обычный 2 2 4 2" xfId="2652"/>
    <cellStyle name="Обычный 2 2 4 2 10" xfId="7089"/>
    <cellStyle name="Обычный 2 2 4 2 11" xfId="7090"/>
    <cellStyle name="Обычный 2 2 4 2 2" xfId="2653"/>
    <cellStyle name="Обычный 2 2 4 2 2 2" xfId="2654"/>
    <cellStyle name="Обычный 2 2 4 2 2 2 2" xfId="7091"/>
    <cellStyle name="Обычный 2 2 4 2 2 2 3" xfId="7092"/>
    <cellStyle name="Обычный 2 2 4 2 2 2 4" xfId="7093"/>
    <cellStyle name="Обычный 2 2 4 2 2 2 5" xfId="7094"/>
    <cellStyle name="Обычный 2 2 4 2 2 2 6" xfId="7095"/>
    <cellStyle name="Обычный 2 2 4 2 2 3" xfId="2655"/>
    <cellStyle name="Обычный 2 2 4 2 2 3 2" xfId="7096"/>
    <cellStyle name="Обычный 2 2 4 2 2 3 3" xfId="7097"/>
    <cellStyle name="Обычный 2 2 4 2 2 3 4" xfId="7098"/>
    <cellStyle name="Обычный 2 2 4 2 2 3 5" xfId="7099"/>
    <cellStyle name="Обычный 2 2 4 2 2 3 6" xfId="7100"/>
    <cellStyle name="Обычный 2 2 4 2 2 4" xfId="2656"/>
    <cellStyle name="Обычный 2 2 4 2 2 4 2" xfId="7101"/>
    <cellStyle name="Обычный 2 2 4 2 2 4 3" xfId="7102"/>
    <cellStyle name="Обычный 2 2 4 2 2 4 4" xfId="7103"/>
    <cellStyle name="Обычный 2 2 4 2 2 4 5" xfId="7104"/>
    <cellStyle name="Обычный 2 2 4 2 2 4 6" xfId="7105"/>
    <cellStyle name="Обычный 2 2 4 2 2 5" xfId="7106"/>
    <cellStyle name="Обычный 2 2 4 2 2 6" xfId="7107"/>
    <cellStyle name="Обычный 2 2 4 2 2 7" xfId="7108"/>
    <cellStyle name="Обычный 2 2 4 2 2 8" xfId="7109"/>
    <cellStyle name="Обычный 2 2 4 2 2 9" xfId="7110"/>
    <cellStyle name="Обычный 2 2 4 2 3" xfId="2657"/>
    <cellStyle name="Обычный 2 2 4 2 3 2" xfId="2658"/>
    <cellStyle name="Обычный 2 2 4 2 3 2 2" xfId="7111"/>
    <cellStyle name="Обычный 2 2 4 2 3 2 3" xfId="7112"/>
    <cellStyle name="Обычный 2 2 4 2 3 2 4" xfId="7113"/>
    <cellStyle name="Обычный 2 2 4 2 3 2 5" xfId="7114"/>
    <cellStyle name="Обычный 2 2 4 2 3 2 6" xfId="7115"/>
    <cellStyle name="Обычный 2 2 4 2 3 3" xfId="2659"/>
    <cellStyle name="Обычный 2 2 4 2 3 3 2" xfId="7116"/>
    <cellStyle name="Обычный 2 2 4 2 3 3 3" xfId="7117"/>
    <cellStyle name="Обычный 2 2 4 2 3 3 4" xfId="7118"/>
    <cellStyle name="Обычный 2 2 4 2 3 3 5" xfId="7119"/>
    <cellStyle name="Обычный 2 2 4 2 3 3 6" xfId="7120"/>
    <cellStyle name="Обычный 2 2 4 2 3 4" xfId="2660"/>
    <cellStyle name="Обычный 2 2 4 2 3 4 2" xfId="7121"/>
    <cellStyle name="Обычный 2 2 4 2 3 4 3" xfId="7122"/>
    <cellStyle name="Обычный 2 2 4 2 3 4 4" xfId="7123"/>
    <cellStyle name="Обычный 2 2 4 2 3 4 5" xfId="7124"/>
    <cellStyle name="Обычный 2 2 4 2 3 4 6" xfId="7125"/>
    <cellStyle name="Обычный 2 2 4 2 3 5" xfId="7126"/>
    <cellStyle name="Обычный 2 2 4 2 3 6" xfId="7127"/>
    <cellStyle name="Обычный 2 2 4 2 3 7" xfId="7128"/>
    <cellStyle name="Обычный 2 2 4 2 3 8" xfId="7129"/>
    <cellStyle name="Обычный 2 2 4 2 3 9" xfId="7130"/>
    <cellStyle name="Обычный 2 2 4 2 4" xfId="2661"/>
    <cellStyle name="Обычный 2 2 4 2 4 2" xfId="7131"/>
    <cellStyle name="Обычный 2 2 4 2 4 3" xfId="7132"/>
    <cellStyle name="Обычный 2 2 4 2 4 4" xfId="7133"/>
    <cellStyle name="Обычный 2 2 4 2 4 5" xfId="7134"/>
    <cellStyle name="Обычный 2 2 4 2 4 6" xfId="7135"/>
    <cellStyle name="Обычный 2 2 4 2 5" xfId="2662"/>
    <cellStyle name="Обычный 2 2 4 2 5 2" xfId="7136"/>
    <cellStyle name="Обычный 2 2 4 2 5 3" xfId="7137"/>
    <cellStyle name="Обычный 2 2 4 2 5 4" xfId="7138"/>
    <cellStyle name="Обычный 2 2 4 2 5 5" xfId="7139"/>
    <cellStyle name="Обычный 2 2 4 2 5 6" xfId="7140"/>
    <cellStyle name="Обычный 2 2 4 2 6" xfId="2663"/>
    <cellStyle name="Обычный 2 2 4 2 6 2" xfId="7141"/>
    <cellStyle name="Обычный 2 2 4 2 6 3" xfId="7142"/>
    <cellStyle name="Обычный 2 2 4 2 6 4" xfId="7143"/>
    <cellStyle name="Обычный 2 2 4 2 6 5" xfId="7144"/>
    <cellStyle name="Обычный 2 2 4 2 6 6" xfId="7145"/>
    <cellStyle name="Обычный 2 2 4 2 7" xfId="5265"/>
    <cellStyle name="Обычный 2 2 4 2 8" xfId="7146"/>
    <cellStyle name="Обычный 2 2 4 2 9" xfId="7147"/>
    <cellStyle name="Обычный 2 2 4 3" xfId="2664"/>
    <cellStyle name="Обычный 2 2 4 3 2" xfId="2665"/>
    <cellStyle name="Обычный 2 2 4 3 2 2" xfId="5266"/>
    <cellStyle name="Обычный 2 2 4 4" xfId="2666"/>
    <cellStyle name="Обычный 2 2 4 5" xfId="2667"/>
    <cellStyle name="Обычный 2 2 4 5 2" xfId="2668"/>
    <cellStyle name="Обычный 2 2 4 6" xfId="2669"/>
    <cellStyle name="Обычный 2 2 5" xfId="2670"/>
    <cellStyle name="Обычный 2 2 6" xfId="2671"/>
    <cellStyle name="Обычный 2 2 6 2" xfId="2672"/>
    <cellStyle name="Обычный 2 2 7" xfId="2673"/>
    <cellStyle name="Обычный 2 2 8" xfId="5267"/>
    <cellStyle name="Обычный 2 2_46EE.2011(v1.0)" xfId="2674"/>
    <cellStyle name="Обычный 2 3" xfId="2675"/>
    <cellStyle name="Обычный 2 3 10" xfId="5268"/>
    <cellStyle name="Обычный 2 3 11" xfId="7148"/>
    <cellStyle name="Обычный 2 3 12" xfId="7149"/>
    <cellStyle name="Обычный 2 3 13" xfId="7150"/>
    <cellStyle name="Обычный 2 3 14" xfId="7151"/>
    <cellStyle name="Обычный 2 3 2" xfId="2676"/>
    <cellStyle name="Обычный 2 3 2 2" xfId="2677"/>
    <cellStyle name="Обычный 2 3 2 2 2" xfId="2678"/>
    <cellStyle name="Обычный 2 3 3" xfId="2679"/>
    <cellStyle name="Обычный 2 3 4" xfId="2680"/>
    <cellStyle name="Обычный 2 3 4 10" xfId="7152"/>
    <cellStyle name="Обычный 2 3 4 2" xfId="2681"/>
    <cellStyle name="Обычный 2 3 4 2 2" xfId="2682"/>
    <cellStyle name="Обычный 2 3 4 2 2 2" xfId="7153"/>
    <cellStyle name="Обычный 2 3 4 2 2 3" xfId="7154"/>
    <cellStyle name="Обычный 2 3 4 2 2 4" xfId="7155"/>
    <cellStyle name="Обычный 2 3 4 2 2 5" xfId="7156"/>
    <cellStyle name="Обычный 2 3 4 2 2 6" xfId="7157"/>
    <cellStyle name="Обычный 2 3 4 2 3" xfId="2683"/>
    <cellStyle name="Обычный 2 3 4 2 3 2" xfId="7158"/>
    <cellStyle name="Обычный 2 3 4 2 3 3" xfId="7159"/>
    <cellStyle name="Обычный 2 3 4 2 3 4" xfId="7160"/>
    <cellStyle name="Обычный 2 3 4 2 3 5" xfId="7161"/>
    <cellStyle name="Обычный 2 3 4 2 3 6" xfId="7162"/>
    <cellStyle name="Обычный 2 3 4 2 4" xfId="2684"/>
    <cellStyle name="Обычный 2 3 4 2 4 2" xfId="7163"/>
    <cellStyle name="Обычный 2 3 4 2 4 3" xfId="7164"/>
    <cellStyle name="Обычный 2 3 4 2 4 4" xfId="7165"/>
    <cellStyle name="Обычный 2 3 4 2 4 5" xfId="7166"/>
    <cellStyle name="Обычный 2 3 4 2 4 6" xfId="7167"/>
    <cellStyle name="Обычный 2 3 4 2 5" xfId="7168"/>
    <cellStyle name="Обычный 2 3 4 2 6" xfId="7169"/>
    <cellStyle name="Обычный 2 3 4 2 7" xfId="7170"/>
    <cellStyle name="Обычный 2 3 4 2 8" xfId="7171"/>
    <cellStyle name="Обычный 2 3 4 2 9" xfId="7172"/>
    <cellStyle name="Обычный 2 3 4 3" xfId="2685"/>
    <cellStyle name="Обычный 2 3 4 3 2" xfId="7173"/>
    <cellStyle name="Обычный 2 3 4 3 3" xfId="7174"/>
    <cellStyle name="Обычный 2 3 4 3 4" xfId="7175"/>
    <cellStyle name="Обычный 2 3 4 3 5" xfId="7176"/>
    <cellStyle name="Обычный 2 3 4 3 6" xfId="7177"/>
    <cellStyle name="Обычный 2 3 4 4" xfId="2686"/>
    <cellStyle name="Обычный 2 3 4 4 2" xfId="7178"/>
    <cellStyle name="Обычный 2 3 4 4 3" xfId="7179"/>
    <cellStyle name="Обычный 2 3 4 4 4" xfId="7180"/>
    <cellStyle name="Обычный 2 3 4 4 5" xfId="7181"/>
    <cellStyle name="Обычный 2 3 4 4 6" xfId="7182"/>
    <cellStyle name="Обычный 2 3 4 5" xfId="2687"/>
    <cellStyle name="Обычный 2 3 4 5 2" xfId="7183"/>
    <cellStyle name="Обычный 2 3 4 5 3" xfId="7184"/>
    <cellStyle name="Обычный 2 3 4 5 4" xfId="7185"/>
    <cellStyle name="Обычный 2 3 4 5 5" xfId="7186"/>
    <cellStyle name="Обычный 2 3 4 5 6" xfId="7187"/>
    <cellStyle name="Обычный 2 3 4 6" xfId="7188"/>
    <cellStyle name="Обычный 2 3 4 7" xfId="7189"/>
    <cellStyle name="Обычный 2 3 4 8" xfId="7190"/>
    <cellStyle name="Обычный 2 3 4 9" xfId="7191"/>
    <cellStyle name="Обычный 2 3 5" xfId="2688"/>
    <cellStyle name="Обычный 2 3 6" xfId="2689"/>
    <cellStyle name="Обычный 2 3 6 2" xfId="2690"/>
    <cellStyle name="Обычный 2 3 6 2 2" xfId="7192"/>
    <cellStyle name="Обычный 2 3 6 2 3" xfId="7193"/>
    <cellStyle name="Обычный 2 3 6 2 4" xfId="7194"/>
    <cellStyle name="Обычный 2 3 6 2 5" xfId="7195"/>
    <cellStyle name="Обычный 2 3 6 2 6" xfId="7196"/>
    <cellStyle name="Обычный 2 3 6 3" xfId="2691"/>
    <cellStyle name="Обычный 2 3 6 3 2" xfId="7197"/>
    <cellStyle name="Обычный 2 3 6 3 3" xfId="7198"/>
    <cellStyle name="Обычный 2 3 6 3 4" xfId="7199"/>
    <cellStyle name="Обычный 2 3 6 3 5" xfId="7200"/>
    <cellStyle name="Обычный 2 3 6 3 6" xfId="7201"/>
    <cellStyle name="Обычный 2 3 6 4" xfId="2692"/>
    <cellStyle name="Обычный 2 3 6 4 2" xfId="7202"/>
    <cellStyle name="Обычный 2 3 6 4 3" xfId="7203"/>
    <cellStyle name="Обычный 2 3 6 4 4" xfId="7204"/>
    <cellStyle name="Обычный 2 3 6 4 5" xfId="7205"/>
    <cellStyle name="Обычный 2 3 6 4 6" xfId="7206"/>
    <cellStyle name="Обычный 2 3 6 5" xfId="7207"/>
    <cellStyle name="Обычный 2 3 6 6" xfId="7208"/>
    <cellStyle name="Обычный 2 3 6 7" xfId="7209"/>
    <cellStyle name="Обычный 2 3 6 8" xfId="7210"/>
    <cellStyle name="Обычный 2 3 6 9" xfId="7211"/>
    <cellStyle name="Обычный 2 3 7" xfId="2693"/>
    <cellStyle name="Обычный 2 3 7 2" xfId="7212"/>
    <cellStyle name="Обычный 2 3 7 3" xfId="7213"/>
    <cellStyle name="Обычный 2 3 7 4" xfId="7214"/>
    <cellStyle name="Обычный 2 3 7 5" xfId="7215"/>
    <cellStyle name="Обычный 2 3 7 6" xfId="7216"/>
    <cellStyle name="Обычный 2 3 8" xfId="2694"/>
    <cellStyle name="Обычный 2 3 8 2" xfId="7217"/>
    <cellStyle name="Обычный 2 3 8 3" xfId="7218"/>
    <cellStyle name="Обычный 2 3 8 4" xfId="7219"/>
    <cellStyle name="Обычный 2 3 8 5" xfId="7220"/>
    <cellStyle name="Обычный 2 3 8 6" xfId="7221"/>
    <cellStyle name="Обычный 2 3 9" xfId="2695"/>
    <cellStyle name="Обычный 2 3 9 2" xfId="7222"/>
    <cellStyle name="Обычный 2 3 9 3" xfId="7223"/>
    <cellStyle name="Обычный 2 3 9 4" xfId="7224"/>
    <cellStyle name="Обычный 2 3 9 5" xfId="7225"/>
    <cellStyle name="Обычный 2 3 9 6" xfId="7226"/>
    <cellStyle name="Обычный 2 3_46EE.2011(v1.0)" xfId="2696"/>
    <cellStyle name="Обычный 2 4" xfId="2697"/>
    <cellStyle name="Обычный 2 4 2" xfId="2698"/>
    <cellStyle name="Обычный 2 4 3" xfId="2699"/>
    <cellStyle name="Обычный 2 4 4" xfId="2700"/>
    <cellStyle name="Обычный 2 4 5" xfId="2701"/>
    <cellStyle name="Обычный 2 4 6" xfId="5269"/>
    <cellStyle name="Обычный 2 4 7" xfId="5270"/>
    <cellStyle name="Обычный 2 4_46EE.2011(v1.0)" xfId="2702"/>
    <cellStyle name="Обычный 2 5" xfId="2703"/>
    <cellStyle name="Обычный 2 5 2" xfId="2704"/>
    <cellStyle name="Обычный 2 5 3" xfId="2705"/>
    <cellStyle name="Обычный 2 5 4" xfId="2706"/>
    <cellStyle name="Обычный 2 5_46EE.2011(v1.0)" xfId="2707"/>
    <cellStyle name="Обычный 2 6" xfId="2708"/>
    <cellStyle name="Обычный 2 6 2" xfId="2709"/>
    <cellStyle name="Обычный 2 6 3" xfId="2710"/>
    <cellStyle name="Обычный 2 6 4" xfId="2711"/>
    <cellStyle name="Обычный 2 6 4 10" xfId="7227"/>
    <cellStyle name="Обычный 2 6 4 2" xfId="2712"/>
    <cellStyle name="Обычный 2 6 4 2 2" xfId="2713"/>
    <cellStyle name="Обычный 2 6 4 2 2 2" xfId="7228"/>
    <cellStyle name="Обычный 2 6 4 2 2 3" xfId="7229"/>
    <cellStyle name="Обычный 2 6 4 2 2 4" xfId="7230"/>
    <cellStyle name="Обычный 2 6 4 2 2 5" xfId="7231"/>
    <cellStyle name="Обычный 2 6 4 2 2 6" xfId="7232"/>
    <cellStyle name="Обычный 2 6 4 2 3" xfId="2714"/>
    <cellStyle name="Обычный 2 6 4 2 3 2" xfId="7233"/>
    <cellStyle name="Обычный 2 6 4 2 3 3" xfId="7234"/>
    <cellStyle name="Обычный 2 6 4 2 3 4" xfId="7235"/>
    <cellStyle name="Обычный 2 6 4 2 3 5" xfId="7236"/>
    <cellStyle name="Обычный 2 6 4 2 3 6" xfId="7237"/>
    <cellStyle name="Обычный 2 6 4 2 4" xfId="2715"/>
    <cellStyle name="Обычный 2 6 4 2 4 2" xfId="7238"/>
    <cellStyle name="Обычный 2 6 4 2 4 3" xfId="7239"/>
    <cellStyle name="Обычный 2 6 4 2 4 4" xfId="7240"/>
    <cellStyle name="Обычный 2 6 4 2 4 5" xfId="7241"/>
    <cellStyle name="Обычный 2 6 4 2 4 6" xfId="7242"/>
    <cellStyle name="Обычный 2 6 4 2 5" xfId="7243"/>
    <cellStyle name="Обычный 2 6 4 2 6" xfId="7244"/>
    <cellStyle name="Обычный 2 6 4 2 7" xfId="7245"/>
    <cellStyle name="Обычный 2 6 4 2 8" xfId="7246"/>
    <cellStyle name="Обычный 2 6 4 2 9" xfId="7247"/>
    <cellStyle name="Обычный 2 6 4 3" xfId="2716"/>
    <cellStyle name="Обычный 2 6 4 3 2" xfId="7248"/>
    <cellStyle name="Обычный 2 6 4 3 3" xfId="7249"/>
    <cellStyle name="Обычный 2 6 4 3 4" xfId="7250"/>
    <cellStyle name="Обычный 2 6 4 3 5" xfId="7251"/>
    <cellStyle name="Обычный 2 6 4 3 6" xfId="7252"/>
    <cellStyle name="Обычный 2 6 4 4" xfId="2717"/>
    <cellStyle name="Обычный 2 6 4 4 2" xfId="7253"/>
    <cellStyle name="Обычный 2 6 4 4 3" xfId="7254"/>
    <cellStyle name="Обычный 2 6 4 4 4" xfId="7255"/>
    <cellStyle name="Обычный 2 6 4 4 5" xfId="7256"/>
    <cellStyle name="Обычный 2 6 4 4 6" xfId="7257"/>
    <cellStyle name="Обычный 2 6 4 5" xfId="2718"/>
    <cellStyle name="Обычный 2 6 4 5 2" xfId="7258"/>
    <cellStyle name="Обычный 2 6 4 5 3" xfId="7259"/>
    <cellStyle name="Обычный 2 6 4 5 4" xfId="7260"/>
    <cellStyle name="Обычный 2 6 4 5 5" xfId="7261"/>
    <cellStyle name="Обычный 2 6 4 5 6" xfId="7262"/>
    <cellStyle name="Обычный 2 6 4 6" xfId="7263"/>
    <cellStyle name="Обычный 2 6 4 7" xfId="7264"/>
    <cellStyle name="Обычный 2 6 4 8" xfId="7265"/>
    <cellStyle name="Обычный 2 6 4 9" xfId="7266"/>
    <cellStyle name="Обычный 2 6 5" xfId="2719"/>
    <cellStyle name="Обычный 2 6 5 2" xfId="2720"/>
    <cellStyle name="Обычный 2 6 5 2 2" xfId="7267"/>
    <cellStyle name="Обычный 2 6 5 2 3" xfId="7268"/>
    <cellStyle name="Обычный 2 6 5 2 4" xfId="7269"/>
    <cellStyle name="Обычный 2 6 5 2 5" xfId="7270"/>
    <cellStyle name="Обычный 2 6 5 2 6" xfId="7271"/>
    <cellStyle name="Обычный 2 6 5 3" xfId="2721"/>
    <cellStyle name="Обычный 2 6 5 3 2" xfId="7272"/>
    <cellStyle name="Обычный 2 6 5 3 3" xfId="7273"/>
    <cellStyle name="Обычный 2 6 5 3 4" xfId="7274"/>
    <cellStyle name="Обычный 2 6 5 3 5" xfId="7275"/>
    <cellStyle name="Обычный 2 6 5 3 6" xfId="7276"/>
    <cellStyle name="Обычный 2 6 5 4" xfId="2722"/>
    <cellStyle name="Обычный 2 6 5 4 2" xfId="7277"/>
    <cellStyle name="Обычный 2 6 5 4 3" xfId="7278"/>
    <cellStyle name="Обычный 2 6 5 4 4" xfId="7279"/>
    <cellStyle name="Обычный 2 6 5 4 5" xfId="7280"/>
    <cellStyle name="Обычный 2 6 5 4 6" xfId="7281"/>
    <cellStyle name="Обычный 2 6 5 5" xfId="7282"/>
    <cellStyle name="Обычный 2 6 5 6" xfId="7283"/>
    <cellStyle name="Обычный 2 6 5 7" xfId="7284"/>
    <cellStyle name="Обычный 2 6 5 8" xfId="7285"/>
    <cellStyle name="Обычный 2 6 5 9" xfId="7286"/>
    <cellStyle name="Обычный 2 6 6" xfId="2723"/>
    <cellStyle name="Обычный 2 6 6 2" xfId="2724"/>
    <cellStyle name="Обычный 2 6 6 2 2" xfId="7287"/>
    <cellStyle name="Обычный 2 6 6 2 3" xfId="7288"/>
    <cellStyle name="Обычный 2 6 6 2 4" xfId="7289"/>
    <cellStyle name="Обычный 2 6 6 2 5" xfId="7290"/>
    <cellStyle name="Обычный 2 6 6 2 6" xfId="7291"/>
    <cellStyle name="Обычный 2 6 6 3" xfId="2725"/>
    <cellStyle name="Обычный 2 6 6 3 2" xfId="7292"/>
    <cellStyle name="Обычный 2 6 6 3 3" xfId="7293"/>
    <cellStyle name="Обычный 2 6 6 3 4" xfId="7294"/>
    <cellStyle name="Обычный 2 6 6 3 5" xfId="7295"/>
    <cellStyle name="Обычный 2 6 6 3 6" xfId="7296"/>
    <cellStyle name="Обычный 2 6 6 4" xfId="2726"/>
    <cellStyle name="Обычный 2 6 6 4 2" xfId="7297"/>
    <cellStyle name="Обычный 2 6 6 4 3" xfId="7298"/>
    <cellStyle name="Обычный 2 6 6 4 4" xfId="7299"/>
    <cellStyle name="Обычный 2 6 6 4 5" xfId="7300"/>
    <cellStyle name="Обычный 2 6 6 4 6" xfId="7301"/>
    <cellStyle name="Обычный 2 6 6 5" xfId="7302"/>
    <cellStyle name="Обычный 2 6 6 6" xfId="7303"/>
    <cellStyle name="Обычный 2 6 6 7" xfId="7304"/>
    <cellStyle name="Обычный 2 6 6 8" xfId="7305"/>
    <cellStyle name="Обычный 2 6 6 9" xfId="7306"/>
    <cellStyle name="Обычный 2 6 7" xfId="5271"/>
    <cellStyle name="Обычный 2 6_46EE.2011(v1.0)" xfId="2727"/>
    <cellStyle name="Обычный 2 7" xfId="2728"/>
    <cellStyle name="Обычный 2 7 2" xfId="2729"/>
    <cellStyle name="Обычный 2 7 2 2" xfId="2730"/>
    <cellStyle name="Обычный 2 8" xfId="2731"/>
    <cellStyle name="Обычный 2 8 2" xfId="2732"/>
    <cellStyle name="Обычный 2 8 2 2" xfId="2733"/>
    <cellStyle name="Обычный 2 9" xfId="2734"/>
    <cellStyle name="Обычный 2 9 2" xfId="2735"/>
    <cellStyle name="Обычный 2 9 2 2" xfId="2736"/>
    <cellStyle name="Обычный 2_1" xfId="2737"/>
    <cellStyle name="Обычный 2_Формат_ЕИАС_с_формулами_дополненный" xfId="5"/>
    <cellStyle name="Обычный 20" xfId="2738"/>
    <cellStyle name="Обычный 20 10" xfId="2739"/>
    <cellStyle name="Обычный 20 10 2" xfId="7307"/>
    <cellStyle name="Обычный 20 10 3" xfId="7308"/>
    <cellStyle name="Обычный 20 10 4" xfId="7309"/>
    <cellStyle name="Обычный 20 10 5" xfId="7310"/>
    <cellStyle name="Обычный 20 10 6" xfId="7311"/>
    <cellStyle name="Обычный 20 11" xfId="2740"/>
    <cellStyle name="Обычный 20 11 2" xfId="7312"/>
    <cellStyle name="Обычный 20 11 3" xfId="7313"/>
    <cellStyle name="Обычный 20 11 4" xfId="7314"/>
    <cellStyle name="Обычный 20 11 5" xfId="7315"/>
    <cellStyle name="Обычный 20 11 6" xfId="7316"/>
    <cellStyle name="Обычный 20 12" xfId="5272"/>
    <cellStyle name="Обычный 20 13" xfId="7317"/>
    <cellStyle name="Обычный 20 14" xfId="7318"/>
    <cellStyle name="Обычный 20 15" xfId="7319"/>
    <cellStyle name="Обычный 20 16" xfId="7320"/>
    <cellStyle name="Обычный 20 2" xfId="2741"/>
    <cellStyle name="Обычный 20 2 10" xfId="7321"/>
    <cellStyle name="Обычный 20 2 11" xfId="7322"/>
    <cellStyle name="Обычный 20 2 12" xfId="7323"/>
    <cellStyle name="Обычный 20 2 2" xfId="2742"/>
    <cellStyle name="Обычный 20 2 2 10" xfId="7324"/>
    <cellStyle name="Обычный 20 2 2 11" xfId="7325"/>
    <cellStyle name="Обычный 20 2 2 2" xfId="2743"/>
    <cellStyle name="Обычный 20 2 2 2 10" xfId="7326"/>
    <cellStyle name="Обычный 20 2 2 2 2" xfId="2744"/>
    <cellStyle name="Обычный 20 2 2 2 2 2" xfId="2745"/>
    <cellStyle name="Обычный 20 2 2 2 2 2 2" xfId="7327"/>
    <cellStyle name="Обычный 20 2 2 2 2 2 3" xfId="7328"/>
    <cellStyle name="Обычный 20 2 2 2 2 2 4" xfId="7329"/>
    <cellStyle name="Обычный 20 2 2 2 2 2 5" xfId="7330"/>
    <cellStyle name="Обычный 20 2 2 2 2 2 6" xfId="7331"/>
    <cellStyle name="Обычный 20 2 2 2 2 3" xfId="2746"/>
    <cellStyle name="Обычный 20 2 2 2 2 3 2" xfId="7332"/>
    <cellStyle name="Обычный 20 2 2 2 2 3 3" xfId="7333"/>
    <cellStyle name="Обычный 20 2 2 2 2 3 4" xfId="7334"/>
    <cellStyle name="Обычный 20 2 2 2 2 3 5" xfId="7335"/>
    <cellStyle name="Обычный 20 2 2 2 2 3 6" xfId="7336"/>
    <cellStyle name="Обычный 20 2 2 2 2 4" xfId="2747"/>
    <cellStyle name="Обычный 20 2 2 2 2 4 2" xfId="7337"/>
    <cellStyle name="Обычный 20 2 2 2 2 4 3" xfId="7338"/>
    <cellStyle name="Обычный 20 2 2 2 2 4 4" xfId="7339"/>
    <cellStyle name="Обычный 20 2 2 2 2 4 5" xfId="7340"/>
    <cellStyle name="Обычный 20 2 2 2 2 4 6" xfId="7341"/>
    <cellStyle name="Обычный 20 2 2 2 2 5" xfId="7342"/>
    <cellStyle name="Обычный 20 2 2 2 2 6" xfId="7343"/>
    <cellStyle name="Обычный 20 2 2 2 2 7" xfId="7344"/>
    <cellStyle name="Обычный 20 2 2 2 2 8" xfId="7345"/>
    <cellStyle name="Обычный 20 2 2 2 2 9" xfId="7346"/>
    <cellStyle name="Обычный 20 2 2 2 3" xfId="2748"/>
    <cellStyle name="Обычный 20 2 2 2 3 2" xfId="7347"/>
    <cellStyle name="Обычный 20 2 2 2 3 3" xfId="7348"/>
    <cellStyle name="Обычный 20 2 2 2 3 4" xfId="7349"/>
    <cellStyle name="Обычный 20 2 2 2 3 5" xfId="7350"/>
    <cellStyle name="Обычный 20 2 2 2 3 6" xfId="7351"/>
    <cellStyle name="Обычный 20 2 2 2 4" xfId="2749"/>
    <cellStyle name="Обычный 20 2 2 2 4 2" xfId="7352"/>
    <cellStyle name="Обычный 20 2 2 2 4 3" xfId="7353"/>
    <cellStyle name="Обычный 20 2 2 2 4 4" xfId="7354"/>
    <cellStyle name="Обычный 20 2 2 2 4 5" xfId="7355"/>
    <cellStyle name="Обычный 20 2 2 2 4 6" xfId="7356"/>
    <cellStyle name="Обычный 20 2 2 2 5" xfId="2750"/>
    <cellStyle name="Обычный 20 2 2 2 5 2" xfId="7357"/>
    <cellStyle name="Обычный 20 2 2 2 5 3" xfId="7358"/>
    <cellStyle name="Обычный 20 2 2 2 5 4" xfId="7359"/>
    <cellStyle name="Обычный 20 2 2 2 5 5" xfId="7360"/>
    <cellStyle name="Обычный 20 2 2 2 5 6" xfId="7361"/>
    <cellStyle name="Обычный 20 2 2 2 6" xfId="7362"/>
    <cellStyle name="Обычный 20 2 2 2 7" xfId="7363"/>
    <cellStyle name="Обычный 20 2 2 2 8" xfId="7364"/>
    <cellStyle name="Обычный 20 2 2 2 9" xfId="7365"/>
    <cellStyle name="Обычный 20 2 2 3" xfId="2751"/>
    <cellStyle name="Обычный 20 2 2 3 2" xfId="2752"/>
    <cellStyle name="Обычный 20 2 2 3 2 2" xfId="7366"/>
    <cellStyle name="Обычный 20 2 2 3 2 3" xfId="7367"/>
    <cellStyle name="Обычный 20 2 2 3 2 4" xfId="7368"/>
    <cellStyle name="Обычный 20 2 2 3 2 5" xfId="7369"/>
    <cellStyle name="Обычный 20 2 2 3 2 6" xfId="7370"/>
    <cellStyle name="Обычный 20 2 2 3 3" xfId="2753"/>
    <cellStyle name="Обычный 20 2 2 3 3 2" xfId="7371"/>
    <cellStyle name="Обычный 20 2 2 3 3 3" xfId="7372"/>
    <cellStyle name="Обычный 20 2 2 3 3 4" xfId="7373"/>
    <cellStyle name="Обычный 20 2 2 3 3 5" xfId="7374"/>
    <cellStyle name="Обычный 20 2 2 3 3 6" xfId="7375"/>
    <cellStyle name="Обычный 20 2 2 3 4" xfId="2754"/>
    <cellStyle name="Обычный 20 2 2 3 4 2" xfId="7376"/>
    <cellStyle name="Обычный 20 2 2 3 4 3" xfId="7377"/>
    <cellStyle name="Обычный 20 2 2 3 4 4" xfId="7378"/>
    <cellStyle name="Обычный 20 2 2 3 4 5" xfId="7379"/>
    <cellStyle name="Обычный 20 2 2 3 4 6" xfId="7380"/>
    <cellStyle name="Обычный 20 2 2 3 5" xfId="7381"/>
    <cellStyle name="Обычный 20 2 2 3 6" xfId="7382"/>
    <cellStyle name="Обычный 20 2 2 3 7" xfId="7383"/>
    <cellStyle name="Обычный 20 2 2 3 8" xfId="7384"/>
    <cellStyle name="Обычный 20 2 2 3 9" xfId="7385"/>
    <cellStyle name="Обычный 20 2 2 4" xfId="2755"/>
    <cellStyle name="Обычный 20 2 2 4 2" xfId="7386"/>
    <cellStyle name="Обычный 20 2 2 4 3" xfId="7387"/>
    <cellStyle name="Обычный 20 2 2 4 4" xfId="7388"/>
    <cellStyle name="Обычный 20 2 2 4 5" xfId="7389"/>
    <cellStyle name="Обычный 20 2 2 4 6" xfId="7390"/>
    <cellStyle name="Обычный 20 2 2 5" xfId="2756"/>
    <cellStyle name="Обычный 20 2 2 5 2" xfId="7391"/>
    <cellStyle name="Обычный 20 2 2 5 3" xfId="7392"/>
    <cellStyle name="Обычный 20 2 2 5 4" xfId="7393"/>
    <cellStyle name="Обычный 20 2 2 5 5" xfId="7394"/>
    <cellStyle name="Обычный 20 2 2 5 6" xfId="7395"/>
    <cellStyle name="Обычный 20 2 2 6" xfId="2757"/>
    <cellStyle name="Обычный 20 2 2 6 2" xfId="7396"/>
    <cellStyle name="Обычный 20 2 2 6 3" xfId="7397"/>
    <cellStyle name="Обычный 20 2 2 6 4" xfId="7398"/>
    <cellStyle name="Обычный 20 2 2 6 5" xfId="7399"/>
    <cellStyle name="Обычный 20 2 2 6 6" xfId="7400"/>
    <cellStyle name="Обычный 20 2 2 7" xfId="7401"/>
    <cellStyle name="Обычный 20 2 2 8" xfId="7402"/>
    <cellStyle name="Обычный 20 2 2 9" xfId="7403"/>
    <cellStyle name="Обычный 20 2 3" xfId="2758"/>
    <cellStyle name="Обычный 20 2 3 10" xfId="7404"/>
    <cellStyle name="Обычный 20 2 3 2" xfId="2759"/>
    <cellStyle name="Обычный 20 2 3 2 2" xfId="2760"/>
    <cellStyle name="Обычный 20 2 3 2 2 2" xfId="7405"/>
    <cellStyle name="Обычный 20 2 3 2 2 3" xfId="7406"/>
    <cellStyle name="Обычный 20 2 3 2 2 4" xfId="7407"/>
    <cellStyle name="Обычный 20 2 3 2 2 5" xfId="7408"/>
    <cellStyle name="Обычный 20 2 3 2 2 6" xfId="7409"/>
    <cellStyle name="Обычный 20 2 3 2 3" xfId="2761"/>
    <cellStyle name="Обычный 20 2 3 2 3 2" xfId="7410"/>
    <cellStyle name="Обычный 20 2 3 2 3 3" xfId="7411"/>
    <cellStyle name="Обычный 20 2 3 2 3 4" xfId="7412"/>
    <cellStyle name="Обычный 20 2 3 2 3 5" xfId="7413"/>
    <cellStyle name="Обычный 20 2 3 2 3 6" xfId="7414"/>
    <cellStyle name="Обычный 20 2 3 2 4" xfId="2762"/>
    <cellStyle name="Обычный 20 2 3 2 4 2" xfId="7415"/>
    <cellStyle name="Обычный 20 2 3 2 4 3" xfId="7416"/>
    <cellStyle name="Обычный 20 2 3 2 4 4" xfId="7417"/>
    <cellStyle name="Обычный 20 2 3 2 4 5" xfId="7418"/>
    <cellStyle name="Обычный 20 2 3 2 4 6" xfId="7419"/>
    <cellStyle name="Обычный 20 2 3 2 5" xfId="7420"/>
    <cellStyle name="Обычный 20 2 3 2 6" xfId="7421"/>
    <cellStyle name="Обычный 20 2 3 2 7" xfId="7422"/>
    <cellStyle name="Обычный 20 2 3 2 8" xfId="7423"/>
    <cellStyle name="Обычный 20 2 3 2 9" xfId="7424"/>
    <cellStyle name="Обычный 20 2 3 3" xfId="2763"/>
    <cellStyle name="Обычный 20 2 3 3 2" xfId="7425"/>
    <cellStyle name="Обычный 20 2 3 3 3" xfId="7426"/>
    <cellStyle name="Обычный 20 2 3 3 4" xfId="7427"/>
    <cellStyle name="Обычный 20 2 3 3 5" xfId="7428"/>
    <cellStyle name="Обычный 20 2 3 3 6" xfId="7429"/>
    <cellStyle name="Обычный 20 2 3 4" xfId="2764"/>
    <cellStyle name="Обычный 20 2 3 4 2" xfId="7430"/>
    <cellStyle name="Обычный 20 2 3 4 3" xfId="7431"/>
    <cellStyle name="Обычный 20 2 3 4 4" xfId="7432"/>
    <cellStyle name="Обычный 20 2 3 4 5" xfId="7433"/>
    <cellStyle name="Обычный 20 2 3 4 6" xfId="7434"/>
    <cellStyle name="Обычный 20 2 3 5" xfId="2765"/>
    <cellStyle name="Обычный 20 2 3 5 2" xfId="7435"/>
    <cellStyle name="Обычный 20 2 3 5 3" xfId="7436"/>
    <cellStyle name="Обычный 20 2 3 5 4" xfId="7437"/>
    <cellStyle name="Обычный 20 2 3 5 5" xfId="7438"/>
    <cellStyle name="Обычный 20 2 3 5 6" xfId="7439"/>
    <cellStyle name="Обычный 20 2 3 6" xfId="7440"/>
    <cellStyle name="Обычный 20 2 3 7" xfId="7441"/>
    <cellStyle name="Обычный 20 2 3 8" xfId="7442"/>
    <cellStyle name="Обычный 20 2 3 9" xfId="7443"/>
    <cellStyle name="Обычный 20 2 4" xfId="2766"/>
    <cellStyle name="Обычный 20 2 4 2" xfId="2767"/>
    <cellStyle name="Обычный 20 2 4 2 2" xfId="7444"/>
    <cellStyle name="Обычный 20 2 4 2 3" xfId="7445"/>
    <cellStyle name="Обычный 20 2 4 2 4" xfId="7446"/>
    <cellStyle name="Обычный 20 2 4 2 5" xfId="7447"/>
    <cellStyle name="Обычный 20 2 4 2 6" xfId="7448"/>
    <cellStyle name="Обычный 20 2 4 3" xfId="2768"/>
    <cellStyle name="Обычный 20 2 4 3 2" xfId="7449"/>
    <cellStyle name="Обычный 20 2 4 3 3" xfId="7450"/>
    <cellStyle name="Обычный 20 2 4 3 4" xfId="7451"/>
    <cellStyle name="Обычный 20 2 4 3 5" xfId="7452"/>
    <cellStyle name="Обычный 20 2 4 3 6" xfId="7453"/>
    <cellStyle name="Обычный 20 2 4 4" xfId="2769"/>
    <cellStyle name="Обычный 20 2 4 4 2" xfId="7454"/>
    <cellStyle name="Обычный 20 2 4 4 3" xfId="7455"/>
    <cellStyle name="Обычный 20 2 4 4 4" xfId="7456"/>
    <cellStyle name="Обычный 20 2 4 4 5" xfId="7457"/>
    <cellStyle name="Обычный 20 2 4 4 6" xfId="7458"/>
    <cellStyle name="Обычный 20 2 4 5" xfId="7459"/>
    <cellStyle name="Обычный 20 2 4 6" xfId="7460"/>
    <cellStyle name="Обычный 20 2 4 7" xfId="7461"/>
    <cellStyle name="Обычный 20 2 4 8" xfId="7462"/>
    <cellStyle name="Обычный 20 2 4 9" xfId="7463"/>
    <cellStyle name="Обычный 20 2 5" xfId="2770"/>
    <cellStyle name="Обычный 20 2 5 2" xfId="7464"/>
    <cellStyle name="Обычный 20 2 5 3" xfId="7465"/>
    <cellStyle name="Обычный 20 2 5 4" xfId="7466"/>
    <cellStyle name="Обычный 20 2 5 5" xfId="7467"/>
    <cellStyle name="Обычный 20 2 5 6" xfId="7468"/>
    <cellStyle name="Обычный 20 2 6" xfId="2771"/>
    <cellStyle name="Обычный 20 2 6 2" xfId="7469"/>
    <cellStyle name="Обычный 20 2 6 3" xfId="7470"/>
    <cellStyle name="Обычный 20 2 6 4" xfId="7471"/>
    <cellStyle name="Обычный 20 2 6 5" xfId="7472"/>
    <cellStyle name="Обычный 20 2 6 6" xfId="7473"/>
    <cellStyle name="Обычный 20 2 7" xfId="2772"/>
    <cellStyle name="Обычный 20 2 7 2" xfId="7474"/>
    <cellStyle name="Обычный 20 2 7 3" xfId="7475"/>
    <cellStyle name="Обычный 20 2 7 4" xfId="7476"/>
    <cellStyle name="Обычный 20 2 7 5" xfId="7477"/>
    <cellStyle name="Обычный 20 2 7 6" xfId="7478"/>
    <cellStyle name="Обычный 20 2 8" xfId="5273"/>
    <cellStyle name="Обычный 20 2 9" xfId="7479"/>
    <cellStyle name="Обычный 20 3" xfId="2773"/>
    <cellStyle name="Обычный 20 3 10" xfId="7480"/>
    <cellStyle name="Обычный 20 3 11" xfId="7481"/>
    <cellStyle name="Обычный 20 3 2" xfId="2774"/>
    <cellStyle name="Обычный 20 3 2 10" xfId="7482"/>
    <cellStyle name="Обычный 20 3 2 2" xfId="2775"/>
    <cellStyle name="Обычный 20 3 2 2 2" xfId="2776"/>
    <cellStyle name="Обычный 20 3 2 2 2 2" xfId="7483"/>
    <cellStyle name="Обычный 20 3 2 2 2 3" xfId="7484"/>
    <cellStyle name="Обычный 20 3 2 2 2 4" xfId="7485"/>
    <cellStyle name="Обычный 20 3 2 2 2 5" xfId="7486"/>
    <cellStyle name="Обычный 20 3 2 2 2 6" xfId="7487"/>
    <cellStyle name="Обычный 20 3 2 2 3" xfId="2777"/>
    <cellStyle name="Обычный 20 3 2 2 3 2" xfId="7488"/>
    <cellStyle name="Обычный 20 3 2 2 3 3" xfId="7489"/>
    <cellStyle name="Обычный 20 3 2 2 3 4" xfId="7490"/>
    <cellStyle name="Обычный 20 3 2 2 3 5" xfId="7491"/>
    <cellStyle name="Обычный 20 3 2 2 3 6" xfId="7492"/>
    <cellStyle name="Обычный 20 3 2 2 4" xfId="2778"/>
    <cellStyle name="Обычный 20 3 2 2 4 2" xfId="7493"/>
    <cellStyle name="Обычный 20 3 2 2 4 3" xfId="7494"/>
    <cellStyle name="Обычный 20 3 2 2 4 4" xfId="7495"/>
    <cellStyle name="Обычный 20 3 2 2 4 5" xfId="7496"/>
    <cellStyle name="Обычный 20 3 2 2 4 6" xfId="7497"/>
    <cellStyle name="Обычный 20 3 2 2 5" xfId="7498"/>
    <cellStyle name="Обычный 20 3 2 2 6" xfId="7499"/>
    <cellStyle name="Обычный 20 3 2 2 7" xfId="7500"/>
    <cellStyle name="Обычный 20 3 2 2 8" xfId="7501"/>
    <cellStyle name="Обычный 20 3 2 2 9" xfId="7502"/>
    <cellStyle name="Обычный 20 3 2 3" xfId="2779"/>
    <cellStyle name="Обычный 20 3 2 3 2" xfId="7503"/>
    <cellStyle name="Обычный 20 3 2 3 3" xfId="7504"/>
    <cellStyle name="Обычный 20 3 2 3 4" xfId="7505"/>
    <cellStyle name="Обычный 20 3 2 3 5" xfId="7506"/>
    <cellStyle name="Обычный 20 3 2 3 6" xfId="7507"/>
    <cellStyle name="Обычный 20 3 2 4" xfId="2780"/>
    <cellStyle name="Обычный 20 3 2 4 2" xfId="7508"/>
    <cellStyle name="Обычный 20 3 2 4 3" xfId="7509"/>
    <cellStyle name="Обычный 20 3 2 4 4" xfId="7510"/>
    <cellStyle name="Обычный 20 3 2 4 5" xfId="7511"/>
    <cellStyle name="Обычный 20 3 2 4 6" xfId="7512"/>
    <cellStyle name="Обычный 20 3 2 5" xfId="2781"/>
    <cellStyle name="Обычный 20 3 2 5 2" xfId="7513"/>
    <cellStyle name="Обычный 20 3 2 5 3" xfId="7514"/>
    <cellStyle name="Обычный 20 3 2 5 4" xfId="7515"/>
    <cellStyle name="Обычный 20 3 2 5 5" xfId="7516"/>
    <cellStyle name="Обычный 20 3 2 5 6" xfId="7517"/>
    <cellStyle name="Обычный 20 3 2 6" xfId="7518"/>
    <cellStyle name="Обычный 20 3 2 7" xfId="7519"/>
    <cellStyle name="Обычный 20 3 2 8" xfId="7520"/>
    <cellStyle name="Обычный 20 3 2 9" xfId="7521"/>
    <cellStyle name="Обычный 20 3 3" xfId="2782"/>
    <cellStyle name="Обычный 20 3 3 2" xfId="2783"/>
    <cellStyle name="Обычный 20 3 3 2 2" xfId="7522"/>
    <cellStyle name="Обычный 20 3 3 2 3" xfId="7523"/>
    <cellStyle name="Обычный 20 3 3 2 4" xfId="7524"/>
    <cellStyle name="Обычный 20 3 3 2 5" xfId="7525"/>
    <cellStyle name="Обычный 20 3 3 2 6" xfId="7526"/>
    <cellStyle name="Обычный 20 3 3 3" xfId="2784"/>
    <cellStyle name="Обычный 20 3 3 3 2" xfId="7527"/>
    <cellStyle name="Обычный 20 3 3 3 3" xfId="7528"/>
    <cellStyle name="Обычный 20 3 3 3 4" xfId="7529"/>
    <cellStyle name="Обычный 20 3 3 3 5" xfId="7530"/>
    <cellStyle name="Обычный 20 3 3 3 6" xfId="7531"/>
    <cellStyle name="Обычный 20 3 3 4" xfId="2785"/>
    <cellStyle name="Обычный 20 3 3 4 2" xfId="7532"/>
    <cellStyle name="Обычный 20 3 3 4 3" xfId="7533"/>
    <cellStyle name="Обычный 20 3 3 4 4" xfId="7534"/>
    <cellStyle name="Обычный 20 3 3 4 5" xfId="7535"/>
    <cellStyle name="Обычный 20 3 3 4 6" xfId="7536"/>
    <cellStyle name="Обычный 20 3 3 5" xfId="7537"/>
    <cellStyle name="Обычный 20 3 3 6" xfId="7538"/>
    <cellStyle name="Обычный 20 3 3 7" xfId="7539"/>
    <cellStyle name="Обычный 20 3 3 8" xfId="7540"/>
    <cellStyle name="Обычный 20 3 3 9" xfId="7541"/>
    <cellStyle name="Обычный 20 3 4" xfId="2786"/>
    <cellStyle name="Обычный 20 3 4 2" xfId="7542"/>
    <cellStyle name="Обычный 20 3 4 3" xfId="7543"/>
    <cellStyle name="Обычный 20 3 4 4" xfId="7544"/>
    <cellStyle name="Обычный 20 3 4 5" xfId="7545"/>
    <cellStyle name="Обычный 20 3 4 6" xfId="7546"/>
    <cellStyle name="Обычный 20 3 5" xfId="2787"/>
    <cellStyle name="Обычный 20 3 5 2" xfId="7547"/>
    <cellStyle name="Обычный 20 3 5 3" xfId="7548"/>
    <cellStyle name="Обычный 20 3 5 4" xfId="7549"/>
    <cellStyle name="Обычный 20 3 5 5" xfId="7550"/>
    <cellStyle name="Обычный 20 3 5 6" xfId="7551"/>
    <cellStyle name="Обычный 20 3 6" xfId="2788"/>
    <cellStyle name="Обычный 20 3 6 2" xfId="7552"/>
    <cellStyle name="Обычный 20 3 6 3" xfId="7553"/>
    <cellStyle name="Обычный 20 3 6 4" xfId="7554"/>
    <cellStyle name="Обычный 20 3 6 5" xfId="7555"/>
    <cellStyle name="Обычный 20 3 6 6" xfId="7556"/>
    <cellStyle name="Обычный 20 3 7" xfId="7557"/>
    <cellStyle name="Обычный 20 3 8" xfId="7558"/>
    <cellStyle name="Обычный 20 3 9" xfId="7559"/>
    <cellStyle name="Обычный 20 4" xfId="2789"/>
    <cellStyle name="Обычный 20 4 10" xfId="7560"/>
    <cellStyle name="Обычный 20 4 11" xfId="7561"/>
    <cellStyle name="Обычный 20 4 2" xfId="2790"/>
    <cellStyle name="Обычный 20 4 2 10" xfId="7562"/>
    <cellStyle name="Обычный 20 4 2 2" xfId="2791"/>
    <cellStyle name="Обычный 20 4 2 2 2" xfId="2792"/>
    <cellStyle name="Обычный 20 4 2 2 2 2" xfId="7563"/>
    <cellStyle name="Обычный 20 4 2 2 2 3" xfId="7564"/>
    <cellStyle name="Обычный 20 4 2 2 2 4" xfId="7565"/>
    <cellStyle name="Обычный 20 4 2 2 2 5" xfId="7566"/>
    <cellStyle name="Обычный 20 4 2 2 2 6" xfId="7567"/>
    <cellStyle name="Обычный 20 4 2 2 3" xfId="2793"/>
    <cellStyle name="Обычный 20 4 2 2 3 2" xfId="7568"/>
    <cellStyle name="Обычный 20 4 2 2 3 3" xfId="7569"/>
    <cellStyle name="Обычный 20 4 2 2 3 4" xfId="7570"/>
    <cellStyle name="Обычный 20 4 2 2 3 5" xfId="7571"/>
    <cellStyle name="Обычный 20 4 2 2 3 6" xfId="7572"/>
    <cellStyle name="Обычный 20 4 2 2 4" xfId="2794"/>
    <cellStyle name="Обычный 20 4 2 2 4 2" xfId="7573"/>
    <cellStyle name="Обычный 20 4 2 2 4 3" xfId="7574"/>
    <cellStyle name="Обычный 20 4 2 2 4 4" xfId="7575"/>
    <cellStyle name="Обычный 20 4 2 2 4 5" xfId="7576"/>
    <cellStyle name="Обычный 20 4 2 2 4 6" xfId="7577"/>
    <cellStyle name="Обычный 20 4 2 2 5" xfId="7578"/>
    <cellStyle name="Обычный 20 4 2 2 6" xfId="7579"/>
    <cellStyle name="Обычный 20 4 2 2 7" xfId="7580"/>
    <cellStyle name="Обычный 20 4 2 2 8" xfId="7581"/>
    <cellStyle name="Обычный 20 4 2 2 9" xfId="7582"/>
    <cellStyle name="Обычный 20 4 2 3" xfId="2795"/>
    <cellStyle name="Обычный 20 4 2 3 2" xfId="7583"/>
    <cellStyle name="Обычный 20 4 2 3 3" xfId="7584"/>
    <cellStyle name="Обычный 20 4 2 3 4" xfId="7585"/>
    <cellStyle name="Обычный 20 4 2 3 5" xfId="7586"/>
    <cellStyle name="Обычный 20 4 2 3 6" xfId="7587"/>
    <cellStyle name="Обычный 20 4 2 4" xfId="2796"/>
    <cellStyle name="Обычный 20 4 2 4 2" xfId="7588"/>
    <cellStyle name="Обычный 20 4 2 4 3" xfId="7589"/>
    <cellStyle name="Обычный 20 4 2 4 4" xfId="7590"/>
    <cellStyle name="Обычный 20 4 2 4 5" xfId="7591"/>
    <cellStyle name="Обычный 20 4 2 4 6" xfId="7592"/>
    <cellStyle name="Обычный 20 4 2 5" xfId="2797"/>
    <cellStyle name="Обычный 20 4 2 5 2" xfId="7593"/>
    <cellStyle name="Обычный 20 4 2 5 3" xfId="7594"/>
    <cellStyle name="Обычный 20 4 2 5 4" xfId="7595"/>
    <cellStyle name="Обычный 20 4 2 5 5" xfId="7596"/>
    <cellStyle name="Обычный 20 4 2 5 6" xfId="7597"/>
    <cellStyle name="Обычный 20 4 2 6" xfId="7598"/>
    <cellStyle name="Обычный 20 4 2 7" xfId="7599"/>
    <cellStyle name="Обычный 20 4 2 8" xfId="7600"/>
    <cellStyle name="Обычный 20 4 2 9" xfId="7601"/>
    <cellStyle name="Обычный 20 4 3" xfId="2798"/>
    <cellStyle name="Обычный 20 4 3 2" xfId="2799"/>
    <cellStyle name="Обычный 20 4 3 2 2" xfId="7602"/>
    <cellStyle name="Обычный 20 4 3 2 3" xfId="7603"/>
    <cellStyle name="Обычный 20 4 3 2 4" xfId="7604"/>
    <cellStyle name="Обычный 20 4 3 2 5" xfId="7605"/>
    <cellStyle name="Обычный 20 4 3 2 6" xfId="7606"/>
    <cellStyle name="Обычный 20 4 3 3" xfId="2800"/>
    <cellStyle name="Обычный 20 4 3 3 2" xfId="7607"/>
    <cellStyle name="Обычный 20 4 3 3 3" xfId="7608"/>
    <cellStyle name="Обычный 20 4 3 3 4" xfId="7609"/>
    <cellStyle name="Обычный 20 4 3 3 5" xfId="7610"/>
    <cellStyle name="Обычный 20 4 3 3 6" xfId="7611"/>
    <cellStyle name="Обычный 20 4 3 4" xfId="2801"/>
    <cellStyle name="Обычный 20 4 3 4 2" xfId="7612"/>
    <cellStyle name="Обычный 20 4 3 4 3" xfId="7613"/>
    <cellStyle name="Обычный 20 4 3 4 4" xfId="7614"/>
    <cellStyle name="Обычный 20 4 3 4 5" xfId="7615"/>
    <cellStyle name="Обычный 20 4 3 4 6" xfId="7616"/>
    <cellStyle name="Обычный 20 4 3 5" xfId="7617"/>
    <cellStyle name="Обычный 20 4 3 6" xfId="7618"/>
    <cellStyle name="Обычный 20 4 3 7" xfId="7619"/>
    <cellStyle name="Обычный 20 4 3 8" xfId="7620"/>
    <cellStyle name="Обычный 20 4 3 9" xfId="7621"/>
    <cellStyle name="Обычный 20 4 4" xfId="2802"/>
    <cellStyle name="Обычный 20 4 4 2" xfId="7622"/>
    <cellStyle name="Обычный 20 4 4 3" xfId="7623"/>
    <cellStyle name="Обычный 20 4 4 4" xfId="7624"/>
    <cellStyle name="Обычный 20 4 4 5" xfId="7625"/>
    <cellStyle name="Обычный 20 4 4 6" xfId="7626"/>
    <cellStyle name="Обычный 20 4 5" xfId="2803"/>
    <cellStyle name="Обычный 20 4 5 2" xfId="7627"/>
    <cellStyle name="Обычный 20 4 5 3" xfId="7628"/>
    <cellStyle name="Обычный 20 4 5 4" xfId="7629"/>
    <cellStyle name="Обычный 20 4 5 5" xfId="7630"/>
    <cellStyle name="Обычный 20 4 5 6" xfId="7631"/>
    <cellStyle name="Обычный 20 4 6" xfId="2804"/>
    <cellStyle name="Обычный 20 4 6 2" xfId="7632"/>
    <cellStyle name="Обычный 20 4 6 3" xfId="7633"/>
    <cellStyle name="Обычный 20 4 6 4" xfId="7634"/>
    <cellStyle name="Обычный 20 4 6 5" xfId="7635"/>
    <cellStyle name="Обычный 20 4 6 6" xfId="7636"/>
    <cellStyle name="Обычный 20 4 7" xfId="7637"/>
    <cellStyle name="Обычный 20 4 8" xfId="7638"/>
    <cellStyle name="Обычный 20 4 9" xfId="7639"/>
    <cellStyle name="Обычный 20 5" xfId="2805"/>
    <cellStyle name="Обычный 20 5 10" xfId="7640"/>
    <cellStyle name="Обычный 20 5 2" xfId="2806"/>
    <cellStyle name="Обычный 20 5 2 2" xfId="2807"/>
    <cellStyle name="Обычный 20 5 2 2 2" xfId="7641"/>
    <cellStyle name="Обычный 20 5 2 2 3" xfId="7642"/>
    <cellStyle name="Обычный 20 5 2 2 4" xfId="7643"/>
    <cellStyle name="Обычный 20 5 2 2 5" xfId="7644"/>
    <cellStyle name="Обычный 20 5 2 2 6" xfId="7645"/>
    <cellStyle name="Обычный 20 5 2 3" xfId="2808"/>
    <cellStyle name="Обычный 20 5 2 3 2" xfId="7646"/>
    <cellStyle name="Обычный 20 5 2 3 3" xfId="7647"/>
    <cellStyle name="Обычный 20 5 2 3 4" xfId="7648"/>
    <cellStyle name="Обычный 20 5 2 3 5" xfId="7649"/>
    <cellStyle name="Обычный 20 5 2 3 6" xfId="7650"/>
    <cellStyle name="Обычный 20 5 2 4" xfId="2809"/>
    <cellStyle name="Обычный 20 5 2 4 2" xfId="7651"/>
    <cellStyle name="Обычный 20 5 2 4 3" xfId="7652"/>
    <cellStyle name="Обычный 20 5 2 4 4" xfId="7653"/>
    <cellStyle name="Обычный 20 5 2 4 5" xfId="7654"/>
    <cellStyle name="Обычный 20 5 2 4 6" xfId="7655"/>
    <cellStyle name="Обычный 20 5 2 5" xfId="7656"/>
    <cellStyle name="Обычный 20 5 2 6" xfId="7657"/>
    <cellStyle name="Обычный 20 5 2 7" xfId="7658"/>
    <cellStyle name="Обычный 20 5 2 8" xfId="7659"/>
    <cellStyle name="Обычный 20 5 2 9" xfId="7660"/>
    <cellStyle name="Обычный 20 5 3" xfId="2810"/>
    <cellStyle name="Обычный 20 5 3 2" xfId="7661"/>
    <cellStyle name="Обычный 20 5 3 3" xfId="7662"/>
    <cellStyle name="Обычный 20 5 3 4" xfId="7663"/>
    <cellStyle name="Обычный 20 5 3 5" xfId="7664"/>
    <cellStyle name="Обычный 20 5 3 6" xfId="7665"/>
    <cellStyle name="Обычный 20 5 4" xfId="2811"/>
    <cellStyle name="Обычный 20 5 4 2" xfId="7666"/>
    <cellStyle name="Обычный 20 5 4 3" xfId="7667"/>
    <cellStyle name="Обычный 20 5 4 4" xfId="7668"/>
    <cellStyle name="Обычный 20 5 4 5" xfId="7669"/>
    <cellStyle name="Обычный 20 5 4 6" xfId="7670"/>
    <cellStyle name="Обычный 20 5 5" xfId="2812"/>
    <cellStyle name="Обычный 20 5 5 2" xfId="7671"/>
    <cellStyle name="Обычный 20 5 5 3" xfId="7672"/>
    <cellStyle name="Обычный 20 5 5 4" xfId="7673"/>
    <cellStyle name="Обычный 20 5 5 5" xfId="7674"/>
    <cellStyle name="Обычный 20 5 5 6" xfId="7675"/>
    <cellStyle name="Обычный 20 5 6" xfId="7676"/>
    <cellStyle name="Обычный 20 5 7" xfId="7677"/>
    <cellStyle name="Обычный 20 5 8" xfId="7678"/>
    <cellStyle name="Обычный 20 5 9" xfId="7679"/>
    <cellStyle name="Обычный 20 6" xfId="2813"/>
    <cellStyle name="Обычный 20 6 10" xfId="7680"/>
    <cellStyle name="Обычный 20 6 2" xfId="2814"/>
    <cellStyle name="Обычный 20 6 2 2" xfId="2815"/>
    <cellStyle name="Обычный 20 6 2 2 2" xfId="7681"/>
    <cellStyle name="Обычный 20 6 2 2 3" xfId="7682"/>
    <cellStyle name="Обычный 20 6 2 2 4" xfId="7683"/>
    <cellStyle name="Обычный 20 6 2 2 5" xfId="7684"/>
    <cellStyle name="Обычный 20 6 2 2 6" xfId="7685"/>
    <cellStyle name="Обычный 20 6 2 3" xfId="2816"/>
    <cellStyle name="Обычный 20 6 2 3 2" xfId="7686"/>
    <cellStyle name="Обычный 20 6 2 3 3" xfId="7687"/>
    <cellStyle name="Обычный 20 6 2 3 4" xfId="7688"/>
    <cellStyle name="Обычный 20 6 2 3 5" xfId="7689"/>
    <cellStyle name="Обычный 20 6 2 3 6" xfId="7690"/>
    <cellStyle name="Обычный 20 6 2 4" xfId="2817"/>
    <cellStyle name="Обычный 20 6 2 4 2" xfId="7691"/>
    <cellStyle name="Обычный 20 6 2 4 3" xfId="7692"/>
    <cellStyle name="Обычный 20 6 2 4 4" xfId="7693"/>
    <cellStyle name="Обычный 20 6 2 4 5" xfId="7694"/>
    <cellStyle name="Обычный 20 6 2 4 6" xfId="7695"/>
    <cellStyle name="Обычный 20 6 2 5" xfId="7696"/>
    <cellStyle name="Обычный 20 6 2 6" xfId="7697"/>
    <cellStyle name="Обычный 20 6 2 7" xfId="7698"/>
    <cellStyle name="Обычный 20 6 2 8" xfId="7699"/>
    <cellStyle name="Обычный 20 6 2 9" xfId="7700"/>
    <cellStyle name="Обычный 20 6 3" xfId="2818"/>
    <cellStyle name="Обычный 20 6 3 2" xfId="7701"/>
    <cellStyle name="Обычный 20 6 3 3" xfId="7702"/>
    <cellStyle name="Обычный 20 6 3 4" xfId="7703"/>
    <cellStyle name="Обычный 20 6 3 5" xfId="7704"/>
    <cellStyle name="Обычный 20 6 3 6" xfId="7705"/>
    <cellStyle name="Обычный 20 6 4" xfId="2819"/>
    <cellStyle name="Обычный 20 6 4 2" xfId="7706"/>
    <cellStyle name="Обычный 20 6 4 3" xfId="7707"/>
    <cellStyle name="Обычный 20 6 4 4" xfId="7708"/>
    <cellStyle name="Обычный 20 6 4 5" xfId="7709"/>
    <cellStyle name="Обычный 20 6 4 6" xfId="7710"/>
    <cellStyle name="Обычный 20 6 5" xfId="2820"/>
    <cellStyle name="Обычный 20 6 5 2" xfId="7711"/>
    <cellStyle name="Обычный 20 6 5 3" xfId="7712"/>
    <cellStyle name="Обычный 20 6 5 4" xfId="7713"/>
    <cellStyle name="Обычный 20 6 5 5" xfId="7714"/>
    <cellStyle name="Обычный 20 6 5 6" xfId="7715"/>
    <cellStyle name="Обычный 20 6 6" xfId="7716"/>
    <cellStyle name="Обычный 20 6 7" xfId="7717"/>
    <cellStyle name="Обычный 20 6 8" xfId="7718"/>
    <cellStyle name="Обычный 20 6 9" xfId="7719"/>
    <cellStyle name="Обычный 20 7" xfId="2821"/>
    <cellStyle name="Обычный 20 7 2" xfId="2822"/>
    <cellStyle name="Обычный 20 7 2 2" xfId="7720"/>
    <cellStyle name="Обычный 20 7 2 3" xfId="7721"/>
    <cellStyle name="Обычный 20 7 2 4" xfId="7722"/>
    <cellStyle name="Обычный 20 7 2 5" xfId="7723"/>
    <cellStyle name="Обычный 20 7 2 6" xfId="7724"/>
    <cellStyle name="Обычный 20 7 3" xfId="2823"/>
    <cellStyle name="Обычный 20 7 3 2" xfId="7725"/>
    <cellStyle name="Обычный 20 7 3 3" xfId="7726"/>
    <cellStyle name="Обычный 20 7 3 4" xfId="7727"/>
    <cellStyle name="Обычный 20 7 3 5" xfId="7728"/>
    <cellStyle name="Обычный 20 7 3 6" xfId="7729"/>
    <cellStyle name="Обычный 20 7 4" xfId="2824"/>
    <cellStyle name="Обычный 20 7 4 2" xfId="7730"/>
    <cellStyle name="Обычный 20 7 4 3" xfId="7731"/>
    <cellStyle name="Обычный 20 7 4 4" xfId="7732"/>
    <cellStyle name="Обычный 20 7 4 5" xfId="7733"/>
    <cellStyle name="Обычный 20 7 4 6" xfId="7734"/>
    <cellStyle name="Обычный 20 7 5" xfId="7735"/>
    <cellStyle name="Обычный 20 7 6" xfId="7736"/>
    <cellStyle name="Обычный 20 7 7" xfId="7737"/>
    <cellStyle name="Обычный 20 7 8" xfId="7738"/>
    <cellStyle name="Обычный 20 7 9" xfId="7739"/>
    <cellStyle name="Обычный 20 8" xfId="2825"/>
    <cellStyle name="Обычный 20 8 2" xfId="2826"/>
    <cellStyle name="Обычный 20 8 2 2" xfId="7740"/>
    <cellStyle name="Обычный 20 8 2 3" xfId="7741"/>
    <cellStyle name="Обычный 20 8 2 4" xfId="7742"/>
    <cellStyle name="Обычный 20 8 2 5" xfId="7743"/>
    <cellStyle name="Обычный 20 8 2 6" xfId="7744"/>
    <cellStyle name="Обычный 20 8 3" xfId="2827"/>
    <cellStyle name="Обычный 20 8 3 2" xfId="7745"/>
    <cellStyle name="Обычный 20 8 3 3" xfId="7746"/>
    <cellStyle name="Обычный 20 8 3 4" xfId="7747"/>
    <cellStyle name="Обычный 20 8 3 5" xfId="7748"/>
    <cellStyle name="Обычный 20 8 3 6" xfId="7749"/>
    <cellStyle name="Обычный 20 8 4" xfId="2828"/>
    <cellStyle name="Обычный 20 8 4 2" xfId="7750"/>
    <cellStyle name="Обычный 20 8 4 3" xfId="7751"/>
    <cellStyle name="Обычный 20 8 4 4" xfId="7752"/>
    <cellStyle name="Обычный 20 8 4 5" xfId="7753"/>
    <cellStyle name="Обычный 20 8 4 6" xfId="7754"/>
    <cellStyle name="Обычный 20 8 5" xfId="7755"/>
    <cellStyle name="Обычный 20 8 6" xfId="7756"/>
    <cellStyle name="Обычный 20 8 7" xfId="7757"/>
    <cellStyle name="Обычный 20 8 8" xfId="7758"/>
    <cellStyle name="Обычный 20 8 9" xfId="7759"/>
    <cellStyle name="Обычный 20 9" xfId="2829"/>
    <cellStyle name="Обычный 20 9 2" xfId="7760"/>
    <cellStyle name="Обычный 20 9 3" xfId="7761"/>
    <cellStyle name="Обычный 20 9 4" xfId="7762"/>
    <cellStyle name="Обычный 20 9 5" xfId="7763"/>
    <cellStyle name="Обычный 20 9 6" xfId="7764"/>
    <cellStyle name="Обычный 21" xfId="2830"/>
    <cellStyle name="Обычный 21 2" xfId="2831"/>
    <cellStyle name="Обычный 21 2 10" xfId="7765"/>
    <cellStyle name="Обычный 21 2 2" xfId="2832"/>
    <cellStyle name="Обычный 21 2 2 2" xfId="2833"/>
    <cellStyle name="Обычный 21 2 2 2 2" xfId="7766"/>
    <cellStyle name="Обычный 21 2 2 2 3" xfId="7767"/>
    <cellStyle name="Обычный 21 2 2 2 4" xfId="7768"/>
    <cellStyle name="Обычный 21 2 2 2 5" xfId="7769"/>
    <cellStyle name="Обычный 21 2 2 2 6" xfId="7770"/>
    <cellStyle name="Обычный 21 2 2 3" xfId="2834"/>
    <cellStyle name="Обычный 21 2 2 3 2" xfId="7771"/>
    <cellStyle name="Обычный 21 2 2 3 3" xfId="7772"/>
    <cellStyle name="Обычный 21 2 2 3 4" xfId="7773"/>
    <cellStyle name="Обычный 21 2 2 3 5" xfId="7774"/>
    <cellStyle name="Обычный 21 2 2 3 6" xfId="7775"/>
    <cellStyle name="Обычный 21 2 2 4" xfId="2835"/>
    <cellStyle name="Обычный 21 2 2 4 2" xfId="7776"/>
    <cellStyle name="Обычный 21 2 2 4 3" xfId="7777"/>
    <cellStyle name="Обычный 21 2 2 4 4" xfId="7778"/>
    <cellStyle name="Обычный 21 2 2 4 5" xfId="7779"/>
    <cellStyle name="Обычный 21 2 2 4 6" xfId="7780"/>
    <cellStyle name="Обычный 21 2 2 5" xfId="7781"/>
    <cellStyle name="Обычный 21 2 2 6" xfId="7782"/>
    <cellStyle name="Обычный 21 2 2 7" xfId="7783"/>
    <cellStyle name="Обычный 21 2 2 8" xfId="7784"/>
    <cellStyle name="Обычный 21 2 2 9" xfId="7785"/>
    <cellStyle name="Обычный 21 2 3" xfId="2836"/>
    <cellStyle name="Обычный 21 2 3 2" xfId="7786"/>
    <cellStyle name="Обычный 21 2 3 3" xfId="7787"/>
    <cellStyle name="Обычный 21 2 3 4" xfId="7788"/>
    <cellStyle name="Обычный 21 2 3 5" xfId="7789"/>
    <cellStyle name="Обычный 21 2 3 6" xfId="7790"/>
    <cellStyle name="Обычный 21 2 4" xfId="2837"/>
    <cellStyle name="Обычный 21 2 4 2" xfId="7791"/>
    <cellStyle name="Обычный 21 2 4 3" xfId="7792"/>
    <cellStyle name="Обычный 21 2 4 4" xfId="7793"/>
    <cellStyle name="Обычный 21 2 4 5" xfId="7794"/>
    <cellStyle name="Обычный 21 2 4 6" xfId="7795"/>
    <cellStyle name="Обычный 21 2 5" xfId="2838"/>
    <cellStyle name="Обычный 21 2 5 2" xfId="7796"/>
    <cellStyle name="Обычный 21 2 5 3" xfId="7797"/>
    <cellStyle name="Обычный 21 2 5 4" xfId="7798"/>
    <cellStyle name="Обычный 21 2 5 5" xfId="7799"/>
    <cellStyle name="Обычный 21 2 5 6" xfId="7800"/>
    <cellStyle name="Обычный 21 2 6" xfId="7801"/>
    <cellStyle name="Обычный 21 2 7" xfId="7802"/>
    <cellStyle name="Обычный 21 2 8" xfId="7803"/>
    <cellStyle name="Обычный 21 2 9" xfId="7804"/>
    <cellStyle name="Обычный 21 3" xfId="2839"/>
    <cellStyle name="Обычный 21 3 2" xfId="2840"/>
    <cellStyle name="Обычный 21 3 2 2" xfId="7805"/>
    <cellStyle name="Обычный 21 3 2 3" xfId="7806"/>
    <cellStyle name="Обычный 21 3 2 4" xfId="7807"/>
    <cellStyle name="Обычный 21 3 2 5" xfId="7808"/>
    <cellStyle name="Обычный 21 3 2 6" xfId="7809"/>
    <cellStyle name="Обычный 21 3 3" xfId="2841"/>
    <cellStyle name="Обычный 21 3 3 2" xfId="7810"/>
    <cellStyle name="Обычный 21 3 3 3" xfId="7811"/>
    <cellStyle name="Обычный 21 3 3 4" xfId="7812"/>
    <cellStyle name="Обычный 21 3 3 5" xfId="7813"/>
    <cellStyle name="Обычный 21 3 3 6" xfId="7814"/>
    <cellStyle name="Обычный 21 3 4" xfId="2842"/>
    <cellStyle name="Обычный 21 3 4 2" xfId="7815"/>
    <cellStyle name="Обычный 21 3 4 3" xfId="7816"/>
    <cellStyle name="Обычный 21 3 4 4" xfId="7817"/>
    <cellStyle name="Обычный 21 3 4 5" xfId="7818"/>
    <cellStyle name="Обычный 21 3 4 6" xfId="7819"/>
    <cellStyle name="Обычный 21 3 5" xfId="7820"/>
    <cellStyle name="Обычный 21 3 6" xfId="7821"/>
    <cellStyle name="Обычный 21 3 7" xfId="7822"/>
    <cellStyle name="Обычный 21 3 8" xfId="7823"/>
    <cellStyle name="Обычный 21 3 9" xfId="7824"/>
    <cellStyle name="Обычный 21 4" xfId="5274"/>
    <cellStyle name="Обычный 22" xfId="2843"/>
    <cellStyle name="Обычный 22 2" xfId="2844"/>
    <cellStyle name="Обычный 22 2 10" xfId="7825"/>
    <cellStyle name="Обычный 22 2 2" xfId="2845"/>
    <cellStyle name="Обычный 22 2 2 2" xfId="2846"/>
    <cellStyle name="Обычный 22 2 2 2 2" xfId="7826"/>
    <cellStyle name="Обычный 22 2 2 2 3" xfId="7827"/>
    <cellStyle name="Обычный 22 2 2 2 4" xfId="7828"/>
    <cellStyle name="Обычный 22 2 2 2 5" xfId="7829"/>
    <cellStyle name="Обычный 22 2 2 2 6" xfId="7830"/>
    <cellStyle name="Обычный 22 2 2 3" xfId="2847"/>
    <cellStyle name="Обычный 22 2 2 3 2" xfId="7831"/>
    <cellStyle name="Обычный 22 2 2 3 3" xfId="7832"/>
    <cellStyle name="Обычный 22 2 2 3 4" xfId="7833"/>
    <cellStyle name="Обычный 22 2 2 3 5" xfId="7834"/>
    <cellStyle name="Обычный 22 2 2 3 6" xfId="7835"/>
    <cellStyle name="Обычный 22 2 2 4" xfId="2848"/>
    <cellStyle name="Обычный 22 2 2 4 2" xfId="7836"/>
    <cellStyle name="Обычный 22 2 2 4 3" xfId="7837"/>
    <cellStyle name="Обычный 22 2 2 4 4" xfId="7838"/>
    <cellStyle name="Обычный 22 2 2 4 5" xfId="7839"/>
    <cellStyle name="Обычный 22 2 2 4 6" xfId="7840"/>
    <cellStyle name="Обычный 22 2 2 5" xfId="7841"/>
    <cellStyle name="Обычный 22 2 2 6" xfId="7842"/>
    <cellStyle name="Обычный 22 2 2 7" xfId="7843"/>
    <cellStyle name="Обычный 22 2 2 8" xfId="7844"/>
    <cellStyle name="Обычный 22 2 2 9" xfId="7845"/>
    <cellStyle name="Обычный 22 2 3" xfId="2849"/>
    <cellStyle name="Обычный 22 2 3 2" xfId="7846"/>
    <cellStyle name="Обычный 22 2 3 3" xfId="7847"/>
    <cellStyle name="Обычный 22 2 3 4" xfId="7848"/>
    <cellStyle name="Обычный 22 2 3 5" xfId="7849"/>
    <cellStyle name="Обычный 22 2 3 6" xfId="7850"/>
    <cellStyle name="Обычный 22 2 4" xfId="2850"/>
    <cellStyle name="Обычный 22 2 4 2" xfId="7851"/>
    <cellStyle name="Обычный 22 2 4 3" xfId="7852"/>
    <cellStyle name="Обычный 22 2 4 4" xfId="7853"/>
    <cellStyle name="Обычный 22 2 4 5" xfId="7854"/>
    <cellStyle name="Обычный 22 2 4 6" xfId="7855"/>
    <cellStyle name="Обычный 22 2 5" xfId="2851"/>
    <cellStyle name="Обычный 22 2 5 2" xfId="7856"/>
    <cellStyle name="Обычный 22 2 5 3" xfId="7857"/>
    <cellStyle name="Обычный 22 2 5 4" xfId="7858"/>
    <cellStyle name="Обычный 22 2 5 5" xfId="7859"/>
    <cellStyle name="Обычный 22 2 5 6" xfId="7860"/>
    <cellStyle name="Обычный 22 2 6" xfId="7861"/>
    <cellStyle name="Обычный 22 2 7" xfId="7862"/>
    <cellStyle name="Обычный 22 2 8" xfId="7863"/>
    <cellStyle name="Обычный 22 2 9" xfId="7864"/>
    <cellStyle name="Обычный 22 3" xfId="2852"/>
    <cellStyle name="Обычный 22 3 2" xfId="2853"/>
    <cellStyle name="Обычный 22 3 2 2" xfId="7865"/>
    <cellStyle name="Обычный 22 3 2 3" xfId="7866"/>
    <cellStyle name="Обычный 22 3 2 4" xfId="7867"/>
    <cellStyle name="Обычный 22 3 2 5" xfId="7868"/>
    <cellStyle name="Обычный 22 3 2 6" xfId="7869"/>
    <cellStyle name="Обычный 22 3 3" xfId="2854"/>
    <cellStyle name="Обычный 22 3 3 2" xfId="7870"/>
    <cellStyle name="Обычный 22 3 3 3" xfId="7871"/>
    <cellStyle name="Обычный 22 3 3 4" xfId="7872"/>
    <cellStyle name="Обычный 22 3 3 5" xfId="7873"/>
    <cellStyle name="Обычный 22 3 3 6" xfId="7874"/>
    <cellStyle name="Обычный 22 3 4" xfId="2855"/>
    <cellStyle name="Обычный 22 3 4 2" xfId="7875"/>
    <cellStyle name="Обычный 22 3 4 3" xfId="7876"/>
    <cellStyle name="Обычный 22 3 4 4" xfId="7877"/>
    <cellStyle name="Обычный 22 3 4 5" xfId="7878"/>
    <cellStyle name="Обычный 22 3 4 6" xfId="7879"/>
    <cellStyle name="Обычный 22 3 5" xfId="7880"/>
    <cellStyle name="Обычный 22 3 6" xfId="7881"/>
    <cellStyle name="Обычный 22 3 7" xfId="7882"/>
    <cellStyle name="Обычный 22 3 8" xfId="7883"/>
    <cellStyle name="Обычный 22 3 9" xfId="7884"/>
    <cellStyle name="Обычный 22 4" xfId="2856"/>
    <cellStyle name="Обычный 22 5" xfId="2857"/>
    <cellStyle name="Обычный 22 5 2" xfId="2858"/>
    <cellStyle name="Обычный 22 6" xfId="2859"/>
    <cellStyle name="Обычный 22 7" xfId="5275"/>
    <cellStyle name="Обычный 23" xfId="2860"/>
    <cellStyle name="Обычный 23 2" xfId="2861"/>
    <cellStyle name="Обычный 23 2 10" xfId="7885"/>
    <cellStyle name="Обычный 23 2 2" xfId="2862"/>
    <cellStyle name="Обычный 23 2 2 2" xfId="2863"/>
    <cellStyle name="Обычный 23 2 2 2 2" xfId="7886"/>
    <cellStyle name="Обычный 23 2 2 2 3" xfId="7887"/>
    <cellStyle name="Обычный 23 2 2 2 4" xfId="7888"/>
    <cellStyle name="Обычный 23 2 2 2 5" xfId="7889"/>
    <cellStyle name="Обычный 23 2 2 2 6" xfId="7890"/>
    <cellStyle name="Обычный 23 2 2 3" xfId="2864"/>
    <cellStyle name="Обычный 23 2 2 3 2" xfId="7891"/>
    <cellStyle name="Обычный 23 2 2 3 3" xfId="7892"/>
    <cellStyle name="Обычный 23 2 2 3 4" xfId="7893"/>
    <cellStyle name="Обычный 23 2 2 3 5" xfId="7894"/>
    <cellStyle name="Обычный 23 2 2 3 6" xfId="7895"/>
    <cellStyle name="Обычный 23 2 2 4" xfId="2865"/>
    <cellStyle name="Обычный 23 2 2 4 2" xfId="7896"/>
    <cellStyle name="Обычный 23 2 2 4 3" xfId="7897"/>
    <cellStyle name="Обычный 23 2 2 4 4" xfId="7898"/>
    <cellStyle name="Обычный 23 2 2 4 5" xfId="7899"/>
    <cellStyle name="Обычный 23 2 2 4 6" xfId="7900"/>
    <cellStyle name="Обычный 23 2 2 5" xfId="7901"/>
    <cellStyle name="Обычный 23 2 2 6" xfId="7902"/>
    <cellStyle name="Обычный 23 2 2 7" xfId="7903"/>
    <cellStyle name="Обычный 23 2 2 8" xfId="7904"/>
    <cellStyle name="Обычный 23 2 2 9" xfId="7905"/>
    <cellStyle name="Обычный 23 2 3" xfId="2866"/>
    <cellStyle name="Обычный 23 2 3 2" xfId="7906"/>
    <cellStyle name="Обычный 23 2 3 3" xfId="7907"/>
    <cellStyle name="Обычный 23 2 3 4" xfId="7908"/>
    <cellStyle name="Обычный 23 2 3 5" xfId="7909"/>
    <cellStyle name="Обычный 23 2 3 6" xfId="7910"/>
    <cellStyle name="Обычный 23 2 4" xfId="2867"/>
    <cellStyle name="Обычный 23 2 4 2" xfId="7911"/>
    <cellStyle name="Обычный 23 2 4 3" xfId="7912"/>
    <cellStyle name="Обычный 23 2 4 4" xfId="7913"/>
    <cellStyle name="Обычный 23 2 4 5" xfId="7914"/>
    <cellStyle name="Обычный 23 2 4 6" xfId="7915"/>
    <cellStyle name="Обычный 23 2 5" xfId="2868"/>
    <cellStyle name="Обычный 23 2 5 2" xfId="7916"/>
    <cellStyle name="Обычный 23 2 5 3" xfId="7917"/>
    <cellStyle name="Обычный 23 2 5 4" xfId="7918"/>
    <cellStyle name="Обычный 23 2 5 5" xfId="7919"/>
    <cellStyle name="Обычный 23 2 5 6" xfId="7920"/>
    <cellStyle name="Обычный 23 2 6" xfId="7921"/>
    <cellStyle name="Обычный 23 2 7" xfId="7922"/>
    <cellStyle name="Обычный 23 2 8" xfId="7923"/>
    <cellStyle name="Обычный 23 2 9" xfId="7924"/>
    <cellStyle name="Обычный 23 3" xfId="2869"/>
    <cellStyle name="Обычный 23 3 2" xfId="2870"/>
    <cellStyle name="Обычный 23 3 2 2" xfId="7925"/>
    <cellStyle name="Обычный 23 3 2 3" xfId="7926"/>
    <cellStyle name="Обычный 23 3 2 4" xfId="7927"/>
    <cellStyle name="Обычный 23 3 2 5" xfId="7928"/>
    <cellStyle name="Обычный 23 3 2 6" xfId="7929"/>
    <cellStyle name="Обычный 23 3 3" xfId="2871"/>
    <cellStyle name="Обычный 23 3 3 2" xfId="7930"/>
    <cellStyle name="Обычный 23 3 3 3" xfId="7931"/>
    <cellStyle name="Обычный 23 3 3 4" xfId="7932"/>
    <cellStyle name="Обычный 23 3 3 5" xfId="7933"/>
    <cellStyle name="Обычный 23 3 3 6" xfId="7934"/>
    <cellStyle name="Обычный 23 3 4" xfId="2872"/>
    <cellStyle name="Обычный 23 3 4 2" xfId="7935"/>
    <cellStyle name="Обычный 23 3 4 3" xfId="7936"/>
    <cellStyle name="Обычный 23 3 4 4" xfId="7937"/>
    <cellStyle name="Обычный 23 3 4 5" xfId="7938"/>
    <cellStyle name="Обычный 23 3 4 6" xfId="7939"/>
    <cellStyle name="Обычный 23 3 5" xfId="7940"/>
    <cellStyle name="Обычный 23 3 6" xfId="7941"/>
    <cellStyle name="Обычный 23 3 7" xfId="7942"/>
    <cellStyle name="Обычный 23 3 8" xfId="7943"/>
    <cellStyle name="Обычный 23 3 9" xfId="7944"/>
    <cellStyle name="Обычный 23 4" xfId="5276"/>
    <cellStyle name="Обычный 24" xfId="2873"/>
    <cellStyle name="Обычный 24 2" xfId="2874"/>
    <cellStyle name="Обычный 24 2 2" xfId="2875"/>
    <cellStyle name="Обычный 24 2 2 2" xfId="2876"/>
    <cellStyle name="Обычный 24 2 3" xfId="2877"/>
    <cellStyle name="Обычный 24 3" xfId="2878"/>
    <cellStyle name="Обычный 24 3 10" xfId="7945"/>
    <cellStyle name="Обычный 24 3 2" xfId="2879"/>
    <cellStyle name="Обычный 24 3 2 2" xfId="2880"/>
    <cellStyle name="Обычный 24 3 2 2 2" xfId="7946"/>
    <cellStyle name="Обычный 24 3 2 2 3" xfId="7947"/>
    <cellStyle name="Обычный 24 3 2 2 4" xfId="7948"/>
    <cellStyle name="Обычный 24 3 2 2 5" xfId="7949"/>
    <cellStyle name="Обычный 24 3 2 2 6" xfId="7950"/>
    <cellStyle name="Обычный 24 3 2 3" xfId="2881"/>
    <cellStyle name="Обычный 24 3 2 3 2" xfId="7951"/>
    <cellStyle name="Обычный 24 3 2 3 3" xfId="7952"/>
    <cellStyle name="Обычный 24 3 2 3 4" xfId="7953"/>
    <cellStyle name="Обычный 24 3 2 3 5" xfId="7954"/>
    <cellStyle name="Обычный 24 3 2 3 6" xfId="7955"/>
    <cellStyle name="Обычный 24 3 2 4" xfId="2882"/>
    <cellStyle name="Обычный 24 3 2 4 2" xfId="7956"/>
    <cellStyle name="Обычный 24 3 2 4 3" xfId="7957"/>
    <cellStyle name="Обычный 24 3 2 4 4" xfId="7958"/>
    <cellStyle name="Обычный 24 3 2 4 5" xfId="7959"/>
    <cellStyle name="Обычный 24 3 2 4 6" xfId="7960"/>
    <cellStyle name="Обычный 24 3 2 5" xfId="7961"/>
    <cellStyle name="Обычный 24 3 2 6" xfId="7962"/>
    <cellStyle name="Обычный 24 3 2 7" xfId="7963"/>
    <cellStyle name="Обычный 24 3 2 8" xfId="7964"/>
    <cellStyle name="Обычный 24 3 2 9" xfId="7965"/>
    <cellStyle name="Обычный 24 3 3" xfId="2883"/>
    <cellStyle name="Обычный 24 3 3 2" xfId="7966"/>
    <cellStyle name="Обычный 24 3 3 3" xfId="7967"/>
    <cellStyle name="Обычный 24 3 3 4" xfId="7968"/>
    <cellStyle name="Обычный 24 3 3 5" xfId="7969"/>
    <cellStyle name="Обычный 24 3 3 6" xfId="7970"/>
    <cellStyle name="Обычный 24 3 4" xfId="2884"/>
    <cellStyle name="Обычный 24 3 4 2" xfId="7971"/>
    <cellStyle name="Обычный 24 3 4 3" xfId="7972"/>
    <cellStyle name="Обычный 24 3 4 4" xfId="7973"/>
    <cellStyle name="Обычный 24 3 4 5" xfId="7974"/>
    <cellStyle name="Обычный 24 3 4 6" xfId="7975"/>
    <cellStyle name="Обычный 24 3 5" xfId="2885"/>
    <cellStyle name="Обычный 24 3 5 2" xfId="7976"/>
    <cellStyle name="Обычный 24 3 5 3" xfId="7977"/>
    <cellStyle name="Обычный 24 3 5 4" xfId="7978"/>
    <cellStyle name="Обычный 24 3 5 5" xfId="7979"/>
    <cellStyle name="Обычный 24 3 5 6" xfId="7980"/>
    <cellStyle name="Обычный 24 3 6" xfId="7981"/>
    <cellStyle name="Обычный 24 3 7" xfId="7982"/>
    <cellStyle name="Обычный 24 3 8" xfId="7983"/>
    <cellStyle name="Обычный 24 3 9" xfId="7984"/>
    <cellStyle name="Обычный 24 4" xfId="2886"/>
    <cellStyle name="Обычный 24 4 2" xfId="2887"/>
    <cellStyle name="Обычный 24 4 2 2" xfId="7985"/>
    <cellStyle name="Обычный 24 4 2 3" xfId="7986"/>
    <cellStyle name="Обычный 24 4 2 4" xfId="7987"/>
    <cellStyle name="Обычный 24 4 2 5" xfId="7988"/>
    <cellStyle name="Обычный 24 4 2 6" xfId="7989"/>
    <cellStyle name="Обычный 24 4 3" xfId="2888"/>
    <cellStyle name="Обычный 24 4 3 2" xfId="7990"/>
    <cellStyle name="Обычный 24 4 3 3" xfId="7991"/>
    <cellStyle name="Обычный 24 4 3 4" xfId="7992"/>
    <cellStyle name="Обычный 24 4 3 5" xfId="7993"/>
    <cellStyle name="Обычный 24 4 3 6" xfId="7994"/>
    <cellStyle name="Обычный 24 4 4" xfId="2889"/>
    <cellStyle name="Обычный 24 4 4 2" xfId="7995"/>
    <cellStyle name="Обычный 24 4 4 3" xfId="7996"/>
    <cellStyle name="Обычный 24 4 4 4" xfId="7997"/>
    <cellStyle name="Обычный 24 4 4 5" xfId="7998"/>
    <cellStyle name="Обычный 24 4 4 6" xfId="7999"/>
    <cellStyle name="Обычный 24 4 5" xfId="8000"/>
    <cellStyle name="Обычный 24 4 6" xfId="8001"/>
    <cellStyle name="Обычный 24 4 7" xfId="8002"/>
    <cellStyle name="Обычный 24 4 8" xfId="8003"/>
    <cellStyle name="Обычный 24 4 9" xfId="8004"/>
    <cellStyle name="Обычный 24 5" xfId="2890"/>
    <cellStyle name="Обычный 24 5 2" xfId="2891"/>
    <cellStyle name="Обычный 24 6" xfId="2892"/>
    <cellStyle name="Обычный 24 7" xfId="5277"/>
    <cellStyle name="Обычный 25" xfId="2893"/>
    <cellStyle name="Обычный 25 2" xfId="2894"/>
    <cellStyle name="Обычный 25 2 10" xfId="8005"/>
    <cellStyle name="Обычный 25 2 2" xfId="2895"/>
    <cellStyle name="Обычный 25 2 2 2" xfId="2896"/>
    <cellStyle name="Обычный 25 2 2 2 2" xfId="8006"/>
    <cellStyle name="Обычный 25 2 2 2 3" xfId="8007"/>
    <cellStyle name="Обычный 25 2 2 2 4" xfId="8008"/>
    <cellStyle name="Обычный 25 2 2 2 5" xfId="8009"/>
    <cellStyle name="Обычный 25 2 2 2 6" xfId="8010"/>
    <cellStyle name="Обычный 25 2 2 3" xfId="2897"/>
    <cellStyle name="Обычный 25 2 2 3 2" xfId="8011"/>
    <cellStyle name="Обычный 25 2 2 3 3" xfId="8012"/>
    <cellStyle name="Обычный 25 2 2 3 4" xfId="8013"/>
    <cellStyle name="Обычный 25 2 2 3 5" xfId="8014"/>
    <cellStyle name="Обычный 25 2 2 3 6" xfId="8015"/>
    <cellStyle name="Обычный 25 2 2 4" xfId="2898"/>
    <cellStyle name="Обычный 25 2 2 4 2" xfId="8016"/>
    <cellStyle name="Обычный 25 2 2 4 3" xfId="8017"/>
    <cellStyle name="Обычный 25 2 2 4 4" xfId="8018"/>
    <cellStyle name="Обычный 25 2 2 4 5" xfId="8019"/>
    <cellStyle name="Обычный 25 2 2 4 6" xfId="8020"/>
    <cellStyle name="Обычный 25 2 2 5" xfId="8021"/>
    <cellStyle name="Обычный 25 2 2 6" xfId="8022"/>
    <cellStyle name="Обычный 25 2 2 7" xfId="8023"/>
    <cellStyle name="Обычный 25 2 2 8" xfId="8024"/>
    <cellStyle name="Обычный 25 2 2 9" xfId="8025"/>
    <cellStyle name="Обычный 25 2 3" xfId="2899"/>
    <cellStyle name="Обычный 25 2 3 2" xfId="8026"/>
    <cellStyle name="Обычный 25 2 3 3" xfId="8027"/>
    <cellStyle name="Обычный 25 2 3 4" xfId="8028"/>
    <cellStyle name="Обычный 25 2 3 5" xfId="8029"/>
    <cellStyle name="Обычный 25 2 3 6" xfId="8030"/>
    <cellStyle name="Обычный 25 2 4" xfId="2900"/>
    <cellStyle name="Обычный 25 2 4 2" xfId="8031"/>
    <cellStyle name="Обычный 25 2 4 3" xfId="8032"/>
    <cellStyle name="Обычный 25 2 4 4" xfId="8033"/>
    <cellStyle name="Обычный 25 2 4 5" xfId="8034"/>
    <cellStyle name="Обычный 25 2 4 6" xfId="8035"/>
    <cellStyle name="Обычный 25 2 5" xfId="2901"/>
    <cellStyle name="Обычный 25 2 5 2" xfId="8036"/>
    <cellStyle name="Обычный 25 2 5 3" xfId="8037"/>
    <cellStyle name="Обычный 25 2 5 4" xfId="8038"/>
    <cellStyle name="Обычный 25 2 5 5" xfId="8039"/>
    <cellStyle name="Обычный 25 2 5 6" xfId="8040"/>
    <cellStyle name="Обычный 25 2 6" xfId="8041"/>
    <cellStyle name="Обычный 25 2 7" xfId="8042"/>
    <cellStyle name="Обычный 25 2 8" xfId="8043"/>
    <cellStyle name="Обычный 25 2 9" xfId="8044"/>
    <cellStyle name="Обычный 25 3" xfId="2902"/>
    <cellStyle name="Обычный 25 3 2" xfId="2903"/>
    <cellStyle name="Обычный 25 3 2 2" xfId="8045"/>
    <cellStyle name="Обычный 25 3 2 3" xfId="8046"/>
    <cellStyle name="Обычный 25 3 2 4" xfId="8047"/>
    <cellStyle name="Обычный 25 3 2 5" xfId="8048"/>
    <cellStyle name="Обычный 25 3 2 6" xfId="8049"/>
    <cellStyle name="Обычный 25 3 3" xfId="2904"/>
    <cellStyle name="Обычный 25 3 3 2" xfId="8050"/>
    <cellStyle name="Обычный 25 3 3 3" xfId="8051"/>
    <cellStyle name="Обычный 25 3 3 4" xfId="8052"/>
    <cellStyle name="Обычный 25 3 3 5" xfId="8053"/>
    <cellStyle name="Обычный 25 3 3 6" xfId="8054"/>
    <cellStyle name="Обычный 25 3 4" xfId="2905"/>
    <cellStyle name="Обычный 25 3 4 2" xfId="8055"/>
    <cellStyle name="Обычный 25 3 4 3" xfId="8056"/>
    <cellStyle name="Обычный 25 3 4 4" xfId="8057"/>
    <cellStyle name="Обычный 25 3 4 5" xfId="8058"/>
    <cellStyle name="Обычный 25 3 4 6" xfId="8059"/>
    <cellStyle name="Обычный 25 3 5" xfId="8060"/>
    <cellStyle name="Обычный 25 3 6" xfId="8061"/>
    <cellStyle name="Обычный 25 3 7" xfId="8062"/>
    <cellStyle name="Обычный 25 3 8" xfId="8063"/>
    <cellStyle name="Обычный 25 3 9" xfId="8064"/>
    <cellStyle name="Обычный 25 4" xfId="5278"/>
    <cellStyle name="Обычный 26" xfId="2906"/>
    <cellStyle name="Обычный 26 2" xfId="2907"/>
    <cellStyle name="Обычный 26 2 10" xfId="8065"/>
    <cellStyle name="Обычный 26 2 2" xfId="2908"/>
    <cellStyle name="Обычный 26 2 2 2" xfId="2909"/>
    <cellStyle name="Обычный 26 2 2 2 2" xfId="8066"/>
    <cellStyle name="Обычный 26 2 2 2 3" xfId="8067"/>
    <cellStyle name="Обычный 26 2 2 2 4" xfId="8068"/>
    <cellStyle name="Обычный 26 2 2 2 5" xfId="8069"/>
    <cellStyle name="Обычный 26 2 2 2 6" xfId="8070"/>
    <cellStyle name="Обычный 26 2 2 3" xfId="2910"/>
    <cellStyle name="Обычный 26 2 2 3 2" xfId="8071"/>
    <cellStyle name="Обычный 26 2 2 3 3" xfId="8072"/>
    <cellStyle name="Обычный 26 2 2 3 4" xfId="8073"/>
    <cellStyle name="Обычный 26 2 2 3 5" xfId="8074"/>
    <cellStyle name="Обычный 26 2 2 3 6" xfId="8075"/>
    <cellStyle name="Обычный 26 2 2 4" xfId="2911"/>
    <cellStyle name="Обычный 26 2 2 4 2" xfId="8076"/>
    <cellStyle name="Обычный 26 2 2 4 3" xfId="8077"/>
    <cellStyle name="Обычный 26 2 2 4 4" xfId="8078"/>
    <cellStyle name="Обычный 26 2 2 4 5" xfId="8079"/>
    <cellStyle name="Обычный 26 2 2 4 6" xfId="8080"/>
    <cellStyle name="Обычный 26 2 2 5" xfId="8081"/>
    <cellStyle name="Обычный 26 2 2 6" xfId="8082"/>
    <cellStyle name="Обычный 26 2 2 7" xfId="8083"/>
    <cellStyle name="Обычный 26 2 2 8" xfId="8084"/>
    <cellStyle name="Обычный 26 2 2 9" xfId="8085"/>
    <cellStyle name="Обычный 26 2 3" xfId="2912"/>
    <cellStyle name="Обычный 26 2 3 2" xfId="8086"/>
    <cellStyle name="Обычный 26 2 3 3" xfId="8087"/>
    <cellStyle name="Обычный 26 2 3 4" xfId="8088"/>
    <cellStyle name="Обычный 26 2 3 5" xfId="8089"/>
    <cellStyle name="Обычный 26 2 3 6" xfId="8090"/>
    <cellStyle name="Обычный 26 2 4" xfId="2913"/>
    <cellStyle name="Обычный 26 2 4 2" xfId="8091"/>
    <cellStyle name="Обычный 26 2 4 3" xfId="8092"/>
    <cellStyle name="Обычный 26 2 4 4" xfId="8093"/>
    <cellStyle name="Обычный 26 2 4 5" xfId="8094"/>
    <cellStyle name="Обычный 26 2 4 6" xfId="8095"/>
    <cellStyle name="Обычный 26 2 5" xfId="2914"/>
    <cellStyle name="Обычный 26 2 5 2" xfId="8096"/>
    <cellStyle name="Обычный 26 2 5 3" xfId="8097"/>
    <cellStyle name="Обычный 26 2 5 4" xfId="8098"/>
    <cellStyle name="Обычный 26 2 5 5" xfId="8099"/>
    <cellStyle name="Обычный 26 2 5 6" xfId="8100"/>
    <cellStyle name="Обычный 26 2 6" xfId="8101"/>
    <cellStyle name="Обычный 26 2 7" xfId="8102"/>
    <cellStyle name="Обычный 26 2 8" xfId="8103"/>
    <cellStyle name="Обычный 26 2 9" xfId="8104"/>
    <cellStyle name="Обычный 26 3" xfId="2915"/>
    <cellStyle name="Обычный 26 3 2" xfId="2916"/>
    <cellStyle name="Обычный 26 3 2 2" xfId="8105"/>
    <cellStyle name="Обычный 26 3 2 3" xfId="8106"/>
    <cellStyle name="Обычный 26 3 2 4" xfId="8107"/>
    <cellStyle name="Обычный 26 3 2 5" xfId="8108"/>
    <cellStyle name="Обычный 26 3 2 6" xfId="8109"/>
    <cellStyle name="Обычный 26 3 3" xfId="2917"/>
    <cellStyle name="Обычный 26 3 3 2" xfId="8110"/>
    <cellStyle name="Обычный 26 3 3 3" xfId="8111"/>
    <cellStyle name="Обычный 26 3 3 4" xfId="8112"/>
    <cellStyle name="Обычный 26 3 3 5" xfId="8113"/>
    <cellStyle name="Обычный 26 3 3 6" xfId="8114"/>
    <cellStyle name="Обычный 26 3 4" xfId="2918"/>
    <cellStyle name="Обычный 26 3 4 2" xfId="8115"/>
    <cellStyle name="Обычный 26 3 4 3" xfId="8116"/>
    <cellStyle name="Обычный 26 3 4 4" xfId="8117"/>
    <cellStyle name="Обычный 26 3 4 5" xfId="8118"/>
    <cellStyle name="Обычный 26 3 4 6" xfId="8119"/>
    <cellStyle name="Обычный 26 3 5" xfId="8120"/>
    <cellStyle name="Обычный 26 3 6" xfId="8121"/>
    <cellStyle name="Обычный 26 3 7" xfId="8122"/>
    <cellStyle name="Обычный 26 3 8" xfId="8123"/>
    <cellStyle name="Обычный 26 3 9" xfId="8124"/>
    <cellStyle name="Обычный 26 4" xfId="5279"/>
    <cellStyle name="Обычный 27" xfId="2919"/>
    <cellStyle name="Обычный 27 2" xfId="2920"/>
    <cellStyle name="Обычный 27 3" xfId="2921"/>
    <cellStyle name="Обычный 27 3 10" xfId="8125"/>
    <cellStyle name="Обычный 27 3 2" xfId="2922"/>
    <cellStyle name="Обычный 27 3 2 2" xfId="2923"/>
    <cellStyle name="Обычный 27 3 2 2 2" xfId="8126"/>
    <cellStyle name="Обычный 27 3 2 2 3" xfId="8127"/>
    <cellStyle name="Обычный 27 3 2 2 4" xfId="8128"/>
    <cellStyle name="Обычный 27 3 2 2 5" xfId="8129"/>
    <cellStyle name="Обычный 27 3 2 2 6" xfId="8130"/>
    <cellStyle name="Обычный 27 3 2 3" xfId="2924"/>
    <cellStyle name="Обычный 27 3 2 3 2" xfId="8131"/>
    <cellStyle name="Обычный 27 3 2 3 3" xfId="8132"/>
    <cellStyle name="Обычный 27 3 2 3 4" xfId="8133"/>
    <cellStyle name="Обычный 27 3 2 3 5" xfId="8134"/>
    <cellStyle name="Обычный 27 3 2 3 6" xfId="8135"/>
    <cellStyle name="Обычный 27 3 2 4" xfId="2925"/>
    <cellStyle name="Обычный 27 3 2 4 2" xfId="8136"/>
    <cellStyle name="Обычный 27 3 2 4 3" xfId="8137"/>
    <cellStyle name="Обычный 27 3 2 4 4" xfId="8138"/>
    <cellStyle name="Обычный 27 3 2 4 5" xfId="8139"/>
    <cellStyle name="Обычный 27 3 2 4 6" xfId="8140"/>
    <cellStyle name="Обычный 27 3 2 5" xfId="8141"/>
    <cellStyle name="Обычный 27 3 2 6" xfId="8142"/>
    <cellStyle name="Обычный 27 3 2 7" xfId="8143"/>
    <cellStyle name="Обычный 27 3 2 8" xfId="8144"/>
    <cellStyle name="Обычный 27 3 2 9" xfId="8145"/>
    <cellStyle name="Обычный 27 3 3" xfId="2926"/>
    <cellStyle name="Обычный 27 3 3 2" xfId="8146"/>
    <cellStyle name="Обычный 27 3 3 3" xfId="8147"/>
    <cellStyle name="Обычный 27 3 3 4" xfId="8148"/>
    <cellStyle name="Обычный 27 3 3 5" xfId="8149"/>
    <cellStyle name="Обычный 27 3 3 6" xfId="8150"/>
    <cellStyle name="Обычный 27 3 4" xfId="2927"/>
    <cellStyle name="Обычный 27 3 4 2" xfId="8151"/>
    <cellStyle name="Обычный 27 3 4 3" xfId="8152"/>
    <cellStyle name="Обычный 27 3 4 4" xfId="8153"/>
    <cellStyle name="Обычный 27 3 4 5" xfId="8154"/>
    <cellStyle name="Обычный 27 3 4 6" xfId="8155"/>
    <cellStyle name="Обычный 27 3 5" xfId="2928"/>
    <cellStyle name="Обычный 27 3 5 2" xfId="8156"/>
    <cellStyle name="Обычный 27 3 5 3" xfId="8157"/>
    <cellStyle name="Обычный 27 3 5 4" xfId="8158"/>
    <cellStyle name="Обычный 27 3 5 5" xfId="8159"/>
    <cellStyle name="Обычный 27 3 5 6" xfId="8160"/>
    <cellStyle name="Обычный 27 3 6" xfId="8161"/>
    <cellStyle name="Обычный 27 3 7" xfId="8162"/>
    <cellStyle name="Обычный 27 3 8" xfId="8163"/>
    <cellStyle name="Обычный 27 3 9" xfId="8164"/>
    <cellStyle name="Обычный 27 4" xfId="2929"/>
    <cellStyle name="Обычный 27 4 2" xfId="2930"/>
    <cellStyle name="Обычный 27 4 2 2" xfId="8165"/>
    <cellStyle name="Обычный 27 4 2 3" xfId="8166"/>
    <cellStyle name="Обычный 27 4 2 4" xfId="8167"/>
    <cellStyle name="Обычный 27 4 2 5" xfId="8168"/>
    <cellStyle name="Обычный 27 4 2 6" xfId="8169"/>
    <cellStyle name="Обычный 27 4 3" xfId="2931"/>
    <cellStyle name="Обычный 27 4 3 2" xfId="8170"/>
    <cellStyle name="Обычный 27 4 3 3" xfId="8171"/>
    <cellStyle name="Обычный 27 4 3 4" xfId="8172"/>
    <cellStyle name="Обычный 27 4 3 5" xfId="8173"/>
    <cellStyle name="Обычный 27 4 3 6" xfId="8174"/>
    <cellStyle name="Обычный 27 4 4" xfId="2932"/>
    <cellStyle name="Обычный 27 4 4 2" xfId="8175"/>
    <cellStyle name="Обычный 27 4 4 3" xfId="8176"/>
    <cellStyle name="Обычный 27 4 4 4" xfId="8177"/>
    <cellStyle name="Обычный 27 4 4 5" xfId="8178"/>
    <cellStyle name="Обычный 27 4 4 6" xfId="8179"/>
    <cellStyle name="Обычный 27 4 5" xfId="8180"/>
    <cellStyle name="Обычный 27 4 6" xfId="8181"/>
    <cellStyle name="Обычный 27 4 7" xfId="8182"/>
    <cellStyle name="Обычный 27 4 8" xfId="8183"/>
    <cellStyle name="Обычный 27 4 9" xfId="8184"/>
    <cellStyle name="Обычный 27 5" xfId="2933"/>
    <cellStyle name="Обычный 27 5 2" xfId="2934"/>
    <cellStyle name="Обычный 27 5 2 2" xfId="8185"/>
    <cellStyle name="Обычный 27 5 2 3" xfId="8186"/>
    <cellStyle name="Обычный 27 5 2 4" xfId="8187"/>
    <cellStyle name="Обычный 27 5 2 5" xfId="8188"/>
    <cellStyle name="Обычный 27 5 2 6" xfId="8189"/>
    <cellStyle name="Обычный 27 5 3" xfId="2935"/>
    <cellStyle name="Обычный 27 5 3 2" xfId="8190"/>
    <cellStyle name="Обычный 27 5 3 3" xfId="8191"/>
    <cellStyle name="Обычный 27 5 3 4" xfId="8192"/>
    <cellStyle name="Обычный 27 5 3 5" xfId="8193"/>
    <cellStyle name="Обычный 27 5 3 6" xfId="8194"/>
    <cellStyle name="Обычный 27 5 4" xfId="2936"/>
    <cellStyle name="Обычный 27 5 4 2" xfId="8195"/>
    <cellStyle name="Обычный 27 5 4 3" xfId="8196"/>
    <cellStyle name="Обычный 27 5 4 4" xfId="8197"/>
    <cellStyle name="Обычный 27 5 4 5" xfId="8198"/>
    <cellStyle name="Обычный 27 5 4 6" xfId="8199"/>
    <cellStyle name="Обычный 27 5 5" xfId="8200"/>
    <cellStyle name="Обычный 27 5 6" xfId="8201"/>
    <cellStyle name="Обычный 27 5 7" xfId="8202"/>
    <cellStyle name="Обычный 27 5 8" xfId="8203"/>
    <cellStyle name="Обычный 27 5 9" xfId="8204"/>
    <cellStyle name="Обычный 27 6" xfId="2937"/>
    <cellStyle name="Обычный 27 6 2" xfId="2938"/>
    <cellStyle name="Обычный 27 7" xfId="2939"/>
    <cellStyle name="Обычный 27 8" xfId="5280"/>
    <cellStyle name="Обычный 28" xfId="2940"/>
    <cellStyle name="Обычный 28 2" xfId="2941"/>
    <cellStyle name="Обычный 28 2 10" xfId="8205"/>
    <cellStyle name="Обычный 28 2 2" xfId="2942"/>
    <cellStyle name="Обычный 28 2 2 2" xfId="2943"/>
    <cellStyle name="Обычный 28 2 2 2 2" xfId="8206"/>
    <cellStyle name="Обычный 28 2 2 2 3" xfId="8207"/>
    <cellStyle name="Обычный 28 2 2 2 4" xfId="8208"/>
    <cellStyle name="Обычный 28 2 2 2 5" xfId="8209"/>
    <cellStyle name="Обычный 28 2 2 2 6" xfId="8210"/>
    <cellStyle name="Обычный 28 2 2 3" xfId="2944"/>
    <cellStyle name="Обычный 28 2 2 3 2" xfId="8211"/>
    <cellStyle name="Обычный 28 2 2 3 3" xfId="8212"/>
    <cellStyle name="Обычный 28 2 2 3 4" xfId="8213"/>
    <cellStyle name="Обычный 28 2 2 3 5" xfId="8214"/>
    <cellStyle name="Обычный 28 2 2 3 6" xfId="8215"/>
    <cellStyle name="Обычный 28 2 2 4" xfId="2945"/>
    <cellStyle name="Обычный 28 2 2 4 2" xfId="8216"/>
    <cellStyle name="Обычный 28 2 2 4 3" xfId="8217"/>
    <cellStyle name="Обычный 28 2 2 4 4" xfId="8218"/>
    <cellStyle name="Обычный 28 2 2 4 5" xfId="8219"/>
    <cellStyle name="Обычный 28 2 2 4 6" xfId="8220"/>
    <cellStyle name="Обычный 28 2 2 5" xfId="8221"/>
    <cellStyle name="Обычный 28 2 2 6" xfId="8222"/>
    <cellStyle name="Обычный 28 2 2 7" xfId="8223"/>
    <cellStyle name="Обычный 28 2 2 8" xfId="8224"/>
    <cellStyle name="Обычный 28 2 2 9" xfId="8225"/>
    <cellStyle name="Обычный 28 2 3" xfId="2946"/>
    <cellStyle name="Обычный 28 2 3 2" xfId="8226"/>
    <cellStyle name="Обычный 28 2 3 3" xfId="8227"/>
    <cellStyle name="Обычный 28 2 3 4" xfId="8228"/>
    <cellStyle name="Обычный 28 2 3 5" xfId="8229"/>
    <cellStyle name="Обычный 28 2 3 6" xfId="8230"/>
    <cellStyle name="Обычный 28 2 4" xfId="2947"/>
    <cellStyle name="Обычный 28 2 4 2" xfId="8231"/>
    <cellStyle name="Обычный 28 2 4 3" xfId="8232"/>
    <cellStyle name="Обычный 28 2 4 4" xfId="8233"/>
    <cellStyle name="Обычный 28 2 4 5" xfId="8234"/>
    <cellStyle name="Обычный 28 2 4 6" xfId="8235"/>
    <cellStyle name="Обычный 28 2 5" xfId="2948"/>
    <cellStyle name="Обычный 28 2 5 2" xfId="8236"/>
    <cellStyle name="Обычный 28 2 5 3" xfId="8237"/>
    <cellStyle name="Обычный 28 2 5 4" xfId="8238"/>
    <cellStyle name="Обычный 28 2 5 5" xfId="8239"/>
    <cellStyle name="Обычный 28 2 5 6" xfId="8240"/>
    <cellStyle name="Обычный 28 2 6" xfId="8241"/>
    <cellStyle name="Обычный 28 2 7" xfId="8242"/>
    <cellStyle name="Обычный 28 2 8" xfId="8243"/>
    <cellStyle name="Обычный 28 2 9" xfId="8244"/>
    <cellStyle name="Обычный 28 3" xfId="2949"/>
    <cellStyle name="Обычный 28 3 2" xfId="2950"/>
    <cellStyle name="Обычный 28 3 2 2" xfId="8245"/>
    <cellStyle name="Обычный 28 3 2 3" xfId="8246"/>
    <cellStyle name="Обычный 28 3 2 4" xfId="8247"/>
    <cellStyle name="Обычный 28 3 2 5" xfId="8248"/>
    <cellStyle name="Обычный 28 3 2 6" xfId="8249"/>
    <cellStyle name="Обычный 28 3 3" xfId="2951"/>
    <cellStyle name="Обычный 28 3 3 2" xfId="8250"/>
    <cellStyle name="Обычный 28 3 3 3" xfId="8251"/>
    <cellStyle name="Обычный 28 3 3 4" xfId="8252"/>
    <cellStyle name="Обычный 28 3 3 5" xfId="8253"/>
    <cellStyle name="Обычный 28 3 3 6" xfId="8254"/>
    <cellStyle name="Обычный 28 3 4" xfId="2952"/>
    <cellStyle name="Обычный 28 3 4 2" xfId="8255"/>
    <cellStyle name="Обычный 28 3 4 3" xfId="8256"/>
    <cellStyle name="Обычный 28 3 4 4" xfId="8257"/>
    <cellStyle name="Обычный 28 3 4 5" xfId="8258"/>
    <cellStyle name="Обычный 28 3 4 6" xfId="8259"/>
    <cellStyle name="Обычный 28 3 5" xfId="8260"/>
    <cellStyle name="Обычный 28 3 6" xfId="8261"/>
    <cellStyle name="Обычный 28 3 7" xfId="8262"/>
    <cellStyle name="Обычный 28 3 8" xfId="8263"/>
    <cellStyle name="Обычный 28 3 9" xfId="8264"/>
    <cellStyle name="Обычный 28 4" xfId="2953"/>
    <cellStyle name="Обычный 28 4 2" xfId="2954"/>
    <cellStyle name="Обычный 28 4 2 2" xfId="8265"/>
    <cellStyle name="Обычный 28 4 2 3" xfId="8266"/>
    <cellStyle name="Обычный 28 4 2 4" xfId="8267"/>
    <cellStyle name="Обычный 28 4 2 5" xfId="8268"/>
    <cellStyle name="Обычный 28 4 2 6" xfId="8269"/>
    <cellStyle name="Обычный 28 4 3" xfId="2955"/>
    <cellStyle name="Обычный 28 4 3 2" xfId="8270"/>
    <cellStyle name="Обычный 28 4 3 3" xfId="8271"/>
    <cellStyle name="Обычный 28 4 3 4" xfId="8272"/>
    <cellStyle name="Обычный 28 4 3 5" xfId="8273"/>
    <cellStyle name="Обычный 28 4 3 6" xfId="8274"/>
    <cellStyle name="Обычный 28 4 4" xfId="2956"/>
    <cellStyle name="Обычный 28 4 4 2" xfId="8275"/>
    <cellStyle name="Обычный 28 4 4 3" xfId="8276"/>
    <cellStyle name="Обычный 28 4 4 4" xfId="8277"/>
    <cellStyle name="Обычный 28 4 4 5" xfId="8278"/>
    <cellStyle name="Обычный 28 4 4 6" xfId="8279"/>
    <cellStyle name="Обычный 28 4 5" xfId="8280"/>
    <cellStyle name="Обычный 28 4 6" xfId="8281"/>
    <cellStyle name="Обычный 28 4 7" xfId="8282"/>
    <cellStyle name="Обычный 28 4 8" xfId="8283"/>
    <cellStyle name="Обычный 28 4 9" xfId="8284"/>
    <cellStyle name="Обычный 28 5" xfId="2957"/>
    <cellStyle name="Обычный 28 5 2" xfId="2958"/>
    <cellStyle name="Обычный 28 6" xfId="2959"/>
    <cellStyle name="Обычный 28 7" xfId="5281"/>
    <cellStyle name="Обычный 29" xfId="2960"/>
    <cellStyle name="Обычный 29 2" xfId="2961"/>
    <cellStyle name="Обычный 29 2 10" xfId="8285"/>
    <cellStyle name="Обычный 29 2 2" xfId="2962"/>
    <cellStyle name="Обычный 29 2 2 2" xfId="2963"/>
    <cellStyle name="Обычный 29 2 2 2 2" xfId="8286"/>
    <cellStyle name="Обычный 29 2 2 2 3" xfId="8287"/>
    <cellStyle name="Обычный 29 2 2 2 4" xfId="8288"/>
    <cellStyle name="Обычный 29 2 2 2 5" xfId="8289"/>
    <cellStyle name="Обычный 29 2 2 2 6" xfId="8290"/>
    <cellStyle name="Обычный 29 2 2 3" xfId="2964"/>
    <cellStyle name="Обычный 29 2 2 3 2" xfId="8291"/>
    <cellStyle name="Обычный 29 2 2 3 3" xfId="8292"/>
    <cellStyle name="Обычный 29 2 2 3 4" xfId="8293"/>
    <cellStyle name="Обычный 29 2 2 3 5" xfId="8294"/>
    <cellStyle name="Обычный 29 2 2 3 6" xfId="8295"/>
    <cellStyle name="Обычный 29 2 2 4" xfId="2965"/>
    <cellStyle name="Обычный 29 2 2 4 2" xfId="8296"/>
    <cellStyle name="Обычный 29 2 2 4 3" xfId="8297"/>
    <cellStyle name="Обычный 29 2 2 4 4" xfId="8298"/>
    <cellStyle name="Обычный 29 2 2 4 5" xfId="8299"/>
    <cellStyle name="Обычный 29 2 2 4 6" xfId="8300"/>
    <cellStyle name="Обычный 29 2 2 5" xfId="8301"/>
    <cellStyle name="Обычный 29 2 2 6" xfId="8302"/>
    <cellStyle name="Обычный 29 2 2 7" xfId="8303"/>
    <cellStyle name="Обычный 29 2 2 8" xfId="8304"/>
    <cellStyle name="Обычный 29 2 2 9" xfId="8305"/>
    <cellStyle name="Обычный 29 2 3" xfId="2966"/>
    <cellStyle name="Обычный 29 2 3 2" xfId="8306"/>
    <cellStyle name="Обычный 29 2 3 3" xfId="8307"/>
    <cellStyle name="Обычный 29 2 3 4" xfId="8308"/>
    <cellStyle name="Обычный 29 2 3 5" xfId="8309"/>
    <cellStyle name="Обычный 29 2 3 6" xfId="8310"/>
    <cellStyle name="Обычный 29 2 4" xfId="2967"/>
    <cellStyle name="Обычный 29 2 4 2" xfId="8311"/>
    <cellStyle name="Обычный 29 2 4 3" xfId="8312"/>
    <cellStyle name="Обычный 29 2 4 4" xfId="8313"/>
    <cellStyle name="Обычный 29 2 4 5" xfId="8314"/>
    <cellStyle name="Обычный 29 2 4 6" xfId="8315"/>
    <cellStyle name="Обычный 29 2 5" xfId="2968"/>
    <cellStyle name="Обычный 29 2 5 2" xfId="8316"/>
    <cellStyle name="Обычный 29 2 5 3" xfId="8317"/>
    <cellStyle name="Обычный 29 2 5 4" xfId="8318"/>
    <cellStyle name="Обычный 29 2 5 5" xfId="8319"/>
    <cellStyle name="Обычный 29 2 5 6" xfId="8320"/>
    <cellStyle name="Обычный 29 2 6" xfId="8321"/>
    <cellStyle name="Обычный 29 2 7" xfId="8322"/>
    <cellStyle name="Обычный 29 2 8" xfId="8323"/>
    <cellStyle name="Обычный 29 2 9" xfId="8324"/>
    <cellStyle name="Обычный 29 3" xfId="2969"/>
    <cellStyle name="Обычный 29 3 2" xfId="2970"/>
    <cellStyle name="Обычный 29 3 2 2" xfId="8325"/>
    <cellStyle name="Обычный 29 3 2 3" xfId="8326"/>
    <cellStyle name="Обычный 29 3 2 4" xfId="8327"/>
    <cellStyle name="Обычный 29 3 2 5" xfId="8328"/>
    <cellStyle name="Обычный 29 3 2 6" xfId="8329"/>
    <cellStyle name="Обычный 29 3 3" xfId="2971"/>
    <cellStyle name="Обычный 29 3 3 2" xfId="8330"/>
    <cellStyle name="Обычный 29 3 3 3" xfId="8331"/>
    <cellStyle name="Обычный 29 3 3 4" xfId="8332"/>
    <cellStyle name="Обычный 29 3 3 5" xfId="8333"/>
    <cellStyle name="Обычный 29 3 3 6" xfId="8334"/>
    <cellStyle name="Обычный 29 3 4" xfId="2972"/>
    <cellStyle name="Обычный 29 3 4 2" xfId="8335"/>
    <cellStyle name="Обычный 29 3 4 3" xfId="8336"/>
    <cellStyle name="Обычный 29 3 4 4" xfId="8337"/>
    <cellStyle name="Обычный 29 3 4 5" xfId="8338"/>
    <cellStyle name="Обычный 29 3 4 6" xfId="8339"/>
    <cellStyle name="Обычный 29 3 5" xfId="8340"/>
    <cellStyle name="Обычный 29 3 6" xfId="8341"/>
    <cellStyle name="Обычный 29 3 7" xfId="8342"/>
    <cellStyle name="Обычный 29 3 8" xfId="8343"/>
    <cellStyle name="Обычный 29 3 9" xfId="8344"/>
    <cellStyle name="Обычный 29 4" xfId="2973"/>
    <cellStyle name="Обычный 29 4 2" xfId="2974"/>
    <cellStyle name="Обычный 29 4 2 2" xfId="8345"/>
    <cellStyle name="Обычный 29 4 2 3" xfId="8346"/>
    <cellStyle name="Обычный 29 4 2 4" xfId="8347"/>
    <cellStyle name="Обычный 29 4 2 5" xfId="8348"/>
    <cellStyle name="Обычный 29 4 2 6" xfId="8349"/>
    <cellStyle name="Обычный 29 4 3" xfId="2975"/>
    <cellStyle name="Обычный 29 4 3 2" xfId="8350"/>
    <cellStyle name="Обычный 29 4 3 3" xfId="8351"/>
    <cellStyle name="Обычный 29 4 3 4" xfId="8352"/>
    <cellStyle name="Обычный 29 4 3 5" xfId="8353"/>
    <cellStyle name="Обычный 29 4 3 6" xfId="8354"/>
    <cellStyle name="Обычный 29 4 4" xfId="2976"/>
    <cellStyle name="Обычный 29 4 4 2" xfId="8355"/>
    <cellStyle name="Обычный 29 4 4 3" xfId="8356"/>
    <cellStyle name="Обычный 29 4 4 4" xfId="8357"/>
    <cellStyle name="Обычный 29 4 4 5" xfId="8358"/>
    <cellStyle name="Обычный 29 4 4 6" xfId="8359"/>
    <cellStyle name="Обычный 29 4 5" xfId="8360"/>
    <cellStyle name="Обычный 29 4 6" xfId="8361"/>
    <cellStyle name="Обычный 29 4 7" xfId="8362"/>
    <cellStyle name="Обычный 29 4 8" xfId="8363"/>
    <cellStyle name="Обычный 29 4 9" xfId="8364"/>
    <cellStyle name="Обычный 29 5" xfId="2977"/>
    <cellStyle name="Обычный 29 5 2" xfId="2978"/>
    <cellStyle name="Обычный 29 6" xfId="2979"/>
    <cellStyle name="Обычный 29 7" xfId="5282"/>
    <cellStyle name="Обычный 3" xfId="11"/>
    <cellStyle name="Обычный 3 2" xfId="2980"/>
    <cellStyle name="Обычный 3 2 2" xfId="2981"/>
    <cellStyle name="Обычный 3 2 3" xfId="2982"/>
    <cellStyle name="Обычный 3 2 3 2" xfId="2983"/>
    <cellStyle name="Обычный 3 2 3 2 2" xfId="2984"/>
    <cellStyle name="Обычный 3 2 4" xfId="2985"/>
    <cellStyle name="Обычный 3 2 4 2" xfId="2986"/>
    <cellStyle name="Обычный 3 2 5" xfId="2987"/>
    <cellStyle name="Обычный 3 2 6" xfId="5283"/>
    <cellStyle name="Обычный 3 3" xfId="2988"/>
    <cellStyle name="Обычный 3 3 10" xfId="8365"/>
    <cellStyle name="Обычный 3 3 11" xfId="8366"/>
    <cellStyle name="Обычный 3 3 12" xfId="8367"/>
    <cellStyle name="Обычный 3 3 13" xfId="8368"/>
    <cellStyle name="Обычный 3 3 2" xfId="2989"/>
    <cellStyle name="Обычный 3 3 2 10" xfId="8369"/>
    <cellStyle name="Обычный 3 3 2 11" xfId="8370"/>
    <cellStyle name="Обычный 3 3 2 2" xfId="2990"/>
    <cellStyle name="Обычный 3 3 2 2 10" xfId="8371"/>
    <cellStyle name="Обычный 3 3 2 2 2" xfId="2991"/>
    <cellStyle name="Обычный 3 3 2 2 2 10" xfId="8372"/>
    <cellStyle name="Обычный 3 3 2 2 2 2" xfId="2992"/>
    <cellStyle name="Обычный 3 3 2 2 2 2 2" xfId="8373"/>
    <cellStyle name="Обычный 3 3 2 2 2 2 3" xfId="8374"/>
    <cellStyle name="Обычный 3 3 2 2 2 2 4" xfId="8375"/>
    <cellStyle name="Обычный 3 3 2 2 2 2 5" xfId="8376"/>
    <cellStyle name="Обычный 3 3 2 2 2 2 6" xfId="8377"/>
    <cellStyle name="Обычный 3 3 2 2 2 3" xfId="2993"/>
    <cellStyle name="Обычный 3 3 2 2 2 3 2" xfId="8378"/>
    <cellStyle name="Обычный 3 3 2 2 2 3 3" xfId="8379"/>
    <cellStyle name="Обычный 3 3 2 2 2 3 4" xfId="8380"/>
    <cellStyle name="Обычный 3 3 2 2 2 3 5" xfId="8381"/>
    <cellStyle name="Обычный 3 3 2 2 2 3 6" xfId="8382"/>
    <cellStyle name="Обычный 3 3 2 2 2 4" xfId="2994"/>
    <cellStyle name="Обычный 3 3 2 2 2 4 2" xfId="8383"/>
    <cellStyle name="Обычный 3 3 2 2 2 4 3" xfId="8384"/>
    <cellStyle name="Обычный 3 3 2 2 2 4 4" xfId="8385"/>
    <cellStyle name="Обычный 3 3 2 2 2 4 5" xfId="8386"/>
    <cellStyle name="Обычный 3 3 2 2 2 4 6" xfId="8387"/>
    <cellStyle name="Обычный 3 3 2 2 2 5" xfId="2995"/>
    <cellStyle name="Обычный 3 3 2 2 2 5 2" xfId="8388"/>
    <cellStyle name="Обычный 3 3 2 2 2 5 3" xfId="8389"/>
    <cellStyle name="Обычный 3 3 2 2 2 5 4" xfId="8390"/>
    <cellStyle name="Обычный 3 3 2 2 2 5 5" xfId="8391"/>
    <cellStyle name="Обычный 3 3 2 2 2 5 6" xfId="8392"/>
    <cellStyle name="Обычный 3 3 2 2 2 6" xfId="8393"/>
    <cellStyle name="Обычный 3 3 2 2 2 7" xfId="8394"/>
    <cellStyle name="Обычный 3 3 2 2 2 8" xfId="8395"/>
    <cellStyle name="Обычный 3 3 2 2 2 9" xfId="8396"/>
    <cellStyle name="Обычный 3 3 2 2 3" xfId="2996"/>
    <cellStyle name="Обычный 3 3 2 2 3 2" xfId="8397"/>
    <cellStyle name="Обычный 3 3 2 2 3 3" xfId="8398"/>
    <cellStyle name="Обычный 3 3 2 2 3 4" xfId="8399"/>
    <cellStyle name="Обычный 3 3 2 2 3 5" xfId="8400"/>
    <cellStyle name="Обычный 3 3 2 2 3 6" xfId="8401"/>
    <cellStyle name="Обычный 3 3 2 2 4" xfId="2997"/>
    <cellStyle name="Обычный 3 3 2 2 4 2" xfId="8402"/>
    <cellStyle name="Обычный 3 3 2 2 4 3" xfId="8403"/>
    <cellStyle name="Обычный 3 3 2 2 4 4" xfId="8404"/>
    <cellStyle name="Обычный 3 3 2 2 4 5" xfId="8405"/>
    <cellStyle name="Обычный 3 3 2 2 4 6" xfId="8406"/>
    <cellStyle name="Обычный 3 3 2 2 5" xfId="2998"/>
    <cellStyle name="Обычный 3 3 2 2 5 2" xfId="8407"/>
    <cellStyle name="Обычный 3 3 2 2 5 3" xfId="8408"/>
    <cellStyle name="Обычный 3 3 2 2 5 4" xfId="8409"/>
    <cellStyle name="Обычный 3 3 2 2 5 5" xfId="8410"/>
    <cellStyle name="Обычный 3 3 2 2 5 6" xfId="8411"/>
    <cellStyle name="Обычный 3 3 2 2 6" xfId="8412"/>
    <cellStyle name="Обычный 3 3 2 2 7" xfId="8413"/>
    <cellStyle name="Обычный 3 3 2 2 8" xfId="8414"/>
    <cellStyle name="Обычный 3 3 2 2 9" xfId="8415"/>
    <cellStyle name="Обычный 3 3 2 3" xfId="2999"/>
    <cellStyle name="Обычный 3 3 2 3 2" xfId="3000"/>
    <cellStyle name="Обычный 3 3 2 3 2 2" xfId="8416"/>
    <cellStyle name="Обычный 3 3 2 3 2 3" xfId="8417"/>
    <cellStyle name="Обычный 3 3 2 3 2 4" xfId="8418"/>
    <cellStyle name="Обычный 3 3 2 3 2 5" xfId="8419"/>
    <cellStyle name="Обычный 3 3 2 3 2 6" xfId="8420"/>
    <cellStyle name="Обычный 3 3 2 3 3" xfId="3001"/>
    <cellStyle name="Обычный 3 3 2 3 3 2" xfId="8421"/>
    <cellStyle name="Обычный 3 3 2 3 3 3" xfId="8422"/>
    <cellStyle name="Обычный 3 3 2 3 3 4" xfId="8423"/>
    <cellStyle name="Обычный 3 3 2 3 3 5" xfId="8424"/>
    <cellStyle name="Обычный 3 3 2 3 3 6" xfId="8425"/>
    <cellStyle name="Обычный 3 3 2 3 4" xfId="3002"/>
    <cellStyle name="Обычный 3 3 2 3 4 2" xfId="8426"/>
    <cellStyle name="Обычный 3 3 2 3 4 3" xfId="8427"/>
    <cellStyle name="Обычный 3 3 2 3 4 4" xfId="8428"/>
    <cellStyle name="Обычный 3 3 2 3 4 5" xfId="8429"/>
    <cellStyle name="Обычный 3 3 2 3 4 6" xfId="8430"/>
    <cellStyle name="Обычный 3 3 2 3 5" xfId="8431"/>
    <cellStyle name="Обычный 3 3 2 3 6" xfId="8432"/>
    <cellStyle name="Обычный 3 3 2 3 7" xfId="8433"/>
    <cellStyle name="Обычный 3 3 2 3 8" xfId="8434"/>
    <cellStyle name="Обычный 3 3 2 3 9" xfId="8435"/>
    <cellStyle name="Обычный 3 3 2 4" xfId="3003"/>
    <cellStyle name="Обычный 3 3 2 4 2" xfId="8436"/>
    <cellStyle name="Обычный 3 3 2 4 3" xfId="8437"/>
    <cellStyle name="Обычный 3 3 2 4 4" xfId="8438"/>
    <cellStyle name="Обычный 3 3 2 4 5" xfId="8439"/>
    <cellStyle name="Обычный 3 3 2 4 6" xfId="8440"/>
    <cellStyle name="Обычный 3 3 2 5" xfId="3004"/>
    <cellStyle name="Обычный 3 3 2 5 2" xfId="8441"/>
    <cellStyle name="Обычный 3 3 2 5 3" xfId="8442"/>
    <cellStyle name="Обычный 3 3 2 5 4" xfId="8443"/>
    <cellStyle name="Обычный 3 3 2 5 5" xfId="8444"/>
    <cellStyle name="Обычный 3 3 2 5 6" xfId="8445"/>
    <cellStyle name="Обычный 3 3 2 6" xfId="3005"/>
    <cellStyle name="Обычный 3 3 2 6 2" xfId="8446"/>
    <cellStyle name="Обычный 3 3 2 6 3" xfId="8447"/>
    <cellStyle name="Обычный 3 3 2 6 4" xfId="8448"/>
    <cellStyle name="Обычный 3 3 2 6 5" xfId="8449"/>
    <cellStyle name="Обычный 3 3 2 6 6" xfId="8450"/>
    <cellStyle name="Обычный 3 3 2 7" xfId="8451"/>
    <cellStyle name="Обычный 3 3 2 8" xfId="8452"/>
    <cellStyle name="Обычный 3 3 2 9" xfId="8453"/>
    <cellStyle name="Обычный 3 3 3" xfId="3006"/>
    <cellStyle name="Обычный 3 3 3 10" xfId="8454"/>
    <cellStyle name="Обычный 3 3 3 2" xfId="3007"/>
    <cellStyle name="Обычный 3 3 3 2 2" xfId="3008"/>
    <cellStyle name="Обычный 3 3 3 2 2 2" xfId="8455"/>
    <cellStyle name="Обычный 3 3 3 2 2 3" xfId="8456"/>
    <cellStyle name="Обычный 3 3 3 2 2 4" xfId="8457"/>
    <cellStyle name="Обычный 3 3 3 2 2 5" xfId="8458"/>
    <cellStyle name="Обычный 3 3 3 2 2 6" xfId="8459"/>
    <cellStyle name="Обычный 3 3 3 2 3" xfId="3009"/>
    <cellStyle name="Обычный 3 3 3 2 3 2" xfId="8460"/>
    <cellStyle name="Обычный 3 3 3 2 3 3" xfId="8461"/>
    <cellStyle name="Обычный 3 3 3 2 3 4" xfId="8462"/>
    <cellStyle name="Обычный 3 3 3 2 3 5" xfId="8463"/>
    <cellStyle name="Обычный 3 3 3 2 3 6" xfId="8464"/>
    <cellStyle name="Обычный 3 3 3 2 4" xfId="3010"/>
    <cellStyle name="Обычный 3 3 3 2 4 2" xfId="8465"/>
    <cellStyle name="Обычный 3 3 3 2 4 3" xfId="8466"/>
    <cellStyle name="Обычный 3 3 3 2 4 4" xfId="8467"/>
    <cellStyle name="Обычный 3 3 3 2 4 5" xfId="8468"/>
    <cellStyle name="Обычный 3 3 3 2 4 6" xfId="8469"/>
    <cellStyle name="Обычный 3 3 3 2 5" xfId="8470"/>
    <cellStyle name="Обычный 3 3 3 2 6" xfId="8471"/>
    <cellStyle name="Обычный 3 3 3 2 7" xfId="8472"/>
    <cellStyle name="Обычный 3 3 3 2 8" xfId="8473"/>
    <cellStyle name="Обычный 3 3 3 2 9" xfId="8474"/>
    <cellStyle name="Обычный 3 3 3 3" xfId="3011"/>
    <cellStyle name="Обычный 3 3 3 3 2" xfId="8475"/>
    <cellStyle name="Обычный 3 3 3 3 3" xfId="8476"/>
    <cellStyle name="Обычный 3 3 3 3 4" xfId="8477"/>
    <cellStyle name="Обычный 3 3 3 3 5" xfId="8478"/>
    <cellStyle name="Обычный 3 3 3 3 6" xfId="8479"/>
    <cellStyle name="Обычный 3 3 3 4" xfId="3012"/>
    <cellStyle name="Обычный 3 3 3 4 2" xfId="8480"/>
    <cellStyle name="Обычный 3 3 3 4 3" xfId="8481"/>
    <cellStyle name="Обычный 3 3 3 4 4" xfId="8482"/>
    <cellStyle name="Обычный 3 3 3 4 5" xfId="8483"/>
    <cellStyle name="Обычный 3 3 3 4 6" xfId="8484"/>
    <cellStyle name="Обычный 3 3 3 5" xfId="3013"/>
    <cellStyle name="Обычный 3 3 3 5 2" xfId="8485"/>
    <cellStyle name="Обычный 3 3 3 5 3" xfId="8486"/>
    <cellStyle name="Обычный 3 3 3 5 4" xfId="8487"/>
    <cellStyle name="Обычный 3 3 3 5 5" xfId="8488"/>
    <cellStyle name="Обычный 3 3 3 5 6" xfId="8489"/>
    <cellStyle name="Обычный 3 3 3 6" xfId="8490"/>
    <cellStyle name="Обычный 3 3 3 7" xfId="8491"/>
    <cellStyle name="Обычный 3 3 3 8" xfId="8492"/>
    <cellStyle name="Обычный 3 3 3 9" xfId="8493"/>
    <cellStyle name="Обычный 3 3 4" xfId="3014"/>
    <cellStyle name="Обычный 3 3 4 2" xfId="3015"/>
    <cellStyle name="Обычный 3 3 4 2 2" xfId="8494"/>
    <cellStyle name="Обычный 3 3 4 2 3" xfId="8495"/>
    <cellStyle name="Обычный 3 3 4 2 4" xfId="8496"/>
    <cellStyle name="Обычный 3 3 4 2 5" xfId="8497"/>
    <cellStyle name="Обычный 3 3 4 2 6" xfId="8498"/>
    <cellStyle name="Обычный 3 3 4 3" xfId="3016"/>
    <cellStyle name="Обычный 3 3 4 3 2" xfId="8499"/>
    <cellStyle name="Обычный 3 3 4 3 3" xfId="8500"/>
    <cellStyle name="Обычный 3 3 4 3 4" xfId="8501"/>
    <cellStyle name="Обычный 3 3 4 3 5" xfId="8502"/>
    <cellStyle name="Обычный 3 3 4 3 6" xfId="8503"/>
    <cellStyle name="Обычный 3 3 4 4" xfId="3017"/>
    <cellStyle name="Обычный 3 3 4 4 2" xfId="8504"/>
    <cellStyle name="Обычный 3 3 4 4 3" xfId="8505"/>
    <cellStyle name="Обычный 3 3 4 4 4" xfId="8506"/>
    <cellStyle name="Обычный 3 3 4 4 5" xfId="8507"/>
    <cellStyle name="Обычный 3 3 4 4 6" xfId="8508"/>
    <cellStyle name="Обычный 3 3 4 5" xfId="8509"/>
    <cellStyle name="Обычный 3 3 4 6" xfId="8510"/>
    <cellStyle name="Обычный 3 3 4 7" xfId="8511"/>
    <cellStyle name="Обычный 3 3 4 8" xfId="8512"/>
    <cellStyle name="Обычный 3 3 4 9" xfId="8513"/>
    <cellStyle name="Обычный 3 3 5" xfId="3018"/>
    <cellStyle name="Обычный 3 3 5 2" xfId="3019"/>
    <cellStyle name="Обычный 3 3 5 2 2" xfId="8514"/>
    <cellStyle name="Обычный 3 3 5 2 3" xfId="8515"/>
    <cellStyle name="Обычный 3 3 5 2 4" xfId="8516"/>
    <cellStyle name="Обычный 3 3 5 2 5" xfId="8517"/>
    <cellStyle name="Обычный 3 3 5 2 6" xfId="8518"/>
    <cellStyle name="Обычный 3 3 5 3" xfId="3020"/>
    <cellStyle name="Обычный 3 3 5 3 2" xfId="8519"/>
    <cellStyle name="Обычный 3 3 5 3 3" xfId="8520"/>
    <cellStyle name="Обычный 3 3 5 3 4" xfId="8521"/>
    <cellStyle name="Обычный 3 3 5 3 5" xfId="8522"/>
    <cellStyle name="Обычный 3 3 5 3 6" xfId="8523"/>
    <cellStyle name="Обычный 3 3 5 4" xfId="3021"/>
    <cellStyle name="Обычный 3 3 5 4 2" xfId="8524"/>
    <cellStyle name="Обычный 3 3 5 4 3" xfId="8525"/>
    <cellStyle name="Обычный 3 3 5 4 4" xfId="8526"/>
    <cellStyle name="Обычный 3 3 5 4 5" xfId="8527"/>
    <cellStyle name="Обычный 3 3 5 4 6" xfId="8528"/>
    <cellStyle name="Обычный 3 3 5 5" xfId="8529"/>
    <cellStyle name="Обычный 3 3 5 6" xfId="8530"/>
    <cellStyle name="Обычный 3 3 5 7" xfId="8531"/>
    <cellStyle name="Обычный 3 3 5 8" xfId="8532"/>
    <cellStyle name="Обычный 3 3 5 9" xfId="8533"/>
    <cellStyle name="Обычный 3 3 6" xfId="3022"/>
    <cellStyle name="Обычный 3 3 6 2" xfId="8534"/>
    <cellStyle name="Обычный 3 3 6 3" xfId="8535"/>
    <cellStyle name="Обычный 3 3 6 4" xfId="8536"/>
    <cellStyle name="Обычный 3 3 6 5" xfId="8537"/>
    <cellStyle name="Обычный 3 3 6 6" xfId="8538"/>
    <cellStyle name="Обычный 3 3 7" xfId="3023"/>
    <cellStyle name="Обычный 3 3 7 2" xfId="8539"/>
    <cellStyle name="Обычный 3 3 7 3" xfId="8540"/>
    <cellStyle name="Обычный 3 3 7 4" xfId="8541"/>
    <cellStyle name="Обычный 3 3 7 5" xfId="8542"/>
    <cellStyle name="Обычный 3 3 7 6" xfId="8543"/>
    <cellStyle name="Обычный 3 3 8" xfId="3024"/>
    <cellStyle name="Обычный 3 3 8 2" xfId="8544"/>
    <cellStyle name="Обычный 3 3 8 3" xfId="8545"/>
    <cellStyle name="Обычный 3 3 8 4" xfId="8546"/>
    <cellStyle name="Обычный 3 3 8 5" xfId="8547"/>
    <cellStyle name="Обычный 3 3 8 6" xfId="8548"/>
    <cellStyle name="Обычный 3 3 9" xfId="5284"/>
    <cellStyle name="Обычный 3 4" xfId="3025"/>
    <cellStyle name="Обычный 3 4 2" xfId="3026"/>
    <cellStyle name="Обычный 3 4 2 2" xfId="3027"/>
    <cellStyle name="Обычный 3 4 2 2 2" xfId="8549"/>
    <cellStyle name="Обычный 3 4 2 2 3" xfId="8550"/>
    <cellStyle name="Обычный 3 4 2 2 4" xfId="8551"/>
    <cellStyle name="Обычный 3 4 2 2 5" xfId="8552"/>
    <cellStyle name="Обычный 3 4 2 2 6" xfId="8553"/>
    <cellStyle name="Обычный 3 4 2 3" xfId="3028"/>
    <cellStyle name="Обычный 3 4 2 3 2" xfId="8554"/>
    <cellStyle name="Обычный 3 4 2 3 3" xfId="8555"/>
    <cellStyle name="Обычный 3 4 2 3 4" xfId="8556"/>
    <cellStyle name="Обычный 3 4 2 3 5" xfId="8557"/>
    <cellStyle name="Обычный 3 4 2 3 6" xfId="8558"/>
    <cellStyle name="Обычный 3 4 2 4" xfId="3029"/>
    <cellStyle name="Обычный 3 4 2 4 2" xfId="8559"/>
    <cellStyle name="Обычный 3 4 2 4 3" xfId="8560"/>
    <cellStyle name="Обычный 3 4 2 4 4" xfId="8561"/>
    <cellStyle name="Обычный 3 4 2 4 5" xfId="8562"/>
    <cellStyle name="Обычный 3 4 2 4 6" xfId="8563"/>
    <cellStyle name="Обычный 3 4 2 5" xfId="8564"/>
    <cellStyle name="Обычный 3 4 2 6" xfId="8565"/>
    <cellStyle name="Обычный 3 4 2 7" xfId="8566"/>
    <cellStyle name="Обычный 3 4 2 8" xfId="8567"/>
    <cellStyle name="Обычный 3 4 2 9" xfId="8568"/>
    <cellStyle name="Обычный 3 4 3" xfId="5285"/>
    <cellStyle name="Обычный 3 5" xfId="3030"/>
    <cellStyle name="Обычный 3 5 10" xfId="8569"/>
    <cellStyle name="Обычный 3 5 11" xfId="8570"/>
    <cellStyle name="Обычный 3 5 2" xfId="3031"/>
    <cellStyle name="Обычный 3 5 2 10" xfId="8571"/>
    <cellStyle name="Обычный 3 5 2 2" xfId="3032"/>
    <cellStyle name="Обычный 3 5 2 2 2" xfId="3033"/>
    <cellStyle name="Обычный 3 5 2 2 2 2" xfId="8572"/>
    <cellStyle name="Обычный 3 5 2 2 2 3" xfId="8573"/>
    <cellStyle name="Обычный 3 5 2 2 2 4" xfId="8574"/>
    <cellStyle name="Обычный 3 5 2 2 2 5" xfId="8575"/>
    <cellStyle name="Обычный 3 5 2 2 2 6" xfId="8576"/>
    <cellStyle name="Обычный 3 5 2 2 3" xfId="3034"/>
    <cellStyle name="Обычный 3 5 2 2 3 2" xfId="8577"/>
    <cellStyle name="Обычный 3 5 2 2 3 3" xfId="8578"/>
    <cellStyle name="Обычный 3 5 2 2 3 4" xfId="8579"/>
    <cellStyle name="Обычный 3 5 2 2 3 5" xfId="8580"/>
    <cellStyle name="Обычный 3 5 2 2 3 6" xfId="8581"/>
    <cellStyle name="Обычный 3 5 2 2 4" xfId="3035"/>
    <cellStyle name="Обычный 3 5 2 2 4 2" xfId="8582"/>
    <cellStyle name="Обычный 3 5 2 2 4 3" xfId="8583"/>
    <cellStyle name="Обычный 3 5 2 2 4 4" xfId="8584"/>
    <cellStyle name="Обычный 3 5 2 2 4 5" xfId="8585"/>
    <cellStyle name="Обычный 3 5 2 2 4 6" xfId="8586"/>
    <cellStyle name="Обычный 3 5 2 2 5" xfId="8587"/>
    <cellStyle name="Обычный 3 5 2 2 6" xfId="8588"/>
    <cellStyle name="Обычный 3 5 2 2 7" xfId="8589"/>
    <cellStyle name="Обычный 3 5 2 2 8" xfId="8590"/>
    <cellStyle name="Обычный 3 5 2 2 9" xfId="8591"/>
    <cellStyle name="Обычный 3 5 2 3" xfId="3036"/>
    <cellStyle name="Обычный 3 5 2 3 2" xfId="8592"/>
    <cellStyle name="Обычный 3 5 2 3 3" xfId="8593"/>
    <cellStyle name="Обычный 3 5 2 3 4" xfId="8594"/>
    <cellStyle name="Обычный 3 5 2 3 5" xfId="8595"/>
    <cellStyle name="Обычный 3 5 2 3 6" xfId="8596"/>
    <cellStyle name="Обычный 3 5 2 4" xfId="3037"/>
    <cellStyle name="Обычный 3 5 2 4 2" xfId="8597"/>
    <cellStyle name="Обычный 3 5 2 4 3" xfId="8598"/>
    <cellStyle name="Обычный 3 5 2 4 4" xfId="8599"/>
    <cellStyle name="Обычный 3 5 2 4 5" xfId="8600"/>
    <cellStyle name="Обычный 3 5 2 4 6" xfId="8601"/>
    <cellStyle name="Обычный 3 5 2 5" xfId="3038"/>
    <cellStyle name="Обычный 3 5 2 5 2" xfId="8602"/>
    <cellStyle name="Обычный 3 5 2 5 3" xfId="8603"/>
    <cellStyle name="Обычный 3 5 2 5 4" xfId="8604"/>
    <cellStyle name="Обычный 3 5 2 5 5" xfId="8605"/>
    <cellStyle name="Обычный 3 5 2 5 6" xfId="8606"/>
    <cellStyle name="Обычный 3 5 2 6" xfId="8607"/>
    <cellStyle name="Обычный 3 5 2 7" xfId="8608"/>
    <cellStyle name="Обычный 3 5 2 8" xfId="8609"/>
    <cellStyle name="Обычный 3 5 2 9" xfId="8610"/>
    <cellStyle name="Обычный 3 5 3" xfId="3039"/>
    <cellStyle name="Обычный 3 5 3 2" xfId="3040"/>
    <cellStyle name="Обычный 3 5 3 2 2" xfId="8611"/>
    <cellStyle name="Обычный 3 5 3 2 3" xfId="8612"/>
    <cellStyle name="Обычный 3 5 3 2 4" xfId="8613"/>
    <cellStyle name="Обычный 3 5 3 2 5" xfId="8614"/>
    <cellStyle name="Обычный 3 5 3 2 6" xfId="8615"/>
    <cellStyle name="Обычный 3 5 3 3" xfId="3041"/>
    <cellStyle name="Обычный 3 5 3 3 2" xfId="8616"/>
    <cellStyle name="Обычный 3 5 3 3 3" xfId="8617"/>
    <cellStyle name="Обычный 3 5 3 3 4" xfId="8618"/>
    <cellStyle name="Обычный 3 5 3 3 5" xfId="8619"/>
    <cellStyle name="Обычный 3 5 3 3 6" xfId="8620"/>
    <cellStyle name="Обычный 3 5 3 4" xfId="3042"/>
    <cellStyle name="Обычный 3 5 3 4 2" xfId="8621"/>
    <cellStyle name="Обычный 3 5 3 4 3" xfId="8622"/>
    <cellStyle name="Обычный 3 5 3 4 4" xfId="8623"/>
    <cellStyle name="Обычный 3 5 3 4 5" xfId="8624"/>
    <cellStyle name="Обычный 3 5 3 4 6" xfId="8625"/>
    <cellStyle name="Обычный 3 5 3 5" xfId="8626"/>
    <cellStyle name="Обычный 3 5 3 6" xfId="8627"/>
    <cellStyle name="Обычный 3 5 3 7" xfId="8628"/>
    <cellStyle name="Обычный 3 5 3 8" xfId="8629"/>
    <cellStyle name="Обычный 3 5 3 9" xfId="8630"/>
    <cellStyle name="Обычный 3 5 4" xfId="3043"/>
    <cellStyle name="Обычный 3 5 4 2" xfId="8631"/>
    <cellStyle name="Обычный 3 5 4 3" xfId="8632"/>
    <cellStyle name="Обычный 3 5 4 4" xfId="8633"/>
    <cellStyle name="Обычный 3 5 4 5" xfId="8634"/>
    <cellStyle name="Обычный 3 5 4 6" xfId="8635"/>
    <cellStyle name="Обычный 3 5 5" xfId="3044"/>
    <cellStyle name="Обычный 3 5 5 2" xfId="8636"/>
    <cellStyle name="Обычный 3 5 5 3" xfId="8637"/>
    <cellStyle name="Обычный 3 5 5 4" xfId="8638"/>
    <cellStyle name="Обычный 3 5 5 5" xfId="8639"/>
    <cellStyle name="Обычный 3 5 5 6" xfId="8640"/>
    <cellStyle name="Обычный 3 5 6" xfId="3045"/>
    <cellStyle name="Обычный 3 5 6 2" xfId="8641"/>
    <cellStyle name="Обычный 3 5 6 3" xfId="8642"/>
    <cellStyle name="Обычный 3 5 6 4" xfId="8643"/>
    <cellStyle name="Обычный 3 5 6 5" xfId="8644"/>
    <cellStyle name="Обычный 3 5 6 6" xfId="8645"/>
    <cellStyle name="Обычный 3 5 7" xfId="8646"/>
    <cellStyle name="Обычный 3 5 8" xfId="8647"/>
    <cellStyle name="Обычный 3 5 9" xfId="8648"/>
    <cellStyle name="Обычный 3 6" xfId="3046"/>
    <cellStyle name="Обычный 3 6 2" xfId="3047"/>
    <cellStyle name="Обычный 3 6 3" xfId="3048"/>
    <cellStyle name="Обычный 3 7" xfId="3049"/>
    <cellStyle name="Обычный 3_косвен" xfId="3050"/>
    <cellStyle name="Обычный 30" xfId="3051"/>
    <cellStyle name="Обычный 30 10" xfId="5286"/>
    <cellStyle name="Обычный 30 11" xfId="8649"/>
    <cellStyle name="Обычный 30 12" xfId="8650"/>
    <cellStyle name="Обычный 30 13" xfId="8651"/>
    <cellStyle name="Обычный 30 14" xfId="8652"/>
    <cellStyle name="Обычный 30 2" xfId="3052"/>
    <cellStyle name="Обычный 30 2 10" xfId="8653"/>
    <cellStyle name="Обычный 30 2 2" xfId="3053"/>
    <cellStyle name="Обычный 30 2 2 2" xfId="3054"/>
    <cellStyle name="Обычный 30 2 2 2 2" xfId="8654"/>
    <cellStyle name="Обычный 30 2 2 2 3" xfId="8655"/>
    <cellStyle name="Обычный 30 2 2 2 4" xfId="8656"/>
    <cellStyle name="Обычный 30 2 2 2 5" xfId="8657"/>
    <cellStyle name="Обычный 30 2 2 2 6" xfId="8658"/>
    <cellStyle name="Обычный 30 2 2 3" xfId="3055"/>
    <cellStyle name="Обычный 30 2 2 3 2" xfId="8659"/>
    <cellStyle name="Обычный 30 2 2 3 3" xfId="8660"/>
    <cellStyle name="Обычный 30 2 2 3 4" xfId="8661"/>
    <cellStyle name="Обычный 30 2 2 3 5" xfId="8662"/>
    <cellStyle name="Обычный 30 2 2 3 6" xfId="8663"/>
    <cellStyle name="Обычный 30 2 2 4" xfId="3056"/>
    <cellStyle name="Обычный 30 2 2 4 2" xfId="8664"/>
    <cellStyle name="Обычный 30 2 2 4 3" xfId="8665"/>
    <cellStyle name="Обычный 30 2 2 4 4" xfId="8666"/>
    <cellStyle name="Обычный 30 2 2 4 5" xfId="8667"/>
    <cellStyle name="Обычный 30 2 2 4 6" xfId="8668"/>
    <cellStyle name="Обычный 30 2 2 5" xfId="8669"/>
    <cellStyle name="Обычный 30 2 2 6" xfId="8670"/>
    <cellStyle name="Обычный 30 2 2 7" xfId="8671"/>
    <cellStyle name="Обычный 30 2 2 8" xfId="8672"/>
    <cellStyle name="Обычный 30 2 2 9" xfId="8673"/>
    <cellStyle name="Обычный 30 2 3" xfId="3057"/>
    <cellStyle name="Обычный 30 2 3 2" xfId="8674"/>
    <cellStyle name="Обычный 30 2 3 3" xfId="8675"/>
    <cellStyle name="Обычный 30 2 3 4" xfId="8676"/>
    <cellStyle name="Обычный 30 2 3 5" xfId="8677"/>
    <cellStyle name="Обычный 30 2 3 6" xfId="8678"/>
    <cellStyle name="Обычный 30 2 4" xfId="3058"/>
    <cellStyle name="Обычный 30 2 4 2" xfId="8679"/>
    <cellStyle name="Обычный 30 2 4 3" xfId="8680"/>
    <cellStyle name="Обычный 30 2 4 4" xfId="8681"/>
    <cellStyle name="Обычный 30 2 4 5" xfId="8682"/>
    <cellStyle name="Обычный 30 2 4 6" xfId="8683"/>
    <cellStyle name="Обычный 30 2 5" xfId="3059"/>
    <cellStyle name="Обычный 30 2 5 2" xfId="8684"/>
    <cellStyle name="Обычный 30 2 5 3" xfId="8685"/>
    <cellStyle name="Обычный 30 2 5 4" xfId="8686"/>
    <cellStyle name="Обычный 30 2 5 5" xfId="8687"/>
    <cellStyle name="Обычный 30 2 5 6" xfId="8688"/>
    <cellStyle name="Обычный 30 2 6" xfId="8689"/>
    <cellStyle name="Обычный 30 2 7" xfId="8690"/>
    <cellStyle name="Обычный 30 2 8" xfId="8691"/>
    <cellStyle name="Обычный 30 2 9" xfId="8692"/>
    <cellStyle name="Обычный 30 3" xfId="3060"/>
    <cellStyle name="Обычный 30 3 10" xfId="8693"/>
    <cellStyle name="Обычный 30 3 2" xfId="3061"/>
    <cellStyle name="Обычный 30 3 2 2" xfId="3062"/>
    <cellStyle name="Обычный 30 3 2 2 2" xfId="8694"/>
    <cellStyle name="Обычный 30 3 2 2 3" xfId="8695"/>
    <cellStyle name="Обычный 30 3 2 2 4" xfId="8696"/>
    <cellStyle name="Обычный 30 3 2 2 5" xfId="8697"/>
    <cellStyle name="Обычный 30 3 2 2 6" xfId="8698"/>
    <cellStyle name="Обычный 30 3 2 3" xfId="3063"/>
    <cellStyle name="Обычный 30 3 2 3 2" xfId="8699"/>
    <cellStyle name="Обычный 30 3 2 3 3" xfId="8700"/>
    <cellStyle name="Обычный 30 3 2 3 4" xfId="8701"/>
    <cellStyle name="Обычный 30 3 2 3 5" xfId="8702"/>
    <cellStyle name="Обычный 30 3 2 3 6" xfId="8703"/>
    <cellStyle name="Обычный 30 3 2 4" xfId="3064"/>
    <cellStyle name="Обычный 30 3 2 4 2" xfId="8704"/>
    <cellStyle name="Обычный 30 3 2 4 3" xfId="8705"/>
    <cellStyle name="Обычный 30 3 2 4 4" xfId="8706"/>
    <cellStyle name="Обычный 30 3 2 4 5" xfId="8707"/>
    <cellStyle name="Обычный 30 3 2 4 6" xfId="8708"/>
    <cellStyle name="Обычный 30 3 2 5" xfId="8709"/>
    <cellStyle name="Обычный 30 3 2 6" xfId="8710"/>
    <cellStyle name="Обычный 30 3 2 7" xfId="8711"/>
    <cellStyle name="Обычный 30 3 2 8" xfId="8712"/>
    <cellStyle name="Обычный 30 3 2 9" xfId="8713"/>
    <cellStyle name="Обычный 30 3 3" xfId="3065"/>
    <cellStyle name="Обычный 30 3 3 2" xfId="8714"/>
    <cellStyle name="Обычный 30 3 3 3" xfId="8715"/>
    <cellStyle name="Обычный 30 3 3 4" xfId="8716"/>
    <cellStyle name="Обычный 30 3 3 5" xfId="8717"/>
    <cellStyle name="Обычный 30 3 3 6" xfId="8718"/>
    <cellStyle name="Обычный 30 3 4" xfId="3066"/>
    <cellStyle name="Обычный 30 3 4 2" xfId="8719"/>
    <cellStyle name="Обычный 30 3 4 3" xfId="8720"/>
    <cellStyle name="Обычный 30 3 4 4" xfId="8721"/>
    <cellStyle name="Обычный 30 3 4 5" xfId="8722"/>
    <cellStyle name="Обычный 30 3 4 6" xfId="8723"/>
    <cellStyle name="Обычный 30 3 5" xfId="3067"/>
    <cellStyle name="Обычный 30 3 5 2" xfId="8724"/>
    <cellStyle name="Обычный 30 3 5 3" xfId="8725"/>
    <cellStyle name="Обычный 30 3 5 4" xfId="8726"/>
    <cellStyle name="Обычный 30 3 5 5" xfId="8727"/>
    <cellStyle name="Обычный 30 3 5 6" xfId="8728"/>
    <cellStyle name="Обычный 30 3 6" xfId="8729"/>
    <cellStyle name="Обычный 30 3 7" xfId="8730"/>
    <cellStyle name="Обычный 30 3 8" xfId="8731"/>
    <cellStyle name="Обычный 30 3 9" xfId="8732"/>
    <cellStyle name="Обычный 30 4" xfId="3068"/>
    <cellStyle name="Обычный 30 4 10" xfId="8733"/>
    <cellStyle name="Обычный 30 4 2" xfId="3069"/>
    <cellStyle name="Обычный 30 4 2 2" xfId="3070"/>
    <cellStyle name="Обычный 30 4 2 2 2" xfId="8734"/>
    <cellStyle name="Обычный 30 4 2 2 3" xfId="8735"/>
    <cellStyle name="Обычный 30 4 2 2 4" xfId="8736"/>
    <cellStyle name="Обычный 30 4 2 2 5" xfId="8737"/>
    <cellStyle name="Обычный 30 4 2 2 6" xfId="8738"/>
    <cellStyle name="Обычный 30 4 2 3" xfId="3071"/>
    <cellStyle name="Обычный 30 4 2 3 2" xfId="8739"/>
    <cellStyle name="Обычный 30 4 2 3 3" xfId="8740"/>
    <cellStyle name="Обычный 30 4 2 3 4" xfId="8741"/>
    <cellStyle name="Обычный 30 4 2 3 5" xfId="8742"/>
    <cellStyle name="Обычный 30 4 2 3 6" xfId="8743"/>
    <cellStyle name="Обычный 30 4 2 4" xfId="3072"/>
    <cellStyle name="Обычный 30 4 2 4 2" xfId="8744"/>
    <cellStyle name="Обычный 30 4 2 4 3" xfId="8745"/>
    <cellStyle name="Обычный 30 4 2 4 4" xfId="8746"/>
    <cellStyle name="Обычный 30 4 2 4 5" xfId="8747"/>
    <cellStyle name="Обычный 30 4 2 4 6" xfId="8748"/>
    <cellStyle name="Обычный 30 4 2 5" xfId="8749"/>
    <cellStyle name="Обычный 30 4 2 6" xfId="8750"/>
    <cellStyle name="Обычный 30 4 2 7" xfId="8751"/>
    <cellStyle name="Обычный 30 4 2 8" xfId="8752"/>
    <cellStyle name="Обычный 30 4 2 9" xfId="8753"/>
    <cellStyle name="Обычный 30 4 3" xfId="3073"/>
    <cellStyle name="Обычный 30 4 3 2" xfId="8754"/>
    <cellStyle name="Обычный 30 4 3 3" xfId="8755"/>
    <cellStyle name="Обычный 30 4 3 4" xfId="8756"/>
    <cellStyle name="Обычный 30 4 3 5" xfId="8757"/>
    <cellStyle name="Обычный 30 4 3 6" xfId="8758"/>
    <cellStyle name="Обычный 30 4 4" xfId="3074"/>
    <cellStyle name="Обычный 30 4 4 2" xfId="8759"/>
    <cellStyle name="Обычный 30 4 4 3" xfId="8760"/>
    <cellStyle name="Обычный 30 4 4 4" xfId="8761"/>
    <cellStyle name="Обычный 30 4 4 5" xfId="8762"/>
    <cellStyle name="Обычный 30 4 4 6" xfId="8763"/>
    <cellStyle name="Обычный 30 4 5" xfId="3075"/>
    <cellStyle name="Обычный 30 4 5 2" xfId="8764"/>
    <cellStyle name="Обычный 30 4 5 3" xfId="8765"/>
    <cellStyle name="Обычный 30 4 5 4" xfId="8766"/>
    <cellStyle name="Обычный 30 4 5 5" xfId="8767"/>
    <cellStyle name="Обычный 30 4 5 6" xfId="8768"/>
    <cellStyle name="Обычный 30 4 6" xfId="8769"/>
    <cellStyle name="Обычный 30 4 7" xfId="8770"/>
    <cellStyle name="Обычный 30 4 8" xfId="8771"/>
    <cellStyle name="Обычный 30 4 9" xfId="8772"/>
    <cellStyle name="Обычный 30 5" xfId="3076"/>
    <cellStyle name="Обычный 30 5 2" xfId="3077"/>
    <cellStyle name="Обычный 30 5 2 2" xfId="8773"/>
    <cellStyle name="Обычный 30 5 2 3" xfId="8774"/>
    <cellStyle name="Обычный 30 5 2 4" xfId="8775"/>
    <cellStyle name="Обычный 30 5 2 5" xfId="8776"/>
    <cellStyle name="Обычный 30 5 2 6" xfId="8777"/>
    <cellStyle name="Обычный 30 5 3" xfId="3078"/>
    <cellStyle name="Обычный 30 5 3 2" xfId="8778"/>
    <cellStyle name="Обычный 30 5 3 3" xfId="8779"/>
    <cellStyle name="Обычный 30 5 3 4" xfId="8780"/>
    <cellStyle name="Обычный 30 5 3 5" xfId="8781"/>
    <cellStyle name="Обычный 30 5 3 6" xfId="8782"/>
    <cellStyle name="Обычный 30 5 4" xfId="3079"/>
    <cellStyle name="Обычный 30 5 4 2" xfId="8783"/>
    <cellStyle name="Обычный 30 5 4 3" xfId="8784"/>
    <cellStyle name="Обычный 30 5 4 4" xfId="8785"/>
    <cellStyle name="Обычный 30 5 4 5" xfId="8786"/>
    <cellStyle name="Обычный 30 5 4 6" xfId="8787"/>
    <cellStyle name="Обычный 30 5 5" xfId="8788"/>
    <cellStyle name="Обычный 30 5 6" xfId="8789"/>
    <cellStyle name="Обычный 30 5 7" xfId="8790"/>
    <cellStyle name="Обычный 30 5 8" xfId="8791"/>
    <cellStyle name="Обычный 30 5 9" xfId="8792"/>
    <cellStyle name="Обычный 30 6" xfId="3080"/>
    <cellStyle name="Обычный 30 6 2" xfId="3081"/>
    <cellStyle name="Обычный 30 6 2 2" xfId="8793"/>
    <cellStyle name="Обычный 30 6 2 3" xfId="8794"/>
    <cellStyle name="Обычный 30 6 2 4" xfId="8795"/>
    <cellStyle name="Обычный 30 6 2 5" xfId="8796"/>
    <cellStyle name="Обычный 30 6 2 6" xfId="8797"/>
    <cellStyle name="Обычный 30 6 3" xfId="3082"/>
    <cellStyle name="Обычный 30 6 3 2" xfId="8798"/>
    <cellStyle name="Обычный 30 6 3 3" xfId="8799"/>
    <cellStyle name="Обычный 30 6 3 4" xfId="8800"/>
    <cellStyle name="Обычный 30 6 3 5" xfId="8801"/>
    <cellStyle name="Обычный 30 6 3 6" xfId="8802"/>
    <cellStyle name="Обычный 30 6 4" xfId="3083"/>
    <cellStyle name="Обычный 30 6 4 2" xfId="8803"/>
    <cellStyle name="Обычный 30 6 4 3" xfId="8804"/>
    <cellStyle name="Обычный 30 6 4 4" xfId="8805"/>
    <cellStyle name="Обычный 30 6 4 5" xfId="8806"/>
    <cellStyle name="Обычный 30 6 4 6" xfId="8807"/>
    <cellStyle name="Обычный 30 6 5" xfId="8808"/>
    <cellStyle name="Обычный 30 6 6" xfId="8809"/>
    <cellStyle name="Обычный 30 6 7" xfId="8810"/>
    <cellStyle name="Обычный 30 6 8" xfId="8811"/>
    <cellStyle name="Обычный 30 6 9" xfId="8812"/>
    <cellStyle name="Обычный 30 7" xfId="3084"/>
    <cellStyle name="Обычный 30 7 2" xfId="8813"/>
    <cellStyle name="Обычный 30 7 3" xfId="8814"/>
    <cellStyle name="Обычный 30 7 4" xfId="8815"/>
    <cellStyle name="Обычный 30 7 5" xfId="8816"/>
    <cellStyle name="Обычный 30 7 6" xfId="8817"/>
    <cellStyle name="Обычный 30 8" xfId="3085"/>
    <cellStyle name="Обычный 30 8 2" xfId="8818"/>
    <cellStyle name="Обычный 30 8 3" xfId="8819"/>
    <cellStyle name="Обычный 30 8 4" xfId="8820"/>
    <cellStyle name="Обычный 30 8 5" xfId="8821"/>
    <cellStyle name="Обычный 30 8 6" xfId="8822"/>
    <cellStyle name="Обычный 30 9" xfId="3086"/>
    <cellStyle name="Обычный 30 9 2" xfId="8823"/>
    <cellStyle name="Обычный 30 9 3" xfId="8824"/>
    <cellStyle name="Обычный 30 9 4" xfId="8825"/>
    <cellStyle name="Обычный 30 9 5" xfId="8826"/>
    <cellStyle name="Обычный 30 9 6" xfId="8827"/>
    <cellStyle name="Обычный 31" xfId="3087"/>
    <cellStyle name="Обычный 31 10" xfId="8828"/>
    <cellStyle name="Обычный 31 11" xfId="8829"/>
    <cellStyle name="Обычный 31 12" xfId="8830"/>
    <cellStyle name="Обычный 31 2" xfId="3088"/>
    <cellStyle name="Обычный 31 2 10" xfId="8831"/>
    <cellStyle name="Обычный 31 2 2" xfId="3089"/>
    <cellStyle name="Обычный 31 2 2 2" xfId="3090"/>
    <cellStyle name="Обычный 31 2 2 2 2" xfId="8832"/>
    <cellStyle name="Обычный 31 2 2 2 3" xfId="8833"/>
    <cellStyle name="Обычный 31 2 2 2 4" xfId="8834"/>
    <cellStyle name="Обычный 31 2 2 2 5" xfId="8835"/>
    <cellStyle name="Обычный 31 2 2 2 6" xfId="8836"/>
    <cellStyle name="Обычный 31 2 2 3" xfId="3091"/>
    <cellStyle name="Обычный 31 2 2 3 2" xfId="8837"/>
    <cellStyle name="Обычный 31 2 2 3 3" xfId="8838"/>
    <cellStyle name="Обычный 31 2 2 3 4" xfId="8839"/>
    <cellStyle name="Обычный 31 2 2 3 5" xfId="8840"/>
    <cellStyle name="Обычный 31 2 2 3 6" xfId="8841"/>
    <cellStyle name="Обычный 31 2 2 4" xfId="3092"/>
    <cellStyle name="Обычный 31 2 2 4 2" xfId="8842"/>
    <cellStyle name="Обычный 31 2 2 4 3" xfId="8843"/>
    <cellStyle name="Обычный 31 2 2 4 4" xfId="8844"/>
    <cellStyle name="Обычный 31 2 2 4 5" xfId="8845"/>
    <cellStyle name="Обычный 31 2 2 4 6" xfId="8846"/>
    <cellStyle name="Обычный 31 2 2 5" xfId="8847"/>
    <cellStyle name="Обычный 31 2 2 6" xfId="8848"/>
    <cellStyle name="Обычный 31 2 2 7" xfId="8849"/>
    <cellStyle name="Обычный 31 2 2 8" xfId="8850"/>
    <cellStyle name="Обычный 31 2 2 9" xfId="8851"/>
    <cellStyle name="Обычный 31 2 3" xfId="3093"/>
    <cellStyle name="Обычный 31 2 3 2" xfId="8852"/>
    <cellStyle name="Обычный 31 2 3 3" xfId="8853"/>
    <cellStyle name="Обычный 31 2 3 4" xfId="8854"/>
    <cellStyle name="Обычный 31 2 3 5" xfId="8855"/>
    <cellStyle name="Обычный 31 2 3 6" xfId="8856"/>
    <cellStyle name="Обычный 31 2 4" xfId="3094"/>
    <cellStyle name="Обычный 31 2 4 2" xfId="8857"/>
    <cellStyle name="Обычный 31 2 4 3" xfId="8858"/>
    <cellStyle name="Обычный 31 2 4 4" xfId="8859"/>
    <cellStyle name="Обычный 31 2 4 5" xfId="8860"/>
    <cellStyle name="Обычный 31 2 4 6" xfId="8861"/>
    <cellStyle name="Обычный 31 2 5" xfId="3095"/>
    <cellStyle name="Обычный 31 2 5 2" xfId="8862"/>
    <cellStyle name="Обычный 31 2 5 3" xfId="8863"/>
    <cellStyle name="Обычный 31 2 5 4" xfId="8864"/>
    <cellStyle name="Обычный 31 2 5 5" xfId="8865"/>
    <cellStyle name="Обычный 31 2 5 6" xfId="8866"/>
    <cellStyle name="Обычный 31 2 6" xfId="8867"/>
    <cellStyle name="Обычный 31 2 7" xfId="8868"/>
    <cellStyle name="Обычный 31 2 8" xfId="8869"/>
    <cellStyle name="Обычный 31 2 9" xfId="8870"/>
    <cellStyle name="Обычный 31 3" xfId="3096"/>
    <cellStyle name="Обычный 31 3 2" xfId="3097"/>
    <cellStyle name="Обычный 31 3 2 2" xfId="8871"/>
    <cellStyle name="Обычный 31 3 2 3" xfId="8872"/>
    <cellStyle name="Обычный 31 3 2 4" xfId="8873"/>
    <cellStyle name="Обычный 31 3 2 5" xfId="8874"/>
    <cellStyle name="Обычный 31 3 2 6" xfId="8875"/>
    <cellStyle name="Обычный 31 3 3" xfId="3098"/>
    <cellStyle name="Обычный 31 3 3 2" xfId="8876"/>
    <cellStyle name="Обычный 31 3 3 3" xfId="8877"/>
    <cellStyle name="Обычный 31 3 3 4" xfId="8878"/>
    <cellStyle name="Обычный 31 3 3 5" xfId="8879"/>
    <cellStyle name="Обычный 31 3 3 6" xfId="8880"/>
    <cellStyle name="Обычный 31 3 4" xfId="3099"/>
    <cellStyle name="Обычный 31 3 4 2" xfId="8881"/>
    <cellStyle name="Обычный 31 3 4 3" xfId="8882"/>
    <cellStyle name="Обычный 31 3 4 4" xfId="8883"/>
    <cellStyle name="Обычный 31 3 4 5" xfId="8884"/>
    <cellStyle name="Обычный 31 3 4 6" xfId="8885"/>
    <cellStyle name="Обычный 31 3 5" xfId="8886"/>
    <cellStyle name="Обычный 31 3 6" xfId="8887"/>
    <cellStyle name="Обычный 31 3 7" xfId="8888"/>
    <cellStyle name="Обычный 31 3 8" xfId="8889"/>
    <cellStyle name="Обычный 31 3 9" xfId="8890"/>
    <cellStyle name="Обычный 31 4" xfId="3100"/>
    <cellStyle name="Обычный 31 4 2" xfId="3101"/>
    <cellStyle name="Обычный 31 4 2 2" xfId="8891"/>
    <cellStyle name="Обычный 31 4 2 3" xfId="8892"/>
    <cellStyle name="Обычный 31 4 2 4" xfId="8893"/>
    <cellStyle name="Обычный 31 4 2 5" xfId="8894"/>
    <cellStyle name="Обычный 31 4 2 6" xfId="8895"/>
    <cellStyle name="Обычный 31 4 3" xfId="3102"/>
    <cellStyle name="Обычный 31 4 3 2" xfId="8896"/>
    <cellStyle name="Обычный 31 4 3 3" xfId="8897"/>
    <cellStyle name="Обычный 31 4 3 4" xfId="8898"/>
    <cellStyle name="Обычный 31 4 3 5" xfId="8899"/>
    <cellStyle name="Обычный 31 4 3 6" xfId="8900"/>
    <cellStyle name="Обычный 31 4 4" xfId="3103"/>
    <cellStyle name="Обычный 31 4 4 2" xfId="8901"/>
    <cellStyle name="Обычный 31 4 4 3" xfId="8902"/>
    <cellStyle name="Обычный 31 4 4 4" xfId="8903"/>
    <cellStyle name="Обычный 31 4 4 5" xfId="8904"/>
    <cellStyle name="Обычный 31 4 4 6" xfId="8905"/>
    <cellStyle name="Обычный 31 4 5" xfId="8906"/>
    <cellStyle name="Обычный 31 4 6" xfId="8907"/>
    <cellStyle name="Обычный 31 4 7" xfId="8908"/>
    <cellStyle name="Обычный 31 4 8" xfId="8909"/>
    <cellStyle name="Обычный 31 4 9" xfId="8910"/>
    <cellStyle name="Обычный 31 5" xfId="3104"/>
    <cellStyle name="Обычный 31 5 2" xfId="8911"/>
    <cellStyle name="Обычный 31 5 3" xfId="8912"/>
    <cellStyle name="Обычный 31 5 4" xfId="8913"/>
    <cellStyle name="Обычный 31 5 5" xfId="8914"/>
    <cellStyle name="Обычный 31 5 6" xfId="8915"/>
    <cellStyle name="Обычный 31 6" xfId="3105"/>
    <cellStyle name="Обычный 31 6 2" xfId="8916"/>
    <cellStyle name="Обычный 31 6 3" xfId="8917"/>
    <cellStyle name="Обычный 31 6 4" xfId="8918"/>
    <cellStyle name="Обычный 31 6 5" xfId="8919"/>
    <cellStyle name="Обычный 31 6 6" xfId="8920"/>
    <cellStyle name="Обычный 31 7" xfId="3106"/>
    <cellStyle name="Обычный 31 7 2" xfId="8921"/>
    <cellStyle name="Обычный 31 7 3" xfId="8922"/>
    <cellStyle name="Обычный 31 7 4" xfId="8923"/>
    <cellStyle name="Обычный 31 7 5" xfId="8924"/>
    <cellStyle name="Обычный 31 7 6" xfId="8925"/>
    <cellStyle name="Обычный 31 8" xfId="5287"/>
    <cellStyle name="Обычный 31 9" xfId="8926"/>
    <cellStyle name="Обычный 32" xfId="3107"/>
    <cellStyle name="Обычный 32 10" xfId="8927"/>
    <cellStyle name="Обычный 32 11" xfId="8928"/>
    <cellStyle name="Обычный 32 12" xfId="8929"/>
    <cellStyle name="Обычный 32 2" xfId="3108"/>
    <cellStyle name="Обычный 32 2 10" xfId="8930"/>
    <cellStyle name="Обычный 32 2 2" xfId="3109"/>
    <cellStyle name="Обычный 32 2 2 2" xfId="3110"/>
    <cellStyle name="Обычный 32 2 2 2 2" xfId="8931"/>
    <cellStyle name="Обычный 32 2 2 2 3" xfId="8932"/>
    <cellStyle name="Обычный 32 2 2 2 4" xfId="8933"/>
    <cellStyle name="Обычный 32 2 2 2 5" xfId="8934"/>
    <cellStyle name="Обычный 32 2 2 2 6" xfId="8935"/>
    <cellStyle name="Обычный 32 2 2 3" xfId="3111"/>
    <cellStyle name="Обычный 32 2 2 3 2" xfId="8936"/>
    <cellStyle name="Обычный 32 2 2 3 3" xfId="8937"/>
    <cellStyle name="Обычный 32 2 2 3 4" xfId="8938"/>
    <cellStyle name="Обычный 32 2 2 3 5" xfId="8939"/>
    <cellStyle name="Обычный 32 2 2 3 6" xfId="8940"/>
    <cellStyle name="Обычный 32 2 2 4" xfId="3112"/>
    <cellStyle name="Обычный 32 2 2 4 2" xfId="8941"/>
    <cellStyle name="Обычный 32 2 2 4 3" xfId="8942"/>
    <cellStyle name="Обычный 32 2 2 4 4" xfId="8943"/>
    <cellStyle name="Обычный 32 2 2 4 5" xfId="8944"/>
    <cellStyle name="Обычный 32 2 2 4 6" xfId="8945"/>
    <cellStyle name="Обычный 32 2 2 5" xfId="8946"/>
    <cellStyle name="Обычный 32 2 2 6" xfId="8947"/>
    <cellStyle name="Обычный 32 2 2 7" xfId="8948"/>
    <cellStyle name="Обычный 32 2 2 8" xfId="8949"/>
    <cellStyle name="Обычный 32 2 2 9" xfId="8950"/>
    <cellStyle name="Обычный 32 2 3" xfId="3113"/>
    <cellStyle name="Обычный 32 2 3 2" xfId="8951"/>
    <cellStyle name="Обычный 32 2 3 3" xfId="8952"/>
    <cellStyle name="Обычный 32 2 3 4" xfId="8953"/>
    <cellStyle name="Обычный 32 2 3 5" xfId="8954"/>
    <cellStyle name="Обычный 32 2 3 6" xfId="8955"/>
    <cellStyle name="Обычный 32 2 4" xfId="3114"/>
    <cellStyle name="Обычный 32 2 4 2" xfId="8956"/>
    <cellStyle name="Обычный 32 2 4 3" xfId="8957"/>
    <cellStyle name="Обычный 32 2 4 4" xfId="8958"/>
    <cellStyle name="Обычный 32 2 4 5" xfId="8959"/>
    <cellStyle name="Обычный 32 2 4 6" xfId="8960"/>
    <cellStyle name="Обычный 32 2 5" xfId="3115"/>
    <cellStyle name="Обычный 32 2 5 2" xfId="8961"/>
    <cellStyle name="Обычный 32 2 5 3" xfId="8962"/>
    <cellStyle name="Обычный 32 2 5 4" xfId="8963"/>
    <cellStyle name="Обычный 32 2 5 5" xfId="8964"/>
    <cellStyle name="Обычный 32 2 5 6" xfId="8965"/>
    <cellStyle name="Обычный 32 2 6" xfId="8966"/>
    <cellStyle name="Обычный 32 2 7" xfId="8967"/>
    <cellStyle name="Обычный 32 2 8" xfId="8968"/>
    <cellStyle name="Обычный 32 2 9" xfId="8969"/>
    <cellStyle name="Обычный 32 3" xfId="3116"/>
    <cellStyle name="Обычный 32 3 2" xfId="3117"/>
    <cellStyle name="Обычный 32 3 2 2" xfId="8970"/>
    <cellStyle name="Обычный 32 3 2 3" xfId="8971"/>
    <cellStyle name="Обычный 32 3 2 4" xfId="8972"/>
    <cellStyle name="Обычный 32 3 2 5" xfId="8973"/>
    <cellStyle name="Обычный 32 3 2 6" xfId="8974"/>
    <cellStyle name="Обычный 32 3 3" xfId="3118"/>
    <cellStyle name="Обычный 32 3 3 2" xfId="8975"/>
    <cellStyle name="Обычный 32 3 3 3" xfId="8976"/>
    <cellStyle name="Обычный 32 3 3 4" xfId="8977"/>
    <cellStyle name="Обычный 32 3 3 5" xfId="8978"/>
    <cellStyle name="Обычный 32 3 3 6" xfId="8979"/>
    <cellStyle name="Обычный 32 3 4" xfId="3119"/>
    <cellStyle name="Обычный 32 3 4 2" xfId="8980"/>
    <cellStyle name="Обычный 32 3 4 3" xfId="8981"/>
    <cellStyle name="Обычный 32 3 4 4" xfId="8982"/>
    <cellStyle name="Обычный 32 3 4 5" xfId="8983"/>
    <cellStyle name="Обычный 32 3 4 6" xfId="8984"/>
    <cellStyle name="Обычный 32 3 5" xfId="8985"/>
    <cellStyle name="Обычный 32 3 6" xfId="8986"/>
    <cellStyle name="Обычный 32 3 7" xfId="8987"/>
    <cellStyle name="Обычный 32 3 8" xfId="8988"/>
    <cellStyle name="Обычный 32 3 9" xfId="8989"/>
    <cellStyle name="Обычный 32 4" xfId="3120"/>
    <cellStyle name="Обычный 32 4 2" xfId="3121"/>
    <cellStyle name="Обычный 32 4 2 2" xfId="8990"/>
    <cellStyle name="Обычный 32 4 2 3" xfId="8991"/>
    <cellStyle name="Обычный 32 4 2 4" xfId="8992"/>
    <cellStyle name="Обычный 32 4 2 5" xfId="8993"/>
    <cellStyle name="Обычный 32 4 2 6" xfId="8994"/>
    <cellStyle name="Обычный 32 4 3" xfId="3122"/>
    <cellStyle name="Обычный 32 4 3 2" xfId="8995"/>
    <cellStyle name="Обычный 32 4 3 3" xfId="8996"/>
    <cellStyle name="Обычный 32 4 3 4" xfId="8997"/>
    <cellStyle name="Обычный 32 4 3 5" xfId="8998"/>
    <cellStyle name="Обычный 32 4 3 6" xfId="8999"/>
    <cellStyle name="Обычный 32 4 4" xfId="3123"/>
    <cellStyle name="Обычный 32 4 4 2" xfId="9000"/>
    <cellStyle name="Обычный 32 4 4 3" xfId="9001"/>
    <cellStyle name="Обычный 32 4 4 4" xfId="9002"/>
    <cellStyle name="Обычный 32 4 4 5" xfId="9003"/>
    <cellStyle name="Обычный 32 4 4 6" xfId="9004"/>
    <cellStyle name="Обычный 32 4 5" xfId="9005"/>
    <cellStyle name="Обычный 32 4 6" xfId="9006"/>
    <cellStyle name="Обычный 32 4 7" xfId="9007"/>
    <cellStyle name="Обычный 32 4 8" xfId="9008"/>
    <cellStyle name="Обычный 32 4 9" xfId="9009"/>
    <cellStyle name="Обычный 32 5" xfId="3124"/>
    <cellStyle name="Обычный 32 5 2" xfId="9010"/>
    <cellStyle name="Обычный 32 5 3" xfId="9011"/>
    <cellStyle name="Обычный 32 5 4" xfId="9012"/>
    <cellStyle name="Обычный 32 5 5" xfId="9013"/>
    <cellStyle name="Обычный 32 5 6" xfId="9014"/>
    <cellStyle name="Обычный 32 6" xfId="3125"/>
    <cellStyle name="Обычный 32 6 2" xfId="9015"/>
    <cellStyle name="Обычный 32 6 3" xfId="9016"/>
    <cellStyle name="Обычный 32 6 4" xfId="9017"/>
    <cellStyle name="Обычный 32 6 5" xfId="9018"/>
    <cellStyle name="Обычный 32 6 6" xfId="9019"/>
    <cellStyle name="Обычный 32 7" xfId="3126"/>
    <cellStyle name="Обычный 32 7 2" xfId="9020"/>
    <cellStyle name="Обычный 32 7 3" xfId="9021"/>
    <cellStyle name="Обычный 32 7 4" xfId="9022"/>
    <cellStyle name="Обычный 32 7 5" xfId="9023"/>
    <cellStyle name="Обычный 32 7 6" xfId="9024"/>
    <cellStyle name="Обычный 32 8" xfId="5288"/>
    <cellStyle name="Обычный 32 9" xfId="9025"/>
    <cellStyle name="Обычный 33" xfId="3127"/>
    <cellStyle name="Обычный 33 10" xfId="9026"/>
    <cellStyle name="Обычный 33 11" xfId="9027"/>
    <cellStyle name="Обычный 33 12" xfId="9028"/>
    <cellStyle name="Обычный 33 13" xfId="9029"/>
    <cellStyle name="Обычный 33 2" xfId="3128"/>
    <cellStyle name="Обычный 33 2 10" xfId="9030"/>
    <cellStyle name="Обычный 33 2 2" xfId="3129"/>
    <cellStyle name="Обычный 33 2 2 2" xfId="3130"/>
    <cellStyle name="Обычный 33 2 2 2 2" xfId="9031"/>
    <cellStyle name="Обычный 33 2 2 2 3" xfId="9032"/>
    <cellStyle name="Обычный 33 2 2 2 4" xfId="9033"/>
    <cellStyle name="Обычный 33 2 2 2 5" xfId="9034"/>
    <cellStyle name="Обычный 33 2 2 2 6" xfId="9035"/>
    <cellStyle name="Обычный 33 2 2 3" xfId="3131"/>
    <cellStyle name="Обычный 33 2 2 3 2" xfId="9036"/>
    <cellStyle name="Обычный 33 2 2 3 3" xfId="9037"/>
    <cellStyle name="Обычный 33 2 2 3 4" xfId="9038"/>
    <cellStyle name="Обычный 33 2 2 3 5" xfId="9039"/>
    <cellStyle name="Обычный 33 2 2 3 6" xfId="9040"/>
    <cellStyle name="Обычный 33 2 2 4" xfId="3132"/>
    <cellStyle name="Обычный 33 2 2 4 2" xfId="9041"/>
    <cellStyle name="Обычный 33 2 2 4 3" xfId="9042"/>
    <cellStyle name="Обычный 33 2 2 4 4" xfId="9043"/>
    <cellStyle name="Обычный 33 2 2 4 5" xfId="9044"/>
    <cellStyle name="Обычный 33 2 2 4 6" xfId="9045"/>
    <cellStyle name="Обычный 33 2 2 5" xfId="9046"/>
    <cellStyle name="Обычный 33 2 2 6" xfId="9047"/>
    <cellStyle name="Обычный 33 2 2 7" xfId="9048"/>
    <cellStyle name="Обычный 33 2 2 8" xfId="9049"/>
    <cellStyle name="Обычный 33 2 2 9" xfId="9050"/>
    <cellStyle name="Обычный 33 2 3" xfId="3133"/>
    <cellStyle name="Обычный 33 2 3 2" xfId="9051"/>
    <cellStyle name="Обычный 33 2 3 3" xfId="9052"/>
    <cellStyle name="Обычный 33 2 3 4" xfId="9053"/>
    <cellStyle name="Обычный 33 2 3 5" xfId="9054"/>
    <cellStyle name="Обычный 33 2 3 6" xfId="9055"/>
    <cellStyle name="Обычный 33 2 4" xfId="3134"/>
    <cellStyle name="Обычный 33 2 4 2" xfId="9056"/>
    <cellStyle name="Обычный 33 2 4 3" xfId="9057"/>
    <cellStyle name="Обычный 33 2 4 4" xfId="9058"/>
    <cellStyle name="Обычный 33 2 4 5" xfId="9059"/>
    <cellStyle name="Обычный 33 2 4 6" xfId="9060"/>
    <cellStyle name="Обычный 33 2 5" xfId="3135"/>
    <cellStyle name="Обычный 33 2 5 2" xfId="9061"/>
    <cellStyle name="Обычный 33 2 5 3" xfId="9062"/>
    <cellStyle name="Обычный 33 2 5 4" xfId="9063"/>
    <cellStyle name="Обычный 33 2 5 5" xfId="9064"/>
    <cellStyle name="Обычный 33 2 5 6" xfId="9065"/>
    <cellStyle name="Обычный 33 2 6" xfId="9066"/>
    <cellStyle name="Обычный 33 2 7" xfId="9067"/>
    <cellStyle name="Обычный 33 2 8" xfId="9068"/>
    <cellStyle name="Обычный 33 2 9" xfId="9069"/>
    <cellStyle name="Обычный 33 3" xfId="3136"/>
    <cellStyle name="Обычный 33 3 10" xfId="9070"/>
    <cellStyle name="Обычный 33 3 2" xfId="3137"/>
    <cellStyle name="Обычный 33 3 2 2" xfId="3138"/>
    <cellStyle name="Обычный 33 3 2 2 2" xfId="9071"/>
    <cellStyle name="Обычный 33 3 2 2 3" xfId="9072"/>
    <cellStyle name="Обычный 33 3 2 2 4" xfId="9073"/>
    <cellStyle name="Обычный 33 3 2 2 5" xfId="9074"/>
    <cellStyle name="Обычный 33 3 2 2 6" xfId="9075"/>
    <cellStyle name="Обычный 33 3 2 3" xfId="3139"/>
    <cellStyle name="Обычный 33 3 2 3 2" xfId="9076"/>
    <cellStyle name="Обычный 33 3 2 3 3" xfId="9077"/>
    <cellStyle name="Обычный 33 3 2 3 4" xfId="9078"/>
    <cellStyle name="Обычный 33 3 2 3 5" xfId="9079"/>
    <cellStyle name="Обычный 33 3 2 3 6" xfId="9080"/>
    <cellStyle name="Обычный 33 3 2 4" xfId="3140"/>
    <cellStyle name="Обычный 33 3 2 4 2" xfId="9081"/>
    <cellStyle name="Обычный 33 3 2 4 3" xfId="9082"/>
    <cellStyle name="Обычный 33 3 2 4 4" xfId="9083"/>
    <cellStyle name="Обычный 33 3 2 4 5" xfId="9084"/>
    <cellStyle name="Обычный 33 3 2 4 6" xfId="9085"/>
    <cellStyle name="Обычный 33 3 2 5" xfId="9086"/>
    <cellStyle name="Обычный 33 3 2 6" xfId="9087"/>
    <cellStyle name="Обычный 33 3 2 7" xfId="9088"/>
    <cellStyle name="Обычный 33 3 2 8" xfId="9089"/>
    <cellStyle name="Обычный 33 3 2 9" xfId="9090"/>
    <cellStyle name="Обычный 33 3 3" xfId="3141"/>
    <cellStyle name="Обычный 33 3 3 2" xfId="9091"/>
    <cellStyle name="Обычный 33 3 3 3" xfId="9092"/>
    <cellStyle name="Обычный 33 3 3 4" xfId="9093"/>
    <cellStyle name="Обычный 33 3 3 5" xfId="9094"/>
    <cellStyle name="Обычный 33 3 3 6" xfId="9095"/>
    <cellStyle name="Обычный 33 3 4" xfId="3142"/>
    <cellStyle name="Обычный 33 3 4 2" xfId="9096"/>
    <cellStyle name="Обычный 33 3 4 3" xfId="9097"/>
    <cellStyle name="Обычный 33 3 4 4" xfId="9098"/>
    <cellStyle name="Обычный 33 3 4 5" xfId="9099"/>
    <cellStyle name="Обычный 33 3 4 6" xfId="9100"/>
    <cellStyle name="Обычный 33 3 5" xfId="3143"/>
    <cellStyle name="Обычный 33 3 5 2" xfId="9101"/>
    <cellStyle name="Обычный 33 3 5 3" xfId="9102"/>
    <cellStyle name="Обычный 33 3 5 4" xfId="9103"/>
    <cellStyle name="Обычный 33 3 5 5" xfId="9104"/>
    <cellStyle name="Обычный 33 3 5 6" xfId="9105"/>
    <cellStyle name="Обычный 33 3 6" xfId="9106"/>
    <cellStyle name="Обычный 33 3 7" xfId="9107"/>
    <cellStyle name="Обычный 33 3 8" xfId="9108"/>
    <cellStyle name="Обычный 33 3 9" xfId="9109"/>
    <cellStyle name="Обычный 33 4" xfId="3144"/>
    <cellStyle name="Обычный 33 4 2" xfId="3145"/>
    <cellStyle name="Обычный 33 4 2 2" xfId="9110"/>
    <cellStyle name="Обычный 33 4 2 3" xfId="9111"/>
    <cellStyle name="Обычный 33 4 2 4" xfId="9112"/>
    <cellStyle name="Обычный 33 4 2 5" xfId="9113"/>
    <cellStyle name="Обычный 33 4 2 6" xfId="9114"/>
    <cellStyle name="Обычный 33 4 3" xfId="3146"/>
    <cellStyle name="Обычный 33 4 3 2" xfId="9115"/>
    <cellStyle name="Обычный 33 4 3 3" xfId="9116"/>
    <cellStyle name="Обычный 33 4 3 4" xfId="9117"/>
    <cellStyle name="Обычный 33 4 3 5" xfId="9118"/>
    <cellStyle name="Обычный 33 4 3 6" xfId="9119"/>
    <cellStyle name="Обычный 33 4 4" xfId="3147"/>
    <cellStyle name="Обычный 33 4 4 2" xfId="9120"/>
    <cellStyle name="Обычный 33 4 4 3" xfId="9121"/>
    <cellStyle name="Обычный 33 4 4 4" xfId="9122"/>
    <cellStyle name="Обычный 33 4 4 5" xfId="9123"/>
    <cellStyle name="Обычный 33 4 4 6" xfId="9124"/>
    <cellStyle name="Обычный 33 4 5" xfId="9125"/>
    <cellStyle name="Обычный 33 4 6" xfId="9126"/>
    <cellStyle name="Обычный 33 4 7" xfId="9127"/>
    <cellStyle name="Обычный 33 4 8" xfId="9128"/>
    <cellStyle name="Обычный 33 4 9" xfId="9129"/>
    <cellStyle name="Обычный 33 5" xfId="3148"/>
    <cellStyle name="Обычный 33 5 2" xfId="3149"/>
    <cellStyle name="Обычный 33 5 2 2" xfId="9130"/>
    <cellStyle name="Обычный 33 5 2 3" xfId="9131"/>
    <cellStyle name="Обычный 33 5 2 4" xfId="9132"/>
    <cellStyle name="Обычный 33 5 2 5" xfId="9133"/>
    <cellStyle name="Обычный 33 5 2 6" xfId="9134"/>
    <cellStyle name="Обычный 33 5 3" xfId="3150"/>
    <cellStyle name="Обычный 33 5 3 2" xfId="9135"/>
    <cellStyle name="Обычный 33 5 3 3" xfId="9136"/>
    <cellStyle name="Обычный 33 5 3 4" xfId="9137"/>
    <cellStyle name="Обычный 33 5 3 5" xfId="9138"/>
    <cellStyle name="Обычный 33 5 3 6" xfId="9139"/>
    <cellStyle name="Обычный 33 5 4" xfId="3151"/>
    <cellStyle name="Обычный 33 5 4 2" xfId="9140"/>
    <cellStyle name="Обычный 33 5 4 3" xfId="9141"/>
    <cellStyle name="Обычный 33 5 4 4" xfId="9142"/>
    <cellStyle name="Обычный 33 5 4 5" xfId="9143"/>
    <cellStyle name="Обычный 33 5 4 6" xfId="9144"/>
    <cellStyle name="Обычный 33 5 5" xfId="9145"/>
    <cellStyle name="Обычный 33 5 6" xfId="9146"/>
    <cellStyle name="Обычный 33 5 7" xfId="9147"/>
    <cellStyle name="Обычный 33 5 8" xfId="9148"/>
    <cellStyle name="Обычный 33 5 9" xfId="9149"/>
    <cellStyle name="Обычный 33 6" xfId="3152"/>
    <cellStyle name="Обычный 33 6 2" xfId="9150"/>
    <cellStyle name="Обычный 33 6 3" xfId="9151"/>
    <cellStyle name="Обычный 33 6 4" xfId="9152"/>
    <cellStyle name="Обычный 33 6 5" xfId="9153"/>
    <cellStyle name="Обычный 33 6 6" xfId="9154"/>
    <cellStyle name="Обычный 33 7" xfId="3153"/>
    <cellStyle name="Обычный 33 7 2" xfId="9155"/>
    <cellStyle name="Обычный 33 7 3" xfId="9156"/>
    <cellStyle name="Обычный 33 7 4" xfId="9157"/>
    <cellStyle name="Обычный 33 7 5" xfId="9158"/>
    <cellStyle name="Обычный 33 7 6" xfId="9159"/>
    <cellStyle name="Обычный 33 8" xfId="3154"/>
    <cellStyle name="Обычный 33 8 2" xfId="9160"/>
    <cellStyle name="Обычный 33 8 3" xfId="9161"/>
    <cellStyle name="Обычный 33 8 4" xfId="9162"/>
    <cellStyle name="Обычный 33 8 5" xfId="9163"/>
    <cellStyle name="Обычный 33 8 6" xfId="9164"/>
    <cellStyle name="Обычный 33 9" xfId="4668"/>
    <cellStyle name="Обычный 34" xfId="3155"/>
    <cellStyle name="Обычный 34 10" xfId="9165"/>
    <cellStyle name="Обычный 34 11" xfId="9166"/>
    <cellStyle name="Обычный 34 12" xfId="9167"/>
    <cellStyle name="Обычный 34 2" xfId="3156"/>
    <cellStyle name="Обычный 34 2 10" xfId="9168"/>
    <cellStyle name="Обычный 34 2 2" xfId="3157"/>
    <cellStyle name="Обычный 34 2 2 2" xfId="3158"/>
    <cellStyle name="Обычный 34 2 2 2 2" xfId="9169"/>
    <cellStyle name="Обычный 34 2 2 2 3" xfId="9170"/>
    <cellStyle name="Обычный 34 2 2 2 4" xfId="9171"/>
    <cellStyle name="Обычный 34 2 2 2 5" xfId="9172"/>
    <cellStyle name="Обычный 34 2 2 2 6" xfId="9173"/>
    <cellStyle name="Обычный 34 2 2 3" xfId="3159"/>
    <cellStyle name="Обычный 34 2 2 3 2" xfId="9174"/>
    <cellStyle name="Обычный 34 2 2 3 3" xfId="9175"/>
    <cellStyle name="Обычный 34 2 2 3 4" xfId="9176"/>
    <cellStyle name="Обычный 34 2 2 3 5" xfId="9177"/>
    <cellStyle name="Обычный 34 2 2 3 6" xfId="9178"/>
    <cellStyle name="Обычный 34 2 2 4" xfId="3160"/>
    <cellStyle name="Обычный 34 2 2 4 2" xfId="9179"/>
    <cellStyle name="Обычный 34 2 2 4 3" xfId="9180"/>
    <cellStyle name="Обычный 34 2 2 4 4" xfId="9181"/>
    <cellStyle name="Обычный 34 2 2 4 5" xfId="9182"/>
    <cellStyle name="Обычный 34 2 2 4 6" xfId="9183"/>
    <cellStyle name="Обычный 34 2 2 5" xfId="9184"/>
    <cellStyle name="Обычный 34 2 2 6" xfId="9185"/>
    <cellStyle name="Обычный 34 2 2 7" xfId="9186"/>
    <cellStyle name="Обычный 34 2 2 8" xfId="9187"/>
    <cellStyle name="Обычный 34 2 2 9" xfId="9188"/>
    <cellStyle name="Обычный 34 2 3" xfId="3161"/>
    <cellStyle name="Обычный 34 2 3 2" xfId="9189"/>
    <cellStyle name="Обычный 34 2 3 3" xfId="9190"/>
    <cellStyle name="Обычный 34 2 3 4" xfId="9191"/>
    <cellStyle name="Обычный 34 2 3 5" xfId="9192"/>
    <cellStyle name="Обычный 34 2 3 6" xfId="9193"/>
    <cellStyle name="Обычный 34 2 4" xfId="3162"/>
    <cellStyle name="Обычный 34 2 4 2" xfId="9194"/>
    <cellStyle name="Обычный 34 2 4 3" xfId="9195"/>
    <cellStyle name="Обычный 34 2 4 4" xfId="9196"/>
    <cellStyle name="Обычный 34 2 4 5" xfId="9197"/>
    <cellStyle name="Обычный 34 2 4 6" xfId="9198"/>
    <cellStyle name="Обычный 34 2 5" xfId="3163"/>
    <cellStyle name="Обычный 34 2 5 2" xfId="9199"/>
    <cellStyle name="Обычный 34 2 5 3" xfId="9200"/>
    <cellStyle name="Обычный 34 2 5 4" xfId="9201"/>
    <cellStyle name="Обычный 34 2 5 5" xfId="9202"/>
    <cellStyle name="Обычный 34 2 5 6" xfId="9203"/>
    <cellStyle name="Обычный 34 2 6" xfId="9204"/>
    <cellStyle name="Обычный 34 2 7" xfId="9205"/>
    <cellStyle name="Обычный 34 2 8" xfId="9206"/>
    <cellStyle name="Обычный 34 2 9" xfId="9207"/>
    <cellStyle name="Обычный 34 3" xfId="3164"/>
    <cellStyle name="Обычный 34 3 2" xfId="3165"/>
    <cellStyle name="Обычный 34 3 2 2" xfId="9208"/>
    <cellStyle name="Обычный 34 3 2 3" xfId="9209"/>
    <cellStyle name="Обычный 34 3 2 4" xfId="9210"/>
    <cellStyle name="Обычный 34 3 2 5" xfId="9211"/>
    <cellStyle name="Обычный 34 3 2 6" xfId="9212"/>
    <cellStyle name="Обычный 34 3 3" xfId="3166"/>
    <cellStyle name="Обычный 34 3 3 2" xfId="9213"/>
    <cellStyle name="Обычный 34 3 3 3" xfId="9214"/>
    <cellStyle name="Обычный 34 3 3 4" xfId="9215"/>
    <cellStyle name="Обычный 34 3 3 5" xfId="9216"/>
    <cellStyle name="Обычный 34 3 3 6" xfId="9217"/>
    <cellStyle name="Обычный 34 3 4" xfId="3167"/>
    <cellStyle name="Обычный 34 3 4 2" xfId="9218"/>
    <cellStyle name="Обычный 34 3 4 3" xfId="9219"/>
    <cellStyle name="Обычный 34 3 4 4" xfId="9220"/>
    <cellStyle name="Обычный 34 3 4 5" xfId="9221"/>
    <cellStyle name="Обычный 34 3 4 6" xfId="9222"/>
    <cellStyle name="Обычный 34 3 5" xfId="9223"/>
    <cellStyle name="Обычный 34 3 6" xfId="9224"/>
    <cellStyle name="Обычный 34 3 7" xfId="9225"/>
    <cellStyle name="Обычный 34 3 8" xfId="9226"/>
    <cellStyle name="Обычный 34 3 9" xfId="9227"/>
    <cellStyle name="Обычный 34 4" xfId="3168"/>
    <cellStyle name="Обычный 34 4 2" xfId="3169"/>
    <cellStyle name="Обычный 34 4 2 2" xfId="9228"/>
    <cellStyle name="Обычный 34 4 2 3" xfId="9229"/>
    <cellStyle name="Обычный 34 4 2 4" xfId="9230"/>
    <cellStyle name="Обычный 34 4 2 5" xfId="9231"/>
    <cellStyle name="Обычный 34 4 2 6" xfId="9232"/>
    <cellStyle name="Обычный 34 4 3" xfId="3170"/>
    <cellStyle name="Обычный 34 4 3 2" xfId="9233"/>
    <cellStyle name="Обычный 34 4 3 3" xfId="9234"/>
    <cellStyle name="Обычный 34 4 3 4" xfId="9235"/>
    <cellStyle name="Обычный 34 4 3 5" xfId="9236"/>
    <cellStyle name="Обычный 34 4 3 6" xfId="9237"/>
    <cellStyle name="Обычный 34 4 4" xfId="3171"/>
    <cellStyle name="Обычный 34 4 4 2" xfId="9238"/>
    <cellStyle name="Обычный 34 4 4 3" xfId="9239"/>
    <cellStyle name="Обычный 34 4 4 4" xfId="9240"/>
    <cellStyle name="Обычный 34 4 4 5" xfId="9241"/>
    <cellStyle name="Обычный 34 4 4 6" xfId="9242"/>
    <cellStyle name="Обычный 34 4 5" xfId="9243"/>
    <cellStyle name="Обычный 34 4 6" xfId="9244"/>
    <cellStyle name="Обычный 34 4 7" xfId="9245"/>
    <cellStyle name="Обычный 34 4 8" xfId="9246"/>
    <cellStyle name="Обычный 34 4 9" xfId="9247"/>
    <cellStyle name="Обычный 34 5" xfId="3172"/>
    <cellStyle name="Обычный 34 5 2" xfId="9248"/>
    <cellStyle name="Обычный 34 5 3" xfId="9249"/>
    <cellStyle name="Обычный 34 5 4" xfId="9250"/>
    <cellStyle name="Обычный 34 5 5" xfId="9251"/>
    <cellStyle name="Обычный 34 5 6" xfId="9252"/>
    <cellStyle name="Обычный 34 6" xfId="3173"/>
    <cellStyle name="Обычный 34 6 2" xfId="9253"/>
    <cellStyle name="Обычный 34 6 3" xfId="9254"/>
    <cellStyle name="Обычный 34 6 4" xfId="9255"/>
    <cellStyle name="Обычный 34 6 5" xfId="9256"/>
    <cellStyle name="Обычный 34 6 6" xfId="9257"/>
    <cellStyle name="Обычный 34 7" xfId="3174"/>
    <cellStyle name="Обычный 34 7 2" xfId="9258"/>
    <cellStyle name="Обычный 34 7 3" xfId="9259"/>
    <cellStyle name="Обычный 34 7 4" xfId="9260"/>
    <cellStyle name="Обычный 34 7 5" xfId="9261"/>
    <cellStyle name="Обычный 34 7 6" xfId="9262"/>
    <cellStyle name="Обычный 34 8" xfId="5289"/>
    <cellStyle name="Обычный 34 9" xfId="9263"/>
    <cellStyle name="Обычный 35" xfId="3175"/>
    <cellStyle name="Обычный 35 10" xfId="9264"/>
    <cellStyle name="Обычный 35 11" xfId="9265"/>
    <cellStyle name="Обычный 35 12" xfId="9266"/>
    <cellStyle name="Обычный 35 13" xfId="9267"/>
    <cellStyle name="Обычный 35 14" xfId="9268"/>
    <cellStyle name="Обычный 35 2" xfId="3176"/>
    <cellStyle name="Обычный 35 2 10" xfId="9269"/>
    <cellStyle name="Обычный 35 2 2" xfId="3177"/>
    <cellStyle name="Обычный 35 2 2 2" xfId="3178"/>
    <cellStyle name="Обычный 35 2 2 2 2" xfId="9270"/>
    <cellStyle name="Обычный 35 2 2 2 3" xfId="9271"/>
    <cellStyle name="Обычный 35 2 2 2 4" xfId="9272"/>
    <cellStyle name="Обычный 35 2 2 2 5" xfId="9273"/>
    <cellStyle name="Обычный 35 2 2 2 6" xfId="9274"/>
    <cellStyle name="Обычный 35 2 2 3" xfId="3179"/>
    <cellStyle name="Обычный 35 2 2 3 2" xfId="9275"/>
    <cellStyle name="Обычный 35 2 2 3 3" xfId="9276"/>
    <cellStyle name="Обычный 35 2 2 3 4" xfId="9277"/>
    <cellStyle name="Обычный 35 2 2 3 5" xfId="9278"/>
    <cellStyle name="Обычный 35 2 2 3 6" xfId="9279"/>
    <cellStyle name="Обычный 35 2 2 4" xfId="3180"/>
    <cellStyle name="Обычный 35 2 2 4 2" xfId="9280"/>
    <cellStyle name="Обычный 35 2 2 4 3" xfId="9281"/>
    <cellStyle name="Обычный 35 2 2 4 4" xfId="9282"/>
    <cellStyle name="Обычный 35 2 2 4 5" xfId="9283"/>
    <cellStyle name="Обычный 35 2 2 4 6" xfId="9284"/>
    <cellStyle name="Обычный 35 2 2 5" xfId="9285"/>
    <cellStyle name="Обычный 35 2 2 6" xfId="9286"/>
    <cellStyle name="Обычный 35 2 2 7" xfId="9287"/>
    <cellStyle name="Обычный 35 2 2 8" xfId="9288"/>
    <cellStyle name="Обычный 35 2 2 9" xfId="9289"/>
    <cellStyle name="Обычный 35 2 3" xfId="3181"/>
    <cellStyle name="Обычный 35 2 3 2" xfId="9290"/>
    <cellStyle name="Обычный 35 2 3 3" xfId="9291"/>
    <cellStyle name="Обычный 35 2 3 4" xfId="9292"/>
    <cellStyle name="Обычный 35 2 3 5" xfId="9293"/>
    <cellStyle name="Обычный 35 2 3 6" xfId="9294"/>
    <cellStyle name="Обычный 35 2 4" xfId="3182"/>
    <cellStyle name="Обычный 35 2 4 2" xfId="9295"/>
    <cellStyle name="Обычный 35 2 4 3" xfId="9296"/>
    <cellStyle name="Обычный 35 2 4 4" xfId="9297"/>
    <cellStyle name="Обычный 35 2 4 5" xfId="9298"/>
    <cellStyle name="Обычный 35 2 4 6" xfId="9299"/>
    <cellStyle name="Обычный 35 2 5" xfId="3183"/>
    <cellStyle name="Обычный 35 2 5 2" xfId="9300"/>
    <cellStyle name="Обычный 35 2 5 3" xfId="9301"/>
    <cellStyle name="Обычный 35 2 5 4" xfId="9302"/>
    <cellStyle name="Обычный 35 2 5 5" xfId="9303"/>
    <cellStyle name="Обычный 35 2 5 6" xfId="9304"/>
    <cellStyle name="Обычный 35 2 6" xfId="9305"/>
    <cellStyle name="Обычный 35 2 7" xfId="9306"/>
    <cellStyle name="Обычный 35 2 8" xfId="9307"/>
    <cellStyle name="Обычный 35 2 9" xfId="9308"/>
    <cellStyle name="Обычный 35 3" xfId="3184"/>
    <cellStyle name="Обычный 35 3 2" xfId="3185"/>
    <cellStyle name="Обычный 35 3 2 2" xfId="9309"/>
    <cellStyle name="Обычный 35 3 2 3" xfId="9310"/>
    <cellStyle name="Обычный 35 3 2 4" xfId="9311"/>
    <cellStyle name="Обычный 35 3 2 5" xfId="9312"/>
    <cellStyle name="Обычный 35 3 2 6" xfId="9313"/>
    <cellStyle name="Обычный 35 3 3" xfId="3186"/>
    <cellStyle name="Обычный 35 3 3 2" xfId="9314"/>
    <cellStyle name="Обычный 35 3 3 3" xfId="9315"/>
    <cellStyle name="Обычный 35 3 3 4" xfId="9316"/>
    <cellStyle name="Обычный 35 3 3 5" xfId="9317"/>
    <cellStyle name="Обычный 35 3 3 6" xfId="9318"/>
    <cellStyle name="Обычный 35 3 4" xfId="3187"/>
    <cellStyle name="Обычный 35 3 4 2" xfId="9319"/>
    <cellStyle name="Обычный 35 3 4 3" xfId="9320"/>
    <cellStyle name="Обычный 35 3 4 4" xfId="9321"/>
    <cellStyle name="Обычный 35 3 4 5" xfId="9322"/>
    <cellStyle name="Обычный 35 3 4 6" xfId="9323"/>
    <cellStyle name="Обычный 35 3 5" xfId="9324"/>
    <cellStyle name="Обычный 35 3 6" xfId="9325"/>
    <cellStyle name="Обычный 35 3 7" xfId="9326"/>
    <cellStyle name="Обычный 35 3 8" xfId="9327"/>
    <cellStyle name="Обычный 35 3 9" xfId="9328"/>
    <cellStyle name="Обычный 35 4" xfId="3188"/>
    <cellStyle name="Обычный 35 4 2" xfId="3189"/>
    <cellStyle name="Обычный 35 4 2 2" xfId="9329"/>
    <cellStyle name="Обычный 35 4 2 3" xfId="9330"/>
    <cellStyle name="Обычный 35 4 2 4" xfId="9331"/>
    <cellStyle name="Обычный 35 4 2 5" xfId="9332"/>
    <cellStyle name="Обычный 35 4 2 6" xfId="9333"/>
    <cellStyle name="Обычный 35 4 3" xfId="3190"/>
    <cellStyle name="Обычный 35 4 3 2" xfId="9334"/>
    <cellStyle name="Обычный 35 4 3 3" xfId="9335"/>
    <cellStyle name="Обычный 35 4 3 4" xfId="9336"/>
    <cellStyle name="Обычный 35 4 3 5" xfId="9337"/>
    <cellStyle name="Обычный 35 4 3 6" xfId="9338"/>
    <cellStyle name="Обычный 35 4 4" xfId="3191"/>
    <cellStyle name="Обычный 35 4 4 2" xfId="9339"/>
    <cellStyle name="Обычный 35 4 4 3" xfId="9340"/>
    <cellStyle name="Обычный 35 4 4 4" xfId="9341"/>
    <cellStyle name="Обычный 35 4 4 5" xfId="9342"/>
    <cellStyle name="Обычный 35 4 4 6" xfId="9343"/>
    <cellStyle name="Обычный 35 4 5" xfId="9344"/>
    <cellStyle name="Обычный 35 4 6" xfId="9345"/>
    <cellStyle name="Обычный 35 4 7" xfId="9346"/>
    <cellStyle name="Обычный 35 4 8" xfId="9347"/>
    <cellStyle name="Обычный 35 4 9" xfId="9348"/>
    <cellStyle name="Обычный 35 5" xfId="3192"/>
    <cellStyle name="Обычный 35 5 2" xfId="3193"/>
    <cellStyle name="Обычный 35 5 2 2" xfId="9349"/>
    <cellStyle name="Обычный 35 5 2 3" xfId="9350"/>
    <cellStyle name="Обычный 35 5 2 4" xfId="9351"/>
    <cellStyle name="Обычный 35 5 2 5" xfId="9352"/>
    <cellStyle name="Обычный 35 5 2 6" xfId="9353"/>
    <cellStyle name="Обычный 35 5 3" xfId="3194"/>
    <cellStyle name="Обычный 35 5 3 2" xfId="9354"/>
    <cellStyle name="Обычный 35 5 3 3" xfId="9355"/>
    <cellStyle name="Обычный 35 5 3 4" xfId="9356"/>
    <cellStyle name="Обычный 35 5 3 5" xfId="9357"/>
    <cellStyle name="Обычный 35 5 3 6" xfId="9358"/>
    <cellStyle name="Обычный 35 5 4" xfId="3195"/>
    <cellStyle name="Обычный 35 5 4 2" xfId="9359"/>
    <cellStyle name="Обычный 35 5 4 3" xfId="9360"/>
    <cellStyle name="Обычный 35 5 4 4" xfId="9361"/>
    <cellStyle name="Обычный 35 5 4 5" xfId="9362"/>
    <cellStyle name="Обычный 35 5 4 6" xfId="9363"/>
    <cellStyle name="Обычный 35 5 5" xfId="9364"/>
    <cellStyle name="Обычный 35 5 6" xfId="9365"/>
    <cellStyle name="Обычный 35 5 7" xfId="9366"/>
    <cellStyle name="Обычный 35 5 8" xfId="9367"/>
    <cellStyle name="Обычный 35 5 9" xfId="9368"/>
    <cellStyle name="Обычный 35 6" xfId="3196"/>
    <cellStyle name="Обычный 35 6 2" xfId="9369"/>
    <cellStyle name="Обычный 35 6 3" xfId="9370"/>
    <cellStyle name="Обычный 35 6 4" xfId="9371"/>
    <cellStyle name="Обычный 35 6 5" xfId="9372"/>
    <cellStyle name="Обычный 35 6 6" xfId="9373"/>
    <cellStyle name="Обычный 35 7" xfId="3197"/>
    <cellStyle name="Обычный 35 7 2" xfId="9374"/>
    <cellStyle name="Обычный 35 7 3" xfId="9375"/>
    <cellStyle name="Обычный 35 7 4" xfId="9376"/>
    <cellStyle name="Обычный 35 7 5" xfId="9377"/>
    <cellStyle name="Обычный 35 7 6" xfId="9378"/>
    <cellStyle name="Обычный 35 8" xfId="3198"/>
    <cellStyle name="Обычный 35 8 2" xfId="9379"/>
    <cellStyle name="Обычный 35 8 3" xfId="9380"/>
    <cellStyle name="Обычный 35 8 4" xfId="9381"/>
    <cellStyle name="Обычный 35 8 5" xfId="9382"/>
    <cellStyle name="Обычный 35 8 6" xfId="9383"/>
    <cellStyle name="Обычный 35 9" xfId="5290"/>
    <cellStyle name="Обычный 36" xfId="3199"/>
    <cellStyle name="Обычный 36 2" xfId="3200"/>
    <cellStyle name="Обычный 36 2 2" xfId="3201"/>
    <cellStyle name="Обычный 36 2 2 2" xfId="9384"/>
    <cellStyle name="Обычный 36 2 2 3" xfId="9385"/>
    <cellStyle name="Обычный 36 2 2 4" xfId="9386"/>
    <cellStyle name="Обычный 36 2 2 5" xfId="9387"/>
    <cellStyle name="Обычный 36 2 2 6" xfId="9388"/>
    <cellStyle name="Обычный 36 2 3" xfId="3202"/>
    <cellStyle name="Обычный 36 2 3 2" xfId="9389"/>
    <cellStyle name="Обычный 36 2 3 3" xfId="9390"/>
    <cellStyle name="Обычный 36 2 3 4" xfId="9391"/>
    <cellStyle name="Обычный 36 2 3 5" xfId="9392"/>
    <cellStyle name="Обычный 36 2 3 6" xfId="9393"/>
    <cellStyle name="Обычный 36 2 4" xfId="3203"/>
    <cellStyle name="Обычный 36 2 4 2" xfId="9394"/>
    <cellStyle name="Обычный 36 2 4 3" xfId="9395"/>
    <cellStyle name="Обычный 36 2 4 4" xfId="9396"/>
    <cellStyle name="Обычный 36 2 4 5" xfId="9397"/>
    <cellStyle name="Обычный 36 2 4 6" xfId="9398"/>
    <cellStyle name="Обычный 36 2 5" xfId="9399"/>
    <cellStyle name="Обычный 36 2 6" xfId="9400"/>
    <cellStyle name="Обычный 36 2 7" xfId="9401"/>
    <cellStyle name="Обычный 36 2 8" xfId="9402"/>
    <cellStyle name="Обычный 36 2 9" xfId="9403"/>
    <cellStyle name="Обычный 36 3" xfId="3204"/>
    <cellStyle name="Обычный 36 3 2" xfId="3205"/>
    <cellStyle name="Обычный 36 3 2 2" xfId="9404"/>
    <cellStyle name="Обычный 36 3 2 3" xfId="9405"/>
    <cellStyle name="Обычный 36 3 2 4" xfId="9406"/>
    <cellStyle name="Обычный 36 3 2 5" xfId="9407"/>
    <cellStyle name="Обычный 36 3 2 6" xfId="9408"/>
    <cellStyle name="Обычный 36 3 3" xfId="3206"/>
    <cellStyle name="Обычный 36 3 3 2" xfId="9409"/>
    <cellStyle name="Обычный 36 3 3 3" xfId="9410"/>
    <cellStyle name="Обычный 36 3 3 4" xfId="9411"/>
    <cellStyle name="Обычный 36 3 3 5" xfId="9412"/>
    <cellStyle name="Обычный 36 3 3 6" xfId="9413"/>
    <cellStyle name="Обычный 36 3 4" xfId="3207"/>
    <cellStyle name="Обычный 36 3 4 2" xfId="9414"/>
    <cellStyle name="Обычный 36 3 4 3" xfId="9415"/>
    <cellStyle name="Обычный 36 3 4 4" xfId="9416"/>
    <cellStyle name="Обычный 36 3 4 5" xfId="9417"/>
    <cellStyle name="Обычный 36 3 4 6" xfId="9418"/>
    <cellStyle name="Обычный 36 3 5" xfId="9419"/>
    <cellStyle name="Обычный 36 3 6" xfId="9420"/>
    <cellStyle name="Обычный 36 3 7" xfId="9421"/>
    <cellStyle name="Обычный 36 3 8" xfId="9422"/>
    <cellStyle name="Обычный 36 3 9" xfId="9423"/>
    <cellStyle name="Обычный 36 4" xfId="5291"/>
    <cellStyle name="Обычный 37" xfId="3208"/>
    <cellStyle name="Обычный 37 2" xfId="3209"/>
    <cellStyle name="Обычный 37 2 2" xfId="3210"/>
    <cellStyle name="Обычный 37 2 2 2" xfId="9424"/>
    <cellStyle name="Обычный 37 2 2 3" xfId="9425"/>
    <cellStyle name="Обычный 37 2 2 4" xfId="9426"/>
    <cellStyle name="Обычный 37 2 2 5" xfId="9427"/>
    <cellStyle name="Обычный 37 2 2 6" xfId="9428"/>
    <cellStyle name="Обычный 37 2 3" xfId="3211"/>
    <cellStyle name="Обычный 37 2 3 2" xfId="9429"/>
    <cellStyle name="Обычный 37 2 3 3" xfId="9430"/>
    <cellStyle name="Обычный 37 2 3 4" xfId="9431"/>
    <cellStyle name="Обычный 37 2 3 5" xfId="9432"/>
    <cellStyle name="Обычный 37 2 3 6" xfId="9433"/>
    <cellStyle name="Обычный 37 2 4" xfId="3212"/>
    <cellStyle name="Обычный 37 2 4 2" xfId="9434"/>
    <cellStyle name="Обычный 37 2 4 3" xfId="9435"/>
    <cellStyle name="Обычный 37 2 4 4" xfId="9436"/>
    <cellStyle name="Обычный 37 2 4 5" xfId="9437"/>
    <cellStyle name="Обычный 37 2 4 6" xfId="9438"/>
    <cellStyle name="Обычный 37 2 5" xfId="9439"/>
    <cellStyle name="Обычный 37 2 6" xfId="9440"/>
    <cellStyle name="Обычный 37 2 7" xfId="9441"/>
    <cellStyle name="Обычный 37 2 8" xfId="9442"/>
    <cellStyle name="Обычный 37 2 9" xfId="9443"/>
    <cellStyle name="Обычный 37 3" xfId="5292"/>
    <cellStyle name="Обычный 38" xfId="3213"/>
    <cellStyle name="Обычный 38 2" xfId="3214"/>
    <cellStyle name="Обычный 38 2 2" xfId="3215"/>
    <cellStyle name="Обычный 38 2 2 2" xfId="9444"/>
    <cellStyle name="Обычный 38 2 2 3" xfId="9445"/>
    <cellStyle name="Обычный 38 2 2 4" xfId="9446"/>
    <cellStyle name="Обычный 38 2 2 5" xfId="9447"/>
    <cellStyle name="Обычный 38 2 2 6" xfId="9448"/>
    <cellStyle name="Обычный 38 2 3" xfId="3216"/>
    <cellStyle name="Обычный 38 2 3 2" xfId="9449"/>
    <cellStyle name="Обычный 38 2 3 3" xfId="9450"/>
    <cellStyle name="Обычный 38 2 3 4" xfId="9451"/>
    <cellStyle name="Обычный 38 2 3 5" xfId="9452"/>
    <cellStyle name="Обычный 38 2 3 6" xfId="9453"/>
    <cellStyle name="Обычный 38 2 4" xfId="3217"/>
    <cellStyle name="Обычный 38 2 4 2" xfId="9454"/>
    <cellStyle name="Обычный 38 2 4 3" xfId="9455"/>
    <cellStyle name="Обычный 38 2 4 4" xfId="9456"/>
    <cellStyle name="Обычный 38 2 4 5" xfId="9457"/>
    <cellStyle name="Обычный 38 2 4 6" xfId="9458"/>
    <cellStyle name="Обычный 38 2 5" xfId="9459"/>
    <cellStyle name="Обычный 38 2 6" xfId="9460"/>
    <cellStyle name="Обычный 38 2 7" xfId="9461"/>
    <cellStyle name="Обычный 38 2 8" xfId="9462"/>
    <cellStyle name="Обычный 38 2 9" xfId="9463"/>
    <cellStyle name="Обычный 38 3" xfId="3218"/>
    <cellStyle name="Обычный 38 3 2" xfId="3219"/>
    <cellStyle name="Обычный 38 3 2 2" xfId="9464"/>
    <cellStyle name="Обычный 38 3 2 3" xfId="9465"/>
    <cellStyle name="Обычный 38 3 2 4" xfId="9466"/>
    <cellStyle name="Обычный 38 3 2 5" xfId="9467"/>
    <cellStyle name="Обычный 38 3 2 6" xfId="9468"/>
    <cellStyle name="Обычный 38 3 3" xfId="3220"/>
    <cellStyle name="Обычный 38 3 3 2" xfId="9469"/>
    <cellStyle name="Обычный 38 3 3 3" xfId="9470"/>
    <cellStyle name="Обычный 38 3 3 4" xfId="9471"/>
    <cellStyle name="Обычный 38 3 3 5" xfId="9472"/>
    <cellStyle name="Обычный 38 3 3 6" xfId="9473"/>
    <cellStyle name="Обычный 38 3 4" xfId="3221"/>
    <cellStyle name="Обычный 38 3 4 2" xfId="9474"/>
    <cellStyle name="Обычный 38 3 4 3" xfId="9475"/>
    <cellStyle name="Обычный 38 3 4 4" xfId="9476"/>
    <cellStyle name="Обычный 38 3 4 5" xfId="9477"/>
    <cellStyle name="Обычный 38 3 4 6" xfId="9478"/>
    <cellStyle name="Обычный 38 3 5" xfId="9479"/>
    <cellStyle name="Обычный 38 3 6" xfId="9480"/>
    <cellStyle name="Обычный 38 3 7" xfId="9481"/>
    <cellStyle name="Обычный 38 3 8" xfId="9482"/>
    <cellStyle name="Обычный 38 3 9" xfId="9483"/>
    <cellStyle name="Обычный 38 4" xfId="5293"/>
    <cellStyle name="Обычный 39" xfId="3222"/>
    <cellStyle name="Обычный 39 2" xfId="3223"/>
    <cellStyle name="Обычный 39 2 2" xfId="3224"/>
    <cellStyle name="Обычный 39 2 2 2" xfId="9484"/>
    <cellStyle name="Обычный 39 2 2 3" xfId="9485"/>
    <cellStyle name="Обычный 39 2 2 4" xfId="9486"/>
    <cellStyle name="Обычный 39 2 2 5" xfId="9487"/>
    <cellStyle name="Обычный 39 2 2 6" xfId="9488"/>
    <cellStyle name="Обычный 39 2 3" xfId="3225"/>
    <cellStyle name="Обычный 39 2 3 2" xfId="9489"/>
    <cellStyle name="Обычный 39 2 3 3" xfId="9490"/>
    <cellStyle name="Обычный 39 2 3 4" xfId="9491"/>
    <cellStyle name="Обычный 39 2 3 5" xfId="9492"/>
    <cellStyle name="Обычный 39 2 3 6" xfId="9493"/>
    <cellStyle name="Обычный 39 2 4" xfId="3226"/>
    <cellStyle name="Обычный 39 2 4 2" xfId="9494"/>
    <cellStyle name="Обычный 39 2 4 3" xfId="9495"/>
    <cellStyle name="Обычный 39 2 4 4" xfId="9496"/>
    <cellStyle name="Обычный 39 2 4 5" xfId="9497"/>
    <cellStyle name="Обычный 39 2 4 6" xfId="9498"/>
    <cellStyle name="Обычный 39 2 5" xfId="9499"/>
    <cellStyle name="Обычный 39 2 6" xfId="9500"/>
    <cellStyle name="Обычный 39 2 7" xfId="9501"/>
    <cellStyle name="Обычный 39 2 8" xfId="9502"/>
    <cellStyle name="Обычный 39 2 9" xfId="9503"/>
    <cellStyle name="Обычный 39 3" xfId="3227"/>
    <cellStyle name="Обычный 39 3 2" xfId="3228"/>
    <cellStyle name="Обычный 39 3 2 2" xfId="9504"/>
    <cellStyle name="Обычный 39 3 2 3" xfId="9505"/>
    <cellStyle name="Обычный 39 3 2 4" xfId="9506"/>
    <cellStyle name="Обычный 39 3 2 5" xfId="9507"/>
    <cellStyle name="Обычный 39 3 2 6" xfId="9508"/>
    <cellStyle name="Обычный 39 3 3" xfId="3229"/>
    <cellStyle name="Обычный 39 3 3 2" xfId="9509"/>
    <cellStyle name="Обычный 39 3 3 3" xfId="9510"/>
    <cellStyle name="Обычный 39 3 3 4" xfId="9511"/>
    <cellStyle name="Обычный 39 3 3 5" xfId="9512"/>
    <cellStyle name="Обычный 39 3 3 6" xfId="9513"/>
    <cellStyle name="Обычный 39 3 4" xfId="3230"/>
    <cellStyle name="Обычный 39 3 4 2" xfId="9514"/>
    <cellStyle name="Обычный 39 3 4 3" xfId="9515"/>
    <cellStyle name="Обычный 39 3 4 4" xfId="9516"/>
    <cellStyle name="Обычный 39 3 4 5" xfId="9517"/>
    <cellStyle name="Обычный 39 3 4 6" xfId="9518"/>
    <cellStyle name="Обычный 39 3 5" xfId="9519"/>
    <cellStyle name="Обычный 39 3 6" xfId="9520"/>
    <cellStyle name="Обычный 39 3 7" xfId="9521"/>
    <cellStyle name="Обычный 39 3 8" xfId="9522"/>
    <cellStyle name="Обычный 39 3 9" xfId="9523"/>
    <cellStyle name="Обычный 39 4" xfId="5294"/>
    <cellStyle name="Обычный 4" xfId="3231"/>
    <cellStyle name="Обычный 4 2" xfId="3232"/>
    <cellStyle name="Обычный 4 2 2" xfId="3233"/>
    <cellStyle name="Обычный 4 2 3" xfId="5295"/>
    <cellStyle name="Обычный 4 2_46EP.2012(v0.1)" xfId="3234"/>
    <cellStyle name="Обычный 4 3" xfId="3235"/>
    <cellStyle name="Обычный 4 3 10" xfId="9524"/>
    <cellStyle name="Обычный 4 3 11" xfId="9525"/>
    <cellStyle name="Обычный 4 3 12" xfId="9526"/>
    <cellStyle name="Обычный 4 3 2" xfId="3236"/>
    <cellStyle name="Обычный 4 3 2 10" xfId="9527"/>
    <cellStyle name="Обычный 4 3 2 2" xfId="3237"/>
    <cellStyle name="Обычный 4 3 2 2 2" xfId="3238"/>
    <cellStyle name="Обычный 4 3 2 2 2 2" xfId="9528"/>
    <cellStyle name="Обычный 4 3 2 2 2 3" xfId="9529"/>
    <cellStyle name="Обычный 4 3 2 2 2 4" xfId="9530"/>
    <cellStyle name="Обычный 4 3 2 2 2 5" xfId="9531"/>
    <cellStyle name="Обычный 4 3 2 2 2 6" xfId="9532"/>
    <cellStyle name="Обычный 4 3 2 2 3" xfId="3239"/>
    <cellStyle name="Обычный 4 3 2 2 3 2" xfId="9533"/>
    <cellStyle name="Обычный 4 3 2 2 3 3" xfId="9534"/>
    <cellStyle name="Обычный 4 3 2 2 3 4" xfId="9535"/>
    <cellStyle name="Обычный 4 3 2 2 3 5" xfId="9536"/>
    <cellStyle name="Обычный 4 3 2 2 3 6" xfId="9537"/>
    <cellStyle name="Обычный 4 3 2 2 4" xfId="3240"/>
    <cellStyle name="Обычный 4 3 2 2 4 2" xfId="9538"/>
    <cellStyle name="Обычный 4 3 2 2 4 3" xfId="9539"/>
    <cellStyle name="Обычный 4 3 2 2 4 4" xfId="9540"/>
    <cellStyle name="Обычный 4 3 2 2 4 5" xfId="9541"/>
    <cellStyle name="Обычный 4 3 2 2 4 6" xfId="9542"/>
    <cellStyle name="Обычный 4 3 2 2 5" xfId="9543"/>
    <cellStyle name="Обычный 4 3 2 2 6" xfId="9544"/>
    <cellStyle name="Обычный 4 3 2 2 7" xfId="9545"/>
    <cellStyle name="Обычный 4 3 2 2 8" xfId="9546"/>
    <cellStyle name="Обычный 4 3 2 2 9" xfId="9547"/>
    <cellStyle name="Обычный 4 3 2 3" xfId="3241"/>
    <cellStyle name="Обычный 4 3 2 3 2" xfId="9548"/>
    <cellStyle name="Обычный 4 3 2 3 3" xfId="9549"/>
    <cellStyle name="Обычный 4 3 2 3 4" xfId="9550"/>
    <cellStyle name="Обычный 4 3 2 3 5" xfId="9551"/>
    <cellStyle name="Обычный 4 3 2 3 6" xfId="9552"/>
    <cellStyle name="Обычный 4 3 2 4" xfId="3242"/>
    <cellStyle name="Обычный 4 3 2 4 2" xfId="9553"/>
    <cellStyle name="Обычный 4 3 2 4 3" xfId="9554"/>
    <cellStyle name="Обычный 4 3 2 4 4" xfId="9555"/>
    <cellStyle name="Обычный 4 3 2 4 5" xfId="9556"/>
    <cellStyle name="Обычный 4 3 2 4 6" xfId="9557"/>
    <cellStyle name="Обычный 4 3 2 5" xfId="3243"/>
    <cellStyle name="Обычный 4 3 2 5 2" xfId="9558"/>
    <cellStyle name="Обычный 4 3 2 5 3" xfId="9559"/>
    <cellStyle name="Обычный 4 3 2 5 4" xfId="9560"/>
    <cellStyle name="Обычный 4 3 2 5 5" xfId="9561"/>
    <cellStyle name="Обычный 4 3 2 5 6" xfId="9562"/>
    <cellStyle name="Обычный 4 3 2 6" xfId="9563"/>
    <cellStyle name="Обычный 4 3 2 7" xfId="9564"/>
    <cellStyle name="Обычный 4 3 2 8" xfId="9565"/>
    <cellStyle name="Обычный 4 3 2 9" xfId="9566"/>
    <cellStyle name="Обычный 4 3 3" xfId="3244"/>
    <cellStyle name="Обычный 4 3 3 10" xfId="9567"/>
    <cellStyle name="Обычный 4 3 3 2" xfId="3245"/>
    <cellStyle name="Обычный 4 3 3 2 2" xfId="3246"/>
    <cellStyle name="Обычный 4 3 3 2 2 2" xfId="9568"/>
    <cellStyle name="Обычный 4 3 3 2 2 3" xfId="9569"/>
    <cellStyle name="Обычный 4 3 3 2 2 4" xfId="9570"/>
    <cellStyle name="Обычный 4 3 3 2 2 5" xfId="9571"/>
    <cellStyle name="Обычный 4 3 3 2 2 6" xfId="9572"/>
    <cellStyle name="Обычный 4 3 3 2 3" xfId="3247"/>
    <cellStyle name="Обычный 4 3 3 2 3 2" xfId="9573"/>
    <cellStyle name="Обычный 4 3 3 2 3 3" xfId="9574"/>
    <cellStyle name="Обычный 4 3 3 2 3 4" xfId="9575"/>
    <cellStyle name="Обычный 4 3 3 2 3 5" xfId="9576"/>
    <cellStyle name="Обычный 4 3 3 2 3 6" xfId="9577"/>
    <cellStyle name="Обычный 4 3 3 2 4" xfId="3248"/>
    <cellStyle name="Обычный 4 3 3 2 4 2" xfId="9578"/>
    <cellStyle name="Обычный 4 3 3 2 4 3" xfId="9579"/>
    <cellStyle name="Обычный 4 3 3 2 4 4" xfId="9580"/>
    <cellStyle name="Обычный 4 3 3 2 4 5" xfId="9581"/>
    <cellStyle name="Обычный 4 3 3 2 4 6" xfId="9582"/>
    <cellStyle name="Обычный 4 3 3 2 5" xfId="9583"/>
    <cellStyle name="Обычный 4 3 3 2 6" xfId="9584"/>
    <cellStyle name="Обычный 4 3 3 2 7" xfId="9585"/>
    <cellStyle name="Обычный 4 3 3 2 8" xfId="9586"/>
    <cellStyle name="Обычный 4 3 3 2 9" xfId="9587"/>
    <cellStyle name="Обычный 4 3 3 3" xfId="3249"/>
    <cellStyle name="Обычный 4 3 3 3 2" xfId="9588"/>
    <cellStyle name="Обычный 4 3 3 3 3" xfId="9589"/>
    <cellStyle name="Обычный 4 3 3 3 4" xfId="9590"/>
    <cellStyle name="Обычный 4 3 3 3 5" xfId="9591"/>
    <cellStyle name="Обычный 4 3 3 3 6" xfId="9592"/>
    <cellStyle name="Обычный 4 3 3 4" xfId="3250"/>
    <cellStyle name="Обычный 4 3 3 4 2" xfId="9593"/>
    <cellStyle name="Обычный 4 3 3 4 3" xfId="9594"/>
    <cellStyle name="Обычный 4 3 3 4 4" xfId="9595"/>
    <cellStyle name="Обычный 4 3 3 4 5" xfId="9596"/>
    <cellStyle name="Обычный 4 3 3 4 6" xfId="9597"/>
    <cellStyle name="Обычный 4 3 3 5" xfId="3251"/>
    <cellStyle name="Обычный 4 3 3 5 2" xfId="9598"/>
    <cellStyle name="Обычный 4 3 3 5 3" xfId="9599"/>
    <cellStyle name="Обычный 4 3 3 5 4" xfId="9600"/>
    <cellStyle name="Обычный 4 3 3 5 5" xfId="9601"/>
    <cellStyle name="Обычный 4 3 3 5 6" xfId="9602"/>
    <cellStyle name="Обычный 4 3 3 6" xfId="9603"/>
    <cellStyle name="Обычный 4 3 3 7" xfId="9604"/>
    <cellStyle name="Обычный 4 3 3 8" xfId="9605"/>
    <cellStyle name="Обычный 4 3 3 9" xfId="9606"/>
    <cellStyle name="Обычный 4 3 4" xfId="3252"/>
    <cellStyle name="Обычный 4 3 4 2" xfId="3253"/>
    <cellStyle name="Обычный 4 3 4 2 2" xfId="9607"/>
    <cellStyle name="Обычный 4 3 4 2 3" xfId="9608"/>
    <cellStyle name="Обычный 4 3 4 2 4" xfId="9609"/>
    <cellStyle name="Обычный 4 3 4 2 5" xfId="9610"/>
    <cellStyle name="Обычный 4 3 4 2 6" xfId="9611"/>
    <cellStyle name="Обычный 4 3 4 3" xfId="3254"/>
    <cellStyle name="Обычный 4 3 4 3 2" xfId="9612"/>
    <cellStyle name="Обычный 4 3 4 3 3" xfId="9613"/>
    <cellStyle name="Обычный 4 3 4 3 4" xfId="9614"/>
    <cellStyle name="Обычный 4 3 4 3 5" xfId="9615"/>
    <cellStyle name="Обычный 4 3 4 3 6" xfId="9616"/>
    <cellStyle name="Обычный 4 3 4 4" xfId="3255"/>
    <cellStyle name="Обычный 4 3 4 4 2" xfId="9617"/>
    <cellStyle name="Обычный 4 3 4 4 3" xfId="9618"/>
    <cellStyle name="Обычный 4 3 4 4 4" xfId="9619"/>
    <cellStyle name="Обычный 4 3 4 4 5" xfId="9620"/>
    <cellStyle name="Обычный 4 3 4 4 6" xfId="9621"/>
    <cellStyle name="Обычный 4 3 4 5" xfId="9622"/>
    <cellStyle name="Обычный 4 3 4 6" xfId="9623"/>
    <cellStyle name="Обычный 4 3 4 7" xfId="9624"/>
    <cellStyle name="Обычный 4 3 4 8" xfId="9625"/>
    <cellStyle name="Обычный 4 3 4 9" xfId="9626"/>
    <cellStyle name="Обычный 4 3 5" xfId="3256"/>
    <cellStyle name="Обычный 4 3 5 2" xfId="9627"/>
    <cellStyle name="Обычный 4 3 5 3" xfId="9628"/>
    <cellStyle name="Обычный 4 3 5 4" xfId="9629"/>
    <cellStyle name="Обычный 4 3 5 5" xfId="9630"/>
    <cellStyle name="Обычный 4 3 5 6" xfId="9631"/>
    <cellStyle name="Обычный 4 3 6" xfId="3257"/>
    <cellStyle name="Обычный 4 3 6 2" xfId="9632"/>
    <cellStyle name="Обычный 4 3 6 3" xfId="9633"/>
    <cellStyle name="Обычный 4 3 6 4" xfId="9634"/>
    <cellStyle name="Обычный 4 3 6 5" xfId="9635"/>
    <cellStyle name="Обычный 4 3 6 6" xfId="9636"/>
    <cellStyle name="Обычный 4 3 7" xfId="3258"/>
    <cellStyle name="Обычный 4 3 7 2" xfId="9637"/>
    <cellStyle name="Обычный 4 3 7 3" xfId="9638"/>
    <cellStyle name="Обычный 4 3 7 4" xfId="9639"/>
    <cellStyle name="Обычный 4 3 7 5" xfId="9640"/>
    <cellStyle name="Обычный 4 3 7 6" xfId="9641"/>
    <cellStyle name="Обычный 4 3 8" xfId="9642"/>
    <cellStyle name="Обычный 4 3 9" xfId="9643"/>
    <cellStyle name="Обычный 4 4" xfId="3259"/>
    <cellStyle name="Обычный 4 4 10" xfId="9644"/>
    <cellStyle name="Обычный 4 4 11" xfId="9645"/>
    <cellStyle name="Обычный 4 4 2" xfId="3260"/>
    <cellStyle name="Обычный 4 4 2 10" xfId="9646"/>
    <cellStyle name="Обычный 4 4 2 2" xfId="3261"/>
    <cellStyle name="Обычный 4 4 2 2 2" xfId="3262"/>
    <cellStyle name="Обычный 4 4 2 2 2 2" xfId="9647"/>
    <cellStyle name="Обычный 4 4 2 2 2 3" xfId="9648"/>
    <cellStyle name="Обычный 4 4 2 2 2 4" xfId="9649"/>
    <cellStyle name="Обычный 4 4 2 2 2 5" xfId="9650"/>
    <cellStyle name="Обычный 4 4 2 2 2 6" xfId="9651"/>
    <cellStyle name="Обычный 4 4 2 2 3" xfId="3263"/>
    <cellStyle name="Обычный 4 4 2 2 3 2" xfId="9652"/>
    <cellStyle name="Обычный 4 4 2 2 3 3" xfId="9653"/>
    <cellStyle name="Обычный 4 4 2 2 3 4" xfId="9654"/>
    <cellStyle name="Обычный 4 4 2 2 3 5" xfId="9655"/>
    <cellStyle name="Обычный 4 4 2 2 3 6" xfId="9656"/>
    <cellStyle name="Обычный 4 4 2 2 4" xfId="3264"/>
    <cellStyle name="Обычный 4 4 2 2 4 2" xfId="9657"/>
    <cellStyle name="Обычный 4 4 2 2 4 3" xfId="9658"/>
    <cellStyle name="Обычный 4 4 2 2 4 4" xfId="9659"/>
    <cellStyle name="Обычный 4 4 2 2 4 5" xfId="9660"/>
    <cellStyle name="Обычный 4 4 2 2 4 6" xfId="9661"/>
    <cellStyle name="Обычный 4 4 2 2 5" xfId="9662"/>
    <cellStyle name="Обычный 4 4 2 2 6" xfId="9663"/>
    <cellStyle name="Обычный 4 4 2 2 7" xfId="9664"/>
    <cellStyle name="Обычный 4 4 2 2 8" xfId="9665"/>
    <cellStyle name="Обычный 4 4 2 2 9" xfId="9666"/>
    <cellStyle name="Обычный 4 4 2 3" xfId="3265"/>
    <cellStyle name="Обычный 4 4 2 3 2" xfId="9667"/>
    <cellStyle name="Обычный 4 4 2 3 3" xfId="9668"/>
    <cellStyle name="Обычный 4 4 2 3 4" xfId="9669"/>
    <cellStyle name="Обычный 4 4 2 3 5" xfId="9670"/>
    <cellStyle name="Обычный 4 4 2 3 6" xfId="9671"/>
    <cellStyle name="Обычный 4 4 2 4" xfId="3266"/>
    <cellStyle name="Обычный 4 4 2 4 2" xfId="9672"/>
    <cellStyle name="Обычный 4 4 2 4 3" xfId="9673"/>
    <cellStyle name="Обычный 4 4 2 4 4" xfId="9674"/>
    <cellStyle name="Обычный 4 4 2 4 5" xfId="9675"/>
    <cellStyle name="Обычный 4 4 2 4 6" xfId="9676"/>
    <cellStyle name="Обычный 4 4 2 5" xfId="3267"/>
    <cellStyle name="Обычный 4 4 2 5 2" xfId="9677"/>
    <cellStyle name="Обычный 4 4 2 5 3" xfId="9678"/>
    <cellStyle name="Обычный 4 4 2 5 4" xfId="9679"/>
    <cellStyle name="Обычный 4 4 2 5 5" xfId="9680"/>
    <cellStyle name="Обычный 4 4 2 5 6" xfId="9681"/>
    <cellStyle name="Обычный 4 4 2 6" xfId="9682"/>
    <cellStyle name="Обычный 4 4 2 7" xfId="9683"/>
    <cellStyle name="Обычный 4 4 2 8" xfId="9684"/>
    <cellStyle name="Обычный 4 4 2 9" xfId="9685"/>
    <cellStyle name="Обычный 4 4 3" xfId="3268"/>
    <cellStyle name="Обычный 4 4 3 2" xfId="3269"/>
    <cellStyle name="Обычный 4 4 3 2 2" xfId="9686"/>
    <cellStyle name="Обычный 4 4 3 2 3" xfId="9687"/>
    <cellStyle name="Обычный 4 4 3 2 4" xfId="9688"/>
    <cellStyle name="Обычный 4 4 3 2 5" xfId="9689"/>
    <cellStyle name="Обычный 4 4 3 2 6" xfId="9690"/>
    <cellStyle name="Обычный 4 4 3 3" xfId="3270"/>
    <cellStyle name="Обычный 4 4 3 3 2" xfId="9691"/>
    <cellStyle name="Обычный 4 4 3 3 3" xfId="9692"/>
    <cellStyle name="Обычный 4 4 3 3 4" xfId="9693"/>
    <cellStyle name="Обычный 4 4 3 3 5" xfId="9694"/>
    <cellStyle name="Обычный 4 4 3 3 6" xfId="9695"/>
    <cellStyle name="Обычный 4 4 3 4" xfId="3271"/>
    <cellStyle name="Обычный 4 4 3 4 2" xfId="9696"/>
    <cellStyle name="Обычный 4 4 3 4 3" xfId="9697"/>
    <cellStyle name="Обычный 4 4 3 4 4" xfId="9698"/>
    <cellStyle name="Обычный 4 4 3 4 5" xfId="9699"/>
    <cellStyle name="Обычный 4 4 3 4 6" xfId="9700"/>
    <cellStyle name="Обычный 4 4 3 5" xfId="9701"/>
    <cellStyle name="Обычный 4 4 3 6" xfId="9702"/>
    <cellStyle name="Обычный 4 4 3 7" xfId="9703"/>
    <cellStyle name="Обычный 4 4 3 8" xfId="9704"/>
    <cellStyle name="Обычный 4 4 3 9" xfId="9705"/>
    <cellStyle name="Обычный 4 4 4" xfId="3272"/>
    <cellStyle name="Обычный 4 4 4 2" xfId="9706"/>
    <cellStyle name="Обычный 4 4 4 3" xfId="9707"/>
    <cellStyle name="Обычный 4 4 4 4" xfId="9708"/>
    <cellStyle name="Обычный 4 4 4 5" xfId="9709"/>
    <cellStyle name="Обычный 4 4 4 6" xfId="9710"/>
    <cellStyle name="Обычный 4 4 5" xfId="3273"/>
    <cellStyle name="Обычный 4 4 5 2" xfId="9711"/>
    <cellStyle name="Обычный 4 4 5 3" xfId="9712"/>
    <cellStyle name="Обычный 4 4 5 4" xfId="9713"/>
    <cellStyle name="Обычный 4 4 5 5" xfId="9714"/>
    <cellStyle name="Обычный 4 4 5 6" xfId="9715"/>
    <cellStyle name="Обычный 4 4 6" xfId="3274"/>
    <cellStyle name="Обычный 4 4 6 2" xfId="9716"/>
    <cellStyle name="Обычный 4 4 6 3" xfId="9717"/>
    <cellStyle name="Обычный 4 4 6 4" xfId="9718"/>
    <cellStyle name="Обычный 4 4 6 5" xfId="9719"/>
    <cellStyle name="Обычный 4 4 6 6" xfId="9720"/>
    <cellStyle name="Обычный 4 4 7" xfId="9721"/>
    <cellStyle name="Обычный 4 4 8" xfId="9722"/>
    <cellStyle name="Обычный 4 4 9" xfId="9723"/>
    <cellStyle name="Обычный 4_ARMRAZR" xfId="3275"/>
    <cellStyle name="Обычный 40" xfId="3276"/>
    <cellStyle name="Обычный 40 2" xfId="3277"/>
    <cellStyle name="Обычный 40 2 2" xfId="3278"/>
    <cellStyle name="Обычный 40 2 2 2" xfId="9724"/>
    <cellStyle name="Обычный 40 2 2 3" xfId="9725"/>
    <cellStyle name="Обычный 40 2 2 4" xfId="9726"/>
    <cellStyle name="Обычный 40 2 2 5" xfId="9727"/>
    <cellStyle name="Обычный 40 2 2 6" xfId="9728"/>
    <cellStyle name="Обычный 40 2 3" xfId="3279"/>
    <cellStyle name="Обычный 40 2 3 2" xfId="9729"/>
    <cellStyle name="Обычный 40 2 3 3" xfId="9730"/>
    <cellStyle name="Обычный 40 2 3 4" xfId="9731"/>
    <cellStyle name="Обычный 40 2 3 5" xfId="9732"/>
    <cellStyle name="Обычный 40 2 3 6" xfId="9733"/>
    <cellStyle name="Обычный 40 2 4" xfId="3280"/>
    <cellStyle name="Обычный 40 2 4 2" xfId="9734"/>
    <cellStyle name="Обычный 40 2 4 3" xfId="9735"/>
    <cellStyle name="Обычный 40 2 4 4" xfId="9736"/>
    <cellStyle name="Обычный 40 2 4 5" xfId="9737"/>
    <cellStyle name="Обычный 40 2 4 6" xfId="9738"/>
    <cellStyle name="Обычный 40 2 5" xfId="9739"/>
    <cellStyle name="Обычный 40 2 6" xfId="9740"/>
    <cellStyle name="Обычный 40 2 7" xfId="9741"/>
    <cellStyle name="Обычный 40 2 8" xfId="9742"/>
    <cellStyle name="Обычный 40 2 9" xfId="9743"/>
    <cellStyle name="Обычный 40 3" xfId="3281"/>
    <cellStyle name="Обычный 40 3 2" xfId="3282"/>
    <cellStyle name="Обычный 40 3 2 2" xfId="9744"/>
    <cellStyle name="Обычный 40 3 2 3" xfId="9745"/>
    <cellStyle name="Обычный 40 3 2 4" xfId="9746"/>
    <cellStyle name="Обычный 40 3 2 5" xfId="9747"/>
    <cellStyle name="Обычный 40 3 2 6" xfId="9748"/>
    <cellStyle name="Обычный 40 3 3" xfId="3283"/>
    <cellStyle name="Обычный 40 3 3 2" xfId="9749"/>
    <cellStyle name="Обычный 40 3 3 3" xfId="9750"/>
    <cellStyle name="Обычный 40 3 3 4" xfId="9751"/>
    <cellStyle name="Обычный 40 3 3 5" xfId="9752"/>
    <cellStyle name="Обычный 40 3 3 6" xfId="9753"/>
    <cellStyle name="Обычный 40 3 4" xfId="3284"/>
    <cellStyle name="Обычный 40 3 4 2" xfId="9754"/>
    <cellStyle name="Обычный 40 3 4 3" xfId="9755"/>
    <cellStyle name="Обычный 40 3 4 4" xfId="9756"/>
    <cellStyle name="Обычный 40 3 4 5" xfId="9757"/>
    <cellStyle name="Обычный 40 3 4 6" xfId="9758"/>
    <cellStyle name="Обычный 40 3 5" xfId="9759"/>
    <cellStyle name="Обычный 40 3 6" xfId="9760"/>
    <cellStyle name="Обычный 40 3 7" xfId="9761"/>
    <cellStyle name="Обычный 40 3 8" xfId="9762"/>
    <cellStyle name="Обычный 40 3 9" xfId="9763"/>
    <cellStyle name="Обычный 40 4" xfId="5296"/>
    <cellStyle name="Обычный 41" xfId="3285"/>
    <cellStyle name="Обычный 41 2" xfId="3286"/>
    <cellStyle name="Обычный 41 2 2" xfId="3287"/>
    <cellStyle name="Обычный 41 2 2 2" xfId="9764"/>
    <cellStyle name="Обычный 41 2 2 3" xfId="9765"/>
    <cellStyle name="Обычный 41 2 2 4" xfId="9766"/>
    <cellStyle name="Обычный 41 2 2 5" xfId="9767"/>
    <cellStyle name="Обычный 41 2 2 6" xfId="9768"/>
    <cellStyle name="Обычный 41 2 3" xfId="3288"/>
    <cellStyle name="Обычный 41 2 3 2" xfId="9769"/>
    <cellStyle name="Обычный 41 2 3 3" xfId="9770"/>
    <cellStyle name="Обычный 41 2 3 4" xfId="9771"/>
    <cellStyle name="Обычный 41 2 3 5" xfId="9772"/>
    <cellStyle name="Обычный 41 2 3 6" xfId="9773"/>
    <cellStyle name="Обычный 41 2 4" xfId="3289"/>
    <cellStyle name="Обычный 41 2 4 2" xfId="9774"/>
    <cellStyle name="Обычный 41 2 4 3" xfId="9775"/>
    <cellStyle name="Обычный 41 2 4 4" xfId="9776"/>
    <cellStyle name="Обычный 41 2 4 5" xfId="9777"/>
    <cellStyle name="Обычный 41 2 4 6" xfId="9778"/>
    <cellStyle name="Обычный 41 2 5" xfId="9779"/>
    <cellStyle name="Обычный 41 2 6" xfId="9780"/>
    <cellStyle name="Обычный 41 2 7" xfId="9781"/>
    <cellStyle name="Обычный 41 2 8" xfId="9782"/>
    <cellStyle name="Обычный 41 2 9" xfId="9783"/>
    <cellStyle name="Обычный 41 3" xfId="3290"/>
    <cellStyle name="Обычный 41 3 2" xfId="3291"/>
    <cellStyle name="Обычный 41 3 2 2" xfId="9784"/>
    <cellStyle name="Обычный 41 3 2 3" xfId="9785"/>
    <cellStyle name="Обычный 41 3 2 4" xfId="9786"/>
    <cellStyle name="Обычный 41 3 2 5" xfId="9787"/>
    <cellStyle name="Обычный 41 3 2 6" xfId="9788"/>
    <cellStyle name="Обычный 41 3 3" xfId="3292"/>
    <cellStyle name="Обычный 41 3 3 2" xfId="9789"/>
    <cellStyle name="Обычный 41 3 3 3" xfId="9790"/>
    <cellStyle name="Обычный 41 3 3 4" xfId="9791"/>
    <cellStyle name="Обычный 41 3 3 5" xfId="9792"/>
    <cellStyle name="Обычный 41 3 3 6" xfId="9793"/>
    <cellStyle name="Обычный 41 3 4" xfId="3293"/>
    <cellStyle name="Обычный 41 3 4 2" xfId="9794"/>
    <cellStyle name="Обычный 41 3 4 3" xfId="9795"/>
    <cellStyle name="Обычный 41 3 4 4" xfId="9796"/>
    <cellStyle name="Обычный 41 3 4 5" xfId="9797"/>
    <cellStyle name="Обычный 41 3 4 6" xfId="9798"/>
    <cellStyle name="Обычный 41 3 5" xfId="9799"/>
    <cellStyle name="Обычный 41 3 6" xfId="9800"/>
    <cellStyle name="Обычный 41 3 7" xfId="9801"/>
    <cellStyle name="Обычный 41 3 8" xfId="9802"/>
    <cellStyle name="Обычный 41 3 9" xfId="9803"/>
    <cellStyle name="Обычный 41 4" xfId="5297"/>
    <cellStyle name="Обычный 42" xfId="3294"/>
    <cellStyle name="Обычный 42 10" xfId="9804"/>
    <cellStyle name="Обычный 42 11" xfId="9805"/>
    <cellStyle name="Обычный 42 12" xfId="9806"/>
    <cellStyle name="Обычный 42 13" xfId="9807"/>
    <cellStyle name="Обычный 42 2" xfId="3295"/>
    <cellStyle name="Обычный 42 2 2" xfId="3296"/>
    <cellStyle name="Обычный 42 2 2 2" xfId="9808"/>
    <cellStyle name="Обычный 42 2 2 3" xfId="9809"/>
    <cellStyle name="Обычный 42 2 2 4" xfId="9810"/>
    <cellStyle name="Обычный 42 2 2 5" xfId="9811"/>
    <cellStyle name="Обычный 42 2 2 6" xfId="9812"/>
    <cellStyle name="Обычный 42 2 3" xfId="3297"/>
    <cellStyle name="Обычный 42 2 3 2" xfId="9813"/>
    <cellStyle name="Обычный 42 2 3 3" xfId="9814"/>
    <cellStyle name="Обычный 42 2 3 4" xfId="9815"/>
    <cellStyle name="Обычный 42 2 3 5" xfId="9816"/>
    <cellStyle name="Обычный 42 2 3 6" xfId="9817"/>
    <cellStyle name="Обычный 42 2 4" xfId="3298"/>
    <cellStyle name="Обычный 42 2 4 2" xfId="9818"/>
    <cellStyle name="Обычный 42 2 4 3" xfId="9819"/>
    <cellStyle name="Обычный 42 2 4 4" xfId="9820"/>
    <cellStyle name="Обычный 42 2 4 5" xfId="9821"/>
    <cellStyle name="Обычный 42 2 4 6" xfId="9822"/>
    <cellStyle name="Обычный 42 2 5" xfId="9823"/>
    <cellStyle name="Обычный 42 2 6" xfId="9824"/>
    <cellStyle name="Обычный 42 2 7" xfId="9825"/>
    <cellStyle name="Обычный 42 2 8" xfId="9826"/>
    <cellStyle name="Обычный 42 2 9" xfId="9827"/>
    <cellStyle name="Обычный 42 3" xfId="3299"/>
    <cellStyle name="Обычный 42 3 2" xfId="3300"/>
    <cellStyle name="Обычный 42 3 2 2" xfId="9828"/>
    <cellStyle name="Обычный 42 3 2 3" xfId="9829"/>
    <cellStyle name="Обычный 42 3 2 4" xfId="9830"/>
    <cellStyle name="Обычный 42 3 2 5" xfId="9831"/>
    <cellStyle name="Обычный 42 3 2 6" xfId="9832"/>
    <cellStyle name="Обычный 42 3 3" xfId="3301"/>
    <cellStyle name="Обычный 42 3 3 2" xfId="9833"/>
    <cellStyle name="Обычный 42 3 3 3" xfId="9834"/>
    <cellStyle name="Обычный 42 3 3 4" xfId="9835"/>
    <cellStyle name="Обычный 42 3 3 5" xfId="9836"/>
    <cellStyle name="Обычный 42 3 3 6" xfId="9837"/>
    <cellStyle name="Обычный 42 3 4" xfId="3302"/>
    <cellStyle name="Обычный 42 3 4 2" xfId="9838"/>
    <cellStyle name="Обычный 42 3 4 3" xfId="9839"/>
    <cellStyle name="Обычный 42 3 4 4" xfId="9840"/>
    <cellStyle name="Обычный 42 3 4 5" xfId="9841"/>
    <cellStyle name="Обычный 42 3 4 6" xfId="9842"/>
    <cellStyle name="Обычный 42 3 5" xfId="9843"/>
    <cellStyle name="Обычный 42 3 6" xfId="9844"/>
    <cellStyle name="Обычный 42 3 7" xfId="9845"/>
    <cellStyle name="Обычный 42 3 8" xfId="9846"/>
    <cellStyle name="Обычный 42 3 9" xfId="9847"/>
    <cellStyle name="Обычный 42 4" xfId="3303"/>
    <cellStyle name="Обычный 42 4 2" xfId="3304"/>
    <cellStyle name="Обычный 42 4 2 2" xfId="9848"/>
    <cellStyle name="Обычный 42 4 2 3" xfId="9849"/>
    <cellStyle name="Обычный 42 4 2 4" xfId="9850"/>
    <cellStyle name="Обычный 42 4 2 5" xfId="9851"/>
    <cellStyle name="Обычный 42 4 2 6" xfId="9852"/>
    <cellStyle name="Обычный 42 4 3" xfId="3305"/>
    <cellStyle name="Обычный 42 4 3 2" xfId="9853"/>
    <cellStyle name="Обычный 42 4 3 3" xfId="9854"/>
    <cellStyle name="Обычный 42 4 3 4" xfId="9855"/>
    <cellStyle name="Обычный 42 4 3 5" xfId="9856"/>
    <cellStyle name="Обычный 42 4 3 6" xfId="9857"/>
    <cellStyle name="Обычный 42 4 4" xfId="3306"/>
    <cellStyle name="Обычный 42 4 4 2" xfId="9858"/>
    <cellStyle name="Обычный 42 4 4 3" xfId="9859"/>
    <cellStyle name="Обычный 42 4 4 4" xfId="9860"/>
    <cellStyle name="Обычный 42 4 4 5" xfId="9861"/>
    <cellStyle name="Обычный 42 4 4 6" xfId="9862"/>
    <cellStyle name="Обычный 42 4 5" xfId="9863"/>
    <cellStyle name="Обычный 42 4 6" xfId="9864"/>
    <cellStyle name="Обычный 42 4 7" xfId="9865"/>
    <cellStyle name="Обычный 42 4 8" xfId="9866"/>
    <cellStyle name="Обычный 42 4 9" xfId="9867"/>
    <cellStyle name="Обычный 42 5" xfId="3307"/>
    <cellStyle name="Обычный 42 5 2" xfId="9868"/>
    <cellStyle name="Обычный 42 5 3" xfId="9869"/>
    <cellStyle name="Обычный 42 5 4" xfId="9870"/>
    <cellStyle name="Обычный 42 5 5" xfId="9871"/>
    <cellStyle name="Обычный 42 5 6" xfId="9872"/>
    <cellStyle name="Обычный 42 6" xfId="3308"/>
    <cellStyle name="Обычный 42 6 2" xfId="9873"/>
    <cellStyle name="Обычный 42 6 3" xfId="9874"/>
    <cellStyle name="Обычный 42 6 4" xfId="9875"/>
    <cellStyle name="Обычный 42 6 5" xfId="9876"/>
    <cellStyle name="Обычный 42 6 6" xfId="9877"/>
    <cellStyle name="Обычный 42 7" xfId="3309"/>
    <cellStyle name="Обычный 42 7 2" xfId="9878"/>
    <cellStyle name="Обычный 42 7 3" xfId="9879"/>
    <cellStyle name="Обычный 42 7 4" xfId="9880"/>
    <cellStyle name="Обычный 42 7 5" xfId="9881"/>
    <cellStyle name="Обычный 42 7 6" xfId="9882"/>
    <cellStyle name="Обычный 42 8" xfId="3310"/>
    <cellStyle name="Обычный 42 8 2" xfId="9883"/>
    <cellStyle name="Обычный 42 8 3" xfId="9884"/>
    <cellStyle name="Обычный 42 8 4" xfId="9885"/>
    <cellStyle name="Обычный 42 8 5" xfId="9886"/>
    <cellStyle name="Обычный 42 8 6" xfId="9887"/>
    <cellStyle name="Обычный 42 9" xfId="5298"/>
    <cellStyle name="Обычный 43" xfId="3311"/>
    <cellStyle name="Обычный 43 10" xfId="9888"/>
    <cellStyle name="Обычный 43 11" xfId="9889"/>
    <cellStyle name="Обычный 43 2" xfId="3312"/>
    <cellStyle name="Обычный 43 2 2" xfId="3313"/>
    <cellStyle name="Обычный 43 2 2 2" xfId="9890"/>
    <cellStyle name="Обычный 43 2 2 3" xfId="9891"/>
    <cellStyle name="Обычный 43 2 2 4" xfId="9892"/>
    <cellStyle name="Обычный 43 2 2 5" xfId="9893"/>
    <cellStyle name="Обычный 43 2 2 6" xfId="9894"/>
    <cellStyle name="Обычный 43 2 3" xfId="3314"/>
    <cellStyle name="Обычный 43 2 3 2" xfId="9895"/>
    <cellStyle name="Обычный 43 2 3 3" xfId="9896"/>
    <cellStyle name="Обычный 43 2 3 4" xfId="9897"/>
    <cellStyle name="Обычный 43 2 3 5" xfId="9898"/>
    <cellStyle name="Обычный 43 2 3 6" xfId="9899"/>
    <cellStyle name="Обычный 43 2 4" xfId="3315"/>
    <cellStyle name="Обычный 43 2 4 2" xfId="9900"/>
    <cellStyle name="Обычный 43 2 4 3" xfId="9901"/>
    <cellStyle name="Обычный 43 2 4 4" xfId="9902"/>
    <cellStyle name="Обычный 43 2 4 5" xfId="9903"/>
    <cellStyle name="Обычный 43 2 4 6" xfId="9904"/>
    <cellStyle name="Обычный 43 2 5" xfId="9905"/>
    <cellStyle name="Обычный 43 2 6" xfId="9906"/>
    <cellStyle name="Обычный 43 2 7" xfId="9907"/>
    <cellStyle name="Обычный 43 2 8" xfId="9908"/>
    <cellStyle name="Обычный 43 2 9" xfId="9909"/>
    <cellStyle name="Обычный 43 3" xfId="3316"/>
    <cellStyle name="Обычный 43 3 2" xfId="3317"/>
    <cellStyle name="Обычный 43 3 2 2" xfId="9910"/>
    <cellStyle name="Обычный 43 3 2 3" xfId="9911"/>
    <cellStyle name="Обычный 43 3 2 4" xfId="9912"/>
    <cellStyle name="Обычный 43 3 2 5" xfId="9913"/>
    <cellStyle name="Обычный 43 3 2 6" xfId="9914"/>
    <cellStyle name="Обычный 43 3 3" xfId="3318"/>
    <cellStyle name="Обычный 43 3 3 2" xfId="9915"/>
    <cellStyle name="Обычный 43 3 3 3" xfId="9916"/>
    <cellStyle name="Обычный 43 3 3 4" xfId="9917"/>
    <cellStyle name="Обычный 43 3 3 5" xfId="9918"/>
    <cellStyle name="Обычный 43 3 3 6" xfId="9919"/>
    <cellStyle name="Обычный 43 3 4" xfId="3319"/>
    <cellStyle name="Обычный 43 3 4 2" xfId="9920"/>
    <cellStyle name="Обычный 43 3 4 3" xfId="9921"/>
    <cellStyle name="Обычный 43 3 4 4" xfId="9922"/>
    <cellStyle name="Обычный 43 3 4 5" xfId="9923"/>
    <cellStyle name="Обычный 43 3 4 6" xfId="9924"/>
    <cellStyle name="Обычный 43 3 5" xfId="9925"/>
    <cellStyle name="Обычный 43 3 6" xfId="9926"/>
    <cellStyle name="Обычный 43 3 7" xfId="9927"/>
    <cellStyle name="Обычный 43 3 8" xfId="9928"/>
    <cellStyle name="Обычный 43 3 9" xfId="9929"/>
    <cellStyle name="Обычный 43 4" xfId="3320"/>
    <cellStyle name="Обычный 43 4 2" xfId="9930"/>
    <cellStyle name="Обычный 43 4 3" xfId="9931"/>
    <cellStyle name="Обычный 43 4 4" xfId="9932"/>
    <cellStyle name="Обычный 43 4 5" xfId="9933"/>
    <cellStyle name="Обычный 43 4 6" xfId="9934"/>
    <cellStyle name="Обычный 43 5" xfId="3321"/>
    <cellStyle name="Обычный 43 5 2" xfId="9935"/>
    <cellStyle name="Обычный 43 5 3" xfId="9936"/>
    <cellStyle name="Обычный 43 5 4" xfId="9937"/>
    <cellStyle name="Обычный 43 5 5" xfId="9938"/>
    <cellStyle name="Обычный 43 5 6" xfId="9939"/>
    <cellStyle name="Обычный 43 6" xfId="3322"/>
    <cellStyle name="Обычный 43 6 2" xfId="9940"/>
    <cellStyle name="Обычный 43 6 3" xfId="9941"/>
    <cellStyle name="Обычный 43 6 4" xfId="9942"/>
    <cellStyle name="Обычный 43 6 5" xfId="9943"/>
    <cellStyle name="Обычный 43 6 6" xfId="9944"/>
    <cellStyle name="Обычный 43 7" xfId="5299"/>
    <cellStyle name="Обычный 43 8" xfId="9945"/>
    <cellStyle name="Обычный 43 9" xfId="9946"/>
    <cellStyle name="Обычный 44" xfId="3323"/>
    <cellStyle name="Обычный 44 10" xfId="9947"/>
    <cellStyle name="Обычный 44 11" xfId="9948"/>
    <cellStyle name="Обычный 44 2" xfId="3324"/>
    <cellStyle name="Обычный 44 2 2" xfId="3325"/>
    <cellStyle name="Обычный 44 2 2 2" xfId="3326"/>
    <cellStyle name="Обычный 44 2 2 2 2" xfId="9949"/>
    <cellStyle name="Обычный 44 2 2 2 3" xfId="9950"/>
    <cellStyle name="Обычный 44 2 2 2 4" xfId="9951"/>
    <cellStyle name="Обычный 44 2 2 2 5" xfId="9952"/>
    <cellStyle name="Обычный 44 2 2 2 6" xfId="9953"/>
    <cellStyle name="Обычный 44 2 2 3" xfId="3327"/>
    <cellStyle name="Обычный 44 2 2 3 2" xfId="9954"/>
    <cellStyle name="Обычный 44 2 2 3 3" xfId="9955"/>
    <cellStyle name="Обычный 44 2 2 3 4" xfId="9956"/>
    <cellStyle name="Обычный 44 2 2 3 5" xfId="9957"/>
    <cellStyle name="Обычный 44 2 2 3 6" xfId="9958"/>
    <cellStyle name="Обычный 44 2 2 4" xfId="3328"/>
    <cellStyle name="Обычный 44 2 2 4 2" xfId="9959"/>
    <cellStyle name="Обычный 44 2 2 4 3" xfId="9960"/>
    <cellStyle name="Обычный 44 2 2 4 4" xfId="9961"/>
    <cellStyle name="Обычный 44 2 2 4 5" xfId="9962"/>
    <cellStyle name="Обычный 44 2 2 4 6" xfId="9963"/>
    <cellStyle name="Обычный 44 2 2 5" xfId="9964"/>
    <cellStyle name="Обычный 44 2 2 6" xfId="9965"/>
    <cellStyle name="Обычный 44 2 2 7" xfId="9966"/>
    <cellStyle name="Обычный 44 2 2 8" xfId="9967"/>
    <cellStyle name="Обычный 44 2 2 9" xfId="9968"/>
    <cellStyle name="Обычный 44 2 3" xfId="3329"/>
    <cellStyle name="Обычный 44 3" xfId="3330"/>
    <cellStyle name="Обычный 44 3 2" xfId="3331"/>
    <cellStyle name="Обычный 44 3 2 2" xfId="9969"/>
    <cellStyle name="Обычный 44 3 2 3" xfId="9970"/>
    <cellStyle name="Обычный 44 3 2 4" xfId="9971"/>
    <cellStyle name="Обычный 44 3 2 5" xfId="9972"/>
    <cellStyle name="Обычный 44 3 2 6" xfId="9973"/>
    <cellStyle name="Обычный 44 3 3" xfId="3332"/>
    <cellStyle name="Обычный 44 3 3 2" xfId="9974"/>
    <cellStyle name="Обычный 44 3 3 3" xfId="9975"/>
    <cellStyle name="Обычный 44 3 3 4" xfId="9976"/>
    <cellStyle name="Обычный 44 3 3 5" xfId="9977"/>
    <cellStyle name="Обычный 44 3 3 6" xfId="9978"/>
    <cellStyle name="Обычный 44 3 4" xfId="3333"/>
    <cellStyle name="Обычный 44 3 4 2" xfId="9979"/>
    <cellStyle name="Обычный 44 3 4 3" xfId="9980"/>
    <cellStyle name="Обычный 44 3 4 4" xfId="9981"/>
    <cellStyle name="Обычный 44 3 4 5" xfId="9982"/>
    <cellStyle name="Обычный 44 3 4 6" xfId="9983"/>
    <cellStyle name="Обычный 44 3 5" xfId="9984"/>
    <cellStyle name="Обычный 44 3 6" xfId="9985"/>
    <cellStyle name="Обычный 44 3 7" xfId="9986"/>
    <cellStyle name="Обычный 44 3 8" xfId="9987"/>
    <cellStyle name="Обычный 44 3 9" xfId="9988"/>
    <cellStyle name="Обычный 44 4" xfId="3334"/>
    <cellStyle name="Обычный 44 4 2" xfId="9989"/>
    <cellStyle name="Обычный 44 4 3" xfId="9990"/>
    <cellStyle name="Обычный 44 4 4" xfId="9991"/>
    <cellStyle name="Обычный 44 4 5" xfId="9992"/>
    <cellStyle name="Обычный 44 4 6" xfId="9993"/>
    <cellStyle name="Обычный 44 5" xfId="3335"/>
    <cellStyle name="Обычный 44 5 2" xfId="9994"/>
    <cellStyle name="Обычный 44 5 3" xfId="9995"/>
    <cellStyle name="Обычный 44 5 4" xfId="9996"/>
    <cellStyle name="Обычный 44 5 5" xfId="9997"/>
    <cellStyle name="Обычный 44 5 6" xfId="9998"/>
    <cellStyle name="Обычный 44 6" xfId="3336"/>
    <cellStyle name="Обычный 44 6 2" xfId="9999"/>
    <cellStyle name="Обычный 44 6 3" xfId="10000"/>
    <cellStyle name="Обычный 44 6 4" xfId="10001"/>
    <cellStyle name="Обычный 44 6 5" xfId="10002"/>
    <cellStyle name="Обычный 44 6 6" xfId="10003"/>
    <cellStyle name="Обычный 44 7" xfId="5300"/>
    <cellStyle name="Обычный 44 8" xfId="10004"/>
    <cellStyle name="Обычный 44 9" xfId="10005"/>
    <cellStyle name="Обычный 45" xfId="3337"/>
    <cellStyle name="Обычный 45 2" xfId="3338"/>
    <cellStyle name="Обычный 45 2 2" xfId="3339"/>
    <cellStyle name="Обычный 45 2 2 2" xfId="10006"/>
    <cellStyle name="Обычный 45 2 2 3" xfId="10007"/>
    <cellStyle name="Обычный 45 2 2 4" xfId="10008"/>
    <cellStyle name="Обычный 45 2 2 5" xfId="10009"/>
    <cellStyle name="Обычный 45 2 2 6" xfId="10010"/>
    <cellStyle name="Обычный 45 2 3" xfId="3340"/>
    <cellStyle name="Обычный 45 2 3 2" xfId="10011"/>
    <cellStyle name="Обычный 45 2 3 3" xfId="10012"/>
    <cellStyle name="Обычный 45 2 3 4" xfId="10013"/>
    <cellStyle name="Обычный 45 2 3 5" xfId="10014"/>
    <cellStyle name="Обычный 45 2 3 6" xfId="10015"/>
    <cellStyle name="Обычный 45 2 4" xfId="3341"/>
    <cellStyle name="Обычный 45 2 4 2" xfId="10016"/>
    <cellStyle name="Обычный 45 2 4 3" xfId="10017"/>
    <cellStyle name="Обычный 45 2 4 4" xfId="10018"/>
    <cellStyle name="Обычный 45 2 4 5" xfId="10019"/>
    <cellStyle name="Обычный 45 2 4 6" xfId="10020"/>
    <cellStyle name="Обычный 45 2 5" xfId="10021"/>
    <cellStyle name="Обычный 45 2 6" xfId="10022"/>
    <cellStyle name="Обычный 45 2 7" xfId="10023"/>
    <cellStyle name="Обычный 45 2 8" xfId="10024"/>
    <cellStyle name="Обычный 45 2 9" xfId="10025"/>
    <cellStyle name="Обычный 45 3" xfId="5301"/>
    <cellStyle name="Обычный 46" xfId="3342"/>
    <cellStyle name="Обычный 46 2" xfId="3343"/>
    <cellStyle name="Обычный 46 2 2" xfId="3344"/>
    <cellStyle name="Обычный 46 2 2 2" xfId="3345"/>
    <cellStyle name="Обычный 46 2 2 2 2" xfId="10026"/>
    <cellStyle name="Обычный 46 2 2 2 3" xfId="10027"/>
    <cellStyle name="Обычный 46 2 2 2 4" xfId="10028"/>
    <cellStyle name="Обычный 46 2 2 2 5" xfId="10029"/>
    <cellStyle name="Обычный 46 2 2 2 6" xfId="10030"/>
    <cellStyle name="Обычный 46 2 2 3" xfId="3346"/>
    <cellStyle name="Обычный 46 2 2 3 2" xfId="10031"/>
    <cellStyle name="Обычный 46 2 2 3 3" xfId="10032"/>
    <cellStyle name="Обычный 46 2 2 3 4" xfId="10033"/>
    <cellStyle name="Обычный 46 2 2 3 5" xfId="10034"/>
    <cellStyle name="Обычный 46 2 2 3 6" xfId="10035"/>
    <cellStyle name="Обычный 46 2 2 4" xfId="3347"/>
    <cellStyle name="Обычный 46 2 2 4 2" xfId="10036"/>
    <cellStyle name="Обычный 46 2 2 4 3" xfId="10037"/>
    <cellStyle name="Обычный 46 2 2 4 4" xfId="10038"/>
    <cellStyle name="Обычный 46 2 2 4 5" xfId="10039"/>
    <cellStyle name="Обычный 46 2 2 4 6" xfId="10040"/>
    <cellStyle name="Обычный 46 2 2 5" xfId="10041"/>
    <cellStyle name="Обычный 46 2 2 6" xfId="10042"/>
    <cellStyle name="Обычный 46 2 2 7" xfId="10043"/>
    <cellStyle name="Обычный 46 2 2 8" xfId="10044"/>
    <cellStyle name="Обычный 46 2 2 9" xfId="10045"/>
    <cellStyle name="Обычный 46 2 3" xfId="3348"/>
    <cellStyle name="Обычный 46 3" xfId="3349"/>
    <cellStyle name="Обычный 46 3 2" xfId="3350"/>
    <cellStyle name="Обычный 46 3 2 2" xfId="10046"/>
    <cellStyle name="Обычный 46 3 2 3" xfId="10047"/>
    <cellStyle name="Обычный 46 3 2 4" xfId="10048"/>
    <cellStyle name="Обычный 46 3 2 5" xfId="10049"/>
    <cellStyle name="Обычный 46 3 2 6" xfId="10050"/>
    <cellStyle name="Обычный 46 3 3" xfId="3351"/>
    <cellStyle name="Обычный 46 3 3 2" xfId="10051"/>
    <cellStyle name="Обычный 46 3 3 3" xfId="10052"/>
    <cellStyle name="Обычный 46 3 3 4" xfId="10053"/>
    <cellStyle name="Обычный 46 3 3 5" xfId="10054"/>
    <cellStyle name="Обычный 46 3 3 6" xfId="10055"/>
    <cellStyle name="Обычный 46 3 4" xfId="3352"/>
    <cellStyle name="Обычный 46 3 4 2" xfId="10056"/>
    <cellStyle name="Обычный 46 3 4 3" xfId="10057"/>
    <cellStyle name="Обычный 46 3 4 4" xfId="10058"/>
    <cellStyle name="Обычный 46 3 4 5" xfId="10059"/>
    <cellStyle name="Обычный 46 3 4 6" xfId="10060"/>
    <cellStyle name="Обычный 46 3 5" xfId="10061"/>
    <cellStyle name="Обычный 46 3 6" xfId="10062"/>
    <cellStyle name="Обычный 46 3 7" xfId="10063"/>
    <cellStyle name="Обычный 46 3 8" xfId="10064"/>
    <cellStyle name="Обычный 46 3 9" xfId="10065"/>
    <cellStyle name="Обычный 46 4" xfId="3353"/>
    <cellStyle name="Обычный 46 5" xfId="5302"/>
    <cellStyle name="Обычный 47" xfId="3354"/>
    <cellStyle name="Обычный 47 2" xfId="3355"/>
    <cellStyle name="Обычный 47 2 2" xfId="3356"/>
    <cellStyle name="Обычный 47 2 2 2" xfId="3357"/>
    <cellStyle name="Обычный 47 2 2 2 2" xfId="10066"/>
    <cellStyle name="Обычный 47 2 2 2 3" xfId="10067"/>
    <cellStyle name="Обычный 47 2 2 2 4" xfId="10068"/>
    <cellStyle name="Обычный 47 2 2 2 5" xfId="10069"/>
    <cellStyle name="Обычный 47 2 2 2 6" xfId="10070"/>
    <cellStyle name="Обычный 47 2 2 3" xfId="3358"/>
    <cellStyle name="Обычный 47 2 2 3 2" xfId="10071"/>
    <cellStyle name="Обычный 47 2 2 3 3" xfId="10072"/>
    <cellStyle name="Обычный 47 2 2 3 4" xfId="10073"/>
    <cellStyle name="Обычный 47 2 2 3 5" xfId="10074"/>
    <cellStyle name="Обычный 47 2 2 3 6" xfId="10075"/>
    <cellStyle name="Обычный 47 2 2 4" xfId="3359"/>
    <cellStyle name="Обычный 47 2 2 4 2" xfId="10076"/>
    <cellStyle name="Обычный 47 2 2 4 3" xfId="10077"/>
    <cellStyle name="Обычный 47 2 2 4 4" xfId="10078"/>
    <cellStyle name="Обычный 47 2 2 4 5" xfId="10079"/>
    <cellStyle name="Обычный 47 2 2 4 6" xfId="10080"/>
    <cellStyle name="Обычный 47 2 2 5" xfId="10081"/>
    <cellStyle name="Обычный 47 2 2 6" xfId="10082"/>
    <cellStyle name="Обычный 47 2 2 7" xfId="10083"/>
    <cellStyle name="Обычный 47 2 2 8" xfId="10084"/>
    <cellStyle name="Обычный 47 2 2 9" xfId="10085"/>
    <cellStyle name="Обычный 47 2 3" xfId="3360"/>
    <cellStyle name="Обычный 47 3" xfId="3361"/>
    <cellStyle name="Обычный 47 3 2" xfId="3362"/>
    <cellStyle name="Обычный 47 3 2 2" xfId="10086"/>
    <cellStyle name="Обычный 47 3 2 3" xfId="10087"/>
    <cellStyle name="Обычный 47 3 2 4" xfId="10088"/>
    <cellStyle name="Обычный 47 3 2 5" xfId="10089"/>
    <cellStyle name="Обычный 47 3 2 6" xfId="10090"/>
    <cellStyle name="Обычный 47 3 3" xfId="3363"/>
    <cellStyle name="Обычный 47 3 3 2" xfId="10091"/>
    <cellStyle name="Обычный 47 3 3 3" xfId="10092"/>
    <cellStyle name="Обычный 47 3 3 4" xfId="10093"/>
    <cellStyle name="Обычный 47 3 3 5" xfId="10094"/>
    <cellStyle name="Обычный 47 3 3 6" xfId="10095"/>
    <cellStyle name="Обычный 47 3 4" xfId="3364"/>
    <cellStyle name="Обычный 47 3 4 2" xfId="10096"/>
    <cellStyle name="Обычный 47 3 4 3" xfId="10097"/>
    <cellStyle name="Обычный 47 3 4 4" xfId="10098"/>
    <cellStyle name="Обычный 47 3 4 5" xfId="10099"/>
    <cellStyle name="Обычный 47 3 4 6" xfId="10100"/>
    <cellStyle name="Обычный 47 3 5" xfId="10101"/>
    <cellStyle name="Обычный 47 3 6" xfId="10102"/>
    <cellStyle name="Обычный 47 3 7" xfId="10103"/>
    <cellStyle name="Обычный 47 3 8" xfId="10104"/>
    <cellStyle name="Обычный 47 3 9" xfId="10105"/>
    <cellStyle name="Обычный 47 4" xfId="3365"/>
    <cellStyle name="Обычный 47 5" xfId="5303"/>
    <cellStyle name="Обычный 48" xfId="3366"/>
    <cellStyle name="Обычный 48 2" xfId="3367"/>
    <cellStyle name="Обычный 48 2 2" xfId="3368"/>
    <cellStyle name="Обычный 48 2 2 2" xfId="3369"/>
    <cellStyle name="Обычный 48 2 2 2 2" xfId="10106"/>
    <cellStyle name="Обычный 48 2 2 2 3" xfId="10107"/>
    <cellStyle name="Обычный 48 2 2 2 4" xfId="10108"/>
    <cellStyle name="Обычный 48 2 2 2 5" xfId="10109"/>
    <cellStyle name="Обычный 48 2 2 2 6" xfId="10110"/>
    <cellStyle name="Обычный 48 2 2 3" xfId="3370"/>
    <cellStyle name="Обычный 48 2 2 3 2" xfId="10111"/>
    <cellStyle name="Обычный 48 2 2 3 3" xfId="10112"/>
    <cellStyle name="Обычный 48 2 2 3 4" xfId="10113"/>
    <cellStyle name="Обычный 48 2 2 3 5" xfId="10114"/>
    <cellStyle name="Обычный 48 2 2 3 6" xfId="10115"/>
    <cellStyle name="Обычный 48 2 2 4" xfId="3371"/>
    <cellStyle name="Обычный 48 2 2 4 2" xfId="10116"/>
    <cellStyle name="Обычный 48 2 2 4 3" xfId="10117"/>
    <cellStyle name="Обычный 48 2 2 4 4" xfId="10118"/>
    <cellStyle name="Обычный 48 2 2 4 5" xfId="10119"/>
    <cellStyle name="Обычный 48 2 2 4 6" xfId="10120"/>
    <cellStyle name="Обычный 48 2 2 5" xfId="10121"/>
    <cellStyle name="Обычный 48 2 2 6" xfId="10122"/>
    <cellStyle name="Обычный 48 2 2 7" xfId="10123"/>
    <cellStyle name="Обычный 48 2 2 8" xfId="10124"/>
    <cellStyle name="Обычный 48 2 2 9" xfId="10125"/>
    <cellStyle name="Обычный 48 2 3" xfId="3372"/>
    <cellStyle name="Обычный 48 3" xfId="3373"/>
    <cellStyle name="Обычный 48 3 2" xfId="3374"/>
    <cellStyle name="Обычный 48 3 2 2" xfId="10126"/>
    <cellStyle name="Обычный 48 3 2 3" xfId="10127"/>
    <cellStyle name="Обычный 48 3 2 4" xfId="10128"/>
    <cellStyle name="Обычный 48 3 2 5" xfId="10129"/>
    <cellStyle name="Обычный 48 3 2 6" xfId="10130"/>
    <cellStyle name="Обычный 48 3 3" xfId="3375"/>
    <cellStyle name="Обычный 48 3 3 2" xfId="10131"/>
    <cellStyle name="Обычный 48 3 3 3" xfId="10132"/>
    <cellStyle name="Обычный 48 3 3 4" xfId="10133"/>
    <cellStyle name="Обычный 48 3 3 5" xfId="10134"/>
    <cellStyle name="Обычный 48 3 3 6" xfId="10135"/>
    <cellStyle name="Обычный 48 3 4" xfId="3376"/>
    <cellStyle name="Обычный 48 3 4 2" xfId="10136"/>
    <cellStyle name="Обычный 48 3 4 3" xfId="10137"/>
    <cellStyle name="Обычный 48 3 4 4" xfId="10138"/>
    <cellStyle name="Обычный 48 3 4 5" xfId="10139"/>
    <cellStyle name="Обычный 48 3 4 6" xfId="10140"/>
    <cellStyle name="Обычный 48 3 5" xfId="10141"/>
    <cellStyle name="Обычный 48 3 6" xfId="10142"/>
    <cellStyle name="Обычный 48 3 7" xfId="10143"/>
    <cellStyle name="Обычный 48 3 8" xfId="10144"/>
    <cellStyle name="Обычный 48 3 9" xfId="10145"/>
    <cellStyle name="Обычный 48 4" xfId="3377"/>
    <cellStyle name="Обычный 48 5" xfId="5304"/>
    <cellStyle name="Обычный 49" xfId="3378"/>
    <cellStyle name="Обычный 49 2" xfId="3379"/>
    <cellStyle name="Обычный 49 2 2" xfId="3380"/>
    <cellStyle name="Обычный 49 2 2 2" xfId="3381"/>
    <cellStyle name="Обычный 49 2 2 2 2" xfId="10146"/>
    <cellStyle name="Обычный 49 2 2 2 3" xfId="10147"/>
    <cellStyle name="Обычный 49 2 2 2 4" xfId="10148"/>
    <cellStyle name="Обычный 49 2 2 2 5" xfId="10149"/>
    <cellStyle name="Обычный 49 2 2 2 6" xfId="10150"/>
    <cellStyle name="Обычный 49 2 2 3" xfId="3382"/>
    <cellStyle name="Обычный 49 2 2 3 2" xfId="10151"/>
    <cellStyle name="Обычный 49 2 2 3 3" xfId="10152"/>
    <cellStyle name="Обычный 49 2 2 3 4" xfId="10153"/>
    <cellStyle name="Обычный 49 2 2 3 5" xfId="10154"/>
    <cellStyle name="Обычный 49 2 2 3 6" xfId="10155"/>
    <cellStyle name="Обычный 49 2 2 4" xfId="3383"/>
    <cellStyle name="Обычный 49 2 2 4 2" xfId="10156"/>
    <cellStyle name="Обычный 49 2 2 4 3" xfId="10157"/>
    <cellStyle name="Обычный 49 2 2 4 4" xfId="10158"/>
    <cellStyle name="Обычный 49 2 2 4 5" xfId="10159"/>
    <cellStyle name="Обычный 49 2 2 4 6" xfId="10160"/>
    <cellStyle name="Обычный 49 2 2 5" xfId="10161"/>
    <cellStyle name="Обычный 49 2 2 6" xfId="10162"/>
    <cellStyle name="Обычный 49 2 2 7" xfId="10163"/>
    <cellStyle name="Обычный 49 2 2 8" xfId="10164"/>
    <cellStyle name="Обычный 49 2 2 9" xfId="10165"/>
    <cellStyle name="Обычный 49 2 3" xfId="3384"/>
    <cellStyle name="Обычный 49 3" xfId="3385"/>
    <cellStyle name="Обычный 49 3 2" xfId="3386"/>
    <cellStyle name="Обычный 49 3 2 2" xfId="10166"/>
    <cellStyle name="Обычный 49 3 2 3" xfId="10167"/>
    <cellStyle name="Обычный 49 3 2 4" xfId="10168"/>
    <cellStyle name="Обычный 49 3 2 5" xfId="10169"/>
    <cellStyle name="Обычный 49 3 2 6" xfId="10170"/>
    <cellStyle name="Обычный 49 3 3" xfId="3387"/>
    <cellStyle name="Обычный 49 3 3 2" xfId="10171"/>
    <cellStyle name="Обычный 49 3 3 3" xfId="10172"/>
    <cellStyle name="Обычный 49 3 3 4" xfId="10173"/>
    <cellStyle name="Обычный 49 3 3 5" xfId="10174"/>
    <cellStyle name="Обычный 49 3 3 6" xfId="10175"/>
    <cellStyle name="Обычный 49 3 4" xfId="3388"/>
    <cellStyle name="Обычный 49 3 4 2" xfId="10176"/>
    <cellStyle name="Обычный 49 3 4 3" xfId="10177"/>
    <cellStyle name="Обычный 49 3 4 4" xfId="10178"/>
    <cellStyle name="Обычный 49 3 4 5" xfId="10179"/>
    <cellStyle name="Обычный 49 3 4 6" xfId="10180"/>
    <cellStyle name="Обычный 49 3 5" xfId="10181"/>
    <cellStyle name="Обычный 49 3 6" xfId="10182"/>
    <cellStyle name="Обычный 49 3 7" xfId="10183"/>
    <cellStyle name="Обычный 49 3 8" xfId="10184"/>
    <cellStyle name="Обычный 49 3 9" xfId="10185"/>
    <cellStyle name="Обычный 49 4" xfId="3389"/>
    <cellStyle name="Обычный 49 5" xfId="5305"/>
    <cellStyle name="Обычный 5" xfId="3390"/>
    <cellStyle name="Обычный 5 10" xfId="3391"/>
    <cellStyle name="Обычный 5 10 10" xfId="10186"/>
    <cellStyle name="Обычный 5 10 2" xfId="3392"/>
    <cellStyle name="Обычный 5 10 2 2" xfId="10187"/>
    <cellStyle name="Обычный 5 10 2 3" xfId="10188"/>
    <cellStyle name="Обычный 5 10 2 4" xfId="10189"/>
    <cellStyle name="Обычный 5 10 2 5" xfId="10190"/>
    <cellStyle name="Обычный 5 10 2 6" xfId="10191"/>
    <cellStyle name="Обычный 5 10 3" xfId="3393"/>
    <cellStyle name="Обычный 5 10 3 2" xfId="10192"/>
    <cellStyle name="Обычный 5 10 3 3" xfId="10193"/>
    <cellStyle name="Обычный 5 10 3 4" xfId="10194"/>
    <cellStyle name="Обычный 5 10 3 5" xfId="10195"/>
    <cellStyle name="Обычный 5 10 3 6" xfId="10196"/>
    <cellStyle name="Обычный 5 10 4" xfId="3394"/>
    <cellStyle name="Обычный 5 10 4 2" xfId="10197"/>
    <cellStyle name="Обычный 5 10 4 3" xfId="10198"/>
    <cellStyle name="Обычный 5 10 4 4" xfId="10199"/>
    <cellStyle name="Обычный 5 10 4 5" xfId="10200"/>
    <cellStyle name="Обычный 5 10 4 6" xfId="10201"/>
    <cellStyle name="Обычный 5 10 5" xfId="3395"/>
    <cellStyle name="Обычный 5 10 6" xfId="10202"/>
    <cellStyle name="Обычный 5 10 7" xfId="10203"/>
    <cellStyle name="Обычный 5 10 8" xfId="10204"/>
    <cellStyle name="Обычный 5 10 9" xfId="10205"/>
    <cellStyle name="Обычный 5 11" xfId="3396"/>
    <cellStyle name="Обычный 5 11 2" xfId="10206"/>
    <cellStyle name="Обычный 5 11 3" xfId="10207"/>
    <cellStyle name="Обычный 5 11 4" xfId="10208"/>
    <cellStyle name="Обычный 5 11 5" xfId="10209"/>
    <cellStyle name="Обычный 5 11 6" xfId="10210"/>
    <cellStyle name="Обычный 5 12" xfId="3397"/>
    <cellStyle name="Обычный 5 12 2" xfId="10211"/>
    <cellStyle name="Обычный 5 12 3" xfId="10212"/>
    <cellStyle name="Обычный 5 12 4" xfId="10213"/>
    <cellStyle name="Обычный 5 12 5" xfId="10214"/>
    <cellStyle name="Обычный 5 12 6" xfId="10215"/>
    <cellStyle name="Обычный 5 13" xfId="3398"/>
    <cellStyle name="Обычный 5 13 2" xfId="10216"/>
    <cellStyle name="Обычный 5 13 3" xfId="10217"/>
    <cellStyle name="Обычный 5 13 4" xfId="10218"/>
    <cellStyle name="Обычный 5 13 5" xfId="10219"/>
    <cellStyle name="Обычный 5 13 6" xfId="10220"/>
    <cellStyle name="Обычный 5 14" xfId="5306"/>
    <cellStyle name="Обычный 5 15" xfId="10221"/>
    <cellStyle name="Обычный 5 16" xfId="10222"/>
    <cellStyle name="Обычный 5 17" xfId="10223"/>
    <cellStyle name="Обычный 5 18" xfId="10224"/>
    <cellStyle name="Обычный 5 2" xfId="3399"/>
    <cellStyle name="Обычный 5 2 10" xfId="3400"/>
    <cellStyle name="Обычный 5 2 10 2" xfId="3401"/>
    <cellStyle name="Обычный 5 2 11" xfId="3402"/>
    <cellStyle name="Обычный 5 2 12" xfId="5307"/>
    <cellStyle name="Обычный 5 2 2" xfId="3403"/>
    <cellStyle name="Обычный 5 2 2 10" xfId="3404"/>
    <cellStyle name="Обычный 5 2 2 10 2" xfId="10225"/>
    <cellStyle name="Обычный 5 2 2 10 3" xfId="10226"/>
    <cellStyle name="Обычный 5 2 2 10 4" xfId="10227"/>
    <cellStyle name="Обычный 5 2 2 10 5" xfId="10228"/>
    <cellStyle name="Обычный 5 2 2 10 6" xfId="10229"/>
    <cellStyle name="Обычный 5 2 2 11" xfId="5308"/>
    <cellStyle name="Обычный 5 2 2 12" xfId="10230"/>
    <cellStyle name="Обычный 5 2 2 13" xfId="10231"/>
    <cellStyle name="Обычный 5 2 2 14" xfId="10232"/>
    <cellStyle name="Обычный 5 2 2 15" xfId="10233"/>
    <cellStyle name="Обычный 5 2 2 2" xfId="3405"/>
    <cellStyle name="Обычный 5 2 2 2 10" xfId="10234"/>
    <cellStyle name="Обычный 5 2 2 2 11" xfId="10235"/>
    <cellStyle name="Обычный 5 2 2 2 2" xfId="3406"/>
    <cellStyle name="Обычный 5 2 2 2 2 2" xfId="3407"/>
    <cellStyle name="Обычный 5 2 2 2 2 2 2" xfId="10236"/>
    <cellStyle name="Обычный 5 2 2 2 2 2 3" xfId="10237"/>
    <cellStyle name="Обычный 5 2 2 2 2 2 4" xfId="10238"/>
    <cellStyle name="Обычный 5 2 2 2 2 2 5" xfId="10239"/>
    <cellStyle name="Обычный 5 2 2 2 2 2 6" xfId="10240"/>
    <cellStyle name="Обычный 5 2 2 2 2 3" xfId="3408"/>
    <cellStyle name="Обычный 5 2 2 2 2 3 2" xfId="10241"/>
    <cellStyle name="Обычный 5 2 2 2 2 3 3" xfId="10242"/>
    <cellStyle name="Обычный 5 2 2 2 2 3 4" xfId="10243"/>
    <cellStyle name="Обычный 5 2 2 2 2 3 5" xfId="10244"/>
    <cellStyle name="Обычный 5 2 2 2 2 3 6" xfId="10245"/>
    <cellStyle name="Обычный 5 2 2 2 2 4" xfId="3409"/>
    <cellStyle name="Обычный 5 2 2 2 2 4 2" xfId="10246"/>
    <cellStyle name="Обычный 5 2 2 2 2 4 3" xfId="10247"/>
    <cellStyle name="Обычный 5 2 2 2 2 4 4" xfId="10248"/>
    <cellStyle name="Обычный 5 2 2 2 2 4 5" xfId="10249"/>
    <cellStyle name="Обычный 5 2 2 2 2 4 6" xfId="10250"/>
    <cellStyle name="Обычный 5 2 2 2 2 5" xfId="5309"/>
    <cellStyle name="Обычный 5 2 2 2 2 6" xfId="10251"/>
    <cellStyle name="Обычный 5 2 2 2 2 7" xfId="10252"/>
    <cellStyle name="Обычный 5 2 2 2 2 8" xfId="10253"/>
    <cellStyle name="Обычный 5 2 2 2 2 9" xfId="10254"/>
    <cellStyle name="Обычный 5 2 2 2 3" xfId="3410"/>
    <cellStyle name="Обычный 5 2 2 2 3 2" xfId="3411"/>
    <cellStyle name="Обычный 5 2 2 2 3 2 2" xfId="10255"/>
    <cellStyle name="Обычный 5 2 2 2 3 2 3" xfId="10256"/>
    <cellStyle name="Обычный 5 2 2 2 3 2 4" xfId="10257"/>
    <cellStyle name="Обычный 5 2 2 2 3 2 5" xfId="10258"/>
    <cellStyle name="Обычный 5 2 2 2 3 2 6" xfId="10259"/>
    <cellStyle name="Обычный 5 2 2 2 3 3" xfId="3412"/>
    <cellStyle name="Обычный 5 2 2 2 3 3 2" xfId="10260"/>
    <cellStyle name="Обычный 5 2 2 2 3 3 3" xfId="10261"/>
    <cellStyle name="Обычный 5 2 2 2 3 3 4" xfId="10262"/>
    <cellStyle name="Обычный 5 2 2 2 3 3 5" xfId="10263"/>
    <cellStyle name="Обычный 5 2 2 2 3 3 6" xfId="10264"/>
    <cellStyle name="Обычный 5 2 2 2 3 4" xfId="3413"/>
    <cellStyle name="Обычный 5 2 2 2 3 4 2" xfId="10265"/>
    <cellStyle name="Обычный 5 2 2 2 3 4 3" xfId="10266"/>
    <cellStyle name="Обычный 5 2 2 2 3 4 4" xfId="10267"/>
    <cellStyle name="Обычный 5 2 2 2 3 4 5" xfId="10268"/>
    <cellStyle name="Обычный 5 2 2 2 3 4 6" xfId="10269"/>
    <cellStyle name="Обычный 5 2 2 2 3 5" xfId="10270"/>
    <cellStyle name="Обычный 5 2 2 2 3 6" xfId="10271"/>
    <cellStyle name="Обычный 5 2 2 2 3 7" xfId="10272"/>
    <cellStyle name="Обычный 5 2 2 2 3 8" xfId="10273"/>
    <cellStyle name="Обычный 5 2 2 2 3 9" xfId="10274"/>
    <cellStyle name="Обычный 5 2 2 2 4" xfId="3414"/>
    <cellStyle name="Обычный 5 2 2 2 4 2" xfId="10275"/>
    <cellStyle name="Обычный 5 2 2 2 4 3" xfId="10276"/>
    <cellStyle name="Обычный 5 2 2 2 4 4" xfId="10277"/>
    <cellStyle name="Обычный 5 2 2 2 4 5" xfId="10278"/>
    <cellStyle name="Обычный 5 2 2 2 4 6" xfId="10279"/>
    <cellStyle name="Обычный 5 2 2 2 5" xfId="3415"/>
    <cellStyle name="Обычный 5 2 2 2 5 2" xfId="10280"/>
    <cellStyle name="Обычный 5 2 2 2 5 3" xfId="10281"/>
    <cellStyle name="Обычный 5 2 2 2 5 4" xfId="10282"/>
    <cellStyle name="Обычный 5 2 2 2 5 5" xfId="10283"/>
    <cellStyle name="Обычный 5 2 2 2 5 6" xfId="10284"/>
    <cellStyle name="Обычный 5 2 2 2 6" xfId="3416"/>
    <cellStyle name="Обычный 5 2 2 2 6 2" xfId="10285"/>
    <cellStyle name="Обычный 5 2 2 2 6 3" xfId="10286"/>
    <cellStyle name="Обычный 5 2 2 2 6 4" xfId="10287"/>
    <cellStyle name="Обычный 5 2 2 2 6 5" xfId="10288"/>
    <cellStyle name="Обычный 5 2 2 2 6 6" xfId="10289"/>
    <cellStyle name="Обычный 5 2 2 2 7" xfId="5310"/>
    <cellStyle name="Обычный 5 2 2 2 8" xfId="10290"/>
    <cellStyle name="Обычный 5 2 2 2 9" xfId="10291"/>
    <cellStyle name="Обычный 5 2 2 3" xfId="3417"/>
    <cellStyle name="Обычный 5 2 2 3 2" xfId="3418"/>
    <cellStyle name="Обычный 5 2 2 3 2 2" xfId="10292"/>
    <cellStyle name="Обычный 5 2 2 3 2 3" xfId="10293"/>
    <cellStyle name="Обычный 5 2 2 3 2 4" xfId="10294"/>
    <cellStyle name="Обычный 5 2 2 3 2 5" xfId="10295"/>
    <cellStyle name="Обычный 5 2 2 3 2 6" xfId="10296"/>
    <cellStyle name="Обычный 5 2 2 3 3" xfId="3419"/>
    <cellStyle name="Обычный 5 2 2 3 3 2" xfId="10297"/>
    <cellStyle name="Обычный 5 2 2 3 3 3" xfId="10298"/>
    <cellStyle name="Обычный 5 2 2 3 3 4" xfId="10299"/>
    <cellStyle name="Обычный 5 2 2 3 3 5" xfId="10300"/>
    <cellStyle name="Обычный 5 2 2 3 3 6" xfId="10301"/>
    <cellStyle name="Обычный 5 2 2 3 4" xfId="3420"/>
    <cellStyle name="Обычный 5 2 2 3 4 2" xfId="10302"/>
    <cellStyle name="Обычный 5 2 2 3 4 3" xfId="10303"/>
    <cellStyle name="Обычный 5 2 2 3 4 4" xfId="10304"/>
    <cellStyle name="Обычный 5 2 2 3 4 5" xfId="10305"/>
    <cellStyle name="Обычный 5 2 2 3 4 6" xfId="10306"/>
    <cellStyle name="Обычный 5 2 2 3 5" xfId="5311"/>
    <cellStyle name="Обычный 5 2 2 3 6" xfId="10307"/>
    <cellStyle name="Обычный 5 2 2 3 7" xfId="10308"/>
    <cellStyle name="Обычный 5 2 2 3 8" xfId="10309"/>
    <cellStyle name="Обычный 5 2 2 3 9" xfId="10310"/>
    <cellStyle name="Обычный 5 2 2 4" xfId="3421"/>
    <cellStyle name="Обычный 5 2 2 4 2" xfId="3422"/>
    <cellStyle name="Обычный 5 2 2 4 2 2" xfId="10311"/>
    <cellStyle name="Обычный 5 2 2 4 2 3" xfId="10312"/>
    <cellStyle name="Обычный 5 2 2 4 2 4" xfId="10313"/>
    <cellStyle name="Обычный 5 2 2 4 2 5" xfId="10314"/>
    <cellStyle name="Обычный 5 2 2 4 2 6" xfId="10315"/>
    <cellStyle name="Обычный 5 2 2 4 3" xfId="3423"/>
    <cellStyle name="Обычный 5 2 2 4 3 2" xfId="10316"/>
    <cellStyle name="Обычный 5 2 2 4 3 3" xfId="10317"/>
    <cellStyle name="Обычный 5 2 2 4 3 4" xfId="10318"/>
    <cellStyle name="Обычный 5 2 2 4 3 5" xfId="10319"/>
    <cellStyle name="Обычный 5 2 2 4 3 6" xfId="10320"/>
    <cellStyle name="Обычный 5 2 2 4 4" xfId="3424"/>
    <cellStyle name="Обычный 5 2 2 4 4 2" xfId="10321"/>
    <cellStyle name="Обычный 5 2 2 4 4 3" xfId="10322"/>
    <cellStyle name="Обычный 5 2 2 4 4 4" xfId="10323"/>
    <cellStyle name="Обычный 5 2 2 4 4 5" xfId="10324"/>
    <cellStyle name="Обычный 5 2 2 4 4 6" xfId="10325"/>
    <cellStyle name="Обычный 5 2 2 4 5" xfId="5312"/>
    <cellStyle name="Обычный 5 2 2 4 6" xfId="10326"/>
    <cellStyle name="Обычный 5 2 2 4 7" xfId="10327"/>
    <cellStyle name="Обычный 5 2 2 4 8" xfId="10328"/>
    <cellStyle name="Обычный 5 2 2 4 9" xfId="10329"/>
    <cellStyle name="Обычный 5 2 2 5" xfId="3425"/>
    <cellStyle name="Обычный 5 2 2 5 2" xfId="3426"/>
    <cellStyle name="Обычный 5 2 2 5 2 2" xfId="10330"/>
    <cellStyle name="Обычный 5 2 2 5 2 3" xfId="10331"/>
    <cellStyle name="Обычный 5 2 2 5 2 4" xfId="10332"/>
    <cellStyle name="Обычный 5 2 2 5 2 5" xfId="10333"/>
    <cellStyle name="Обычный 5 2 2 5 2 6" xfId="10334"/>
    <cellStyle name="Обычный 5 2 2 5 3" xfId="3427"/>
    <cellStyle name="Обычный 5 2 2 5 3 2" xfId="10335"/>
    <cellStyle name="Обычный 5 2 2 5 3 3" xfId="10336"/>
    <cellStyle name="Обычный 5 2 2 5 3 4" xfId="10337"/>
    <cellStyle name="Обычный 5 2 2 5 3 5" xfId="10338"/>
    <cellStyle name="Обычный 5 2 2 5 3 6" xfId="10339"/>
    <cellStyle name="Обычный 5 2 2 5 4" xfId="3428"/>
    <cellStyle name="Обычный 5 2 2 5 4 2" xfId="10340"/>
    <cellStyle name="Обычный 5 2 2 5 4 3" xfId="10341"/>
    <cellStyle name="Обычный 5 2 2 5 4 4" xfId="10342"/>
    <cellStyle name="Обычный 5 2 2 5 4 5" xfId="10343"/>
    <cellStyle name="Обычный 5 2 2 5 4 6" xfId="10344"/>
    <cellStyle name="Обычный 5 2 2 5 5" xfId="5313"/>
    <cellStyle name="Обычный 5 2 2 5 6" xfId="10345"/>
    <cellStyle name="Обычный 5 2 2 5 7" xfId="10346"/>
    <cellStyle name="Обычный 5 2 2 5 8" xfId="10347"/>
    <cellStyle name="Обычный 5 2 2 5 9" xfId="10348"/>
    <cellStyle name="Обычный 5 2 2 6" xfId="3429"/>
    <cellStyle name="Обычный 5 2 2 6 2" xfId="3430"/>
    <cellStyle name="Обычный 5 2 2 6 2 2" xfId="10349"/>
    <cellStyle name="Обычный 5 2 2 6 2 3" xfId="10350"/>
    <cellStyle name="Обычный 5 2 2 6 2 4" xfId="10351"/>
    <cellStyle name="Обычный 5 2 2 6 2 5" xfId="10352"/>
    <cellStyle name="Обычный 5 2 2 6 2 6" xfId="10353"/>
    <cellStyle name="Обычный 5 2 2 6 3" xfId="3431"/>
    <cellStyle name="Обычный 5 2 2 6 3 2" xfId="10354"/>
    <cellStyle name="Обычный 5 2 2 6 3 3" xfId="10355"/>
    <cellStyle name="Обычный 5 2 2 6 3 4" xfId="10356"/>
    <cellStyle name="Обычный 5 2 2 6 3 5" xfId="10357"/>
    <cellStyle name="Обычный 5 2 2 6 3 6" xfId="10358"/>
    <cellStyle name="Обычный 5 2 2 6 4" xfId="3432"/>
    <cellStyle name="Обычный 5 2 2 6 4 2" xfId="10359"/>
    <cellStyle name="Обычный 5 2 2 6 4 3" xfId="10360"/>
    <cellStyle name="Обычный 5 2 2 6 4 4" xfId="10361"/>
    <cellStyle name="Обычный 5 2 2 6 4 5" xfId="10362"/>
    <cellStyle name="Обычный 5 2 2 6 4 6" xfId="10363"/>
    <cellStyle name="Обычный 5 2 2 6 5" xfId="5314"/>
    <cellStyle name="Обычный 5 2 2 6 6" xfId="5315"/>
    <cellStyle name="Обычный 5 2 2 6 7" xfId="10364"/>
    <cellStyle name="Обычный 5 2 2 6 8" xfId="10365"/>
    <cellStyle name="Обычный 5 2 2 6 9" xfId="10366"/>
    <cellStyle name="Обычный 5 2 2 7" xfId="3433"/>
    <cellStyle name="Обычный 5 2 2 7 2" xfId="3434"/>
    <cellStyle name="Обычный 5 2 2 7 2 2" xfId="10367"/>
    <cellStyle name="Обычный 5 2 2 7 2 3" xfId="10368"/>
    <cellStyle name="Обычный 5 2 2 7 2 4" xfId="10369"/>
    <cellStyle name="Обычный 5 2 2 7 2 5" xfId="10370"/>
    <cellStyle name="Обычный 5 2 2 7 2 6" xfId="10371"/>
    <cellStyle name="Обычный 5 2 2 7 3" xfId="3435"/>
    <cellStyle name="Обычный 5 2 2 7 3 2" xfId="10372"/>
    <cellStyle name="Обычный 5 2 2 7 3 3" xfId="10373"/>
    <cellStyle name="Обычный 5 2 2 7 3 4" xfId="10374"/>
    <cellStyle name="Обычный 5 2 2 7 3 5" xfId="10375"/>
    <cellStyle name="Обычный 5 2 2 7 3 6" xfId="10376"/>
    <cellStyle name="Обычный 5 2 2 7 4" xfId="3436"/>
    <cellStyle name="Обычный 5 2 2 7 4 2" xfId="10377"/>
    <cellStyle name="Обычный 5 2 2 7 4 3" xfId="10378"/>
    <cellStyle name="Обычный 5 2 2 7 4 4" xfId="10379"/>
    <cellStyle name="Обычный 5 2 2 7 4 5" xfId="10380"/>
    <cellStyle name="Обычный 5 2 2 7 4 6" xfId="10381"/>
    <cellStyle name="Обычный 5 2 2 7 5" xfId="10382"/>
    <cellStyle name="Обычный 5 2 2 7 6" xfId="10383"/>
    <cellStyle name="Обычный 5 2 2 7 7" xfId="10384"/>
    <cellStyle name="Обычный 5 2 2 7 8" xfId="10385"/>
    <cellStyle name="Обычный 5 2 2 7 9" xfId="10386"/>
    <cellStyle name="Обычный 5 2 2 8" xfId="3437"/>
    <cellStyle name="Обычный 5 2 2 8 2" xfId="10387"/>
    <cellStyle name="Обычный 5 2 2 8 3" xfId="10388"/>
    <cellStyle name="Обычный 5 2 2 8 4" xfId="10389"/>
    <cellStyle name="Обычный 5 2 2 8 5" xfId="10390"/>
    <cellStyle name="Обычный 5 2 2 8 6" xfId="10391"/>
    <cellStyle name="Обычный 5 2 2 9" xfId="3438"/>
    <cellStyle name="Обычный 5 2 2 9 2" xfId="10392"/>
    <cellStyle name="Обычный 5 2 2 9 3" xfId="10393"/>
    <cellStyle name="Обычный 5 2 2 9 4" xfId="10394"/>
    <cellStyle name="Обычный 5 2 2 9 5" xfId="10395"/>
    <cellStyle name="Обычный 5 2 2 9 6" xfId="10396"/>
    <cellStyle name="Обычный 5 2 3" xfId="3439"/>
    <cellStyle name="Обычный 5 2 3 10" xfId="10397"/>
    <cellStyle name="Обычный 5 2 3 11" xfId="10398"/>
    <cellStyle name="Обычный 5 2 3 12" xfId="10399"/>
    <cellStyle name="Обычный 5 2 3 13" xfId="10400"/>
    <cellStyle name="Обычный 5 2 3 2" xfId="3440"/>
    <cellStyle name="Обычный 5 2 3 2 10" xfId="10401"/>
    <cellStyle name="Обычный 5 2 3 2 2" xfId="3441"/>
    <cellStyle name="Обычный 5 2 3 2 2 2" xfId="3442"/>
    <cellStyle name="Обычный 5 2 3 2 2 2 2" xfId="10402"/>
    <cellStyle name="Обычный 5 2 3 2 2 2 3" xfId="10403"/>
    <cellStyle name="Обычный 5 2 3 2 2 2 4" xfId="10404"/>
    <cellStyle name="Обычный 5 2 3 2 2 2 5" xfId="10405"/>
    <cellStyle name="Обычный 5 2 3 2 2 2 6" xfId="10406"/>
    <cellStyle name="Обычный 5 2 3 2 2 3" xfId="3443"/>
    <cellStyle name="Обычный 5 2 3 2 2 3 2" xfId="10407"/>
    <cellStyle name="Обычный 5 2 3 2 2 3 3" xfId="10408"/>
    <cellStyle name="Обычный 5 2 3 2 2 3 4" xfId="10409"/>
    <cellStyle name="Обычный 5 2 3 2 2 3 5" xfId="10410"/>
    <cellStyle name="Обычный 5 2 3 2 2 3 6" xfId="10411"/>
    <cellStyle name="Обычный 5 2 3 2 2 4" xfId="3444"/>
    <cellStyle name="Обычный 5 2 3 2 2 4 2" xfId="10412"/>
    <cellStyle name="Обычный 5 2 3 2 2 4 3" xfId="10413"/>
    <cellStyle name="Обычный 5 2 3 2 2 4 4" xfId="10414"/>
    <cellStyle name="Обычный 5 2 3 2 2 4 5" xfId="10415"/>
    <cellStyle name="Обычный 5 2 3 2 2 4 6" xfId="10416"/>
    <cellStyle name="Обычный 5 2 3 2 2 5" xfId="10417"/>
    <cellStyle name="Обычный 5 2 3 2 2 6" xfId="10418"/>
    <cellStyle name="Обычный 5 2 3 2 2 7" xfId="10419"/>
    <cellStyle name="Обычный 5 2 3 2 2 8" xfId="10420"/>
    <cellStyle name="Обычный 5 2 3 2 2 9" xfId="10421"/>
    <cellStyle name="Обычный 5 2 3 2 3" xfId="3445"/>
    <cellStyle name="Обычный 5 2 3 2 3 2" xfId="10422"/>
    <cellStyle name="Обычный 5 2 3 2 3 3" xfId="10423"/>
    <cellStyle name="Обычный 5 2 3 2 3 4" xfId="10424"/>
    <cellStyle name="Обычный 5 2 3 2 3 5" xfId="10425"/>
    <cellStyle name="Обычный 5 2 3 2 3 6" xfId="10426"/>
    <cellStyle name="Обычный 5 2 3 2 4" xfId="3446"/>
    <cellStyle name="Обычный 5 2 3 2 4 2" xfId="10427"/>
    <cellStyle name="Обычный 5 2 3 2 4 3" xfId="10428"/>
    <cellStyle name="Обычный 5 2 3 2 4 4" xfId="10429"/>
    <cellStyle name="Обычный 5 2 3 2 4 5" xfId="10430"/>
    <cellStyle name="Обычный 5 2 3 2 4 6" xfId="10431"/>
    <cellStyle name="Обычный 5 2 3 2 5" xfId="3447"/>
    <cellStyle name="Обычный 5 2 3 2 5 2" xfId="10432"/>
    <cellStyle name="Обычный 5 2 3 2 5 3" xfId="10433"/>
    <cellStyle name="Обычный 5 2 3 2 5 4" xfId="10434"/>
    <cellStyle name="Обычный 5 2 3 2 5 5" xfId="10435"/>
    <cellStyle name="Обычный 5 2 3 2 5 6" xfId="10436"/>
    <cellStyle name="Обычный 5 2 3 2 6" xfId="5316"/>
    <cellStyle name="Обычный 5 2 3 2 7" xfId="10437"/>
    <cellStyle name="Обычный 5 2 3 2 8" xfId="10438"/>
    <cellStyle name="Обычный 5 2 3 2 9" xfId="10439"/>
    <cellStyle name="Обычный 5 2 3 3" xfId="3448"/>
    <cellStyle name="Обычный 5 2 3 3 10" xfId="10440"/>
    <cellStyle name="Обычный 5 2 3 3 2" xfId="3449"/>
    <cellStyle name="Обычный 5 2 3 3 2 2" xfId="3450"/>
    <cellStyle name="Обычный 5 2 3 3 2 2 2" xfId="10441"/>
    <cellStyle name="Обычный 5 2 3 3 2 2 3" xfId="10442"/>
    <cellStyle name="Обычный 5 2 3 3 2 2 4" xfId="10443"/>
    <cellStyle name="Обычный 5 2 3 3 2 2 5" xfId="10444"/>
    <cellStyle name="Обычный 5 2 3 3 2 2 6" xfId="10445"/>
    <cellStyle name="Обычный 5 2 3 3 2 3" xfId="3451"/>
    <cellStyle name="Обычный 5 2 3 3 2 3 2" xfId="10446"/>
    <cellStyle name="Обычный 5 2 3 3 2 3 3" xfId="10447"/>
    <cellStyle name="Обычный 5 2 3 3 2 3 4" xfId="10448"/>
    <cellStyle name="Обычный 5 2 3 3 2 3 5" xfId="10449"/>
    <cellStyle name="Обычный 5 2 3 3 2 3 6" xfId="10450"/>
    <cellStyle name="Обычный 5 2 3 3 2 4" xfId="3452"/>
    <cellStyle name="Обычный 5 2 3 3 2 4 2" xfId="10451"/>
    <cellStyle name="Обычный 5 2 3 3 2 4 3" xfId="10452"/>
    <cellStyle name="Обычный 5 2 3 3 2 4 4" xfId="10453"/>
    <cellStyle name="Обычный 5 2 3 3 2 4 5" xfId="10454"/>
    <cellStyle name="Обычный 5 2 3 3 2 4 6" xfId="10455"/>
    <cellStyle name="Обычный 5 2 3 3 2 5" xfId="10456"/>
    <cellStyle name="Обычный 5 2 3 3 2 6" xfId="10457"/>
    <cellStyle name="Обычный 5 2 3 3 2 7" xfId="10458"/>
    <cellStyle name="Обычный 5 2 3 3 2 8" xfId="10459"/>
    <cellStyle name="Обычный 5 2 3 3 2 9" xfId="10460"/>
    <cellStyle name="Обычный 5 2 3 3 3" xfId="3453"/>
    <cellStyle name="Обычный 5 2 3 3 3 2" xfId="10461"/>
    <cellStyle name="Обычный 5 2 3 3 3 3" xfId="10462"/>
    <cellStyle name="Обычный 5 2 3 3 3 4" xfId="10463"/>
    <cellStyle name="Обычный 5 2 3 3 3 5" xfId="10464"/>
    <cellStyle name="Обычный 5 2 3 3 3 6" xfId="10465"/>
    <cellStyle name="Обычный 5 2 3 3 4" xfId="3454"/>
    <cellStyle name="Обычный 5 2 3 3 4 2" xfId="10466"/>
    <cellStyle name="Обычный 5 2 3 3 4 3" xfId="10467"/>
    <cellStyle name="Обычный 5 2 3 3 4 4" xfId="10468"/>
    <cellStyle name="Обычный 5 2 3 3 4 5" xfId="10469"/>
    <cellStyle name="Обычный 5 2 3 3 4 6" xfId="10470"/>
    <cellStyle name="Обычный 5 2 3 3 5" xfId="3455"/>
    <cellStyle name="Обычный 5 2 3 3 5 2" xfId="10471"/>
    <cellStyle name="Обычный 5 2 3 3 5 3" xfId="10472"/>
    <cellStyle name="Обычный 5 2 3 3 5 4" xfId="10473"/>
    <cellStyle name="Обычный 5 2 3 3 5 5" xfId="10474"/>
    <cellStyle name="Обычный 5 2 3 3 5 6" xfId="10475"/>
    <cellStyle name="Обычный 5 2 3 3 6" xfId="10476"/>
    <cellStyle name="Обычный 5 2 3 3 7" xfId="10477"/>
    <cellStyle name="Обычный 5 2 3 3 8" xfId="10478"/>
    <cellStyle name="Обычный 5 2 3 3 9" xfId="10479"/>
    <cellStyle name="Обычный 5 2 3 4" xfId="3456"/>
    <cellStyle name="Обычный 5 2 3 4 2" xfId="3457"/>
    <cellStyle name="Обычный 5 2 3 4 2 2" xfId="10480"/>
    <cellStyle name="Обычный 5 2 3 4 2 3" xfId="10481"/>
    <cellStyle name="Обычный 5 2 3 4 2 4" xfId="10482"/>
    <cellStyle name="Обычный 5 2 3 4 2 5" xfId="10483"/>
    <cellStyle name="Обычный 5 2 3 4 2 6" xfId="10484"/>
    <cellStyle name="Обычный 5 2 3 4 3" xfId="3458"/>
    <cellStyle name="Обычный 5 2 3 4 3 2" xfId="10485"/>
    <cellStyle name="Обычный 5 2 3 4 3 3" xfId="10486"/>
    <cellStyle name="Обычный 5 2 3 4 3 4" xfId="10487"/>
    <cellStyle name="Обычный 5 2 3 4 3 5" xfId="10488"/>
    <cellStyle name="Обычный 5 2 3 4 3 6" xfId="10489"/>
    <cellStyle name="Обычный 5 2 3 4 4" xfId="3459"/>
    <cellStyle name="Обычный 5 2 3 4 4 2" xfId="10490"/>
    <cellStyle name="Обычный 5 2 3 4 4 3" xfId="10491"/>
    <cellStyle name="Обычный 5 2 3 4 4 4" xfId="10492"/>
    <cellStyle name="Обычный 5 2 3 4 4 5" xfId="10493"/>
    <cellStyle name="Обычный 5 2 3 4 4 6" xfId="10494"/>
    <cellStyle name="Обычный 5 2 3 4 5" xfId="10495"/>
    <cellStyle name="Обычный 5 2 3 4 6" xfId="10496"/>
    <cellStyle name="Обычный 5 2 3 4 7" xfId="10497"/>
    <cellStyle name="Обычный 5 2 3 4 8" xfId="10498"/>
    <cellStyle name="Обычный 5 2 3 4 9" xfId="10499"/>
    <cellStyle name="Обычный 5 2 3 5" xfId="3460"/>
    <cellStyle name="Обычный 5 2 3 5 2" xfId="3461"/>
    <cellStyle name="Обычный 5 2 3 5 2 2" xfId="10500"/>
    <cellStyle name="Обычный 5 2 3 5 2 3" xfId="10501"/>
    <cellStyle name="Обычный 5 2 3 5 2 4" xfId="10502"/>
    <cellStyle name="Обычный 5 2 3 5 2 5" xfId="10503"/>
    <cellStyle name="Обычный 5 2 3 5 2 6" xfId="10504"/>
    <cellStyle name="Обычный 5 2 3 5 3" xfId="3462"/>
    <cellStyle name="Обычный 5 2 3 5 3 2" xfId="10505"/>
    <cellStyle name="Обычный 5 2 3 5 3 3" xfId="10506"/>
    <cellStyle name="Обычный 5 2 3 5 3 4" xfId="10507"/>
    <cellStyle name="Обычный 5 2 3 5 3 5" xfId="10508"/>
    <cellStyle name="Обычный 5 2 3 5 3 6" xfId="10509"/>
    <cellStyle name="Обычный 5 2 3 5 4" xfId="3463"/>
    <cellStyle name="Обычный 5 2 3 5 4 2" xfId="10510"/>
    <cellStyle name="Обычный 5 2 3 5 4 3" xfId="10511"/>
    <cellStyle name="Обычный 5 2 3 5 4 4" xfId="10512"/>
    <cellStyle name="Обычный 5 2 3 5 4 5" xfId="10513"/>
    <cellStyle name="Обычный 5 2 3 5 4 6" xfId="10514"/>
    <cellStyle name="Обычный 5 2 3 5 5" xfId="10515"/>
    <cellStyle name="Обычный 5 2 3 5 6" xfId="10516"/>
    <cellStyle name="Обычный 5 2 3 5 7" xfId="10517"/>
    <cellStyle name="Обычный 5 2 3 5 8" xfId="10518"/>
    <cellStyle name="Обычный 5 2 3 5 9" xfId="10519"/>
    <cellStyle name="Обычный 5 2 3 6" xfId="3464"/>
    <cellStyle name="Обычный 5 2 3 6 2" xfId="10520"/>
    <cellStyle name="Обычный 5 2 3 6 3" xfId="10521"/>
    <cellStyle name="Обычный 5 2 3 6 4" xfId="10522"/>
    <cellStyle name="Обычный 5 2 3 6 5" xfId="10523"/>
    <cellStyle name="Обычный 5 2 3 6 6" xfId="10524"/>
    <cellStyle name="Обычный 5 2 3 7" xfId="3465"/>
    <cellStyle name="Обычный 5 2 3 7 2" xfId="10525"/>
    <cellStyle name="Обычный 5 2 3 7 3" xfId="10526"/>
    <cellStyle name="Обычный 5 2 3 7 4" xfId="10527"/>
    <cellStyle name="Обычный 5 2 3 7 5" xfId="10528"/>
    <cellStyle name="Обычный 5 2 3 7 6" xfId="10529"/>
    <cellStyle name="Обычный 5 2 3 8" xfId="3466"/>
    <cellStyle name="Обычный 5 2 3 8 2" xfId="10530"/>
    <cellStyle name="Обычный 5 2 3 8 3" xfId="10531"/>
    <cellStyle name="Обычный 5 2 3 8 4" xfId="10532"/>
    <cellStyle name="Обычный 5 2 3 8 5" xfId="10533"/>
    <cellStyle name="Обычный 5 2 3 8 6" xfId="10534"/>
    <cellStyle name="Обычный 5 2 3 9" xfId="5317"/>
    <cellStyle name="Обычный 5 2 4" xfId="3467"/>
    <cellStyle name="Обычный 5 2 4 10" xfId="5318"/>
    <cellStyle name="Обычный 5 2 4 11" xfId="10535"/>
    <cellStyle name="Обычный 5 2 4 12" xfId="10536"/>
    <cellStyle name="Обычный 5 2 4 13" xfId="10537"/>
    <cellStyle name="Обычный 5 2 4 14" xfId="10538"/>
    <cellStyle name="Обычный 5 2 4 2" xfId="3468"/>
    <cellStyle name="Обычный 5 2 4 2 10" xfId="10539"/>
    <cellStyle name="Обычный 5 2 4 2 11" xfId="10540"/>
    <cellStyle name="Обычный 5 2 4 2 2" xfId="3469"/>
    <cellStyle name="Обычный 5 2 4 2 2 10" xfId="10541"/>
    <cellStyle name="Обычный 5 2 4 2 2 2" xfId="3470"/>
    <cellStyle name="Обычный 5 2 4 2 2 2 2" xfId="3471"/>
    <cellStyle name="Обычный 5 2 4 2 2 2 2 2" xfId="10542"/>
    <cellStyle name="Обычный 5 2 4 2 2 2 2 3" xfId="10543"/>
    <cellStyle name="Обычный 5 2 4 2 2 2 2 4" xfId="10544"/>
    <cellStyle name="Обычный 5 2 4 2 2 2 2 5" xfId="10545"/>
    <cellStyle name="Обычный 5 2 4 2 2 2 2 6" xfId="10546"/>
    <cellStyle name="Обычный 5 2 4 2 2 2 3" xfId="3472"/>
    <cellStyle name="Обычный 5 2 4 2 2 2 3 2" xfId="10547"/>
    <cellStyle name="Обычный 5 2 4 2 2 2 3 3" xfId="10548"/>
    <cellStyle name="Обычный 5 2 4 2 2 2 3 4" xfId="10549"/>
    <cellStyle name="Обычный 5 2 4 2 2 2 3 5" xfId="10550"/>
    <cellStyle name="Обычный 5 2 4 2 2 2 3 6" xfId="10551"/>
    <cellStyle name="Обычный 5 2 4 2 2 2 4" xfId="3473"/>
    <cellStyle name="Обычный 5 2 4 2 2 2 4 2" xfId="10552"/>
    <cellStyle name="Обычный 5 2 4 2 2 2 4 3" xfId="10553"/>
    <cellStyle name="Обычный 5 2 4 2 2 2 4 4" xfId="10554"/>
    <cellStyle name="Обычный 5 2 4 2 2 2 4 5" xfId="10555"/>
    <cellStyle name="Обычный 5 2 4 2 2 2 4 6" xfId="10556"/>
    <cellStyle name="Обычный 5 2 4 2 2 2 5" xfId="10557"/>
    <cellStyle name="Обычный 5 2 4 2 2 2 6" xfId="10558"/>
    <cellStyle name="Обычный 5 2 4 2 2 2 7" xfId="10559"/>
    <cellStyle name="Обычный 5 2 4 2 2 2 8" xfId="10560"/>
    <cellStyle name="Обычный 5 2 4 2 2 2 9" xfId="10561"/>
    <cellStyle name="Обычный 5 2 4 2 2 3" xfId="3474"/>
    <cellStyle name="Обычный 5 2 4 2 2 3 2" xfId="10562"/>
    <cellStyle name="Обычный 5 2 4 2 2 3 3" xfId="10563"/>
    <cellStyle name="Обычный 5 2 4 2 2 3 4" xfId="10564"/>
    <cellStyle name="Обычный 5 2 4 2 2 3 5" xfId="10565"/>
    <cellStyle name="Обычный 5 2 4 2 2 3 6" xfId="10566"/>
    <cellStyle name="Обычный 5 2 4 2 2 4" xfId="3475"/>
    <cellStyle name="Обычный 5 2 4 2 2 4 2" xfId="10567"/>
    <cellStyle name="Обычный 5 2 4 2 2 4 3" xfId="10568"/>
    <cellStyle name="Обычный 5 2 4 2 2 4 4" xfId="10569"/>
    <cellStyle name="Обычный 5 2 4 2 2 4 5" xfId="10570"/>
    <cellStyle name="Обычный 5 2 4 2 2 4 6" xfId="10571"/>
    <cellStyle name="Обычный 5 2 4 2 2 5" xfId="3476"/>
    <cellStyle name="Обычный 5 2 4 2 2 5 2" xfId="10572"/>
    <cellStyle name="Обычный 5 2 4 2 2 5 3" xfId="10573"/>
    <cellStyle name="Обычный 5 2 4 2 2 5 4" xfId="10574"/>
    <cellStyle name="Обычный 5 2 4 2 2 5 5" xfId="10575"/>
    <cellStyle name="Обычный 5 2 4 2 2 5 6" xfId="10576"/>
    <cellStyle name="Обычный 5 2 4 2 2 6" xfId="10577"/>
    <cellStyle name="Обычный 5 2 4 2 2 7" xfId="10578"/>
    <cellStyle name="Обычный 5 2 4 2 2 8" xfId="10579"/>
    <cellStyle name="Обычный 5 2 4 2 2 9" xfId="10580"/>
    <cellStyle name="Обычный 5 2 4 2 3" xfId="3477"/>
    <cellStyle name="Обычный 5 2 4 2 3 2" xfId="3478"/>
    <cellStyle name="Обычный 5 2 4 2 3 2 2" xfId="10581"/>
    <cellStyle name="Обычный 5 2 4 2 3 2 3" xfId="10582"/>
    <cellStyle name="Обычный 5 2 4 2 3 2 4" xfId="10583"/>
    <cellStyle name="Обычный 5 2 4 2 3 2 5" xfId="10584"/>
    <cellStyle name="Обычный 5 2 4 2 3 2 6" xfId="10585"/>
    <cellStyle name="Обычный 5 2 4 2 3 3" xfId="3479"/>
    <cellStyle name="Обычный 5 2 4 2 3 3 2" xfId="10586"/>
    <cellStyle name="Обычный 5 2 4 2 3 3 3" xfId="10587"/>
    <cellStyle name="Обычный 5 2 4 2 3 3 4" xfId="10588"/>
    <cellStyle name="Обычный 5 2 4 2 3 3 5" xfId="10589"/>
    <cellStyle name="Обычный 5 2 4 2 3 3 6" xfId="10590"/>
    <cellStyle name="Обычный 5 2 4 2 3 4" xfId="3480"/>
    <cellStyle name="Обычный 5 2 4 2 3 4 2" xfId="10591"/>
    <cellStyle name="Обычный 5 2 4 2 3 4 3" xfId="10592"/>
    <cellStyle name="Обычный 5 2 4 2 3 4 4" xfId="10593"/>
    <cellStyle name="Обычный 5 2 4 2 3 4 5" xfId="10594"/>
    <cellStyle name="Обычный 5 2 4 2 3 4 6" xfId="10595"/>
    <cellStyle name="Обычный 5 2 4 2 3 5" xfId="10596"/>
    <cellStyle name="Обычный 5 2 4 2 3 6" xfId="10597"/>
    <cellStyle name="Обычный 5 2 4 2 3 7" xfId="10598"/>
    <cellStyle name="Обычный 5 2 4 2 3 8" xfId="10599"/>
    <cellStyle name="Обычный 5 2 4 2 3 9" xfId="10600"/>
    <cellStyle name="Обычный 5 2 4 2 4" xfId="3481"/>
    <cellStyle name="Обычный 5 2 4 2 4 2" xfId="10601"/>
    <cellStyle name="Обычный 5 2 4 2 4 3" xfId="10602"/>
    <cellStyle name="Обычный 5 2 4 2 4 4" xfId="10603"/>
    <cellStyle name="Обычный 5 2 4 2 4 5" xfId="10604"/>
    <cellStyle name="Обычный 5 2 4 2 4 6" xfId="10605"/>
    <cellStyle name="Обычный 5 2 4 2 5" xfId="3482"/>
    <cellStyle name="Обычный 5 2 4 2 5 2" xfId="10606"/>
    <cellStyle name="Обычный 5 2 4 2 5 3" xfId="10607"/>
    <cellStyle name="Обычный 5 2 4 2 5 4" xfId="10608"/>
    <cellStyle name="Обычный 5 2 4 2 5 5" xfId="10609"/>
    <cellStyle name="Обычный 5 2 4 2 5 6" xfId="10610"/>
    <cellStyle name="Обычный 5 2 4 2 6" xfId="3483"/>
    <cellStyle name="Обычный 5 2 4 2 6 2" xfId="10611"/>
    <cellStyle name="Обычный 5 2 4 2 6 3" xfId="10612"/>
    <cellStyle name="Обычный 5 2 4 2 6 4" xfId="10613"/>
    <cellStyle name="Обычный 5 2 4 2 6 5" xfId="10614"/>
    <cellStyle name="Обычный 5 2 4 2 6 6" xfId="10615"/>
    <cellStyle name="Обычный 5 2 4 2 7" xfId="10616"/>
    <cellStyle name="Обычный 5 2 4 2 8" xfId="10617"/>
    <cellStyle name="Обычный 5 2 4 2 9" xfId="10618"/>
    <cellStyle name="Обычный 5 2 4 3" xfId="3484"/>
    <cellStyle name="Обычный 5 2 4 3 10" xfId="10619"/>
    <cellStyle name="Обычный 5 2 4 3 2" xfId="3485"/>
    <cellStyle name="Обычный 5 2 4 3 2 2" xfId="3486"/>
    <cellStyle name="Обычный 5 2 4 3 2 2 2" xfId="10620"/>
    <cellStyle name="Обычный 5 2 4 3 2 2 3" xfId="10621"/>
    <cellStyle name="Обычный 5 2 4 3 2 2 4" xfId="10622"/>
    <cellStyle name="Обычный 5 2 4 3 2 2 5" xfId="10623"/>
    <cellStyle name="Обычный 5 2 4 3 2 2 6" xfId="10624"/>
    <cellStyle name="Обычный 5 2 4 3 2 3" xfId="3487"/>
    <cellStyle name="Обычный 5 2 4 3 2 3 2" xfId="10625"/>
    <cellStyle name="Обычный 5 2 4 3 2 3 3" xfId="10626"/>
    <cellStyle name="Обычный 5 2 4 3 2 3 4" xfId="10627"/>
    <cellStyle name="Обычный 5 2 4 3 2 3 5" xfId="10628"/>
    <cellStyle name="Обычный 5 2 4 3 2 3 6" xfId="10629"/>
    <cellStyle name="Обычный 5 2 4 3 2 4" xfId="3488"/>
    <cellStyle name="Обычный 5 2 4 3 2 4 2" xfId="10630"/>
    <cellStyle name="Обычный 5 2 4 3 2 4 3" xfId="10631"/>
    <cellStyle name="Обычный 5 2 4 3 2 4 4" xfId="10632"/>
    <cellStyle name="Обычный 5 2 4 3 2 4 5" xfId="10633"/>
    <cellStyle name="Обычный 5 2 4 3 2 4 6" xfId="10634"/>
    <cellStyle name="Обычный 5 2 4 3 2 5" xfId="10635"/>
    <cellStyle name="Обычный 5 2 4 3 2 6" xfId="10636"/>
    <cellStyle name="Обычный 5 2 4 3 2 7" xfId="10637"/>
    <cellStyle name="Обычный 5 2 4 3 2 8" xfId="10638"/>
    <cellStyle name="Обычный 5 2 4 3 2 9" xfId="10639"/>
    <cellStyle name="Обычный 5 2 4 3 3" xfId="3489"/>
    <cellStyle name="Обычный 5 2 4 3 3 2" xfId="10640"/>
    <cellStyle name="Обычный 5 2 4 3 3 3" xfId="10641"/>
    <cellStyle name="Обычный 5 2 4 3 3 4" xfId="10642"/>
    <cellStyle name="Обычный 5 2 4 3 3 5" xfId="10643"/>
    <cellStyle name="Обычный 5 2 4 3 3 6" xfId="10644"/>
    <cellStyle name="Обычный 5 2 4 3 4" xfId="3490"/>
    <cellStyle name="Обычный 5 2 4 3 4 2" xfId="10645"/>
    <cellStyle name="Обычный 5 2 4 3 4 3" xfId="10646"/>
    <cellStyle name="Обычный 5 2 4 3 4 4" xfId="10647"/>
    <cellStyle name="Обычный 5 2 4 3 4 5" xfId="10648"/>
    <cellStyle name="Обычный 5 2 4 3 4 6" xfId="10649"/>
    <cellStyle name="Обычный 5 2 4 3 5" xfId="3491"/>
    <cellStyle name="Обычный 5 2 4 3 5 2" xfId="10650"/>
    <cellStyle name="Обычный 5 2 4 3 5 3" xfId="10651"/>
    <cellStyle name="Обычный 5 2 4 3 5 4" xfId="10652"/>
    <cellStyle name="Обычный 5 2 4 3 5 5" xfId="10653"/>
    <cellStyle name="Обычный 5 2 4 3 5 6" xfId="10654"/>
    <cellStyle name="Обычный 5 2 4 3 6" xfId="10655"/>
    <cellStyle name="Обычный 5 2 4 3 7" xfId="10656"/>
    <cellStyle name="Обычный 5 2 4 3 8" xfId="10657"/>
    <cellStyle name="Обычный 5 2 4 3 9" xfId="10658"/>
    <cellStyle name="Обычный 5 2 4 4" xfId="3492"/>
    <cellStyle name="Обычный 5 2 4 4 10" xfId="10659"/>
    <cellStyle name="Обычный 5 2 4 4 2" xfId="3493"/>
    <cellStyle name="Обычный 5 2 4 4 2 2" xfId="3494"/>
    <cellStyle name="Обычный 5 2 4 4 2 2 2" xfId="10660"/>
    <cellStyle name="Обычный 5 2 4 4 2 2 3" xfId="10661"/>
    <cellStyle name="Обычный 5 2 4 4 2 2 4" xfId="10662"/>
    <cellStyle name="Обычный 5 2 4 4 2 2 5" xfId="10663"/>
    <cellStyle name="Обычный 5 2 4 4 2 2 6" xfId="10664"/>
    <cellStyle name="Обычный 5 2 4 4 2 3" xfId="3495"/>
    <cellStyle name="Обычный 5 2 4 4 2 3 2" xfId="10665"/>
    <cellStyle name="Обычный 5 2 4 4 2 3 3" xfId="10666"/>
    <cellStyle name="Обычный 5 2 4 4 2 3 4" xfId="10667"/>
    <cellStyle name="Обычный 5 2 4 4 2 3 5" xfId="10668"/>
    <cellStyle name="Обычный 5 2 4 4 2 3 6" xfId="10669"/>
    <cellStyle name="Обычный 5 2 4 4 2 4" xfId="3496"/>
    <cellStyle name="Обычный 5 2 4 4 2 4 2" xfId="10670"/>
    <cellStyle name="Обычный 5 2 4 4 2 4 3" xfId="10671"/>
    <cellStyle name="Обычный 5 2 4 4 2 4 4" xfId="10672"/>
    <cellStyle name="Обычный 5 2 4 4 2 4 5" xfId="10673"/>
    <cellStyle name="Обычный 5 2 4 4 2 4 6" xfId="10674"/>
    <cellStyle name="Обычный 5 2 4 4 2 5" xfId="10675"/>
    <cellStyle name="Обычный 5 2 4 4 2 6" xfId="10676"/>
    <cellStyle name="Обычный 5 2 4 4 2 7" xfId="10677"/>
    <cellStyle name="Обычный 5 2 4 4 2 8" xfId="10678"/>
    <cellStyle name="Обычный 5 2 4 4 2 9" xfId="10679"/>
    <cellStyle name="Обычный 5 2 4 4 3" xfId="3497"/>
    <cellStyle name="Обычный 5 2 4 4 3 2" xfId="10680"/>
    <cellStyle name="Обычный 5 2 4 4 3 3" xfId="10681"/>
    <cellStyle name="Обычный 5 2 4 4 3 4" xfId="10682"/>
    <cellStyle name="Обычный 5 2 4 4 3 5" xfId="10683"/>
    <cellStyle name="Обычный 5 2 4 4 3 6" xfId="10684"/>
    <cellStyle name="Обычный 5 2 4 4 4" xfId="3498"/>
    <cellStyle name="Обычный 5 2 4 4 4 2" xfId="10685"/>
    <cellStyle name="Обычный 5 2 4 4 4 3" xfId="10686"/>
    <cellStyle name="Обычный 5 2 4 4 4 4" xfId="10687"/>
    <cellStyle name="Обычный 5 2 4 4 4 5" xfId="10688"/>
    <cellStyle name="Обычный 5 2 4 4 4 6" xfId="10689"/>
    <cellStyle name="Обычный 5 2 4 4 5" xfId="3499"/>
    <cellStyle name="Обычный 5 2 4 4 5 2" xfId="10690"/>
    <cellStyle name="Обычный 5 2 4 4 5 3" xfId="10691"/>
    <cellStyle name="Обычный 5 2 4 4 5 4" xfId="10692"/>
    <cellStyle name="Обычный 5 2 4 4 5 5" xfId="10693"/>
    <cellStyle name="Обычный 5 2 4 4 5 6" xfId="10694"/>
    <cellStyle name="Обычный 5 2 4 4 6" xfId="10695"/>
    <cellStyle name="Обычный 5 2 4 4 7" xfId="10696"/>
    <cellStyle name="Обычный 5 2 4 4 8" xfId="10697"/>
    <cellStyle name="Обычный 5 2 4 4 9" xfId="10698"/>
    <cellStyle name="Обычный 5 2 4 5" xfId="3500"/>
    <cellStyle name="Обычный 5 2 4 5 2" xfId="3501"/>
    <cellStyle name="Обычный 5 2 4 5 2 2" xfId="10699"/>
    <cellStyle name="Обычный 5 2 4 5 2 3" xfId="10700"/>
    <cellStyle name="Обычный 5 2 4 5 2 4" xfId="10701"/>
    <cellStyle name="Обычный 5 2 4 5 2 5" xfId="10702"/>
    <cellStyle name="Обычный 5 2 4 5 2 6" xfId="10703"/>
    <cellStyle name="Обычный 5 2 4 5 3" xfId="3502"/>
    <cellStyle name="Обычный 5 2 4 5 3 2" xfId="10704"/>
    <cellStyle name="Обычный 5 2 4 5 3 3" xfId="10705"/>
    <cellStyle name="Обычный 5 2 4 5 3 4" xfId="10706"/>
    <cellStyle name="Обычный 5 2 4 5 3 5" xfId="10707"/>
    <cellStyle name="Обычный 5 2 4 5 3 6" xfId="10708"/>
    <cellStyle name="Обычный 5 2 4 5 4" xfId="3503"/>
    <cellStyle name="Обычный 5 2 4 5 4 2" xfId="10709"/>
    <cellStyle name="Обычный 5 2 4 5 4 3" xfId="10710"/>
    <cellStyle name="Обычный 5 2 4 5 4 4" xfId="10711"/>
    <cellStyle name="Обычный 5 2 4 5 4 5" xfId="10712"/>
    <cellStyle name="Обычный 5 2 4 5 4 6" xfId="10713"/>
    <cellStyle name="Обычный 5 2 4 5 5" xfId="10714"/>
    <cellStyle name="Обычный 5 2 4 5 6" xfId="10715"/>
    <cellStyle name="Обычный 5 2 4 5 7" xfId="10716"/>
    <cellStyle name="Обычный 5 2 4 5 8" xfId="10717"/>
    <cellStyle name="Обычный 5 2 4 5 9" xfId="10718"/>
    <cellStyle name="Обычный 5 2 4 6" xfId="3504"/>
    <cellStyle name="Обычный 5 2 4 6 2" xfId="3505"/>
    <cellStyle name="Обычный 5 2 4 6 2 2" xfId="10719"/>
    <cellStyle name="Обычный 5 2 4 6 2 3" xfId="10720"/>
    <cellStyle name="Обычный 5 2 4 6 2 4" xfId="10721"/>
    <cellStyle name="Обычный 5 2 4 6 2 5" xfId="10722"/>
    <cellStyle name="Обычный 5 2 4 6 2 6" xfId="10723"/>
    <cellStyle name="Обычный 5 2 4 6 3" xfId="3506"/>
    <cellStyle name="Обычный 5 2 4 6 3 2" xfId="10724"/>
    <cellStyle name="Обычный 5 2 4 6 3 3" xfId="10725"/>
    <cellStyle name="Обычный 5 2 4 6 3 4" xfId="10726"/>
    <cellStyle name="Обычный 5 2 4 6 3 5" xfId="10727"/>
    <cellStyle name="Обычный 5 2 4 6 3 6" xfId="10728"/>
    <cellStyle name="Обычный 5 2 4 6 4" xfId="3507"/>
    <cellStyle name="Обычный 5 2 4 6 4 2" xfId="10729"/>
    <cellStyle name="Обычный 5 2 4 6 4 3" xfId="10730"/>
    <cellStyle name="Обычный 5 2 4 6 4 4" xfId="10731"/>
    <cellStyle name="Обычный 5 2 4 6 4 5" xfId="10732"/>
    <cellStyle name="Обычный 5 2 4 6 4 6" xfId="10733"/>
    <cellStyle name="Обычный 5 2 4 6 5" xfId="10734"/>
    <cellStyle name="Обычный 5 2 4 6 6" xfId="10735"/>
    <cellStyle name="Обычный 5 2 4 6 7" xfId="10736"/>
    <cellStyle name="Обычный 5 2 4 6 8" xfId="10737"/>
    <cellStyle name="Обычный 5 2 4 6 9" xfId="10738"/>
    <cellStyle name="Обычный 5 2 4 7" xfId="3508"/>
    <cellStyle name="Обычный 5 2 4 7 2" xfId="10739"/>
    <cellStyle name="Обычный 5 2 4 7 3" xfId="10740"/>
    <cellStyle name="Обычный 5 2 4 7 4" xfId="10741"/>
    <cellStyle name="Обычный 5 2 4 7 5" xfId="10742"/>
    <cellStyle name="Обычный 5 2 4 7 6" xfId="10743"/>
    <cellStyle name="Обычный 5 2 4 8" xfId="3509"/>
    <cellStyle name="Обычный 5 2 4 8 2" xfId="10744"/>
    <cellStyle name="Обычный 5 2 4 8 3" xfId="10745"/>
    <cellStyle name="Обычный 5 2 4 8 4" xfId="10746"/>
    <cellStyle name="Обычный 5 2 4 8 5" xfId="10747"/>
    <cellStyle name="Обычный 5 2 4 8 6" xfId="10748"/>
    <cellStyle name="Обычный 5 2 4 9" xfId="3510"/>
    <cellStyle name="Обычный 5 2 4 9 2" xfId="10749"/>
    <cellStyle name="Обычный 5 2 4 9 3" xfId="10750"/>
    <cellStyle name="Обычный 5 2 4 9 4" xfId="10751"/>
    <cellStyle name="Обычный 5 2 4 9 5" xfId="10752"/>
    <cellStyle name="Обычный 5 2 4 9 6" xfId="10753"/>
    <cellStyle name="Обычный 5 2 5" xfId="3511"/>
    <cellStyle name="Обычный 5 2 5 10" xfId="10754"/>
    <cellStyle name="Обычный 5 2 5 11" xfId="10755"/>
    <cellStyle name="Обычный 5 2 5 2" xfId="3512"/>
    <cellStyle name="Обычный 5 2 5 2 2" xfId="3513"/>
    <cellStyle name="Обычный 5 2 5 2 2 2" xfId="10756"/>
    <cellStyle name="Обычный 5 2 5 2 2 3" xfId="10757"/>
    <cellStyle name="Обычный 5 2 5 2 2 4" xfId="10758"/>
    <cellStyle name="Обычный 5 2 5 2 2 5" xfId="10759"/>
    <cellStyle name="Обычный 5 2 5 2 2 6" xfId="10760"/>
    <cellStyle name="Обычный 5 2 5 2 3" xfId="3514"/>
    <cellStyle name="Обычный 5 2 5 2 3 2" xfId="10761"/>
    <cellStyle name="Обычный 5 2 5 2 3 3" xfId="10762"/>
    <cellStyle name="Обычный 5 2 5 2 3 4" xfId="10763"/>
    <cellStyle name="Обычный 5 2 5 2 3 5" xfId="10764"/>
    <cellStyle name="Обычный 5 2 5 2 3 6" xfId="10765"/>
    <cellStyle name="Обычный 5 2 5 2 4" xfId="3515"/>
    <cellStyle name="Обычный 5 2 5 2 4 2" xfId="10766"/>
    <cellStyle name="Обычный 5 2 5 2 4 3" xfId="10767"/>
    <cellStyle name="Обычный 5 2 5 2 4 4" xfId="10768"/>
    <cellStyle name="Обычный 5 2 5 2 4 5" xfId="10769"/>
    <cellStyle name="Обычный 5 2 5 2 4 6" xfId="10770"/>
    <cellStyle name="Обычный 5 2 5 2 5" xfId="10771"/>
    <cellStyle name="Обычный 5 2 5 2 6" xfId="10772"/>
    <cellStyle name="Обычный 5 2 5 2 7" xfId="10773"/>
    <cellStyle name="Обычный 5 2 5 2 8" xfId="10774"/>
    <cellStyle name="Обычный 5 2 5 2 9" xfId="10775"/>
    <cellStyle name="Обычный 5 2 5 3" xfId="3516"/>
    <cellStyle name="Обычный 5 2 5 3 2" xfId="3517"/>
    <cellStyle name="Обычный 5 2 5 3 2 2" xfId="10776"/>
    <cellStyle name="Обычный 5 2 5 3 2 3" xfId="10777"/>
    <cellStyle name="Обычный 5 2 5 3 2 4" xfId="10778"/>
    <cellStyle name="Обычный 5 2 5 3 2 5" xfId="10779"/>
    <cellStyle name="Обычный 5 2 5 3 2 6" xfId="10780"/>
    <cellStyle name="Обычный 5 2 5 3 3" xfId="3518"/>
    <cellStyle name="Обычный 5 2 5 3 3 2" xfId="10781"/>
    <cellStyle name="Обычный 5 2 5 3 3 3" xfId="10782"/>
    <cellStyle name="Обычный 5 2 5 3 3 4" xfId="10783"/>
    <cellStyle name="Обычный 5 2 5 3 3 5" xfId="10784"/>
    <cellStyle name="Обычный 5 2 5 3 3 6" xfId="10785"/>
    <cellStyle name="Обычный 5 2 5 3 4" xfId="3519"/>
    <cellStyle name="Обычный 5 2 5 3 4 2" xfId="10786"/>
    <cellStyle name="Обычный 5 2 5 3 4 3" xfId="10787"/>
    <cellStyle name="Обычный 5 2 5 3 4 4" xfId="10788"/>
    <cellStyle name="Обычный 5 2 5 3 4 5" xfId="10789"/>
    <cellStyle name="Обычный 5 2 5 3 4 6" xfId="10790"/>
    <cellStyle name="Обычный 5 2 5 3 5" xfId="10791"/>
    <cellStyle name="Обычный 5 2 5 3 6" xfId="10792"/>
    <cellStyle name="Обычный 5 2 5 3 7" xfId="10793"/>
    <cellStyle name="Обычный 5 2 5 3 8" xfId="10794"/>
    <cellStyle name="Обычный 5 2 5 3 9" xfId="10795"/>
    <cellStyle name="Обычный 5 2 5 4" xfId="3520"/>
    <cellStyle name="Обычный 5 2 5 4 2" xfId="10796"/>
    <cellStyle name="Обычный 5 2 5 4 3" xfId="10797"/>
    <cellStyle name="Обычный 5 2 5 4 4" xfId="10798"/>
    <cellStyle name="Обычный 5 2 5 4 5" xfId="10799"/>
    <cellStyle name="Обычный 5 2 5 4 6" xfId="10800"/>
    <cellStyle name="Обычный 5 2 5 5" xfId="3521"/>
    <cellStyle name="Обычный 5 2 5 5 2" xfId="10801"/>
    <cellStyle name="Обычный 5 2 5 5 3" xfId="10802"/>
    <cellStyle name="Обычный 5 2 5 5 4" xfId="10803"/>
    <cellStyle name="Обычный 5 2 5 5 5" xfId="10804"/>
    <cellStyle name="Обычный 5 2 5 5 6" xfId="10805"/>
    <cellStyle name="Обычный 5 2 5 6" xfId="3522"/>
    <cellStyle name="Обычный 5 2 5 6 2" xfId="10806"/>
    <cellStyle name="Обычный 5 2 5 6 3" xfId="10807"/>
    <cellStyle name="Обычный 5 2 5 6 4" xfId="10808"/>
    <cellStyle name="Обычный 5 2 5 6 5" xfId="10809"/>
    <cellStyle name="Обычный 5 2 5 6 6" xfId="10810"/>
    <cellStyle name="Обычный 5 2 5 7" xfId="5319"/>
    <cellStyle name="Обычный 5 2 5 8" xfId="10811"/>
    <cellStyle name="Обычный 5 2 5 9" xfId="10812"/>
    <cellStyle name="Обычный 5 2 6" xfId="3523"/>
    <cellStyle name="Обычный 5 2 6 10" xfId="10813"/>
    <cellStyle name="Обычный 5 2 6 2" xfId="3524"/>
    <cellStyle name="Обычный 5 2 6 2 2" xfId="3525"/>
    <cellStyle name="Обычный 5 2 6 2 2 2" xfId="10814"/>
    <cellStyle name="Обычный 5 2 6 2 2 3" xfId="10815"/>
    <cellStyle name="Обычный 5 2 6 2 2 4" xfId="10816"/>
    <cellStyle name="Обычный 5 2 6 2 2 5" xfId="10817"/>
    <cellStyle name="Обычный 5 2 6 2 2 6" xfId="10818"/>
    <cellStyle name="Обычный 5 2 6 2 3" xfId="3526"/>
    <cellStyle name="Обычный 5 2 6 2 3 2" xfId="10819"/>
    <cellStyle name="Обычный 5 2 6 2 3 3" xfId="10820"/>
    <cellStyle name="Обычный 5 2 6 2 3 4" xfId="10821"/>
    <cellStyle name="Обычный 5 2 6 2 3 5" xfId="10822"/>
    <cellStyle name="Обычный 5 2 6 2 3 6" xfId="10823"/>
    <cellStyle name="Обычный 5 2 6 2 4" xfId="3527"/>
    <cellStyle name="Обычный 5 2 6 2 4 2" xfId="10824"/>
    <cellStyle name="Обычный 5 2 6 2 4 3" xfId="10825"/>
    <cellStyle name="Обычный 5 2 6 2 4 4" xfId="10826"/>
    <cellStyle name="Обычный 5 2 6 2 4 5" xfId="10827"/>
    <cellStyle name="Обычный 5 2 6 2 4 6" xfId="10828"/>
    <cellStyle name="Обычный 5 2 6 2 5" xfId="10829"/>
    <cellStyle name="Обычный 5 2 6 2 6" xfId="10830"/>
    <cellStyle name="Обычный 5 2 6 2 7" xfId="10831"/>
    <cellStyle name="Обычный 5 2 6 2 8" xfId="10832"/>
    <cellStyle name="Обычный 5 2 6 2 9" xfId="10833"/>
    <cellStyle name="Обычный 5 2 6 3" xfId="3528"/>
    <cellStyle name="Обычный 5 2 6 3 2" xfId="10834"/>
    <cellStyle name="Обычный 5 2 6 3 3" xfId="10835"/>
    <cellStyle name="Обычный 5 2 6 3 4" xfId="10836"/>
    <cellStyle name="Обычный 5 2 6 3 5" xfId="10837"/>
    <cellStyle name="Обычный 5 2 6 3 6" xfId="10838"/>
    <cellStyle name="Обычный 5 2 6 4" xfId="3529"/>
    <cellStyle name="Обычный 5 2 6 4 2" xfId="10839"/>
    <cellStyle name="Обычный 5 2 6 4 3" xfId="10840"/>
    <cellStyle name="Обычный 5 2 6 4 4" xfId="10841"/>
    <cellStyle name="Обычный 5 2 6 4 5" xfId="10842"/>
    <cellStyle name="Обычный 5 2 6 4 6" xfId="10843"/>
    <cellStyle name="Обычный 5 2 6 5" xfId="3530"/>
    <cellStyle name="Обычный 5 2 6 5 2" xfId="10844"/>
    <cellStyle name="Обычный 5 2 6 5 3" xfId="10845"/>
    <cellStyle name="Обычный 5 2 6 5 4" xfId="10846"/>
    <cellStyle name="Обычный 5 2 6 5 5" xfId="10847"/>
    <cellStyle name="Обычный 5 2 6 5 6" xfId="10848"/>
    <cellStyle name="Обычный 5 2 6 6" xfId="5320"/>
    <cellStyle name="Обычный 5 2 6 7" xfId="10849"/>
    <cellStyle name="Обычный 5 2 6 8" xfId="10850"/>
    <cellStyle name="Обычный 5 2 6 9" xfId="10851"/>
    <cellStyle name="Обычный 5 2 7" xfId="3531"/>
    <cellStyle name="Обычный 5 2 7 10" xfId="10852"/>
    <cellStyle name="Обычный 5 2 7 2" xfId="3532"/>
    <cellStyle name="Обычный 5 2 7 2 2" xfId="3533"/>
    <cellStyle name="Обычный 5 2 7 3" xfId="3534"/>
    <cellStyle name="Обычный 5 2 7 3 2" xfId="10853"/>
    <cellStyle name="Обычный 5 2 7 3 3" xfId="10854"/>
    <cellStyle name="Обычный 5 2 7 3 4" xfId="10855"/>
    <cellStyle name="Обычный 5 2 7 3 5" xfId="10856"/>
    <cellStyle name="Обычный 5 2 7 3 6" xfId="10857"/>
    <cellStyle name="Обычный 5 2 7 4" xfId="3535"/>
    <cellStyle name="Обычный 5 2 7 4 2" xfId="10858"/>
    <cellStyle name="Обычный 5 2 7 4 3" xfId="10859"/>
    <cellStyle name="Обычный 5 2 7 4 4" xfId="10860"/>
    <cellStyle name="Обычный 5 2 7 4 5" xfId="10861"/>
    <cellStyle name="Обычный 5 2 7 4 6" xfId="10862"/>
    <cellStyle name="Обычный 5 2 7 5" xfId="3536"/>
    <cellStyle name="Обычный 5 2 7 5 2" xfId="10863"/>
    <cellStyle name="Обычный 5 2 7 5 3" xfId="10864"/>
    <cellStyle name="Обычный 5 2 7 5 4" xfId="10865"/>
    <cellStyle name="Обычный 5 2 7 5 5" xfId="10866"/>
    <cellStyle name="Обычный 5 2 7 5 6" xfId="10867"/>
    <cellStyle name="Обычный 5 2 7 6" xfId="10868"/>
    <cellStyle name="Обычный 5 2 7 7" xfId="10869"/>
    <cellStyle name="Обычный 5 2 7 8" xfId="10870"/>
    <cellStyle name="Обычный 5 2 7 9" xfId="10871"/>
    <cellStyle name="Обычный 5 2 8" xfId="3537"/>
    <cellStyle name="Обычный 5 2 8 2" xfId="3538"/>
    <cellStyle name="Обычный 5 2 8 2 2" xfId="10872"/>
    <cellStyle name="Обычный 5 2 8 2 3" xfId="10873"/>
    <cellStyle name="Обычный 5 2 8 2 4" xfId="10874"/>
    <cellStyle name="Обычный 5 2 8 2 5" xfId="10875"/>
    <cellStyle name="Обычный 5 2 8 2 6" xfId="10876"/>
    <cellStyle name="Обычный 5 2 8 3" xfId="3539"/>
    <cellStyle name="Обычный 5 2 8 3 2" xfId="10877"/>
    <cellStyle name="Обычный 5 2 8 3 3" xfId="10878"/>
    <cellStyle name="Обычный 5 2 8 3 4" xfId="10879"/>
    <cellStyle name="Обычный 5 2 8 3 5" xfId="10880"/>
    <cellStyle name="Обычный 5 2 8 3 6" xfId="10881"/>
    <cellStyle name="Обычный 5 2 8 4" xfId="3540"/>
    <cellStyle name="Обычный 5 2 8 4 2" xfId="10882"/>
    <cellStyle name="Обычный 5 2 8 4 3" xfId="10883"/>
    <cellStyle name="Обычный 5 2 8 4 4" xfId="10884"/>
    <cellStyle name="Обычный 5 2 8 4 5" xfId="10885"/>
    <cellStyle name="Обычный 5 2 8 4 6" xfId="10886"/>
    <cellStyle name="Обычный 5 2 8 5" xfId="10887"/>
    <cellStyle name="Обычный 5 2 8 6" xfId="10888"/>
    <cellStyle name="Обычный 5 2 8 7" xfId="10889"/>
    <cellStyle name="Обычный 5 2 8 8" xfId="10890"/>
    <cellStyle name="Обычный 5 2 8 9" xfId="10891"/>
    <cellStyle name="Обычный 5 2 9" xfId="3541"/>
    <cellStyle name="Обычный 5 2 9 2" xfId="3542"/>
    <cellStyle name="Обычный 5 2 9 2 2" xfId="10892"/>
    <cellStyle name="Обычный 5 2 9 2 3" xfId="10893"/>
    <cellStyle name="Обычный 5 2 9 2 4" xfId="10894"/>
    <cellStyle name="Обычный 5 2 9 2 5" xfId="10895"/>
    <cellStyle name="Обычный 5 2 9 2 6" xfId="10896"/>
    <cellStyle name="Обычный 5 2 9 3" xfId="3543"/>
    <cellStyle name="Обычный 5 2 9 3 2" xfId="10897"/>
    <cellStyle name="Обычный 5 2 9 3 3" xfId="10898"/>
    <cellStyle name="Обычный 5 2 9 3 4" xfId="10899"/>
    <cellStyle name="Обычный 5 2 9 3 5" xfId="10900"/>
    <cellStyle name="Обычный 5 2 9 3 6" xfId="10901"/>
    <cellStyle name="Обычный 5 2 9 4" xfId="3544"/>
    <cellStyle name="Обычный 5 2 9 4 2" xfId="10902"/>
    <cellStyle name="Обычный 5 2 9 4 3" xfId="10903"/>
    <cellStyle name="Обычный 5 2 9 4 4" xfId="10904"/>
    <cellStyle name="Обычный 5 2 9 4 5" xfId="10905"/>
    <cellStyle name="Обычный 5 2 9 4 6" xfId="10906"/>
    <cellStyle name="Обычный 5 2 9 5" xfId="10907"/>
    <cellStyle name="Обычный 5 2 9 6" xfId="10908"/>
    <cellStyle name="Обычный 5 2 9 7" xfId="10909"/>
    <cellStyle name="Обычный 5 2 9 8" xfId="10910"/>
    <cellStyle name="Обычный 5 2 9 9" xfId="10911"/>
    <cellStyle name="Обычный 5 3" xfId="3545"/>
    <cellStyle name="Обычный 5 3 10" xfId="5321"/>
    <cellStyle name="Обычный 5 3 11" xfId="10912"/>
    <cellStyle name="Обычный 5 3 12" xfId="10913"/>
    <cellStyle name="Обычный 5 3 13" xfId="10914"/>
    <cellStyle name="Обычный 5 3 14" xfId="10915"/>
    <cellStyle name="Обычный 5 3 2" xfId="3546"/>
    <cellStyle name="Обычный 5 3 2 10" xfId="10916"/>
    <cellStyle name="Обычный 5 3 2 11" xfId="10917"/>
    <cellStyle name="Обычный 5 3 2 12" xfId="10918"/>
    <cellStyle name="Обычный 5 3 2 2" xfId="3547"/>
    <cellStyle name="Обычный 5 3 2 2 10" xfId="10919"/>
    <cellStyle name="Обычный 5 3 2 2 2" xfId="3548"/>
    <cellStyle name="Обычный 5 3 2 2 2 2" xfId="3549"/>
    <cellStyle name="Обычный 5 3 2 2 2 2 2" xfId="10920"/>
    <cellStyle name="Обычный 5 3 2 2 2 2 3" xfId="10921"/>
    <cellStyle name="Обычный 5 3 2 2 2 2 4" xfId="10922"/>
    <cellStyle name="Обычный 5 3 2 2 2 2 5" xfId="10923"/>
    <cellStyle name="Обычный 5 3 2 2 2 2 6" xfId="10924"/>
    <cellStyle name="Обычный 5 3 2 2 2 3" xfId="3550"/>
    <cellStyle name="Обычный 5 3 2 2 2 3 2" xfId="10925"/>
    <cellStyle name="Обычный 5 3 2 2 2 3 3" xfId="10926"/>
    <cellStyle name="Обычный 5 3 2 2 2 3 4" xfId="10927"/>
    <cellStyle name="Обычный 5 3 2 2 2 3 5" xfId="10928"/>
    <cellStyle name="Обычный 5 3 2 2 2 3 6" xfId="10929"/>
    <cellStyle name="Обычный 5 3 2 2 2 4" xfId="3551"/>
    <cellStyle name="Обычный 5 3 2 2 2 4 2" xfId="10930"/>
    <cellStyle name="Обычный 5 3 2 2 2 4 3" xfId="10931"/>
    <cellStyle name="Обычный 5 3 2 2 2 4 4" xfId="10932"/>
    <cellStyle name="Обычный 5 3 2 2 2 4 5" xfId="10933"/>
    <cellStyle name="Обычный 5 3 2 2 2 4 6" xfId="10934"/>
    <cellStyle name="Обычный 5 3 2 2 2 5" xfId="10935"/>
    <cellStyle name="Обычный 5 3 2 2 2 6" xfId="10936"/>
    <cellStyle name="Обычный 5 3 2 2 2 7" xfId="10937"/>
    <cellStyle name="Обычный 5 3 2 2 2 8" xfId="10938"/>
    <cellStyle name="Обычный 5 3 2 2 2 9" xfId="10939"/>
    <cellStyle name="Обычный 5 3 2 2 3" xfId="3552"/>
    <cellStyle name="Обычный 5 3 2 2 3 2" xfId="10940"/>
    <cellStyle name="Обычный 5 3 2 2 3 3" xfId="10941"/>
    <cellStyle name="Обычный 5 3 2 2 3 4" xfId="10942"/>
    <cellStyle name="Обычный 5 3 2 2 3 5" xfId="10943"/>
    <cellStyle name="Обычный 5 3 2 2 3 6" xfId="10944"/>
    <cellStyle name="Обычный 5 3 2 2 4" xfId="3553"/>
    <cellStyle name="Обычный 5 3 2 2 4 2" xfId="10945"/>
    <cellStyle name="Обычный 5 3 2 2 4 3" xfId="10946"/>
    <cellStyle name="Обычный 5 3 2 2 4 4" xfId="10947"/>
    <cellStyle name="Обычный 5 3 2 2 4 5" xfId="10948"/>
    <cellStyle name="Обычный 5 3 2 2 4 6" xfId="10949"/>
    <cellStyle name="Обычный 5 3 2 2 5" xfId="3554"/>
    <cellStyle name="Обычный 5 3 2 2 5 2" xfId="10950"/>
    <cellStyle name="Обычный 5 3 2 2 5 3" xfId="10951"/>
    <cellStyle name="Обычный 5 3 2 2 5 4" xfId="10952"/>
    <cellStyle name="Обычный 5 3 2 2 5 5" xfId="10953"/>
    <cellStyle name="Обычный 5 3 2 2 5 6" xfId="10954"/>
    <cellStyle name="Обычный 5 3 2 2 6" xfId="10955"/>
    <cellStyle name="Обычный 5 3 2 2 7" xfId="10956"/>
    <cellStyle name="Обычный 5 3 2 2 8" xfId="10957"/>
    <cellStyle name="Обычный 5 3 2 2 9" xfId="10958"/>
    <cellStyle name="Обычный 5 3 2 3" xfId="3555"/>
    <cellStyle name="Обычный 5 3 2 3 2" xfId="3556"/>
    <cellStyle name="Обычный 5 3 2 3 2 2" xfId="10959"/>
    <cellStyle name="Обычный 5 3 2 3 2 3" xfId="10960"/>
    <cellStyle name="Обычный 5 3 2 3 2 4" xfId="10961"/>
    <cellStyle name="Обычный 5 3 2 3 2 5" xfId="10962"/>
    <cellStyle name="Обычный 5 3 2 3 2 6" xfId="10963"/>
    <cellStyle name="Обычный 5 3 2 3 3" xfId="3557"/>
    <cellStyle name="Обычный 5 3 2 3 3 2" xfId="10964"/>
    <cellStyle name="Обычный 5 3 2 3 3 3" xfId="10965"/>
    <cellStyle name="Обычный 5 3 2 3 3 4" xfId="10966"/>
    <cellStyle name="Обычный 5 3 2 3 3 5" xfId="10967"/>
    <cellStyle name="Обычный 5 3 2 3 3 6" xfId="10968"/>
    <cellStyle name="Обычный 5 3 2 3 4" xfId="3558"/>
    <cellStyle name="Обычный 5 3 2 3 4 2" xfId="10969"/>
    <cellStyle name="Обычный 5 3 2 3 4 3" xfId="10970"/>
    <cellStyle name="Обычный 5 3 2 3 4 4" xfId="10971"/>
    <cellStyle name="Обычный 5 3 2 3 4 5" xfId="10972"/>
    <cellStyle name="Обычный 5 3 2 3 4 6" xfId="10973"/>
    <cellStyle name="Обычный 5 3 2 3 5" xfId="10974"/>
    <cellStyle name="Обычный 5 3 2 3 6" xfId="10975"/>
    <cellStyle name="Обычный 5 3 2 3 7" xfId="10976"/>
    <cellStyle name="Обычный 5 3 2 3 8" xfId="10977"/>
    <cellStyle name="Обычный 5 3 2 3 9" xfId="10978"/>
    <cellStyle name="Обычный 5 3 2 4" xfId="3559"/>
    <cellStyle name="Обычный 5 3 2 4 2" xfId="3560"/>
    <cellStyle name="Обычный 5 3 2 4 2 2" xfId="10979"/>
    <cellStyle name="Обычный 5 3 2 4 2 3" xfId="10980"/>
    <cellStyle name="Обычный 5 3 2 4 2 4" xfId="10981"/>
    <cellStyle name="Обычный 5 3 2 4 2 5" xfId="10982"/>
    <cellStyle name="Обычный 5 3 2 4 2 6" xfId="10983"/>
    <cellStyle name="Обычный 5 3 2 4 3" xfId="3561"/>
    <cellStyle name="Обычный 5 3 2 4 3 2" xfId="10984"/>
    <cellStyle name="Обычный 5 3 2 4 3 3" xfId="10985"/>
    <cellStyle name="Обычный 5 3 2 4 3 4" xfId="10986"/>
    <cellStyle name="Обычный 5 3 2 4 3 5" xfId="10987"/>
    <cellStyle name="Обычный 5 3 2 4 3 6" xfId="10988"/>
    <cellStyle name="Обычный 5 3 2 4 4" xfId="3562"/>
    <cellStyle name="Обычный 5 3 2 4 4 2" xfId="10989"/>
    <cellStyle name="Обычный 5 3 2 4 4 3" xfId="10990"/>
    <cellStyle name="Обычный 5 3 2 4 4 4" xfId="10991"/>
    <cellStyle name="Обычный 5 3 2 4 4 5" xfId="10992"/>
    <cellStyle name="Обычный 5 3 2 4 4 6" xfId="10993"/>
    <cellStyle name="Обычный 5 3 2 4 5" xfId="10994"/>
    <cellStyle name="Обычный 5 3 2 4 6" xfId="10995"/>
    <cellStyle name="Обычный 5 3 2 4 7" xfId="10996"/>
    <cellStyle name="Обычный 5 3 2 4 8" xfId="10997"/>
    <cellStyle name="Обычный 5 3 2 4 9" xfId="10998"/>
    <cellStyle name="Обычный 5 3 2 5" xfId="3563"/>
    <cellStyle name="Обычный 5 3 2 5 2" xfId="10999"/>
    <cellStyle name="Обычный 5 3 2 5 3" xfId="11000"/>
    <cellStyle name="Обычный 5 3 2 5 4" xfId="11001"/>
    <cellStyle name="Обычный 5 3 2 5 5" xfId="11002"/>
    <cellStyle name="Обычный 5 3 2 5 6" xfId="11003"/>
    <cellStyle name="Обычный 5 3 2 6" xfId="3564"/>
    <cellStyle name="Обычный 5 3 2 6 2" xfId="11004"/>
    <cellStyle name="Обычный 5 3 2 6 3" xfId="11005"/>
    <cellStyle name="Обычный 5 3 2 6 4" xfId="11006"/>
    <cellStyle name="Обычный 5 3 2 6 5" xfId="11007"/>
    <cellStyle name="Обычный 5 3 2 6 6" xfId="11008"/>
    <cellStyle name="Обычный 5 3 2 7" xfId="3565"/>
    <cellStyle name="Обычный 5 3 2 7 2" xfId="11009"/>
    <cellStyle name="Обычный 5 3 2 7 3" xfId="11010"/>
    <cellStyle name="Обычный 5 3 2 7 4" xfId="11011"/>
    <cellStyle name="Обычный 5 3 2 7 5" xfId="11012"/>
    <cellStyle name="Обычный 5 3 2 7 6" xfId="11013"/>
    <cellStyle name="Обычный 5 3 2 8" xfId="5322"/>
    <cellStyle name="Обычный 5 3 2 9" xfId="11014"/>
    <cellStyle name="Обычный 5 3 3" xfId="3566"/>
    <cellStyle name="Обычный 5 3 3 10" xfId="11015"/>
    <cellStyle name="Обычный 5 3 3 2" xfId="3567"/>
    <cellStyle name="Обычный 5 3 3 2 2" xfId="3568"/>
    <cellStyle name="Обычный 5 3 3 2 2 2" xfId="11016"/>
    <cellStyle name="Обычный 5 3 3 2 2 3" xfId="11017"/>
    <cellStyle name="Обычный 5 3 3 2 2 4" xfId="11018"/>
    <cellStyle name="Обычный 5 3 3 2 2 5" xfId="11019"/>
    <cellStyle name="Обычный 5 3 3 2 2 6" xfId="11020"/>
    <cellStyle name="Обычный 5 3 3 2 3" xfId="3569"/>
    <cellStyle name="Обычный 5 3 3 2 3 2" xfId="11021"/>
    <cellStyle name="Обычный 5 3 3 2 3 3" xfId="11022"/>
    <cellStyle name="Обычный 5 3 3 2 3 4" xfId="11023"/>
    <cellStyle name="Обычный 5 3 3 2 3 5" xfId="11024"/>
    <cellStyle name="Обычный 5 3 3 2 3 6" xfId="11025"/>
    <cellStyle name="Обычный 5 3 3 2 4" xfId="3570"/>
    <cellStyle name="Обычный 5 3 3 2 4 2" xfId="11026"/>
    <cellStyle name="Обычный 5 3 3 2 4 3" xfId="11027"/>
    <cellStyle name="Обычный 5 3 3 2 4 4" xfId="11028"/>
    <cellStyle name="Обычный 5 3 3 2 4 5" xfId="11029"/>
    <cellStyle name="Обычный 5 3 3 2 4 6" xfId="11030"/>
    <cellStyle name="Обычный 5 3 3 2 5" xfId="11031"/>
    <cellStyle name="Обычный 5 3 3 2 6" xfId="11032"/>
    <cellStyle name="Обычный 5 3 3 2 7" xfId="11033"/>
    <cellStyle name="Обычный 5 3 3 2 8" xfId="11034"/>
    <cellStyle name="Обычный 5 3 3 2 9" xfId="11035"/>
    <cellStyle name="Обычный 5 3 3 3" xfId="3571"/>
    <cellStyle name="Обычный 5 3 3 3 2" xfId="11036"/>
    <cellStyle name="Обычный 5 3 3 3 3" xfId="11037"/>
    <cellStyle name="Обычный 5 3 3 3 4" xfId="11038"/>
    <cellStyle name="Обычный 5 3 3 3 5" xfId="11039"/>
    <cellStyle name="Обычный 5 3 3 3 6" xfId="11040"/>
    <cellStyle name="Обычный 5 3 3 4" xfId="3572"/>
    <cellStyle name="Обычный 5 3 3 4 2" xfId="11041"/>
    <cellStyle name="Обычный 5 3 3 4 3" xfId="11042"/>
    <cellStyle name="Обычный 5 3 3 4 4" xfId="11043"/>
    <cellStyle name="Обычный 5 3 3 4 5" xfId="11044"/>
    <cellStyle name="Обычный 5 3 3 4 6" xfId="11045"/>
    <cellStyle name="Обычный 5 3 3 5" xfId="3573"/>
    <cellStyle name="Обычный 5 3 3 5 2" xfId="11046"/>
    <cellStyle name="Обычный 5 3 3 5 3" xfId="11047"/>
    <cellStyle name="Обычный 5 3 3 5 4" xfId="11048"/>
    <cellStyle name="Обычный 5 3 3 5 5" xfId="11049"/>
    <cellStyle name="Обычный 5 3 3 5 6" xfId="11050"/>
    <cellStyle name="Обычный 5 3 3 6" xfId="5323"/>
    <cellStyle name="Обычный 5 3 3 7" xfId="11051"/>
    <cellStyle name="Обычный 5 3 3 8" xfId="11052"/>
    <cellStyle name="Обычный 5 3 3 9" xfId="11053"/>
    <cellStyle name="Обычный 5 3 4" xfId="3574"/>
    <cellStyle name="Обычный 5 3 5" xfId="3575"/>
    <cellStyle name="Обычный 5 3 5 2" xfId="3576"/>
    <cellStyle name="Обычный 5 3 5 2 2" xfId="11054"/>
    <cellStyle name="Обычный 5 3 5 2 3" xfId="11055"/>
    <cellStyle name="Обычный 5 3 5 2 4" xfId="11056"/>
    <cellStyle name="Обычный 5 3 5 2 5" xfId="11057"/>
    <cellStyle name="Обычный 5 3 5 2 6" xfId="11058"/>
    <cellStyle name="Обычный 5 3 5 3" xfId="3577"/>
    <cellStyle name="Обычный 5 3 5 3 2" xfId="11059"/>
    <cellStyle name="Обычный 5 3 5 3 3" xfId="11060"/>
    <cellStyle name="Обычный 5 3 5 3 4" xfId="11061"/>
    <cellStyle name="Обычный 5 3 5 3 5" xfId="11062"/>
    <cellStyle name="Обычный 5 3 5 3 6" xfId="11063"/>
    <cellStyle name="Обычный 5 3 5 4" xfId="3578"/>
    <cellStyle name="Обычный 5 3 5 4 2" xfId="11064"/>
    <cellStyle name="Обычный 5 3 5 4 3" xfId="11065"/>
    <cellStyle name="Обычный 5 3 5 4 4" xfId="11066"/>
    <cellStyle name="Обычный 5 3 5 4 5" xfId="11067"/>
    <cellStyle name="Обычный 5 3 5 4 6" xfId="11068"/>
    <cellStyle name="Обычный 5 3 5 5" xfId="11069"/>
    <cellStyle name="Обычный 5 3 5 6" xfId="11070"/>
    <cellStyle name="Обычный 5 3 5 7" xfId="11071"/>
    <cellStyle name="Обычный 5 3 5 8" xfId="11072"/>
    <cellStyle name="Обычный 5 3 5 9" xfId="11073"/>
    <cellStyle name="Обычный 5 3 6" xfId="3579"/>
    <cellStyle name="Обычный 5 3 6 2" xfId="3580"/>
    <cellStyle name="Обычный 5 3 6 2 2" xfId="11074"/>
    <cellStyle name="Обычный 5 3 6 2 3" xfId="11075"/>
    <cellStyle name="Обычный 5 3 6 2 4" xfId="11076"/>
    <cellStyle name="Обычный 5 3 6 2 5" xfId="11077"/>
    <cellStyle name="Обычный 5 3 6 2 6" xfId="11078"/>
    <cellStyle name="Обычный 5 3 6 3" xfId="3581"/>
    <cellStyle name="Обычный 5 3 6 3 2" xfId="11079"/>
    <cellStyle name="Обычный 5 3 6 3 3" xfId="11080"/>
    <cellStyle name="Обычный 5 3 6 3 4" xfId="11081"/>
    <cellStyle name="Обычный 5 3 6 3 5" xfId="11082"/>
    <cellStyle name="Обычный 5 3 6 3 6" xfId="11083"/>
    <cellStyle name="Обычный 5 3 6 4" xfId="3582"/>
    <cellStyle name="Обычный 5 3 6 4 2" xfId="11084"/>
    <cellStyle name="Обычный 5 3 6 4 3" xfId="11085"/>
    <cellStyle name="Обычный 5 3 6 4 4" xfId="11086"/>
    <cellStyle name="Обычный 5 3 6 4 5" xfId="11087"/>
    <cellStyle name="Обычный 5 3 6 4 6" xfId="11088"/>
    <cellStyle name="Обычный 5 3 6 5" xfId="5324"/>
    <cellStyle name="Обычный 5 3 6 6" xfId="11089"/>
    <cellStyle name="Обычный 5 3 6 7" xfId="11090"/>
    <cellStyle name="Обычный 5 3 6 8" xfId="11091"/>
    <cellStyle name="Обычный 5 3 6 9" xfId="11092"/>
    <cellStyle name="Обычный 5 3 7" xfId="3583"/>
    <cellStyle name="Обычный 5 3 7 2" xfId="11093"/>
    <cellStyle name="Обычный 5 3 7 3" xfId="11094"/>
    <cellStyle name="Обычный 5 3 7 4" xfId="11095"/>
    <cellStyle name="Обычный 5 3 7 5" xfId="11096"/>
    <cellStyle name="Обычный 5 3 7 6" xfId="11097"/>
    <cellStyle name="Обычный 5 3 8" xfId="3584"/>
    <cellStyle name="Обычный 5 3 8 2" xfId="11098"/>
    <cellStyle name="Обычный 5 3 8 3" xfId="11099"/>
    <cellStyle name="Обычный 5 3 8 4" xfId="11100"/>
    <cellStyle name="Обычный 5 3 8 5" xfId="11101"/>
    <cellStyle name="Обычный 5 3 8 6" xfId="11102"/>
    <cellStyle name="Обычный 5 3 9" xfId="3585"/>
    <cellStyle name="Обычный 5 3 9 2" xfId="11103"/>
    <cellStyle name="Обычный 5 3 9 3" xfId="11104"/>
    <cellStyle name="Обычный 5 3 9 4" xfId="11105"/>
    <cellStyle name="Обычный 5 3 9 5" xfId="11106"/>
    <cellStyle name="Обычный 5 3 9 6" xfId="11107"/>
    <cellStyle name="Обычный 5 4" xfId="3586"/>
    <cellStyle name="Обычный 5 4 10" xfId="11108"/>
    <cellStyle name="Обычный 5 4 11" xfId="11109"/>
    <cellStyle name="Обычный 5 4 12" xfId="11110"/>
    <cellStyle name="Обычный 5 4 13" xfId="11111"/>
    <cellStyle name="Обычный 5 4 2" xfId="3587"/>
    <cellStyle name="Обычный 5 4 2 10" xfId="11112"/>
    <cellStyle name="Обычный 5 4 2 2" xfId="3588"/>
    <cellStyle name="Обычный 5 4 2 2 2" xfId="3589"/>
    <cellStyle name="Обычный 5 4 2 2 2 2" xfId="11113"/>
    <cellStyle name="Обычный 5 4 2 2 2 3" xfId="11114"/>
    <cellStyle name="Обычный 5 4 2 2 2 4" xfId="11115"/>
    <cellStyle name="Обычный 5 4 2 2 2 5" xfId="11116"/>
    <cellStyle name="Обычный 5 4 2 2 2 6" xfId="11117"/>
    <cellStyle name="Обычный 5 4 2 2 3" xfId="3590"/>
    <cellStyle name="Обычный 5 4 2 2 3 2" xfId="11118"/>
    <cellStyle name="Обычный 5 4 2 2 3 3" xfId="11119"/>
    <cellStyle name="Обычный 5 4 2 2 3 4" xfId="11120"/>
    <cellStyle name="Обычный 5 4 2 2 3 5" xfId="11121"/>
    <cellStyle name="Обычный 5 4 2 2 3 6" xfId="11122"/>
    <cellStyle name="Обычный 5 4 2 2 4" xfId="3591"/>
    <cellStyle name="Обычный 5 4 2 2 4 2" xfId="11123"/>
    <cellStyle name="Обычный 5 4 2 2 4 3" xfId="11124"/>
    <cellStyle name="Обычный 5 4 2 2 4 4" xfId="11125"/>
    <cellStyle name="Обычный 5 4 2 2 4 5" xfId="11126"/>
    <cellStyle name="Обычный 5 4 2 2 4 6" xfId="11127"/>
    <cellStyle name="Обычный 5 4 2 2 5" xfId="11128"/>
    <cellStyle name="Обычный 5 4 2 2 6" xfId="11129"/>
    <cellStyle name="Обычный 5 4 2 2 7" xfId="11130"/>
    <cellStyle name="Обычный 5 4 2 2 8" xfId="11131"/>
    <cellStyle name="Обычный 5 4 2 2 9" xfId="11132"/>
    <cellStyle name="Обычный 5 4 2 3" xfId="3592"/>
    <cellStyle name="Обычный 5 4 2 3 2" xfId="11133"/>
    <cellStyle name="Обычный 5 4 2 3 3" xfId="11134"/>
    <cellStyle name="Обычный 5 4 2 3 4" xfId="11135"/>
    <cellStyle name="Обычный 5 4 2 3 5" xfId="11136"/>
    <cellStyle name="Обычный 5 4 2 3 6" xfId="11137"/>
    <cellStyle name="Обычный 5 4 2 4" xfId="3593"/>
    <cellStyle name="Обычный 5 4 2 4 2" xfId="11138"/>
    <cellStyle name="Обычный 5 4 2 4 3" xfId="11139"/>
    <cellStyle name="Обычный 5 4 2 4 4" xfId="11140"/>
    <cellStyle name="Обычный 5 4 2 4 5" xfId="11141"/>
    <cellStyle name="Обычный 5 4 2 4 6" xfId="11142"/>
    <cellStyle name="Обычный 5 4 2 5" xfId="3594"/>
    <cellStyle name="Обычный 5 4 2 5 2" xfId="11143"/>
    <cellStyle name="Обычный 5 4 2 5 3" xfId="11144"/>
    <cellStyle name="Обычный 5 4 2 5 4" xfId="11145"/>
    <cellStyle name="Обычный 5 4 2 5 5" xfId="11146"/>
    <cellStyle name="Обычный 5 4 2 5 6" xfId="11147"/>
    <cellStyle name="Обычный 5 4 2 6" xfId="11148"/>
    <cellStyle name="Обычный 5 4 2 7" xfId="11149"/>
    <cellStyle name="Обычный 5 4 2 8" xfId="11150"/>
    <cellStyle name="Обычный 5 4 2 9" xfId="11151"/>
    <cellStyle name="Обычный 5 4 3" xfId="3595"/>
    <cellStyle name="Обычный 5 4 3 10" xfId="11152"/>
    <cellStyle name="Обычный 5 4 3 2" xfId="3596"/>
    <cellStyle name="Обычный 5 4 3 2 2" xfId="3597"/>
    <cellStyle name="Обычный 5 4 3 2 2 2" xfId="11153"/>
    <cellStyle name="Обычный 5 4 3 2 2 3" xfId="11154"/>
    <cellStyle name="Обычный 5 4 3 2 2 4" xfId="11155"/>
    <cellStyle name="Обычный 5 4 3 2 2 5" xfId="11156"/>
    <cellStyle name="Обычный 5 4 3 2 2 6" xfId="11157"/>
    <cellStyle name="Обычный 5 4 3 2 3" xfId="3598"/>
    <cellStyle name="Обычный 5 4 3 2 3 2" xfId="11158"/>
    <cellStyle name="Обычный 5 4 3 2 3 3" xfId="11159"/>
    <cellStyle name="Обычный 5 4 3 2 3 4" xfId="11160"/>
    <cellStyle name="Обычный 5 4 3 2 3 5" xfId="11161"/>
    <cellStyle name="Обычный 5 4 3 2 3 6" xfId="11162"/>
    <cellStyle name="Обычный 5 4 3 2 4" xfId="3599"/>
    <cellStyle name="Обычный 5 4 3 2 4 2" xfId="11163"/>
    <cellStyle name="Обычный 5 4 3 2 4 3" xfId="11164"/>
    <cellStyle name="Обычный 5 4 3 2 4 4" xfId="11165"/>
    <cellStyle name="Обычный 5 4 3 2 4 5" xfId="11166"/>
    <cellStyle name="Обычный 5 4 3 2 4 6" xfId="11167"/>
    <cellStyle name="Обычный 5 4 3 2 5" xfId="11168"/>
    <cellStyle name="Обычный 5 4 3 2 6" xfId="11169"/>
    <cellStyle name="Обычный 5 4 3 2 7" xfId="11170"/>
    <cellStyle name="Обычный 5 4 3 2 8" xfId="11171"/>
    <cellStyle name="Обычный 5 4 3 2 9" xfId="11172"/>
    <cellStyle name="Обычный 5 4 3 3" xfId="3600"/>
    <cellStyle name="Обычный 5 4 3 3 2" xfId="11173"/>
    <cellStyle name="Обычный 5 4 3 3 3" xfId="11174"/>
    <cellStyle name="Обычный 5 4 3 3 4" xfId="11175"/>
    <cellStyle name="Обычный 5 4 3 3 5" xfId="11176"/>
    <cellStyle name="Обычный 5 4 3 3 6" xfId="11177"/>
    <cellStyle name="Обычный 5 4 3 4" xfId="3601"/>
    <cellStyle name="Обычный 5 4 3 4 2" xfId="11178"/>
    <cellStyle name="Обычный 5 4 3 4 3" xfId="11179"/>
    <cellStyle name="Обычный 5 4 3 4 4" xfId="11180"/>
    <cellStyle name="Обычный 5 4 3 4 5" xfId="11181"/>
    <cellStyle name="Обычный 5 4 3 4 6" xfId="11182"/>
    <cellStyle name="Обычный 5 4 3 5" xfId="3602"/>
    <cellStyle name="Обычный 5 4 3 5 2" xfId="11183"/>
    <cellStyle name="Обычный 5 4 3 5 3" xfId="11184"/>
    <cellStyle name="Обычный 5 4 3 5 4" xfId="11185"/>
    <cellStyle name="Обычный 5 4 3 5 5" xfId="11186"/>
    <cellStyle name="Обычный 5 4 3 5 6" xfId="11187"/>
    <cellStyle name="Обычный 5 4 3 6" xfId="11188"/>
    <cellStyle name="Обычный 5 4 3 7" xfId="11189"/>
    <cellStyle name="Обычный 5 4 3 8" xfId="11190"/>
    <cellStyle name="Обычный 5 4 3 9" xfId="11191"/>
    <cellStyle name="Обычный 5 4 4" xfId="3603"/>
    <cellStyle name="Обычный 5 4 4 2" xfId="3604"/>
    <cellStyle name="Обычный 5 4 4 2 2" xfId="11192"/>
    <cellStyle name="Обычный 5 4 4 2 3" xfId="11193"/>
    <cellStyle name="Обычный 5 4 4 2 4" xfId="11194"/>
    <cellStyle name="Обычный 5 4 4 2 5" xfId="11195"/>
    <cellStyle name="Обычный 5 4 4 2 6" xfId="11196"/>
    <cellStyle name="Обычный 5 4 4 3" xfId="3605"/>
    <cellStyle name="Обычный 5 4 4 3 2" xfId="11197"/>
    <cellStyle name="Обычный 5 4 4 3 3" xfId="11198"/>
    <cellStyle name="Обычный 5 4 4 3 4" xfId="11199"/>
    <cellStyle name="Обычный 5 4 4 3 5" xfId="11200"/>
    <cellStyle name="Обычный 5 4 4 3 6" xfId="11201"/>
    <cellStyle name="Обычный 5 4 4 4" xfId="3606"/>
    <cellStyle name="Обычный 5 4 4 4 2" xfId="11202"/>
    <cellStyle name="Обычный 5 4 4 4 3" xfId="11203"/>
    <cellStyle name="Обычный 5 4 4 4 4" xfId="11204"/>
    <cellStyle name="Обычный 5 4 4 4 5" xfId="11205"/>
    <cellStyle name="Обычный 5 4 4 4 6" xfId="11206"/>
    <cellStyle name="Обычный 5 4 4 5" xfId="11207"/>
    <cellStyle name="Обычный 5 4 4 6" xfId="11208"/>
    <cellStyle name="Обычный 5 4 4 7" xfId="11209"/>
    <cellStyle name="Обычный 5 4 4 8" xfId="11210"/>
    <cellStyle name="Обычный 5 4 4 9" xfId="11211"/>
    <cellStyle name="Обычный 5 4 5" xfId="3607"/>
    <cellStyle name="Обычный 5 4 5 2" xfId="3608"/>
    <cellStyle name="Обычный 5 4 5 2 2" xfId="11212"/>
    <cellStyle name="Обычный 5 4 5 2 3" xfId="11213"/>
    <cellStyle name="Обычный 5 4 5 2 4" xfId="11214"/>
    <cellStyle name="Обычный 5 4 5 2 5" xfId="11215"/>
    <cellStyle name="Обычный 5 4 5 2 6" xfId="11216"/>
    <cellStyle name="Обычный 5 4 5 3" xfId="3609"/>
    <cellStyle name="Обычный 5 4 5 3 2" xfId="11217"/>
    <cellStyle name="Обычный 5 4 5 3 3" xfId="11218"/>
    <cellStyle name="Обычный 5 4 5 3 4" xfId="11219"/>
    <cellStyle name="Обычный 5 4 5 3 5" xfId="11220"/>
    <cellStyle name="Обычный 5 4 5 3 6" xfId="11221"/>
    <cellStyle name="Обычный 5 4 5 4" xfId="3610"/>
    <cellStyle name="Обычный 5 4 5 4 2" xfId="11222"/>
    <cellStyle name="Обычный 5 4 5 4 3" xfId="11223"/>
    <cellStyle name="Обычный 5 4 5 4 4" xfId="11224"/>
    <cellStyle name="Обычный 5 4 5 4 5" xfId="11225"/>
    <cellStyle name="Обычный 5 4 5 4 6" xfId="11226"/>
    <cellStyle name="Обычный 5 4 5 5" xfId="11227"/>
    <cellStyle name="Обычный 5 4 5 6" xfId="11228"/>
    <cellStyle name="Обычный 5 4 5 7" xfId="11229"/>
    <cellStyle name="Обычный 5 4 5 8" xfId="11230"/>
    <cellStyle name="Обычный 5 4 5 9" xfId="11231"/>
    <cellStyle name="Обычный 5 4 6" xfId="3611"/>
    <cellStyle name="Обычный 5 4 6 2" xfId="11232"/>
    <cellStyle name="Обычный 5 4 6 3" xfId="11233"/>
    <cellStyle name="Обычный 5 4 6 4" xfId="11234"/>
    <cellStyle name="Обычный 5 4 6 5" xfId="11235"/>
    <cellStyle name="Обычный 5 4 6 6" xfId="11236"/>
    <cellStyle name="Обычный 5 4 7" xfId="3612"/>
    <cellStyle name="Обычный 5 4 7 2" xfId="11237"/>
    <cellStyle name="Обычный 5 4 7 3" xfId="11238"/>
    <cellStyle name="Обычный 5 4 7 4" xfId="11239"/>
    <cellStyle name="Обычный 5 4 7 5" xfId="11240"/>
    <cellStyle name="Обычный 5 4 7 6" xfId="11241"/>
    <cellStyle name="Обычный 5 4 8" xfId="3613"/>
    <cellStyle name="Обычный 5 4 8 2" xfId="11242"/>
    <cellStyle name="Обычный 5 4 8 3" xfId="11243"/>
    <cellStyle name="Обычный 5 4 8 4" xfId="11244"/>
    <cellStyle name="Обычный 5 4 8 5" xfId="11245"/>
    <cellStyle name="Обычный 5 4 8 6" xfId="11246"/>
    <cellStyle name="Обычный 5 4 9" xfId="5325"/>
    <cellStyle name="Обычный 5 5" xfId="3614"/>
    <cellStyle name="Обычный 5 5 10" xfId="11247"/>
    <cellStyle name="Обычный 5 5 11" xfId="11248"/>
    <cellStyle name="Обычный 5 5 2" xfId="3615"/>
    <cellStyle name="Обычный 5 5 2 10" xfId="11249"/>
    <cellStyle name="Обычный 5 5 2 2" xfId="3616"/>
    <cellStyle name="Обычный 5 5 2 2 2" xfId="3617"/>
    <cellStyle name="Обычный 5 5 2 2 2 2" xfId="11250"/>
    <cellStyle name="Обычный 5 5 2 2 2 3" xfId="11251"/>
    <cellStyle name="Обычный 5 5 2 2 2 4" xfId="11252"/>
    <cellStyle name="Обычный 5 5 2 2 2 5" xfId="11253"/>
    <cellStyle name="Обычный 5 5 2 2 2 6" xfId="11254"/>
    <cellStyle name="Обычный 5 5 2 2 3" xfId="3618"/>
    <cellStyle name="Обычный 5 5 2 2 3 2" xfId="11255"/>
    <cellStyle name="Обычный 5 5 2 2 3 3" xfId="11256"/>
    <cellStyle name="Обычный 5 5 2 2 3 4" xfId="11257"/>
    <cellStyle name="Обычный 5 5 2 2 3 5" xfId="11258"/>
    <cellStyle name="Обычный 5 5 2 2 3 6" xfId="11259"/>
    <cellStyle name="Обычный 5 5 2 2 4" xfId="3619"/>
    <cellStyle name="Обычный 5 5 2 2 4 2" xfId="11260"/>
    <cellStyle name="Обычный 5 5 2 2 4 3" xfId="11261"/>
    <cellStyle name="Обычный 5 5 2 2 4 4" xfId="11262"/>
    <cellStyle name="Обычный 5 5 2 2 4 5" xfId="11263"/>
    <cellStyle name="Обычный 5 5 2 2 4 6" xfId="11264"/>
    <cellStyle name="Обычный 5 5 2 2 5" xfId="11265"/>
    <cellStyle name="Обычный 5 5 2 2 6" xfId="11266"/>
    <cellStyle name="Обычный 5 5 2 2 7" xfId="11267"/>
    <cellStyle name="Обычный 5 5 2 2 8" xfId="11268"/>
    <cellStyle name="Обычный 5 5 2 2 9" xfId="11269"/>
    <cellStyle name="Обычный 5 5 2 3" xfId="3620"/>
    <cellStyle name="Обычный 5 5 2 3 2" xfId="11270"/>
    <cellStyle name="Обычный 5 5 2 3 3" xfId="11271"/>
    <cellStyle name="Обычный 5 5 2 3 4" xfId="11272"/>
    <cellStyle name="Обычный 5 5 2 3 5" xfId="11273"/>
    <cellStyle name="Обычный 5 5 2 3 6" xfId="11274"/>
    <cellStyle name="Обычный 5 5 2 4" xfId="3621"/>
    <cellStyle name="Обычный 5 5 2 4 2" xfId="11275"/>
    <cellStyle name="Обычный 5 5 2 4 3" xfId="11276"/>
    <cellStyle name="Обычный 5 5 2 4 4" xfId="11277"/>
    <cellStyle name="Обычный 5 5 2 4 5" xfId="11278"/>
    <cellStyle name="Обычный 5 5 2 4 6" xfId="11279"/>
    <cellStyle name="Обычный 5 5 2 5" xfId="3622"/>
    <cellStyle name="Обычный 5 5 2 5 2" xfId="11280"/>
    <cellStyle name="Обычный 5 5 2 5 3" xfId="11281"/>
    <cellStyle name="Обычный 5 5 2 5 4" xfId="11282"/>
    <cellStyle name="Обычный 5 5 2 5 5" xfId="11283"/>
    <cellStyle name="Обычный 5 5 2 5 6" xfId="11284"/>
    <cellStyle name="Обычный 5 5 2 6" xfId="11285"/>
    <cellStyle name="Обычный 5 5 2 7" xfId="11286"/>
    <cellStyle name="Обычный 5 5 2 8" xfId="11287"/>
    <cellStyle name="Обычный 5 5 2 9" xfId="11288"/>
    <cellStyle name="Обычный 5 5 3" xfId="3623"/>
    <cellStyle name="Обычный 5 5 3 2" xfId="3624"/>
    <cellStyle name="Обычный 5 5 3 2 2" xfId="11289"/>
    <cellStyle name="Обычный 5 5 3 2 3" xfId="11290"/>
    <cellStyle name="Обычный 5 5 3 2 4" xfId="11291"/>
    <cellStyle name="Обычный 5 5 3 2 5" xfId="11292"/>
    <cellStyle name="Обычный 5 5 3 2 6" xfId="11293"/>
    <cellStyle name="Обычный 5 5 3 3" xfId="3625"/>
    <cellStyle name="Обычный 5 5 3 3 2" xfId="11294"/>
    <cellStyle name="Обычный 5 5 3 3 3" xfId="11295"/>
    <cellStyle name="Обычный 5 5 3 3 4" xfId="11296"/>
    <cellStyle name="Обычный 5 5 3 3 5" xfId="11297"/>
    <cellStyle name="Обычный 5 5 3 3 6" xfId="11298"/>
    <cellStyle name="Обычный 5 5 3 4" xfId="3626"/>
    <cellStyle name="Обычный 5 5 3 4 2" xfId="11299"/>
    <cellStyle name="Обычный 5 5 3 4 3" xfId="11300"/>
    <cellStyle name="Обычный 5 5 3 4 4" xfId="11301"/>
    <cellStyle name="Обычный 5 5 3 4 5" xfId="11302"/>
    <cellStyle name="Обычный 5 5 3 4 6" xfId="11303"/>
    <cellStyle name="Обычный 5 5 3 5" xfId="11304"/>
    <cellStyle name="Обычный 5 5 3 6" xfId="11305"/>
    <cellStyle name="Обычный 5 5 3 7" xfId="11306"/>
    <cellStyle name="Обычный 5 5 3 8" xfId="11307"/>
    <cellStyle name="Обычный 5 5 3 9" xfId="11308"/>
    <cellStyle name="Обычный 5 5 4" xfId="3627"/>
    <cellStyle name="Обычный 5 5 4 2" xfId="11309"/>
    <cellStyle name="Обычный 5 5 4 3" xfId="11310"/>
    <cellStyle name="Обычный 5 5 4 4" xfId="11311"/>
    <cellStyle name="Обычный 5 5 4 5" xfId="11312"/>
    <cellStyle name="Обычный 5 5 4 6" xfId="11313"/>
    <cellStyle name="Обычный 5 5 5" xfId="3628"/>
    <cellStyle name="Обычный 5 5 5 2" xfId="11314"/>
    <cellStyle name="Обычный 5 5 5 3" xfId="11315"/>
    <cellStyle name="Обычный 5 5 5 4" xfId="11316"/>
    <cellStyle name="Обычный 5 5 5 5" xfId="11317"/>
    <cellStyle name="Обычный 5 5 5 6" xfId="11318"/>
    <cellStyle name="Обычный 5 5 6" xfId="3629"/>
    <cellStyle name="Обычный 5 5 6 2" xfId="11319"/>
    <cellStyle name="Обычный 5 5 6 3" xfId="11320"/>
    <cellStyle name="Обычный 5 5 6 4" xfId="11321"/>
    <cellStyle name="Обычный 5 5 6 5" xfId="11322"/>
    <cellStyle name="Обычный 5 5 6 6" xfId="11323"/>
    <cellStyle name="Обычный 5 5 7" xfId="5326"/>
    <cellStyle name="Обычный 5 5 8" xfId="11324"/>
    <cellStyle name="Обычный 5 5 9" xfId="11325"/>
    <cellStyle name="Обычный 5 6" xfId="3630"/>
    <cellStyle name="Обычный 5 6 2" xfId="3631"/>
    <cellStyle name="Обычный 5 6 2 2" xfId="3632"/>
    <cellStyle name="Обычный 5 6 3" xfId="3633"/>
    <cellStyle name="Обычный 5 6 3 2" xfId="3634"/>
    <cellStyle name="Обычный 5 6 4" xfId="3635"/>
    <cellStyle name="Обычный 5 6 5" xfId="5327"/>
    <cellStyle name="Обычный 5 7" xfId="3636"/>
    <cellStyle name="Обычный 5 7 10" xfId="11326"/>
    <cellStyle name="Обычный 5 7 2" xfId="3637"/>
    <cellStyle name="Обычный 5 7 2 2" xfId="3638"/>
    <cellStyle name="Обычный 5 7 2 2 2" xfId="11327"/>
    <cellStyle name="Обычный 5 7 2 2 3" xfId="11328"/>
    <cellStyle name="Обычный 5 7 2 2 4" xfId="11329"/>
    <cellStyle name="Обычный 5 7 2 2 5" xfId="11330"/>
    <cellStyle name="Обычный 5 7 2 2 6" xfId="11331"/>
    <cellStyle name="Обычный 5 7 2 3" xfId="3639"/>
    <cellStyle name="Обычный 5 7 2 3 2" xfId="11332"/>
    <cellStyle name="Обычный 5 7 2 3 3" xfId="11333"/>
    <cellStyle name="Обычный 5 7 2 3 4" xfId="11334"/>
    <cellStyle name="Обычный 5 7 2 3 5" xfId="11335"/>
    <cellStyle name="Обычный 5 7 2 3 6" xfId="11336"/>
    <cellStyle name="Обычный 5 7 2 4" xfId="3640"/>
    <cellStyle name="Обычный 5 7 2 4 2" xfId="11337"/>
    <cellStyle name="Обычный 5 7 2 4 3" xfId="11338"/>
    <cellStyle name="Обычный 5 7 2 4 4" xfId="11339"/>
    <cellStyle name="Обычный 5 7 2 4 5" xfId="11340"/>
    <cellStyle name="Обычный 5 7 2 4 6" xfId="11341"/>
    <cellStyle name="Обычный 5 7 2 5" xfId="11342"/>
    <cellStyle name="Обычный 5 7 2 6" xfId="11343"/>
    <cellStyle name="Обычный 5 7 2 7" xfId="11344"/>
    <cellStyle name="Обычный 5 7 2 8" xfId="11345"/>
    <cellStyle name="Обычный 5 7 2 9" xfId="11346"/>
    <cellStyle name="Обычный 5 7 3" xfId="3641"/>
    <cellStyle name="Обычный 5 7 3 2" xfId="11347"/>
    <cellStyle name="Обычный 5 7 3 3" xfId="11348"/>
    <cellStyle name="Обычный 5 7 3 4" xfId="11349"/>
    <cellStyle name="Обычный 5 7 3 5" xfId="11350"/>
    <cellStyle name="Обычный 5 7 3 6" xfId="11351"/>
    <cellStyle name="Обычный 5 7 4" xfId="3642"/>
    <cellStyle name="Обычный 5 7 4 2" xfId="11352"/>
    <cellStyle name="Обычный 5 7 4 3" xfId="11353"/>
    <cellStyle name="Обычный 5 7 4 4" xfId="11354"/>
    <cellStyle name="Обычный 5 7 4 5" xfId="11355"/>
    <cellStyle name="Обычный 5 7 4 6" xfId="11356"/>
    <cellStyle name="Обычный 5 7 5" xfId="3643"/>
    <cellStyle name="Обычный 5 7 5 2" xfId="11357"/>
    <cellStyle name="Обычный 5 7 5 3" xfId="11358"/>
    <cellStyle name="Обычный 5 7 5 4" xfId="11359"/>
    <cellStyle name="Обычный 5 7 5 5" xfId="11360"/>
    <cellStyle name="Обычный 5 7 5 6" xfId="11361"/>
    <cellStyle name="Обычный 5 7 6" xfId="5328"/>
    <cellStyle name="Обычный 5 7 7" xfId="11362"/>
    <cellStyle name="Обычный 5 7 8" xfId="11363"/>
    <cellStyle name="Обычный 5 7 9" xfId="11364"/>
    <cellStyle name="Обычный 5 8" xfId="3644"/>
    <cellStyle name="Обычный 5 8 10" xfId="11365"/>
    <cellStyle name="Обычный 5 8 2" xfId="3645"/>
    <cellStyle name="Обычный 5 8 2 2" xfId="3646"/>
    <cellStyle name="Обычный 5 8 2 2 2" xfId="11366"/>
    <cellStyle name="Обычный 5 8 2 2 3" xfId="11367"/>
    <cellStyle name="Обычный 5 8 2 2 4" xfId="11368"/>
    <cellStyle name="Обычный 5 8 2 2 5" xfId="11369"/>
    <cellStyle name="Обычный 5 8 2 2 6" xfId="11370"/>
    <cellStyle name="Обычный 5 8 2 3" xfId="3647"/>
    <cellStyle name="Обычный 5 8 2 3 2" xfId="11371"/>
    <cellStyle name="Обычный 5 8 2 3 3" xfId="11372"/>
    <cellStyle name="Обычный 5 8 2 3 4" xfId="11373"/>
    <cellStyle name="Обычный 5 8 2 3 5" xfId="11374"/>
    <cellStyle name="Обычный 5 8 2 3 6" xfId="11375"/>
    <cellStyle name="Обычный 5 8 2 4" xfId="3648"/>
    <cellStyle name="Обычный 5 8 2 4 2" xfId="11376"/>
    <cellStyle name="Обычный 5 8 2 4 3" xfId="11377"/>
    <cellStyle name="Обычный 5 8 2 4 4" xfId="11378"/>
    <cellStyle name="Обычный 5 8 2 4 5" xfId="11379"/>
    <cellStyle name="Обычный 5 8 2 4 6" xfId="11380"/>
    <cellStyle name="Обычный 5 8 2 5" xfId="11381"/>
    <cellStyle name="Обычный 5 8 2 6" xfId="11382"/>
    <cellStyle name="Обычный 5 8 2 7" xfId="11383"/>
    <cellStyle name="Обычный 5 8 2 8" xfId="11384"/>
    <cellStyle name="Обычный 5 8 2 9" xfId="11385"/>
    <cellStyle name="Обычный 5 8 3" xfId="3649"/>
    <cellStyle name="Обычный 5 8 3 2" xfId="11386"/>
    <cellStyle name="Обычный 5 8 3 3" xfId="11387"/>
    <cellStyle name="Обычный 5 8 3 4" xfId="11388"/>
    <cellStyle name="Обычный 5 8 3 5" xfId="11389"/>
    <cellStyle name="Обычный 5 8 3 6" xfId="11390"/>
    <cellStyle name="Обычный 5 8 4" xfId="3650"/>
    <cellStyle name="Обычный 5 8 4 2" xfId="11391"/>
    <cellStyle name="Обычный 5 8 4 3" xfId="11392"/>
    <cellStyle name="Обычный 5 8 4 4" xfId="11393"/>
    <cellStyle name="Обычный 5 8 4 5" xfId="11394"/>
    <cellStyle name="Обычный 5 8 4 6" xfId="11395"/>
    <cellStyle name="Обычный 5 8 5" xfId="3651"/>
    <cellStyle name="Обычный 5 8 5 2" xfId="11396"/>
    <cellStyle name="Обычный 5 8 5 3" xfId="11397"/>
    <cellStyle name="Обычный 5 8 5 4" xfId="11398"/>
    <cellStyle name="Обычный 5 8 5 5" xfId="11399"/>
    <cellStyle name="Обычный 5 8 5 6" xfId="11400"/>
    <cellStyle name="Обычный 5 8 6" xfId="11401"/>
    <cellStyle name="Обычный 5 8 7" xfId="11402"/>
    <cellStyle name="Обычный 5 8 8" xfId="11403"/>
    <cellStyle name="Обычный 5 8 9" xfId="11404"/>
    <cellStyle name="Обычный 5 9" xfId="3652"/>
    <cellStyle name="Обычный 5 9 10" xfId="11405"/>
    <cellStyle name="Обычный 5 9 2" xfId="3653"/>
    <cellStyle name="Обычный 5 9 2 2" xfId="3654"/>
    <cellStyle name="Обычный 5 9 2 2 2" xfId="11406"/>
    <cellStyle name="Обычный 5 9 2 2 3" xfId="11407"/>
    <cellStyle name="Обычный 5 9 2 2 4" xfId="11408"/>
    <cellStyle name="Обычный 5 9 2 2 5" xfId="11409"/>
    <cellStyle name="Обычный 5 9 2 2 6" xfId="11410"/>
    <cellStyle name="Обычный 5 9 2 3" xfId="3655"/>
    <cellStyle name="Обычный 5 9 2 3 2" xfId="11411"/>
    <cellStyle name="Обычный 5 9 2 3 3" xfId="11412"/>
    <cellStyle name="Обычный 5 9 2 3 4" xfId="11413"/>
    <cellStyle name="Обычный 5 9 2 3 5" xfId="11414"/>
    <cellStyle name="Обычный 5 9 2 3 6" xfId="11415"/>
    <cellStyle name="Обычный 5 9 2 4" xfId="3656"/>
    <cellStyle name="Обычный 5 9 2 4 2" xfId="11416"/>
    <cellStyle name="Обычный 5 9 2 4 3" xfId="11417"/>
    <cellStyle name="Обычный 5 9 2 4 4" xfId="11418"/>
    <cellStyle name="Обычный 5 9 2 4 5" xfId="11419"/>
    <cellStyle name="Обычный 5 9 2 4 6" xfId="11420"/>
    <cellStyle name="Обычный 5 9 2 5" xfId="11421"/>
    <cellStyle name="Обычный 5 9 2 6" xfId="11422"/>
    <cellStyle name="Обычный 5 9 2 7" xfId="11423"/>
    <cellStyle name="Обычный 5 9 2 8" xfId="11424"/>
    <cellStyle name="Обычный 5 9 2 9" xfId="11425"/>
    <cellStyle name="Обычный 5 9 3" xfId="3657"/>
    <cellStyle name="Обычный 5 9 3 2" xfId="11426"/>
    <cellStyle name="Обычный 5 9 3 3" xfId="11427"/>
    <cellStyle name="Обычный 5 9 3 4" xfId="11428"/>
    <cellStyle name="Обычный 5 9 3 5" xfId="11429"/>
    <cellStyle name="Обычный 5 9 3 6" xfId="11430"/>
    <cellStyle name="Обычный 5 9 4" xfId="3658"/>
    <cellStyle name="Обычный 5 9 4 2" xfId="11431"/>
    <cellStyle name="Обычный 5 9 4 3" xfId="11432"/>
    <cellStyle name="Обычный 5 9 4 4" xfId="11433"/>
    <cellStyle name="Обычный 5 9 4 5" xfId="11434"/>
    <cellStyle name="Обычный 5 9 4 6" xfId="11435"/>
    <cellStyle name="Обычный 5 9 5" xfId="3659"/>
    <cellStyle name="Обычный 5 9 5 2" xfId="11436"/>
    <cellStyle name="Обычный 5 9 5 3" xfId="11437"/>
    <cellStyle name="Обычный 5 9 5 4" xfId="11438"/>
    <cellStyle name="Обычный 5 9 5 5" xfId="11439"/>
    <cellStyle name="Обычный 5 9 5 6" xfId="11440"/>
    <cellStyle name="Обычный 5 9 6" xfId="11441"/>
    <cellStyle name="Обычный 5 9 7" xfId="11442"/>
    <cellStyle name="Обычный 5 9 8" xfId="11443"/>
    <cellStyle name="Обычный 5 9 9" xfId="11444"/>
    <cellStyle name="Обычный 5_Альбом_форм_ТОК_-_Ядро_корр_310111_с_шабл_ОФФ" xfId="3660"/>
    <cellStyle name="Обычный 50" xfId="3661"/>
    <cellStyle name="Обычный 50 2" xfId="3662"/>
    <cellStyle name="Обычный 50 2 2" xfId="3663"/>
    <cellStyle name="Обычный 50 2 2 2" xfId="3664"/>
    <cellStyle name="Обычный 50 2 2 2 2" xfId="11445"/>
    <cellStyle name="Обычный 50 2 2 2 3" xfId="11446"/>
    <cellStyle name="Обычный 50 2 2 2 4" xfId="11447"/>
    <cellStyle name="Обычный 50 2 2 2 5" xfId="11448"/>
    <cellStyle name="Обычный 50 2 2 2 6" xfId="11449"/>
    <cellStyle name="Обычный 50 2 2 3" xfId="3665"/>
    <cellStyle name="Обычный 50 2 2 3 2" xfId="11450"/>
    <cellStyle name="Обычный 50 2 2 3 3" xfId="11451"/>
    <cellStyle name="Обычный 50 2 2 3 4" xfId="11452"/>
    <cellStyle name="Обычный 50 2 2 3 5" xfId="11453"/>
    <cellStyle name="Обычный 50 2 2 3 6" xfId="11454"/>
    <cellStyle name="Обычный 50 2 2 4" xfId="3666"/>
    <cellStyle name="Обычный 50 2 2 4 2" xfId="11455"/>
    <cellStyle name="Обычный 50 2 2 4 3" xfId="11456"/>
    <cellStyle name="Обычный 50 2 2 4 4" xfId="11457"/>
    <cellStyle name="Обычный 50 2 2 4 5" xfId="11458"/>
    <cellStyle name="Обычный 50 2 2 4 6" xfId="11459"/>
    <cellStyle name="Обычный 50 2 2 5" xfId="11460"/>
    <cellStyle name="Обычный 50 2 2 6" xfId="11461"/>
    <cellStyle name="Обычный 50 2 2 7" xfId="11462"/>
    <cellStyle name="Обычный 50 2 2 8" xfId="11463"/>
    <cellStyle name="Обычный 50 2 2 9" xfId="11464"/>
    <cellStyle name="Обычный 50 2 3" xfId="3667"/>
    <cellStyle name="Обычный 50 3" xfId="3668"/>
    <cellStyle name="Обычный 50 3 2" xfId="3669"/>
    <cellStyle name="Обычный 50 3 2 2" xfId="11465"/>
    <cellStyle name="Обычный 50 3 2 3" xfId="11466"/>
    <cellStyle name="Обычный 50 3 2 4" xfId="11467"/>
    <cellStyle name="Обычный 50 3 2 5" xfId="11468"/>
    <cellStyle name="Обычный 50 3 2 6" xfId="11469"/>
    <cellStyle name="Обычный 50 3 3" xfId="3670"/>
    <cellStyle name="Обычный 50 3 3 2" xfId="11470"/>
    <cellStyle name="Обычный 50 3 3 3" xfId="11471"/>
    <cellStyle name="Обычный 50 3 3 4" xfId="11472"/>
    <cellStyle name="Обычный 50 3 3 5" xfId="11473"/>
    <cellStyle name="Обычный 50 3 3 6" xfId="11474"/>
    <cellStyle name="Обычный 50 3 4" xfId="3671"/>
    <cellStyle name="Обычный 50 3 4 2" xfId="11475"/>
    <cellStyle name="Обычный 50 3 4 3" xfId="11476"/>
    <cellStyle name="Обычный 50 3 4 4" xfId="11477"/>
    <cellStyle name="Обычный 50 3 4 5" xfId="11478"/>
    <cellStyle name="Обычный 50 3 4 6" xfId="11479"/>
    <cellStyle name="Обычный 50 3 5" xfId="11480"/>
    <cellStyle name="Обычный 50 3 6" xfId="11481"/>
    <cellStyle name="Обычный 50 3 7" xfId="11482"/>
    <cellStyle name="Обычный 50 3 8" xfId="11483"/>
    <cellStyle name="Обычный 50 3 9" xfId="11484"/>
    <cellStyle name="Обычный 50 4" xfId="3672"/>
    <cellStyle name="Обычный 50 5" xfId="5329"/>
    <cellStyle name="Обычный 51" xfId="3673"/>
    <cellStyle name="Обычный 51 2" xfId="3674"/>
    <cellStyle name="Обычный 51 2 2" xfId="3675"/>
    <cellStyle name="Обычный 51 3" xfId="3676"/>
    <cellStyle name="Обычный 51 4" xfId="3677"/>
    <cellStyle name="Обычный 52" xfId="3678"/>
    <cellStyle name="Обычный 52 2" xfId="3679"/>
    <cellStyle name="Обычный 52 2 2" xfId="3680"/>
    <cellStyle name="Обычный 52 2 2 2" xfId="3681"/>
    <cellStyle name="Обычный 52 2 2 2 2" xfId="11485"/>
    <cellStyle name="Обычный 52 2 2 2 3" xfId="11486"/>
    <cellStyle name="Обычный 52 2 2 2 4" xfId="11487"/>
    <cellStyle name="Обычный 52 2 2 2 5" xfId="11488"/>
    <cellStyle name="Обычный 52 2 2 2 6" xfId="11489"/>
    <cellStyle name="Обычный 52 2 2 3" xfId="3682"/>
    <cellStyle name="Обычный 52 2 2 3 2" xfId="11490"/>
    <cellStyle name="Обычный 52 2 2 3 3" xfId="11491"/>
    <cellStyle name="Обычный 52 2 2 3 4" xfId="11492"/>
    <cellStyle name="Обычный 52 2 2 3 5" xfId="11493"/>
    <cellStyle name="Обычный 52 2 2 3 6" xfId="11494"/>
    <cellStyle name="Обычный 52 2 2 4" xfId="3683"/>
    <cellStyle name="Обычный 52 2 2 4 2" xfId="11495"/>
    <cellStyle name="Обычный 52 2 2 4 3" xfId="11496"/>
    <cellStyle name="Обычный 52 2 2 4 4" xfId="11497"/>
    <cellStyle name="Обычный 52 2 2 4 5" xfId="11498"/>
    <cellStyle name="Обычный 52 2 2 4 6" xfId="11499"/>
    <cellStyle name="Обычный 52 2 2 5" xfId="11500"/>
    <cellStyle name="Обычный 52 2 2 6" xfId="11501"/>
    <cellStyle name="Обычный 52 2 2 7" xfId="11502"/>
    <cellStyle name="Обычный 52 2 2 8" xfId="11503"/>
    <cellStyle name="Обычный 52 2 2 9" xfId="11504"/>
    <cellStyle name="Обычный 52 2 3" xfId="3684"/>
    <cellStyle name="Обычный 52 3" xfId="3685"/>
    <cellStyle name="Обычный 52 3 2" xfId="3686"/>
    <cellStyle name="Обычный 52 3 2 2" xfId="11505"/>
    <cellStyle name="Обычный 52 3 2 3" xfId="11506"/>
    <cellStyle name="Обычный 52 3 2 4" xfId="11507"/>
    <cellStyle name="Обычный 52 3 2 5" xfId="11508"/>
    <cellStyle name="Обычный 52 3 2 6" xfId="11509"/>
    <cellStyle name="Обычный 52 3 3" xfId="3687"/>
    <cellStyle name="Обычный 52 3 3 2" xfId="11510"/>
    <cellStyle name="Обычный 52 3 3 3" xfId="11511"/>
    <cellStyle name="Обычный 52 3 3 4" xfId="11512"/>
    <cellStyle name="Обычный 52 3 3 5" xfId="11513"/>
    <cellStyle name="Обычный 52 3 3 6" xfId="11514"/>
    <cellStyle name="Обычный 52 3 4" xfId="3688"/>
    <cellStyle name="Обычный 52 3 4 2" xfId="11515"/>
    <cellStyle name="Обычный 52 3 4 3" xfId="11516"/>
    <cellStyle name="Обычный 52 3 4 4" xfId="11517"/>
    <cellStyle name="Обычный 52 3 4 5" xfId="11518"/>
    <cellStyle name="Обычный 52 3 4 6" xfId="11519"/>
    <cellStyle name="Обычный 52 3 5" xfId="11520"/>
    <cellStyle name="Обычный 52 3 6" xfId="11521"/>
    <cellStyle name="Обычный 52 3 7" xfId="11522"/>
    <cellStyle name="Обычный 52 3 8" xfId="11523"/>
    <cellStyle name="Обычный 52 3 9" xfId="11524"/>
    <cellStyle name="Обычный 52 4" xfId="3689"/>
    <cellStyle name="Обычный 52 5" xfId="5330"/>
    <cellStyle name="Обычный 53" xfId="3690"/>
    <cellStyle name="Обычный 53 2" xfId="3691"/>
    <cellStyle name="Обычный 53 2 2" xfId="3692"/>
    <cellStyle name="Обычный 53 2 3" xfId="3693"/>
    <cellStyle name="Обычный 53 3" xfId="3694"/>
    <cellStyle name="Обычный 53 3 2" xfId="3695"/>
    <cellStyle name="Обычный 53 3 2 2" xfId="11525"/>
    <cellStyle name="Обычный 53 3 2 3" xfId="11526"/>
    <cellStyle name="Обычный 53 3 2 4" xfId="11527"/>
    <cellStyle name="Обычный 53 3 2 5" xfId="11528"/>
    <cellStyle name="Обычный 53 3 2 6" xfId="11529"/>
    <cellStyle name="Обычный 53 3 3" xfId="3696"/>
    <cellStyle name="Обычный 53 3 3 2" xfId="11530"/>
    <cellStyle name="Обычный 53 3 3 3" xfId="11531"/>
    <cellStyle name="Обычный 53 3 3 4" xfId="11532"/>
    <cellStyle name="Обычный 53 3 3 5" xfId="11533"/>
    <cellStyle name="Обычный 53 3 3 6" xfId="11534"/>
    <cellStyle name="Обычный 53 3 4" xfId="3697"/>
    <cellStyle name="Обычный 53 3 4 2" xfId="11535"/>
    <cellStyle name="Обычный 53 3 4 3" xfId="11536"/>
    <cellStyle name="Обычный 53 3 4 4" xfId="11537"/>
    <cellStyle name="Обычный 53 3 4 5" xfId="11538"/>
    <cellStyle name="Обычный 53 3 4 6" xfId="11539"/>
    <cellStyle name="Обычный 53 3 5" xfId="11540"/>
    <cellStyle name="Обычный 53 3 6" xfId="11541"/>
    <cellStyle name="Обычный 53 3 7" xfId="11542"/>
    <cellStyle name="Обычный 53 3 8" xfId="11543"/>
    <cellStyle name="Обычный 53 3 9" xfId="11544"/>
    <cellStyle name="Обычный 53 4" xfId="3698"/>
    <cellStyle name="Обычный 54" xfId="3699"/>
    <cellStyle name="Обычный 55" xfId="3700"/>
    <cellStyle name="Обычный 55 10" xfId="11545"/>
    <cellStyle name="Обычный 55 2" xfId="3701"/>
    <cellStyle name="Обычный 55 2 2" xfId="3702"/>
    <cellStyle name="Обычный 55 2 2 2" xfId="11546"/>
    <cellStyle name="Обычный 55 2 2 3" xfId="11547"/>
    <cellStyle name="Обычный 55 2 2 4" xfId="11548"/>
    <cellStyle name="Обычный 55 2 2 5" xfId="11549"/>
    <cellStyle name="Обычный 55 2 2 6" xfId="11550"/>
    <cellStyle name="Обычный 55 2 3" xfId="3703"/>
    <cellStyle name="Обычный 55 2 3 2" xfId="11551"/>
    <cellStyle name="Обычный 55 2 3 3" xfId="11552"/>
    <cellStyle name="Обычный 55 2 3 4" xfId="11553"/>
    <cellStyle name="Обычный 55 2 3 5" xfId="11554"/>
    <cellStyle name="Обычный 55 2 3 6" xfId="11555"/>
    <cellStyle name="Обычный 55 2 4" xfId="3704"/>
    <cellStyle name="Обычный 55 2 4 2" xfId="11556"/>
    <cellStyle name="Обычный 55 2 4 3" xfId="11557"/>
    <cellStyle name="Обычный 55 2 4 4" xfId="11558"/>
    <cellStyle name="Обычный 55 2 4 5" xfId="11559"/>
    <cellStyle name="Обычный 55 2 4 6" xfId="11560"/>
    <cellStyle name="Обычный 55 2 5" xfId="11561"/>
    <cellStyle name="Обычный 55 2 6" xfId="11562"/>
    <cellStyle name="Обычный 55 2 7" xfId="11563"/>
    <cellStyle name="Обычный 55 2 8" xfId="11564"/>
    <cellStyle name="Обычный 55 2 9" xfId="11565"/>
    <cellStyle name="Обычный 55 3" xfId="3705"/>
    <cellStyle name="Обычный 55 3 2" xfId="11566"/>
    <cellStyle name="Обычный 55 3 3" xfId="11567"/>
    <cellStyle name="Обычный 55 3 4" xfId="11568"/>
    <cellStyle name="Обычный 55 3 5" xfId="11569"/>
    <cellStyle name="Обычный 55 3 6" xfId="11570"/>
    <cellStyle name="Обычный 55 4" xfId="3706"/>
    <cellStyle name="Обычный 55 4 2" xfId="11571"/>
    <cellStyle name="Обычный 55 4 3" xfId="11572"/>
    <cellStyle name="Обычный 55 4 4" xfId="11573"/>
    <cellStyle name="Обычный 55 4 5" xfId="11574"/>
    <cellStyle name="Обычный 55 4 6" xfId="11575"/>
    <cellStyle name="Обычный 55 5" xfId="3707"/>
    <cellStyle name="Обычный 55 5 2" xfId="11576"/>
    <cellStyle name="Обычный 55 5 3" xfId="11577"/>
    <cellStyle name="Обычный 55 5 4" xfId="11578"/>
    <cellStyle name="Обычный 55 5 5" xfId="11579"/>
    <cellStyle name="Обычный 55 5 6" xfId="11580"/>
    <cellStyle name="Обычный 55 6" xfId="5331"/>
    <cellStyle name="Обычный 55 7" xfId="11581"/>
    <cellStyle name="Обычный 55 8" xfId="11582"/>
    <cellStyle name="Обычный 55 9" xfId="11583"/>
    <cellStyle name="Обычный 56" xfId="3708"/>
    <cellStyle name="Обычный 57" xfId="3709"/>
    <cellStyle name="Обычный 58" xfId="3710"/>
    <cellStyle name="Обычный 59" xfId="3711"/>
    <cellStyle name="Обычный 6" xfId="3712"/>
    <cellStyle name="Обычный 6 10" xfId="5332"/>
    <cellStyle name="Обычный 6 11" xfId="11584"/>
    <cellStyle name="Обычный 6 12" xfId="11585"/>
    <cellStyle name="Обычный 6 13" xfId="11586"/>
    <cellStyle name="Обычный 6 14" xfId="11587"/>
    <cellStyle name="Обычный 6 2" xfId="3713"/>
    <cellStyle name="Обычный 6 2 10" xfId="11588"/>
    <cellStyle name="Обычный 6 2 11" xfId="11589"/>
    <cellStyle name="Обычный 6 2 12" xfId="11590"/>
    <cellStyle name="Обычный 6 2 13" xfId="11591"/>
    <cellStyle name="Обычный 6 2 2" xfId="3714"/>
    <cellStyle name="Обычный 6 2 2 10" xfId="11592"/>
    <cellStyle name="Обычный 6 2 2 11" xfId="11593"/>
    <cellStyle name="Обычный 6 2 2 2" xfId="3715"/>
    <cellStyle name="Обычный 6 2 2 2 10" xfId="11594"/>
    <cellStyle name="Обычный 6 2 2 2 2" xfId="3716"/>
    <cellStyle name="Обычный 6 2 2 2 2 2" xfId="3717"/>
    <cellStyle name="Обычный 6 2 2 2 2 2 2" xfId="11595"/>
    <cellStyle name="Обычный 6 2 2 2 2 2 3" xfId="11596"/>
    <cellStyle name="Обычный 6 2 2 2 2 2 4" xfId="11597"/>
    <cellStyle name="Обычный 6 2 2 2 2 2 5" xfId="11598"/>
    <cellStyle name="Обычный 6 2 2 2 2 2 6" xfId="11599"/>
    <cellStyle name="Обычный 6 2 2 2 2 3" xfId="3718"/>
    <cellStyle name="Обычный 6 2 2 2 2 3 2" xfId="11600"/>
    <cellStyle name="Обычный 6 2 2 2 2 3 3" xfId="11601"/>
    <cellStyle name="Обычный 6 2 2 2 2 3 4" xfId="11602"/>
    <cellStyle name="Обычный 6 2 2 2 2 3 5" xfId="11603"/>
    <cellStyle name="Обычный 6 2 2 2 2 3 6" xfId="11604"/>
    <cellStyle name="Обычный 6 2 2 2 2 4" xfId="3719"/>
    <cellStyle name="Обычный 6 2 2 2 2 4 2" xfId="11605"/>
    <cellStyle name="Обычный 6 2 2 2 2 4 3" xfId="11606"/>
    <cellStyle name="Обычный 6 2 2 2 2 4 4" xfId="11607"/>
    <cellStyle name="Обычный 6 2 2 2 2 4 5" xfId="11608"/>
    <cellStyle name="Обычный 6 2 2 2 2 4 6" xfId="11609"/>
    <cellStyle name="Обычный 6 2 2 2 2 5" xfId="11610"/>
    <cellStyle name="Обычный 6 2 2 2 2 6" xfId="11611"/>
    <cellStyle name="Обычный 6 2 2 2 2 7" xfId="11612"/>
    <cellStyle name="Обычный 6 2 2 2 2 8" xfId="11613"/>
    <cellStyle name="Обычный 6 2 2 2 2 9" xfId="11614"/>
    <cellStyle name="Обычный 6 2 2 2 3" xfId="3720"/>
    <cellStyle name="Обычный 6 2 2 2 3 2" xfId="11615"/>
    <cellStyle name="Обычный 6 2 2 2 3 3" xfId="11616"/>
    <cellStyle name="Обычный 6 2 2 2 3 4" xfId="11617"/>
    <cellStyle name="Обычный 6 2 2 2 3 5" xfId="11618"/>
    <cellStyle name="Обычный 6 2 2 2 3 6" xfId="11619"/>
    <cellStyle name="Обычный 6 2 2 2 4" xfId="3721"/>
    <cellStyle name="Обычный 6 2 2 2 4 2" xfId="11620"/>
    <cellStyle name="Обычный 6 2 2 2 4 3" xfId="11621"/>
    <cellStyle name="Обычный 6 2 2 2 4 4" xfId="11622"/>
    <cellStyle name="Обычный 6 2 2 2 4 5" xfId="11623"/>
    <cellStyle name="Обычный 6 2 2 2 4 6" xfId="11624"/>
    <cellStyle name="Обычный 6 2 2 2 5" xfId="3722"/>
    <cellStyle name="Обычный 6 2 2 2 5 2" xfId="11625"/>
    <cellStyle name="Обычный 6 2 2 2 5 3" xfId="11626"/>
    <cellStyle name="Обычный 6 2 2 2 5 4" xfId="11627"/>
    <cellStyle name="Обычный 6 2 2 2 5 5" xfId="11628"/>
    <cellStyle name="Обычный 6 2 2 2 5 6" xfId="11629"/>
    <cellStyle name="Обычный 6 2 2 2 6" xfId="11630"/>
    <cellStyle name="Обычный 6 2 2 2 7" xfId="11631"/>
    <cellStyle name="Обычный 6 2 2 2 8" xfId="11632"/>
    <cellStyle name="Обычный 6 2 2 2 9" xfId="11633"/>
    <cellStyle name="Обычный 6 2 2 3" xfId="3723"/>
    <cellStyle name="Обычный 6 2 2 3 2" xfId="3724"/>
    <cellStyle name="Обычный 6 2 2 3 2 2" xfId="11634"/>
    <cellStyle name="Обычный 6 2 2 3 2 3" xfId="11635"/>
    <cellStyle name="Обычный 6 2 2 3 2 4" xfId="11636"/>
    <cellStyle name="Обычный 6 2 2 3 2 5" xfId="11637"/>
    <cellStyle name="Обычный 6 2 2 3 2 6" xfId="11638"/>
    <cellStyle name="Обычный 6 2 2 3 3" xfId="3725"/>
    <cellStyle name="Обычный 6 2 2 3 3 2" xfId="11639"/>
    <cellStyle name="Обычный 6 2 2 3 3 3" xfId="11640"/>
    <cellStyle name="Обычный 6 2 2 3 3 4" xfId="11641"/>
    <cellStyle name="Обычный 6 2 2 3 3 5" xfId="11642"/>
    <cellStyle name="Обычный 6 2 2 3 3 6" xfId="11643"/>
    <cellStyle name="Обычный 6 2 2 3 4" xfId="3726"/>
    <cellStyle name="Обычный 6 2 2 3 4 2" xfId="11644"/>
    <cellStyle name="Обычный 6 2 2 3 4 3" xfId="11645"/>
    <cellStyle name="Обычный 6 2 2 3 4 4" xfId="11646"/>
    <cellStyle name="Обычный 6 2 2 3 4 5" xfId="11647"/>
    <cellStyle name="Обычный 6 2 2 3 4 6" xfId="11648"/>
    <cellStyle name="Обычный 6 2 2 3 5" xfId="11649"/>
    <cellStyle name="Обычный 6 2 2 3 6" xfId="11650"/>
    <cellStyle name="Обычный 6 2 2 3 7" xfId="11651"/>
    <cellStyle name="Обычный 6 2 2 3 8" xfId="11652"/>
    <cellStyle name="Обычный 6 2 2 3 9" xfId="11653"/>
    <cellStyle name="Обычный 6 2 2 4" xfId="3727"/>
    <cellStyle name="Обычный 6 2 2 4 2" xfId="11654"/>
    <cellStyle name="Обычный 6 2 2 4 3" xfId="11655"/>
    <cellStyle name="Обычный 6 2 2 4 4" xfId="11656"/>
    <cellStyle name="Обычный 6 2 2 4 5" xfId="11657"/>
    <cellStyle name="Обычный 6 2 2 4 6" xfId="11658"/>
    <cellStyle name="Обычный 6 2 2 5" xfId="3728"/>
    <cellStyle name="Обычный 6 2 2 5 2" xfId="11659"/>
    <cellStyle name="Обычный 6 2 2 5 3" xfId="11660"/>
    <cellStyle name="Обычный 6 2 2 5 4" xfId="11661"/>
    <cellStyle name="Обычный 6 2 2 5 5" xfId="11662"/>
    <cellStyle name="Обычный 6 2 2 5 6" xfId="11663"/>
    <cellStyle name="Обычный 6 2 2 6" xfId="3729"/>
    <cellStyle name="Обычный 6 2 2 6 2" xfId="11664"/>
    <cellStyle name="Обычный 6 2 2 6 3" xfId="11665"/>
    <cellStyle name="Обычный 6 2 2 6 4" xfId="11666"/>
    <cellStyle name="Обычный 6 2 2 6 5" xfId="11667"/>
    <cellStyle name="Обычный 6 2 2 6 6" xfId="11668"/>
    <cellStyle name="Обычный 6 2 2 7" xfId="5333"/>
    <cellStyle name="Обычный 6 2 2 8" xfId="11669"/>
    <cellStyle name="Обычный 6 2 2 9" xfId="11670"/>
    <cellStyle name="Обычный 6 2 3" xfId="3730"/>
    <cellStyle name="Обычный 6 2 3 10" xfId="11671"/>
    <cellStyle name="Обычный 6 2 3 2" xfId="3731"/>
    <cellStyle name="Обычный 6 2 3 2 2" xfId="3732"/>
    <cellStyle name="Обычный 6 2 3 2 2 2" xfId="11672"/>
    <cellStyle name="Обычный 6 2 3 2 2 3" xfId="11673"/>
    <cellStyle name="Обычный 6 2 3 2 2 4" xfId="11674"/>
    <cellStyle name="Обычный 6 2 3 2 2 5" xfId="11675"/>
    <cellStyle name="Обычный 6 2 3 2 2 6" xfId="11676"/>
    <cellStyle name="Обычный 6 2 3 2 3" xfId="3733"/>
    <cellStyle name="Обычный 6 2 3 2 3 2" xfId="11677"/>
    <cellStyle name="Обычный 6 2 3 2 3 3" xfId="11678"/>
    <cellStyle name="Обычный 6 2 3 2 3 4" xfId="11679"/>
    <cellStyle name="Обычный 6 2 3 2 3 5" xfId="11680"/>
    <cellStyle name="Обычный 6 2 3 2 3 6" xfId="11681"/>
    <cellStyle name="Обычный 6 2 3 2 4" xfId="3734"/>
    <cellStyle name="Обычный 6 2 3 2 4 2" xfId="11682"/>
    <cellStyle name="Обычный 6 2 3 2 4 3" xfId="11683"/>
    <cellStyle name="Обычный 6 2 3 2 4 4" xfId="11684"/>
    <cellStyle name="Обычный 6 2 3 2 4 5" xfId="11685"/>
    <cellStyle name="Обычный 6 2 3 2 4 6" xfId="11686"/>
    <cellStyle name="Обычный 6 2 3 2 5" xfId="11687"/>
    <cellStyle name="Обычный 6 2 3 2 6" xfId="11688"/>
    <cellStyle name="Обычный 6 2 3 2 7" xfId="11689"/>
    <cellStyle name="Обычный 6 2 3 2 8" xfId="11690"/>
    <cellStyle name="Обычный 6 2 3 2 9" xfId="11691"/>
    <cellStyle name="Обычный 6 2 3 3" xfId="3735"/>
    <cellStyle name="Обычный 6 2 3 3 2" xfId="11692"/>
    <cellStyle name="Обычный 6 2 3 3 3" xfId="11693"/>
    <cellStyle name="Обычный 6 2 3 3 4" xfId="11694"/>
    <cellStyle name="Обычный 6 2 3 3 5" xfId="11695"/>
    <cellStyle name="Обычный 6 2 3 3 6" xfId="11696"/>
    <cellStyle name="Обычный 6 2 3 4" xfId="3736"/>
    <cellStyle name="Обычный 6 2 3 4 2" xfId="11697"/>
    <cellStyle name="Обычный 6 2 3 4 3" xfId="11698"/>
    <cellStyle name="Обычный 6 2 3 4 4" xfId="11699"/>
    <cellStyle name="Обычный 6 2 3 4 5" xfId="11700"/>
    <cellStyle name="Обычный 6 2 3 4 6" xfId="11701"/>
    <cellStyle name="Обычный 6 2 3 5" xfId="3737"/>
    <cellStyle name="Обычный 6 2 3 5 2" xfId="11702"/>
    <cellStyle name="Обычный 6 2 3 5 3" xfId="11703"/>
    <cellStyle name="Обычный 6 2 3 5 4" xfId="11704"/>
    <cellStyle name="Обычный 6 2 3 5 5" xfId="11705"/>
    <cellStyle name="Обычный 6 2 3 5 6" xfId="11706"/>
    <cellStyle name="Обычный 6 2 3 6" xfId="11707"/>
    <cellStyle name="Обычный 6 2 3 7" xfId="11708"/>
    <cellStyle name="Обычный 6 2 3 8" xfId="11709"/>
    <cellStyle name="Обычный 6 2 3 9" xfId="11710"/>
    <cellStyle name="Обычный 6 2 4" xfId="3738"/>
    <cellStyle name="Обычный 6 2 5" xfId="3739"/>
    <cellStyle name="Обычный 6 2 5 2" xfId="3740"/>
    <cellStyle name="Обычный 6 2 5 2 2" xfId="11711"/>
    <cellStyle name="Обычный 6 2 5 2 3" xfId="11712"/>
    <cellStyle name="Обычный 6 2 5 2 4" xfId="11713"/>
    <cellStyle name="Обычный 6 2 5 2 5" xfId="11714"/>
    <cellStyle name="Обычный 6 2 5 2 6" xfId="11715"/>
    <cellStyle name="Обычный 6 2 5 3" xfId="3741"/>
    <cellStyle name="Обычный 6 2 5 3 2" xfId="11716"/>
    <cellStyle name="Обычный 6 2 5 3 3" xfId="11717"/>
    <cellStyle name="Обычный 6 2 5 3 4" xfId="11718"/>
    <cellStyle name="Обычный 6 2 5 3 5" xfId="11719"/>
    <cellStyle name="Обычный 6 2 5 3 6" xfId="11720"/>
    <cellStyle name="Обычный 6 2 5 4" xfId="3742"/>
    <cellStyle name="Обычный 6 2 5 4 2" xfId="11721"/>
    <cellStyle name="Обычный 6 2 5 4 3" xfId="11722"/>
    <cellStyle name="Обычный 6 2 5 4 4" xfId="11723"/>
    <cellStyle name="Обычный 6 2 5 4 5" xfId="11724"/>
    <cellStyle name="Обычный 6 2 5 4 6" xfId="11725"/>
    <cellStyle name="Обычный 6 2 5 5" xfId="11726"/>
    <cellStyle name="Обычный 6 2 5 6" xfId="11727"/>
    <cellStyle name="Обычный 6 2 5 7" xfId="11728"/>
    <cellStyle name="Обычный 6 2 5 8" xfId="11729"/>
    <cellStyle name="Обычный 6 2 5 9" xfId="11730"/>
    <cellStyle name="Обычный 6 2 6" xfId="3743"/>
    <cellStyle name="Обычный 6 2 6 2" xfId="11731"/>
    <cellStyle name="Обычный 6 2 6 3" xfId="11732"/>
    <cellStyle name="Обычный 6 2 6 4" xfId="11733"/>
    <cellStyle name="Обычный 6 2 6 5" xfId="11734"/>
    <cellStyle name="Обычный 6 2 6 6" xfId="11735"/>
    <cellStyle name="Обычный 6 2 7" xfId="3744"/>
    <cellStyle name="Обычный 6 2 7 2" xfId="11736"/>
    <cellStyle name="Обычный 6 2 7 3" xfId="11737"/>
    <cellStyle name="Обычный 6 2 7 4" xfId="11738"/>
    <cellStyle name="Обычный 6 2 7 5" xfId="11739"/>
    <cellStyle name="Обычный 6 2 7 6" xfId="11740"/>
    <cellStyle name="Обычный 6 2 8" xfId="3745"/>
    <cellStyle name="Обычный 6 2 8 2" xfId="11741"/>
    <cellStyle name="Обычный 6 2 8 3" xfId="11742"/>
    <cellStyle name="Обычный 6 2 8 4" xfId="11743"/>
    <cellStyle name="Обычный 6 2 8 5" xfId="11744"/>
    <cellStyle name="Обычный 6 2 8 6" xfId="11745"/>
    <cellStyle name="Обычный 6 2 9" xfId="5334"/>
    <cellStyle name="Обычный 6 3" xfId="3746"/>
    <cellStyle name="Обычный 6 3 2" xfId="3747"/>
    <cellStyle name="Обычный 6 3 3" xfId="3748"/>
    <cellStyle name="Обычный 6 3 3 2" xfId="3749"/>
    <cellStyle name="Обычный 6 3 3 2 2" xfId="11746"/>
    <cellStyle name="Обычный 6 3 3 2 3" xfId="11747"/>
    <cellStyle name="Обычный 6 3 3 2 4" xfId="11748"/>
    <cellStyle name="Обычный 6 3 3 2 5" xfId="11749"/>
    <cellStyle name="Обычный 6 3 3 2 6" xfId="11750"/>
    <cellStyle name="Обычный 6 3 3 3" xfId="3750"/>
    <cellStyle name="Обычный 6 3 3 3 2" xfId="11751"/>
    <cellStyle name="Обычный 6 3 3 3 3" xfId="11752"/>
    <cellStyle name="Обычный 6 3 3 3 4" xfId="11753"/>
    <cellStyle name="Обычный 6 3 3 3 5" xfId="11754"/>
    <cellStyle name="Обычный 6 3 3 3 6" xfId="11755"/>
    <cellStyle name="Обычный 6 3 3 4" xfId="3751"/>
    <cellStyle name="Обычный 6 3 3 4 2" xfId="11756"/>
    <cellStyle name="Обычный 6 3 3 4 3" xfId="11757"/>
    <cellStyle name="Обычный 6 3 3 4 4" xfId="11758"/>
    <cellStyle name="Обычный 6 3 3 4 5" xfId="11759"/>
    <cellStyle name="Обычный 6 3 3 4 6" xfId="11760"/>
    <cellStyle name="Обычный 6 3 3 5" xfId="11761"/>
    <cellStyle name="Обычный 6 3 3 6" xfId="11762"/>
    <cellStyle name="Обычный 6 3 3 7" xfId="11763"/>
    <cellStyle name="Обычный 6 3 3 8" xfId="11764"/>
    <cellStyle name="Обычный 6 3 3 9" xfId="11765"/>
    <cellStyle name="Обычный 6 3 4" xfId="5335"/>
    <cellStyle name="Обычный 6 4" xfId="3752"/>
    <cellStyle name="Обычный 6 4 10" xfId="11766"/>
    <cellStyle name="Обычный 6 4 11" xfId="11767"/>
    <cellStyle name="Обычный 6 4 2" xfId="3753"/>
    <cellStyle name="Обычный 6 4 2 10" xfId="11768"/>
    <cellStyle name="Обычный 6 4 2 2" xfId="3754"/>
    <cellStyle name="Обычный 6 4 2 2 2" xfId="3755"/>
    <cellStyle name="Обычный 6 4 2 2 2 2" xfId="11769"/>
    <cellStyle name="Обычный 6 4 2 2 2 3" xfId="11770"/>
    <cellStyle name="Обычный 6 4 2 2 2 4" xfId="11771"/>
    <cellStyle name="Обычный 6 4 2 2 2 5" xfId="11772"/>
    <cellStyle name="Обычный 6 4 2 2 2 6" xfId="11773"/>
    <cellStyle name="Обычный 6 4 2 2 3" xfId="3756"/>
    <cellStyle name="Обычный 6 4 2 2 3 2" xfId="11774"/>
    <cellStyle name="Обычный 6 4 2 2 3 3" xfId="11775"/>
    <cellStyle name="Обычный 6 4 2 2 3 4" xfId="11776"/>
    <cellStyle name="Обычный 6 4 2 2 3 5" xfId="11777"/>
    <cellStyle name="Обычный 6 4 2 2 3 6" xfId="11778"/>
    <cellStyle name="Обычный 6 4 2 2 4" xfId="3757"/>
    <cellStyle name="Обычный 6 4 2 2 4 2" xfId="11779"/>
    <cellStyle name="Обычный 6 4 2 2 4 3" xfId="11780"/>
    <cellStyle name="Обычный 6 4 2 2 4 4" xfId="11781"/>
    <cellStyle name="Обычный 6 4 2 2 4 5" xfId="11782"/>
    <cellStyle name="Обычный 6 4 2 2 4 6" xfId="11783"/>
    <cellStyle name="Обычный 6 4 2 2 5" xfId="11784"/>
    <cellStyle name="Обычный 6 4 2 2 6" xfId="11785"/>
    <cellStyle name="Обычный 6 4 2 2 7" xfId="11786"/>
    <cellStyle name="Обычный 6 4 2 2 8" xfId="11787"/>
    <cellStyle name="Обычный 6 4 2 2 9" xfId="11788"/>
    <cellStyle name="Обычный 6 4 2 3" xfId="3758"/>
    <cellStyle name="Обычный 6 4 2 3 2" xfId="11789"/>
    <cellStyle name="Обычный 6 4 2 3 3" xfId="11790"/>
    <cellStyle name="Обычный 6 4 2 3 4" xfId="11791"/>
    <cellStyle name="Обычный 6 4 2 3 5" xfId="11792"/>
    <cellStyle name="Обычный 6 4 2 3 6" xfId="11793"/>
    <cellStyle name="Обычный 6 4 2 4" xfId="3759"/>
    <cellStyle name="Обычный 6 4 2 4 2" xfId="11794"/>
    <cellStyle name="Обычный 6 4 2 4 3" xfId="11795"/>
    <cellStyle name="Обычный 6 4 2 4 4" xfId="11796"/>
    <cellStyle name="Обычный 6 4 2 4 5" xfId="11797"/>
    <cellStyle name="Обычный 6 4 2 4 6" xfId="11798"/>
    <cellStyle name="Обычный 6 4 2 5" xfId="3760"/>
    <cellStyle name="Обычный 6 4 2 5 2" xfId="11799"/>
    <cellStyle name="Обычный 6 4 2 5 3" xfId="11800"/>
    <cellStyle name="Обычный 6 4 2 5 4" xfId="11801"/>
    <cellStyle name="Обычный 6 4 2 5 5" xfId="11802"/>
    <cellStyle name="Обычный 6 4 2 5 6" xfId="11803"/>
    <cellStyle name="Обычный 6 4 2 6" xfId="11804"/>
    <cellStyle name="Обычный 6 4 2 7" xfId="11805"/>
    <cellStyle name="Обычный 6 4 2 8" xfId="11806"/>
    <cellStyle name="Обычный 6 4 2 9" xfId="11807"/>
    <cellStyle name="Обычный 6 4 3" xfId="3761"/>
    <cellStyle name="Обычный 6 4 3 2" xfId="3762"/>
    <cellStyle name="Обычный 6 4 3 2 2" xfId="11808"/>
    <cellStyle name="Обычный 6 4 3 2 3" xfId="11809"/>
    <cellStyle name="Обычный 6 4 3 2 4" xfId="11810"/>
    <cellStyle name="Обычный 6 4 3 2 5" xfId="11811"/>
    <cellStyle name="Обычный 6 4 3 2 6" xfId="11812"/>
    <cellStyle name="Обычный 6 4 3 3" xfId="3763"/>
    <cellStyle name="Обычный 6 4 3 3 2" xfId="11813"/>
    <cellStyle name="Обычный 6 4 3 3 3" xfId="11814"/>
    <cellStyle name="Обычный 6 4 3 3 4" xfId="11815"/>
    <cellStyle name="Обычный 6 4 3 3 5" xfId="11816"/>
    <cellStyle name="Обычный 6 4 3 3 6" xfId="11817"/>
    <cellStyle name="Обычный 6 4 3 4" xfId="3764"/>
    <cellStyle name="Обычный 6 4 3 4 2" xfId="11818"/>
    <cellStyle name="Обычный 6 4 3 4 3" xfId="11819"/>
    <cellStyle name="Обычный 6 4 3 4 4" xfId="11820"/>
    <cellStyle name="Обычный 6 4 3 4 5" xfId="11821"/>
    <cellStyle name="Обычный 6 4 3 4 6" xfId="11822"/>
    <cellStyle name="Обычный 6 4 3 5" xfId="11823"/>
    <cellStyle name="Обычный 6 4 3 6" xfId="11824"/>
    <cellStyle name="Обычный 6 4 3 7" xfId="11825"/>
    <cellStyle name="Обычный 6 4 3 8" xfId="11826"/>
    <cellStyle name="Обычный 6 4 3 9" xfId="11827"/>
    <cellStyle name="Обычный 6 4 4" xfId="3765"/>
    <cellStyle name="Обычный 6 4 4 2" xfId="11828"/>
    <cellStyle name="Обычный 6 4 4 3" xfId="11829"/>
    <cellStyle name="Обычный 6 4 4 4" xfId="11830"/>
    <cellStyle name="Обычный 6 4 4 5" xfId="11831"/>
    <cellStyle name="Обычный 6 4 4 6" xfId="11832"/>
    <cellStyle name="Обычный 6 4 5" xfId="3766"/>
    <cellStyle name="Обычный 6 4 5 2" xfId="11833"/>
    <cellStyle name="Обычный 6 4 5 3" xfId="11834"/>
    <cellStyle name="Обычный 6 4 5 4" xfId="11835"/>
    <cellStyle name="Обычный 6 4 5 5" xfId="11836"/>
    <cellStyle name="Обычный 6 4 5 6" xfId="11837"/>
    <cellStyle name="Обычный 6 4 6" xfId="3767"/>
    <cellStyle name="Обычный 6 4 6 2" xfId="11838"/>
    <cellStyle name="Обычный 6 4 6 3" xfId="11839"/>
    <cellStyle name="Обычный 6 4 6 4" xfId="11840"/>
    <cellStyle name="Обычный 6 4 6 5" xfId="11841"/>
    <cellStyle name="Обычный 6 4 6 6" xfId="11842"/>
    <cellStyle name="Обычный 6 4 7" xfId="5336"/>
    <cellStyle name="Обычный 6 4 8" xfId="11843"/>
    <cellStyle name="Обычный 6 4 9" xfId="11844"/>
    <cellStyle name="Обычный 6 5" xfId="3768"/>
    <cellStyle name="Обычный 6 5 10" xfId="11845"/>
    <cellStyle name="Обычный 6 5 2" xfId="3769"/>
    <cellStyle name="Обычный 6 5 2 2" xfId="3770"/>
    <cellStyle name="Обычный 6 5 2 2 2" xfId="11846"/>
    <cellStyle name="Обычный 6 5 2 2 3" xfId="11847"/>
    <cellStyle name="Обычный 6 5 2 2 4" xfId="11848"/>
    <cellStyle name="Обычный 6 5 2 2 5" xfId="11849"/>
    <cellStyle name="Обычный 6 5 2 2 6" xfId="11850"/>
    <cellStyle name="Обычный 6 5 2 3" xfId="3771"/>
    <cellStyle name="Обычный 6 5 2 3 2" xfId="11851"/>
    <cellStyle name="Обычный 6 5 2 3 3" xfId="11852"/>
    <cellStyle name="Обычный 6 5 2 3 4" xfId="11853"/>
    <cellStyle name="Обычный 6 5 2 3 5" xfId="11854"/>
    <cellStyle name="Обычный 6 5 2 3 6" xfId="11855"/>
    <cellStyle name="Обычный 6 5 2 4" xfId="3772"/>
    <cellStyle name="Обычный 6 5 2 4 2" xfId="11856"/>
    <cellStyle name="Обычный 6 5 2 4 3" xfId="11857"/>
    <cellStyle name="Обычный 6 5 2 4 4" xfId="11858"/>
    <cellStyle name="Обычный 6 5 2 4 5" xfId="11859"/>
    <cellStyle name="Обычный 6 5 2 4 6" xfId="11860"/>
    <cellStyle name="Обычный 6 5 2 5" xfId="11861"/>
    <cellStyle name="Обычный 6 5 2 6" xfId="11862"/>
    <cellStyle name="Обычный 6 5 2 7" xfId="11863"/>
    <cellStyle name="Обычный 6 5 2 8" xfId="11864"/>
    <cellStyle name="Обычный 6 5 2 9" xfId="11865"/>
    <cellStyle name="Обычный 6 5 3" xfId="3773"/>
    <cellStyle name="Обычный 6 5 3 2" xfId="11866"/>
    <cellStyle name="Обычный 6 5 3 3" xfId="11867"/>
    <cellStyle name="Обычный 6 5 3 4" xfId="11868"/>
    <cellStyle name="Обычный 6 5 3 5" xfId="11869"/>
    <cellStyle name="Обычный 6 5 3 6" xfId="11870"/>
    <cellStyle name="Обычный 6 5 4" xfId="3774"/>
    <cellStyle name="Обычный 6 5 4 2" xfId="11871"/>
    <cellStyle name="Обычный 6 5 4 3" xfId="11872"/>
    <cellStyle name="Обычный 6 5 4 4" xfId="11873"/>
    <cellStyle name="Обычный 6 5 4 5" xfId="11874"/>
    <cellStyle name="Обычный 6 5 4 6" xfId="11875"/>
    <cellStyle name="Обычный 6 5 5" xfId="3775"/>
    <cellStyle name="Обычный 6 5 5 2" xfId="11876"/>
    <cellStyle name="Обычный 6 5 5 3" xfId="11877"/>
    <cellStyle name="Обычный 6 5 5 4" xfId="11878"/>
    <cellStyle name="Обычный 6 5 5 5" xfId="11879"/>
    <cellStyle name="Обычный 6 5 5 6" xfId="11880"/>
    <cellStyle name="Обычный 6 5 6" xfId="11881"/>
    <cellStyle name="Обычный 6 5 7" xfId="11882"/>
    <cellStyle name="Обычный 6 5 8" xfId="11883"/>
    <cellStyle name="Обычный 6 5 9" xfId="11884"/>
    <cellStyle name="Обычный 6 6" xfId="3776"/>
    <cellStyle name="Обычный 6 6 2" xfId="3777"/>
    <cellStyle name="Обычный 6 6 2 2" xfId="11885"/>
    <cellStyle name="Обычный 6 6 2 3" xfId="11886"/>
    <cellStyle name="Обычный 6 6 2 4" xfId="11887"/>
    <cellStyle name="Обычный 6 6 2 5" xfId="11888"/>
    <cellStyle name="Обычный 6 6 2 6" xfId="11889"/>
    <cellStyle name="Обычный 6 6 3" xfId="3778"/>
    <cellStyle name="Обычный 6 6 3 2" xfId="11890"/>
    <cellStyle name="Обычный 6 6 3 3" xfId="11891"/>
    <cellStyle name="Обычный 6 6 3 4" xfId="11892"/>
    <cellStyle name="Обычный 6 6 3 5" xfId="11893"/>
    <cellStyle name="Обычный 6 6 3 6" xfId="11894"/>
    <cellStyle name="Обычный 6 6 4" xfId="3779"/>
    <cellStyle name="Обычный 6 6 4 2" xfId="11895"/>
    <cellStyle name="Обычный 6 6 4 3" xfId="11896"/>
    <cellStyle name="Обычный 6 6 4 4" xfId="11897"/>
    <cellStyle name="Обычный 6 6 4 5" xfId="11898"/>
    <cellStyle name="Обычный 6 6 4 6" xfId="11899"/>
    <cellStyle name="Обычный 6 6 5" xfId="11900"/>
    <cellStyle name="Обычный 6 6 6" xfId="11901"/>
    <cellStyle name="Обычный 6 6 7" xfId="11902"/>
    <cellStyle name="Обычный 6 6 8" xfId="11903"/>
    <cellStyle name="Обычный 6 6 9" xfId="11904"/>
    <cellStyle name="Обычный 6 7" xfId="3780"/>
    <cellStyle name="Обычный 6 7 2" xfId="11905"/>
    <cellStyle name="Обычный 6 7 3" xfId="11906"/>
    <cellStyle name="Обычный 6 7 4" xfId="11907"/>
    <cellStyle name="Обычный 6 7 5" xfId="11908"/>
    <cellStyle name="Обычный 6 7 6" xfId="11909"/>
    <cellStyle name="Обычный 6 8" xfId="3781"/>
    <cellStyle name="Обычный 6 8 2" xfId="11910"/>
    <cellStyle name="Обычный 6 8 3" xfId="11911"/>
    <cellStyle name="Обычный 6 8 4" xfId="11912"/>
    <cellStyle name="Обычный 6 8 5" xfId="11913"/>
    <cellStyle name="Обычный 6 8 6" xfId="11914"/>
    <cellStyle name="Обычный 6 9" xfId="3782"/>
    <cellStyle name="Обычный 6 9 2" xfId="11915"/>
    <cellStyle name="Обычный 6 9 3" xfId="11916"/>
    <cellStyle name="Обычный 6 9 4" xfId="11917"/>
    <cellStyle name="Обычный 6 9 5" xfId="11918"/>
    <cellStyle name="Обычный 6 9 6" xfId="11919"/>
    <cellStyle name="Обычный 6_косвен" xfId="3783"/>
    <cellStyle name="Обычный 60" xfId="3784"/>
    <cellStyle name="Обычный 61" xfId="3785"/>
    <cellStyle name="Обычный 61 2" xfId="3786"/>
    <cellStyle name="Обычный 62" xfId="3787"/>
    <cellStyle name="Обычный 62 2" xfId="3788"/>
    <cellStyle name="Обычный 62 2 2" xfId="11920"/>
    <cellStyle name="Обычный 62 2 3" xfId="11921"/>
    <cellStyle name="Обычный 62 2 4" xfId="11922"/>
    <cellStyle name="Обычный 62 2 5" xfId="11923"/>
    <cellStyle name="Обычный 62 2 6" xfId="11924"/>
    <cellStyle name="Обычный 62 3" xfId="3789"/>
    <cellStyle name="Обычный 62 3 2" xfId="11925"/>
    <cellStyle name="Обычный 62 3 3" xfId="11926"/>
    <cellStyle name="Обычный 62 3 4" xfId="11927"/>
    <cellStyle name="Обычный 62 3 5" xfId="11928"/>
    <cellStyle name="Обычный 62 3 6" xfId="11929"/>
    <cellStyle name="Обычный 62 4" xfId="3790"/>
    <cellStyle name="Обычный 62 4 2" xfId="11930"/>
    <cellStyle name="Обычный 62 4 3" xfId="11931"/>
    <cellStyle name="Обычный 62 4 4" xfId="11932"/>
    <cellStyle name="Обычный 62 4 5" xfId="11933"/>
    <cellStyle name="Обычный 62 4 6" xfId="11934"/>
    <cellStyle name="Обычный 62 5" xfId="11935"/>
    <cellStyle name="Обычный 62 6" xfId="11936"/>
    <cellStyle name="Обычный 62 7" xfId="11937"/>
    <cellStyle name="Обычный 62 8" xfId="11938"/>
    <cellStyle name="Обычный 62 9" xfId="11939"/>
    <cellStyle name="Обычный 63" xfId="3791"/>
    <cellStyle name="Обычный 63 2" xfId="3792"/>
    <cellStyle name="Обычный 64" xfId="3793"/>
    <cellStyle name="Обычный 64 2" xfId="11940"/>
    <cellStyle name="Обычный 64 3" xfId="11941"/>
    <cellStyle name="Обычный 64 4" xfId="11942"/>
    <cellStyle name="Обычный 64 5" xfId="11943"/>
    <cellStyle name="Обычный 64 6" xfId="11944"/>
    <cellStyle name="Обычный 65" xfId="3794"/>
    <cellStyle name="Обычный 66" xfId="3795"/>
    <cellStyle name="Обычный 66 2" xfId="11945"/>
    <cellStyle name="Обычный 66 3" xfId="11946"/>
    <cellStyle name="Обычный 66 4" xfId="11947"/>
    <cellStyle name="Обычный 66 5" xfId="11948"/>
    <cellStyle name="Обычный 66 6" xfId="11949"/>
    <cellStyle name="Обычный 67" xfId="3796"/>
    <cellStyle name="Обычный 67 2" xfId="11950"/>
    <cellStyle name="Обычный 67 3" xfId="11951"/>
    <cellStyle name="Обычный 67 4" xfId="11952"/>
    <cellStyle name="Обычный 67 5" xfId="11953"/>
    <cellStyle name="Обычный 67 6" xfId="11954"/>
    <cellStyle name="Обычный 68" xfId="3797"/>
    <cellStyle name="Обычный 68 2" xfId="3798"/>
    <cellStyle name="Обычный 68 2 2" xfId="11955"/>
    <cellStyle name="Обычный 68 3" xfId="11956"/>
    <cellStyle name="Обычный 68 4" xfId="11957"/>
    <cellStyle name="Обычный 68 5" xfId="11958"/>
    <cellStyle name="Обычный 68 6" xfId="11959"/>
    <cellStyle name="Обычный 68 7" xfId="11960"/>
    <cellStyle name="Обычный 69" xfId="3799"/>
    <cellStyle name="Обычный 69 2" xfId="11961"/>
    <cellStyle name="Обычный 69 3" xfId="11962"/>
    <cellStyle name="Обычный 69 4" xfId="11963"/>
    <cellStyle name="Обычный 69 5" xfId="11964"/>
    <cellStyle name="Обычный 69 6" xfId="11965"/>
    <cellStyle name="Обычный 7" xfId="3800"/>
    <cellStyle name="Обычный 7 10" xfId="11966"/>
    <cellStyle name="Обычный 7 11" xfId="11967"/>
    <cellStyle name="Обычный 7 12" xfId="11968"/>
    <cellStyle name="Обычный 7 13" xfId="11969"/>
    <cellStyle name="Обычный 7 14" xfId="11970"/>
    <cellStyle name="Обычный 7 2" xfId="3801"/>
    <cellStyle name="Обычный 7 2 10" xfId="11971"/>
    <cellStyle name="Обычный 7 2 11" xfId="11972"/>
    <cellStyle name="Обычный 7 2 12" xfId="11973"/>
    <cellStyle name="Обычный 7 2 13" xfId="11974"/>
    <cellStyle name="Обычный 7 2 2" xfId="3802"/>
    <cellStyle name="Обычный 7 2 2 10" xfId="11975"/>
    <cellStyle name="Обычный 7 2 2 11" xfId="11976"/>
    <cellStyle name="Обычный 7 2 2 2" xfId="3803"/>
    <cellStyle name="Обычный 7 2 2 2 10" xfId="11977"/>
    <cellStyle name="Обычный 7 2 2 2 2" xfId="3804"/>
    <cellStyle name="Обычный 7 2 2 2 2 2" xfId="3805"/>
    <cellStyle name="Обычный 7 2 2 2 2 2 2" xfId="11978"/>
    <cellStyle name="Обычный 7 2 2 2 2 2 3" xfId="11979"/>
    <cellStyle name="Обычный 7 2 2 2 2 2 4" xfId="11980"/>
    <cellStyle name="Обычный 7 2 2 2 2 2 5" xfId="11981"/>
    <cellStyle name="Обычный 7 2 2 2 2 2 6" xfId="11982"/>
    <cellStyle name="Обычный 7 2 2 2 2 3" xfId="3806"/>
    <cellStyle name="Обычный 7 2 2 2 2 3 2" xfId="11983"/>
    <cellStyle name="Обычный 7 2 2 2 2 3 3" xfId="11984"/>
    <cellStyle name="Обычный 7 2 2 2 2 3 4" xfId="11985"/>
    <cellStyle name="Обычный 7 2 2 2 2 3 5" xfId="11986"/>
    <cellStyle name="Обычный 7 2 2 2 2 3 6" xfId="11987"/>
    <cellStyle name="Обычный 7 2 2 2 2 4" xfId="3807"/>
    <cellStyle name="Обычный 7 2 2 2 2 4 2" xfId="11988"/>
    <cellStyle name="Обычный 7 2 2 2 2 4 3" xfId="11989"/>
    <cellStyle name="Обычный 7 2 2 2 2 4 4" xfId="11990"/>
    <cellStyle name="Обычный 7 2 2 2 2 4 5" xfId="11991"/>
    <cellStyle name="Обычный 7 2 2 2 2 4 6" xfId="11992"/>
    <cellStyle name="Обычный 7 2 2 2 2 5" xfId="11993"/>
    <cellStyle name="Обычный 7 2 2 2 2 6" xfId="11994"/>
    <cellStyle name="Обычный 7 2 2 2 2 7" xfId="11995"/>
    <cellStyle name="Обычный 7 2 2 2 2 8" xfId="11996"/>
    <cellStyle name="Обычный 7 2 2 2 2 9" xfId="11997"/>
    <cellStyle name="Обычный 7 2 2 2 3" xfId="3808"/>
    <cellStyle name="Обычный 7 2 2 2 3 2" xfId="11998"/>
    <cellStyle name="Обычный 7 2 2 2 3 3" xfId="11999"/>
    <cellStyle name="Обычный 7 2 2 2 3 4" xfId="12000"/>
    <cellStyle name="Обычный 7 2 2 2 3 5" xfId="12001"/>
    <cellStyle name="Обычный 7 2 2 2 3 6" xfId="12002"/>
    <cellStyle name="Обычный 7 2 2 2 4" xfId="3809"/>
    <cellStyle name="Обычный 7 2 2 2 4 2" xfId="12003"/>
    <cellStyle name="Обычный 7 2 2 2 4 3" xfId="12004"/>
    <cellStyle name="Обычный 7 2 2 2 4 4" xfId="12005"/>
    <cellStyle name="Обычный 7 2 2 2 4 5" xfId="12006"/>
    <cellStyle name="Обычный 7 2 2 2 4 6" xfId="12007"/>
    <cellStyle name="Обычный 7 2 2 2 5" xfId="3810"/>
    <cellStyle name="Обычный 7 2 2 2 5 2" xfId="12008"/>
    <cellStyle name="Обычный 7 2 2 2 5 3" xfId="12009"/>
    <cellStyle name="Обычный 7 2 2 2 5 4" xfId="12010"/>
    <cellStyle name="Обычный 7 2 2 2 5 5" xfId="12011"/>
    <cellStyle name="Обычный 7 2 2 2 5 6" xfId="12012"/>
    <cellStyle name="Обычный 7 2 2 2 6" xfId="12013"/>
    <cellStyle name="Обычный 7 2 2 2 7" xfId="12014"/>
    <cellStyle name="Обычный 7 2 2 2 8" xfId="12015"/>
    <cellStyle name="Обычный 7 2 2 2 9" xfId="12016"/>
    <cellStyle name="Обычный 7 2 2 3" xfId="3811"/>
    <cellStyle name="Обычный 7 2 2 3 2" xfId="3812"/>
    <cellStyle name="Обычный 7 2 2 3 2 2" xfId="12017"/>
    <cellStyle name="Обычный 7 2 2 3 2 3" xfId="12018"/>
    <cellStyle name="Обычный 7 2 2 3 2 4" xfId="12019"/>
    <cellStyle name="Обычный 7 2 2 3 2 5" xfId="12020"/>
    <cellStyle name="Обычный 7 2 2 3 2 6" xfId="12021"/>
    <cellStyle name="Обычный 7 2 2 3 3" xfId="3813"/>
    <cellStyle name="Обычный 7 2 2 3 3 2" xfId="12022"/>
    <cellStyle name="Обычный 7 2 2 3 3 3" xfId="12023"/>
    <cellStyle name="Обычный 7 2 2 3 3 4" xfId="12024"/>
    <cellStyle name="Обычный 7 2 2 3 3 5" xfId="12025"/>
    <cellStyle name="Обычный 7 2 2 3 3 6" xfId="12026"/>
    <cellStyle name="Обычный 7 2 2 3 4" xfId="3814"/>
    <cellStyle name="Обычный 7 2 2 3 4 2" xfId="12027"/>
    <cellStyle name="Обычный 7 2 2 3 4 3" xfId="12028"/>
    <cellStyle name="Обычный 7 2 2 3 4 4" xfId="12029"/>
    <cellStyle name="Обычный 7 2 2 3 4 5" xfId="12030"/>
    <cellStyle name="Обычный 7 2 2 3 4 6" xfId="12031"/>
    <cellStyle name="Обычный 7 2 2 3 5" xfId="12032"/>
    <cellStyle name="Обычный 7 2 2 3 6" xfId="12033"/>
    <cellStyle name="Обычный 7 2 2 3 7" xfId="12034"/>
    <cellStyle name="Обычный 7 2 2 3 8" xfId="12035"/>
    <cellStyle name="Обычный 7 2 2 3 9" xfId="12036"/>
    <cellStyle name="Обычный 7 2 2 4" xfId="3815"/>
    <cellStyle name="Обычный 7 2 2 4 2" xfId="12037"/>
    <cellStyle name="Обычный 7 2 2 4 3" xfId="12038"/>
    <cellStyle name="Обычный 7 2 2 4 4" xfId="12039"/>
    <cellStyle name="Обычный 7 2 2 4 5" xfId="12040"/>
    <cellStyle name="Обычный 7 2 2 4 6" xfId="12041"/>
    <cellStyle name="Обычный 7 2 2 5" xfId="3816"/>
    <cellStyle name="Обычный 7 2 2 5 2" xfId="12042"/>
    <cellStyle name="Обычный 7 2 2 5 3" xfId="12043"/>
    <cellStyle name="Обычный 7 2 2 5 4" xfId="12044"/>
    <cellStyle name="Обычный 7 2 2 5 5" xfId="12045"/>
    <cellStyle name="Обычный 7 2 2 5 6" xfId="12046"/>
    <cellStyle name="Обычный 7 2 2 6" xfId="3817"/>
    <cellStyle name="Обычный 7 2 2 6 2" xfId="12047"/>
    <cellStyle name="Обычный 7 2 2 6 3" xfId="12048"/>
    <cellStyle name="Обычный 7 2 2 6 4" xfId="12049"/>
    <cellStyle name="Обычный 7 2 2 6 5" xfId="12050"/>
    <cellStyle name="Обычный 7 2 2 6 6" xfId="12051"/>
    <cellStyle name="Обычный 7 2 2 7" xfId="12052"/>
    <cellStyle name="Обычный 7 2 2 8" xfId="12053"/>
    <cellStyle name="Обычный 7 2 2 9" xfId="12054"/>
    <cellStyle name="Обычный 7 2 3" xfId="3818"/>
    <cellStyle name="Обычный 7 2 3 10" xfId="12055"/>
    <cellStyle name="Обычный 7 2 3 2" xfId="3819"/>
    <cellStyle name="Обычный 7 2 3 2 2" xfId="3820"/>
    <cellStyle name="Обычный 7 2 3 2 2 2" xfId="12056"/>
    <cellStyle name="Обычный 7 2 3 2 2 3" xfId="12057"/>
    <cellStyle name="Обычный 7 2 3 2 2 4" xfId="12058"/>
    <cellStyle name="Обычный 7 2 3 2 2 5" xfId="12059"/>
    <cellStyle name="Обычный 7 2 3 2 2 6" xfId="12060"/>
    <cellStyle name="Обычный 7 2 3 2 3" xfId="3821"/>
    <cellStyle name="Обычный 7 2 3 2 3 2" xfId="12061"/>
    <cellStyle name="Обычный 7 2 3 2 3 3" xfId="12062"/>
    <cellStyle name="Обычный 7 2 3 2 3 4" xfId="12063"/>
    <cellStyle name="Обычный 7 2 3 2 3 5" xfId="12064"/>
    <cellStyle name="Обычный 7 2 3 2 3 6" xfId="12065"/>
    <cellStyle name="Обычный 7 2 3 2 4" xfId="3822"/>
    <cellStyle name="Обычный 7 2 3 2 4 2" xfId="12066"/>
    <cellStyle name="Обычный 7 2 3 2 4 3" xfId="12067"/>
    <cellStyle name="Обычный 7 2 3 2 4 4" xfId="12068"/>
    <cellStyle name="Обычный 7 2 3 2 4 5" xfId="12069"/>
    <cellStyle name="Обычный 7 2 3 2 4 6" xfId="12070"/>
    <cellStyle name="Обычный 7 2 3 2 5" xfId="12071"/>
    <cellStyle name="Обычный 7 2 3 2 6" xfId="12072"/>
    <cellStyle name="Обычный 7 2 3 2 7" xfId="12073"/>
    <cellStyle name="Обычный 7 2 3 2 8" xfId="12074"/>
    <cellStyle name="Обычный 7 2 3 2 9" xfId="12075"/>
    <cellStyle name="Обычный 7 2 3 3" xfId="3823"/>
    <cellStyle name="Обычный 7 2 3 3 2" xfId="12076"/>
    <cellStyle name="Обычный 7 2 3 3 3" xfId="12077"/>
    <cellStyle name="Обычный 7 2 3 3 4" xfId="12078"/>
    <cellStyle name="Обычный 7 2 3 3 5" xfId="12079"/>
    <cellStyle name="Обычный 7 2 3 3 6" xfId="12080"/>
    <cellStyle name="Обычный 7 2 3 4" xfId="3824"/>
    <cellStyle name="Обычный 7 2 3 4 2" xfId="12081"/>
    <cellStyle name="Обычный 7 2 3 4 3" xfId="12082"/>
    <cellStyle name="Обычный 7 2 3 4 4" xfId="12083"/>
    <cellStyle name="Обычный 7 2 3 4 5" xfId="12084"/>
    <cellStyle name="Обычный 7 2 3 4 6" xfId="12085"/>
    <cellStyle name="Обычный 7 2 3 5" xfId="3825"/>
    <cellStyle name="Обычный 7 2 3 5 2" xfId="12086"/>
    <cellStyle name="Обычный 7 2 3 5 3" xfId="12087"/>
    <cellStyle name="Обычный 7 2 3 5 4" xfId="12088"/>
    <cellStyle name="Обычный 7 2 3 5 5" xfId="12089"/>
    <cellStyle name="Обычный 7 2 3 5 6" xfId="12090"/>
    <cellStyle name="Обычный 7 2 3 6" xfId="12091"/>
    <cellStyle name="Обычный 7 2 3 7" xfId="12092"/>
    <cellStyle name="Обычный 7 2 3 8" xfId="12093"/>
    <cellStyle name="Обычный 7 2 3 9" xfId="12094"/>
    <cellStyle name="Обычный 7 2 4" xfId="3826"/>
    <cellStyle name="Обычный 7 2 5" xfId="3827"/>
    <cellStyle name="Обычный 7 2 5 2" xfId="3828"/>
    <cellStyle name="Обычный 7 2 5 2 2" xfId="12095"/>
    <cellStyle name="Обычный 7 2 5 2 3" xfId="12096"/>
    <cellStyle name="Обычный 7 2 5 2 4" xfId="12097"/>
    <cellStyle name="Обычный 7 2 5 2 5" xfId="12098"/>
    <cellStyle name="Обычный 7 2 5 2 6" xfId="12099"/>
    <cellStyle name="Обычный 7 2 5 3" xfId="3829"/>
    <cellStyle name="Обычный 7 2 5 3 2" xfId="12100"/>
    <cellStyle name="Обычный 7 2 5 3 3" xfId="12101"/>
    <cellStyle name="Обычный 7 2 5 3 4" xfId="12102"/>
    <cellStyle name="Обычный 7 2 5 3 5" xfId="12103"/>
    <cellStyle name="Обычный 7 2 5 3 6" xfId="12104"/>
    <cellStyle name="Обычный 7 2 5 4" xfId="3830"/>
    <cellStyle name="Обычный 7 2 5 4 2" xfId="12105"/>
    <cellStyle name="Обычный 7 2 5 4 3" xfId="12106"/>
    <cellStyle name="Обычный 7 2 5 4 4" xfId="12107"/>
    <cellStyle name="Обычный 7 2 5 4 5" xfId="12108"/>
    <cellStyle name="Обычный 7 2 5 4 6" xfId="12109"/>
    <cellStyle name="Обычный 7 2 5 5" xfId="12110"/>
    <cellStyle name="Обычный 7 2 5 6" xfId="12111"/>
    <cellStyle name="Обычный 7 2 5 7" xfId="12112"/>
    <cellStyle name="Обычный 7 2 5 8" xfId="12113"/>
    <cellStyle name="Обычный 7 2 5 9" xfId="12114"/>
    <cellStyle name="Обычный 7 2 6" xfId="3831"/>
    <cellStyle name="Обычный 7 2 6 2" xfId="12115"/>
    <cellStyle name="Обычный 7 2 6 3" xfId="12116"/>
    <cellStyle name="Обычный 7 2 6 4" xfId="12117"/>
    <cellStyle name="Обычный 7 2 6 5" xfId="12118"/>
    <cellStyle name="Обычный 7 2 6 6" xfId="12119"/>
    <cellStyle name="Обычный 7 2 7" xfId="3832"/>
    <cellStyle name="Обычный 7 2 7 2" xfId="12120"/>
    <cellStyle name="Обычный 7 2 7 3" xfId="12121"/>
    <cellStyle name="Обычный 7 2 7 4" xfId="12122"/>
    <cellStyle name="Обычный 7 2 7 5" xfId="12123"/>
    <cellStyle name="Обычный 7 2 7 6" xfId="12124"/>
    <cellStyle name="Обычный 7 2 8" xfId="3833"/>
    <cellStyle name="Обычный 7 2 8 2" xfId="12125"/>
    <cellStyle name="Обычный 7 2 8 3" xfId="12126"/>
    <cellStyle name="Обычный 7 2 8 4" xfId="12127"/>
    <cellStyle name="Обычный 7 2 8 5" xfId="12128"/>
    <cellStyle name="Обычный 7 2 8 6" xfId="12129"/>
    <cellStyle name="Обычный 7 2 9" xfId="5337"/>
    <cellStyle name="Обычный 7 3" xfId="3834"/>
    <cellStyle name="Обычный 7 3 2" xfId="3835"/>
    <cellStyle name="Обычный 7 3 3" xfId="3836"/>
    <cellStyle name="Обычный 7 3 3 2" xfId="3837"/>
    <cellStyle name="Обычный 7 3 3 2 2" xfId="12130"/>
    <cellStyle name="Обычный 7 3 3 2 3" xfId="12131"/>
    <cellStyle name="Обычный 7 3 3 2 4" xfId="12132"/>
    <cellStyle name="Обычный 7 3 3 2 5" xfId="12133"/>
    <cellStyle name="Обычный 7 3 3 2 6" xfId="12134"/>
    <cellStyle name="Обычный 7 3 3 3" xfId="3838"/>
    <cellStyle name="Обычный 7 3 3 3 2" xfId="12135"/>
    <cellStyle name="Обычный 7 3 3 3 3" xfId="12136"/>
    <cellStyle name="Обычный 7 3 3 3 4" xfId="12137"/>
    <cellStyle name="Обычный 7 3 3 3 5" xfId="12138"/>
    <cellStyle name="Обычный 7 3 3 3 6" xfId="12139"/>
    <cellStyle name="Обычный 7 3 3 4" xfId="3839"/>
    <cellStyle name="Обычный 7 3 3 4 2" xfId="12140"/>
    <cellStyle name="Обычный 7 3 3 4 3" xfId="12141"/>
    <cellStyle name="Обычный 7 3 3 4 4" xfId="12142"/>
    <cellStyle name="Обычный 7 3 3 4 5" xfId="12143"/>
    <cellStyle name="Обычный 7 3 3 4 6" xfId="12144"/>
    <cellStyle name="Обычный 7 3 3 5" xfId="12145"/>
    <cellStyle name="Обычный 7 3 3 6" xfId="12146"/>
    <cellStyle name="Обычный 7 3 3 7" xfId="12147"/>
    <cellStyle name="Обычный 7 3 3 8" xfId="12148"/>
    <cellStyle name="Обычный 7 3 3 9" xfId="12149"/>
    <cellStyle name="Обычный 7 3 4" xfId="5338"/>
    <cellStyle name="Обычный 7 4" xfId="3840"/>
    <cellStyle name="Обычный 7 4 10" xfId="12150"/>
    <cellStyle name="Обычный 7 4 11" xfId="12151"/>
    <cellStyle name="Обычный 7 4 2" xfId="3841"/>
    <cellStyle name="Обычный 7 4 2 10" xfId="12152"/>
    <cellStyle name="Обычный 7 4 2 2" xfId="3842"/>
    <cellStyle name="Обычный 7 4 2 2 2" xfId="3843"/>
    <cellStyle name="Обычный 7 4 2 2 2 2" xfId="12153"/>
    <cellStyle name="Обычный 7 4 2 2 2 3" xfId="12154"/>
    <cellStyle name="Обычный 7 4 2 2 2 4" xfId="12155"/>
    <cellStyle name="Обычный 7 4 2 2 2 5" xfId="12156"/>
    <cellStyle name="Обычный 7 4 2 2 2 6" xfId="12157"/>
    <cellStyle name="Обычный 7 4 2 2 3" xfId="3844"/>
    <cellStyle name="Обычный 7 4 2 2 3 2" xfId="12158"/>
    <cellStyle name="Обычный 7 4 2 2 3 3" xfId="12159"/>
    <cellStyle name="Обычный 7 4 2 2 3 4" xfId="12160"/>
    <cellStyle name="Обычный 7 4 2 2 3 5" xfId="12161"/>
    <cellStyle name="Обычный 7 4 2 2 3 6" xfId="12162"/>
    <cellStyle name="Обычный 7 4 2 2 4" xfId="3845"/>
    <cellStyle name="Обычный 7 4 2 2 4 2" xfId="12163"/>
    <cellStyle name="Обычный 7 4 2 2 4 3" xfId="12164"/>
    <cellStyle name="Обычный 7 4 2 2 4 4" xfId="12165"/>
    <cellStyle name="Обычный 7 4 2 2 4 5" xfId="12166"/>
    <cellStyle name="Обычный 7 4 2 2 4 6" xfId="12167"/>
    <cellStyle name="Обычный 7 4 2 2 5" xfId="12168"/>
    <cellStyle name="Обычный 7 4 2 2 6" xfId="12169"/>
    <cellStyle name="Обычный 7 4 2 2 7" xfId="12170"/>
    <cellStyle name="Обычный 7 4 2 2 8" xfId="12171"/>
    <cellStyle name="Обычный 7 4 2 2 9" xfId="12172"/>
    <cellStyle name="Обычный 7 4 2 3" xfId="3846"/>
    <cellStyle name="Обычный 7 4 2 3 2" xfId="12173"/>
    <cellStyle name="Обычный 7 4 2 3 3" xfId="12174"/>
    <cellStyle name="Обычный 7 4 2 3 4" xfId="12175"/>
    <cellStyle name="Обычный 7 4 2 3 5" xfId="12176"/>
    <cellStyle name="Обычный 7 4 2 3 6" xfId="12177"/>
    <cellStyle name="Обычный 7 4 2 4" xfId="3847"/>
    <cellStyle name="Обычный 7 4 2 4 2" xfId="12178"/>
    <cellStyle name="Обычный 7 4 2 4 3" xfId="12179"/>
    <cellStyle name="Обычный 7 4 2 4 4" xfId="12180"/>
    <cellStyle name="Обычный 7 4 2 4 5" xfId="12181"/>
    <cellStyle name="Обычный 7 4 2 4 6" xfId="12182"/>
    <cellStyle name="Обычный 7 4 2 5" xfId="3848"/>
    <cellStyle name="Обычный 7 4 2 5 2" xfId="12183"/>
    <cellStyle name="Обычный 7 4 2 5 3" xfId="12184"/>
    <cellStyle name="Обычный 7 4 2 5 4" xfId="12185"/>
    <cellStyle name="Обычный 7 4 2 5 5" xfId="12186"/>
    <cellStyle name="Обычный 7 4 2 5 6" xfId="12187"/>
    <cellStyle name="Обычный 7 4 2 6" xfId="12188"/>
    <cellStyle name="Обычный 7 4 2 7" xfId="12189"/>
    <cellStyle name="Обычный 7 4 2 8" xfId="12190"/>
    <cellStyle name="Обычный 7 4 2 9" xfId="12191"/>
    <cellStyle name="Обычный 7 4 3" xfId="3849"/>
    <cellStyle name="Обычный 7 4 3 2" xfId="3850"/>
    <cellStyle name="Обычный 7 4 3 2 2" xfId="12192"/>
    <cellStyle name="Обычный 7 4 3 2 3" xfId="12193"/>
    <cellStyle name="Обычный 7 4 3 2 4" xfId="12194"/>
    <cellStyle name="Обычный 7 4 3 2 5" xfId="12195"/>
    <cellStyle name="Обычный 7 4 3 2 6" xfId="12196"/>
    <cellStyle name="Обычный 7 4 3 3" xfId="3851"/>
    <cellStyle name="Обычный 7 4 3 3 2" xfId="12197"/>
    <cellStyle name="Обычный 7 4 3 3 3" xfId="12198"/>
    <cellStyle name="Обычный 7 4 3 3 4" xfId="12199"/>
    <cellStyle name="Обычный 7 4 3 3 5" xfId="12200"/>
    <cellStyle name="Обычный 7 4 3 3 6" xfId="12201"/>
    <cellStyle name="Обычный 7 4 3 4" xfId="3852"/>
    <cellStyle name="Обычный 7 4 3 4 2" xfId="12202"/>
    <cellStyle name="Обычный 7 4 3 4 3" xfId="12203"/>
    <cellStyle name="Обычный 7 4 3 4 4" xfId="12204"/>
    <cellStyle name="Обычный 7 4 3 4 5" xfId="12205"/>
    <cellStyle name="Обычный 7 4 3 4 6" xfId="12206"/>
    <cellStyle name="Обычный 7 4 3 5" xfId="12207"/>
    <cellStyle name="Обычный 7 4 3 6" xfId="12208"/>
    <cellStyle name="Обычный 7 4 3 7" xfId="12209"/>
    <cellStyle name="Обычный 7 4 3 8" xfId="12210"/>
    <cellStyle name="Обычный 7 4 3 9" xfId="12211"/>
    <cellStyle name="Обычный 7 4 4" xfId="3853"/>
    <cellStyle name="Обычный 7 4 4 2" xfId="12212"/>
    <cellStyle name="Обычный 7 4 4 3" xfId="12213"/>
    <cellStyle name="Обычный 7 4 4 4" xfId="12214"/>
    <cellStyle name="Обычный 7 4 4 5" xfId="12215"/>
    <cellStyle name="Обычный 7 4 4 6" xfId="12216"/>
    <cellStyle name="Обычный 7 4 5" xfId="3854"/>
    <cellStyle name="Обычный 7 4 5 2" xfId="12217"/>
    <cellStyle name="Обычный 7 4 5 3" xfId="12218"/>
    <cellStyle name="Обычный 7 4 5 4" xfId="12219"/>
    <cellStyle name="Обычный 7 4 5 5" xfId="12220"/>
    <cellStyle name="Обычный 7 4 5 6" xfId="12221"/>
    <cellStyle name="Обычный 7 4 6" xfId="3855"/>
    <cellStyle name="Обычный 7 4 6 2" xfId="12222"/>
    <cellStyle name="Обычный 7 4 6 3" xfId="12223"/>
    <cellStyle name="Обычный 7 4 6 4" xfId="12224"/>
    <cellStyle name="Обычный 7 4 6 5" xfId="12225"/>
    <cellStyle name="Обычный 7 4 6 6" xfId="12226"/>
    <cellStyle name="Обычный 7 4 7" xfId="12227"/>
    <cellStyle name="Обычный 7 4 8" xfId="12228"/>
    <cellStyle name="Обычный 7 4 9" xfId="12229"/>
    <cellStyle name="Обычный 7 5" xfId="3856"/>
    <cellStyle name="Обычный 7 5 10" xfId="12230"/>
    <cellStyle name="Обычный 7 5 2" xfId="3857"/>
    <cellStyle name="Обычный 7 5 2 2" xfId="3858"/>
    <cellStyle name="Обычный 7 5 2 2 2" xfId="12231"/>
    <cellStyle name="Обычный 7 5 2 2 3" xfId="12232"/>
    <cellStyle name="Обычный 7 5 2 2 4" xfId="12233"/>
    <cellStyle name="Обычный 7 5 2 2 5" xfId="12234"/>
    <cellStyle name="Обычный 7 5 2 2 6" xfId="12235"/>
    <cellStyle name="Обычный 7 5 2 3" xfId="3859"/>
    <cellStyle name="Обычный 7 5 2 3 2" xfId="12236"/>
    <cellStyle name="Обычный 7 5 2 3 3" xfId="12237"/>
    <cellStyle name="Обычный 7 5 2 3 4" xfId="12238"/>
    <cellStyle name="Обычный 7 5 2 3 5" xfId="12239"/>
    <cellStyle name="Обычный 7 5 2 3 6" xfId="12240"/>
    <cellStyle name="Обычный 7 5 2 4" xfId="3860"/>
    <cellStyle name="Обычный 7 5 2 4 2" xfId="12241"/>
    <cellStyle name="Обычный 7 5 2 4 3" xfId="12242"/>
    <cellStyle name="Обычный 7 5 2 4 4" xfId="12243"/>
    <cellStyle name="Обычный 7 5 2 4 5" xfId="12244"/>
    <cellStyle name="Обычный 7 5 2 4 6" xfId="12245"/>
    <cellStyle name="Обычный 7 5 2 5" xfId="12246"/>
    <cellStyle name="Обычный 7 5 2 6" xfId="12247"/>
    <cellStyle name="Обычный 7 5 2 7" xfId="12248"/>
    <cellStyle name="Обычный 7 5 2 8" xfId="12249"/>
    <cellStyle name="Обычный 7 5 2 9" xfId="12250"/>
    <cellStyle name="Обычный 7 5 3" xfId="3861"/>
    <cellStyle name="Обычный 7 5 3 2" xfId="12251"/>
    <cellStyle name="Обычный 7 5 3 3" xfId="12252"/>
    <cellStyle name="Обычный 7 5 3 4" xfId="12253"/>
    <cellStyle name="Обычный 7 5 3 5" xfId="12254"/>
    <cellStyle name="Обычный 7 5 3 6" xfId="12255"/>
    <cellStyle name="Обычный 7 5 4" xfId="3862"/>
    <cellStyle name="Обычный 7 5 4 2" xfId="12256"/>
    <cellStyle name="Обычный 7 5 4 3" xfId="12257"/>
    <cellStyle name="Обычный 7 5 4 4" xfId="12258"/>
    <cellStyle name="Обычный 7 5 4 5" xfId="12259"/>
    <cellStyle name="Обычный 7 5 4 6" xfId="12260"/>
    <cellStyle name="Обычный 7 5 5" xfId="3863"/>
    <cellStyle name="Обычный 7 5 5 2" xfId="12261"/>
    <cellStyle name="Обычный 7 5 5 3" xfId="12262"/>
    <cellStyle name="Обычный 7 5 5 4" xfId="12263"/>
    <cellStyle name="Обычный 7 5 5 5" xfId="12264"/>
    <cellStyle name="Обычный 7 5 5 6" xfId="12265"/>
    <cellStyle name="Обычный 7 5 6" xfId="12266"/>
    <cellStyle name="Обычный 7 5 7" xfId="12267"/>
    <cellStyle name="Обычный 7 5 8" xfId="12268"/>
    <cellStyle name="Обычный 7 5 9" xfId="12269"/>
    <cellStyle name="Обычный 7 6" xfId="3864"/>
    <cellStyle name="Обычный 7 6 2" xfId="3865"/>
    <cellStyle name="Обычный 7 6 2 2" xfId="12270"/>
    <cellStyle name="Обычный 7 6 2 3" xfId="12271"/>
    <cellStyle name="Обычный 7 6 2 4" xfId="12272"/>
    <cellStyle name="Обычный 7 6 2 5" xfId="12273"/>
    <cellStyle name="Обычный 7 6 2 6" xfId="12274"/>
    <cellStyle name="Обычный 7 6 3" xfId="3866"/>
    <cellStyle name="Обычный 7 6 3 2" xfId="12275"/>
    <cellStyle name="Обычный 7 6 3 3" xfId="12276"/>
    <cellStyle name="Обычный 7 6 3 4" xfId="12277"/>
    <cellStyle name="Обычный 7 6 3 5" xfId="12278"/>
    <cellStyle name="Обычный 7 6 3 6" xfId="12279"/>
    <cellStyle name="Обычный 7 6 4" xfId="3867"/>
    <cellStyle name="Обычный 7 6 4 2" xfId="12280"/>
    <cellStyle name="Обычный 7 6 4 3" xfId="12281"/>
    <cellStyle name="Обычный 7 6 4 4" xfId="12282"/>
    <cellStyle name="Обычный 7 6 4 5" xfId="12283"/>
    <cellStyle name="Обычный 7 6 4 6" xfId="12284"/>
    <cellStyle name="Обычный 7 6 5" xfId="12285"/>
    <cellStyle name="Обычный 7 6 6" xfId="12286"/>
    <cellStyle name="Обычный 7 6 7" xfId="12287"/>
    <cellStyle name="Обычный 7 6 8" xfId="12288"/>
    <cellStyle name="Обычный 7 6 9" xfId="12289"/>
    <cellStyle name="Обычный 7 7" xfId="3868"/>
    <cellStyle name="Обычный 7 7 2" xfId="12290"/>
    <cellStyle name="Обычный 7 7 3" xfId="12291"/>
    <cellStyle name="Обычный 7 7 4" xfId="12292"/>
    <cellStyle name="Обычный 7 7 5" xfId="12293"/>
    <cellStyle name="Обычный 7 7 6" xfId="12294"/>
    <cellStyle name="Обычный 7 8" xfId="3869"/>
    <cellStyle name="Обычный 7 8 2" xfId="12295"/>
    <cellStyle name="Обычный 7 8 3" xfId="12296"/>
    <cellStyle name="Обычный 7 8 4" xfId="12297"/>
    <cellStyle name="Обычный 7 8 5" xfId="12298"/>
    <cellStyle name="Обычный 7 8 6" xfId="12299"/>
    <cellStyle name="Обычный 7 9" xfId="3870"/>
    <cellStyle name="Обычный 7 9 2" xfId="12300"/>
    <cellStyle name="Обычный 7 9 3" xfId="12301"/>
    <cellStyle name="Обычный 7 9 4" xfId="12302"/>
    <cellStyle name="Обычный 7 9 5" xfId="12303"/>
    <cellStyle name="Обычный 7 9 6" xfId="12304"/>
    <cellStyle name="Обычный 70" xfId="3871"/>
    <cellStyle name="Обычный 71" xfId="3872"/>
    <cellStyle name="Обычный 72" xfId="3873"/>
    <cellStyle name="Обычный 73" xfId="3874"/>
    <cellStyle name="Обычный 74" xfId="3875"/>
    <cellStyle name="Обычный 74 2" xfId="12305"/>
    <cellStyle name="Обычный 74 3" xfId="12306"/>
    <cellStyle name="Обычный 74 4" xfId="12307"/>
    <cellStyle name="Обычный 74 5" xfId="12308"/>
    <cellStyle name="Обычный 74 6" xfId="12309"/>
    <cellStyle name="Обычный 75" xfId="3876"/>
    <cellStyle name="Обычный 75 2" xfId="3877"/>
    <cellStyle name="Обычный 75 2 2" xfId="12310"/>
    <cellStyle name="Обычный 75 2 3" xfId="12311"/>
    <cellStyle name="Обычный 75 2 4" xfId="12312"/>
    <cellStyle name="Обычный 75 2 5" xfId="12313"/>
    <cellStyle name="Обычный 75 3" xfId="12314"/>
    <cellStyle name="Обычный 75 4" xfId="12315"/>
    <cellStyle name="Обычный 75 5" xfId="12316"/>
    <cellStyle name="Обычный 75 6" xfId="12317"/>
    <cellStyle name="Обычный 75 7" xfId="12318"/>
    <cellStyle name="Обычный 76" xfId="3878"/>
    <cellStyle name="Обычный 76 2" xfId="12319"/>
    <cellStyle name="Обычный 76 3" xfId="12320"/>
    <cellStyle name="Обычный 76 4" xfId="12321"/>
    <cellStyle name="Обычный 76 5" xfId="12322"/>
    <cellStyle name="Обычный 76 6" xfId="12323"/>
    <cellStyle name="Обычный 77" xfId="3879"/>
    <cellStyle name="Обычный 77 2" xfId="12324"/>
    <cellStyle name="Обычный 77 3" xfId="12325"/>
    <cellStyle name="Обычный 77 4" xfId="12326"/>
    <cellStyle name="Обычный 77 5" xfId="12327"/>
    <cellStyle name="Обычный 77 6" xfId="12328"/>
    <cellStyle name="Обычный 78" xfId="5339"/>
    <cellStyle name="Обычный 78 2" xfId="5340"/>
    <cellStyle name="Обычный 79" xfId="5341"/>
    <cellStyle name="Обычный 8" xfId="3880"/>
    <cellStyle name="Обычный 8 2" xfId="3881"/>
    <cellStyle name="Обычный 8 2 10" xfId="12329"/>
    <cellStyle name="Обычный 8 2 11" xfId="12330"/>
    <cellStyle name="Обычный 8 2 12" xfId="12331"/>
    <cellStyle name="Обычный 8 2 13" xfId="12332"/>
    <cellStyle name="Обычный 8 2 2" xfId="3882"/>
    <cellStyle name="Обычный 8 2 2 10" xfId="12333"/>
    <cellStyle name="Обычный 8 2 2 11" xfId="12334"/>
    <cellStyle name="Обычный 8 2 2 2" xfId="3883"/>
    <cellStyle name="Обычный 8 2 2 2 10" xfId="12335"/>
    <cellStyle name="Обычный 8 2 2 2 2" xfId="3884"/>
    <cellStyle name="Обычный 8 2 2 2 2 10" xfId="12336"/>
    <cellStyle name="Обычный 8 2 2 2 2 2" xfId="3885"/>
    <cellStyle name="Обычный 8 2 2 2 2 2 2" xfId="12337"/>
    <cellStyle name="Обычный 8 2 2 2 2 2 3" xfId="12338"/>
    <cellStyle name="Обычный 8 2 2 2 2 2 4" xfId="12339"/>
    <cellStyle name="Обычный 8 2 2 2 2 2 5" xfId="12340"/>
    <cellStyle name="Обычный 8 2 2 2 2 2 6" xfId="12341"/>
    <cellStyle name="Обычный 8 2 2 2 2 3" xfId="3886"/>
    <cellStyle name="Обычный 8 2 2 2 2 3 2" xfId="12342"/>
    <cellStyle name="Обычный 8 2 2 2 2 3 3" xfId="12343"/>
    <cellStyle name="Обычный 8 2 2 2 2 3 4" xfId="12344"/>
    <cellStyle name="Обычный 8 2 2 2 2 3 5" xfId="12345"/>
    <cellStyle name="Обычный 8 2 2 2 2 3 6" xfId="12346"/>
    <cellStyle name="Обычный 8 2 2 2 2 4" xfId="3887"/>
    <cellStyle name="Обычный 8 2 2 2 2 4 2" xfId="12347"/>
    <cellStyle name="Обычный 8 2 2 2 2 4 3" xfId="12348"/>
    <cellStyle name="Обычный 8 2 2 2 2 4 4" xfId="12349"/>
    <cellStyle name="Обычный 8 2 2 2 2 4 5" xfId="12350"/>
    <cellStyle name="Обычный 8 2 2 2 2 4 6" xfId="12351"/>
    <cellStyle name="Обычный 8 2 2 2 2 5" xfId="3888"/>
    <cellStyle name="Обычный 8 2 2 2 2 5 2" xfId="12352"/>
    <cellStyle name="Обычный 8 2 2 2 2 5 3" xfId="12353"/>
    <cellStyle name="Обычный 8 2 2 2 2 5 4" xfId="12354"/>
    <cellStyle name="Обычный 8 2 2 2 2 5 5" xfId="12355"/>
    <cellStyle name="Обычный 8 2 2 2 2 5 6" xfId="12356"/>
    <cellStyle name="Обычный 8 2 2 2 2 6" xfId="12357"/>
    <cellStyle name="Обычный 8 2 2 2 2 7" xfId="12358"/>
    <cellStyle name="Обычный 8 2 2 2 2 8" xfId="12359"/>
    <cellStyle name="Обычный 8 2 2 2 2 9" xfId="12360"/>
    <cellStyle name="Обычный 8 2 2 2 3" xfId="3889"/>
    <cellStyle name="Обычный 8 2 2 2 3 2" xfId="12361"/>
    <cellStyle name="Обычный 8 2 2 2 3 3" xfId="12362"/>
    <cellStyle name="Обычный 8 2 2 2 3 4" xfId="12363"/>
    <cellStyle name="Обычный 8 2 2 2 3 5" xfId="12364"/>
    <cellStyle name="Обычный 8 2 2 2 3 6" xfId="12365"/>
    <cellStyle name="Обычный 8 2 2 2 4" xfId="3890"/>
    <cellStyle name="Обычный 8 2 2 2 4 2" xfId="12366"/>
    <cellStyle name="Обычный 8 2 2 2 4 3" xfId="12367"/>
    <cellStyle name="Обычный 8 2 2 2 4 4" xfId="12368"/>
    <cellStyle name="Обычный 8 2 2 2 4 5" xfId="12369"/>
    <cellStyle name="Обычный 8 2 2 2 4 6" xfId="12370"/>
    <cellStyle name="Обычный 8 2 2 2 5" xfId="3891"/>
    <cellStyle name="Обычный 8 2 2 2 5 2" xfId="12371"/>
    <cellStyle name="Обычный 8 2 2 2 5 3" xfId="12372"/>
    <cellStyle name="Обычный 8 2 2 2 5 4" xfId="12373"/>
    <cellStyle name="Обычный 8 2 2 2 5 5" xfId="12374"/>
    <cellStyle name="Обычный 8 2 2 2 5 6" xfId="12375"/>
    <cellStyle name="Обычный 8 2 2 2 6" xfId="12376"/>
    <cellStyle name="Обычный 8 2 2 2 7" xfId="12377"/>
    <cellStyle name="Обычный 8 2 2 2 8" xfId="12378"/>
    <cellStyle name="Обычный 8 2 2 2 9" xfId="12379"/>
    <cellStyle name="Обычный 8 2 2 3" xfId="3892"/>
    <cellStyle name="Обычный 8 2 2 3 2" xfId="3893"/>
    <cellStyle name="Обычный 8 2 2 3 2 2" xfId="12380"/>
    <cellStyle name="Обычный 8 2 2 3 2 3" xfId="12381"/>
    <cellStyle name="Обычный 8 2 2 3 2 4" xfId="12382"/>
    <cellStyle name="Обычный 8 2 2 3 2 5" xfId="12383"/>
    <cellStyle name="Обычный 8 2 2 3 2 6" xfId="12384"/>
    <cellStyle name="Обычный 8 2 2 3 3" xfId="3894"/>
    <cellStyle name="Обычный 8 2 2 3 3 2" xfId="12385"/>
    <cellStyle name="Обычный 8 2 2 3 3 3" xfId="12386"/>
    <cellStyle name="Обычный 8 2 2 3 3 4" xfId="12387"/>
    <cellStyle name="Обычный 8 2 2 3 3 5" xfId="12388"/>
    <cellStyle name="Обычный 8 2 2 3 3 6" xfId="12389"/>
    <cellStyle name="Обычный 8 2 2 3 4" xfId="3895"/>
    <cellStyle name="Обычный 8 2 2 3 4 2" xfId="12390"/>
    <cellStyle name="Обычный 8 2 2 3 4 3" xfId="12391"/>
    <cellStyle name="Обычный 8 2 2 3 4 4" xfId="12392"/>
    <cellStyle name="Обычный 8 2 2 3 4 5" xfId="12393"/>
    <cellStyle name="Обычный 8 2 2 3 4 6" xfId="12394"/>
    <cellStyle name="Обычный 8 2 2 3 5" xfId="12395"/>
    <cellStyle name="Обычный 8 2 2 3 6" xfId="12396"/>
    <cellStyle name="Обычный 8 2 2 3 7" xfId="12397"/>
    <cellStyle name="Обычный 8 2 2 3 8" xfId="12398"/>
    <cellStyle name="Обычный 8 2 2 3 9" xfId="12399"/>
    <cellStyle name="Обычный 8 2 2 4" xfId="3896"/>
    <cellStyle name="Обычный 8 2 2 4 2" xfId="12400"/>
    <cellStyle name="Обычный 8 2 2 4 3" xfId="12401"/>
    <cellStyle name="Обычный 8 2 2 4 4" xfId="12402"/>
    <cellStyle name="Обычный 8 2 2 4 5" xfId="12403"/>
    <cellStyle name="Обычный 8 2 2 4 6" xfId="12404"/>
    <cellStyle name="Обычный 8 2 2 5" xfId="3897"/>
    <cellStyle name="Обычный 8 2 2 5 2" xfId="12405"/>
    <cellStyle name="Обычный 8 2 2 5 3" xfId="12406"/>
    <cellStyle name="Обычный 8 2 2 5 4" xfId="12407"/>
    <cellStyle name="Обычный 8 2 2 5 5" xfId="12408"/>
    <cellStyle name="Обычный 8 2 2 5 6" xfId="12409"/>
    <cellStyle name="Обычный 8 2 2 6" xfId="3898"/>
    <cellStyle name="Обычный 8 2 2 6 2" xfId="12410"/>
    <cellStyle name="Обычный 8 2 2 6 3" xfId="12411"/>
    <cellStyle name="Обычный 8 2 2 6 4" xfId="12412"/>
    <cellStyle name="Обычный 8 2 2 6 5" xfId="12413"/>
    <cellStyle name="Обычный 8 2 2 6 6" xfId="12414"/>
    <cellStyle name="Обычный 8 2 2 7" xfId="12415"/>
    <cellStyle name="Обычный 8 2 2 8" xfId="12416"/>
    <cellStyle name="Обычный 8 2 2 9" xfId="12417"/>
    <cellStyle name="Обычный 8 2 3" xfId="3899"/>
    <cellStyle name="Обычный 8 2 3 10" xfId="12418"/>
    <cellStyle name="Обычный 8 2 3 2" xfId="3900"/>
    <cellStyle name="Обычный 8 2 3 2 2" xfId="3901"/>
    <cellStyle name="Обычный 8 2 3 2 2 2" xfId="12419"/>
    <cellStyle name="Обычный 8 2 3 2 2 3" xfId="12420"/>
    <cellStyle name="Обычный 8 2 3 2 2 4" xfId="12421"/>
    <cellStyle name="Обычный 8 2 3 2 2 5" xfId="12422"/>
    <cellStyle name="Обычный 8 2 3 2 2 6" xfId="12423"/>
    <cellStyle name="Обычный 8 2 3 2 3" xfId="3902"/>
    <cellStyle name="Обычный 8 2 3 2 3 2" xfId="12424"/>
    <cellStyle name="Обычный 8 2 3 2 3 3" xfId="12425"/>
    <cellStyle name="Обычный 8 2 3 2 3 4" xfId="12426"/>
    <cellStyle name="Обычный 8 2 3 2 3 5" xfId="12427"/>
    <cellStyle name="Обычный 8 2 3 2 3 6" xfId="12428"/>
    <cellStyle name="Обычный 8 2 3 2 4" xfId="3903"/>
    <cellStyle name="Обычный 8 2 3 2 4 2" xfId="12429"/>
    <cellStyle name="Обычный 8 2 3 2 4 3" xfId="12430"/>
    <cellStyle name="Обычный 8 2 3 2 4 4" xfId="12431"/>
    <cellStyle name="Обычный 8 2 3 2 4 5" xfId="12432"/>
    <cellStyle name="Обычный 8 2 3 2 4 6" xfId="12433"/>
    <cellStyle name="Обычный 8 2 3 2 5" xfId="12434"/>
    <cellStyle name="Обычный 8 2 3 2 6" xfId="12435"/>
    <cellStyle name="Обычный 8 2 3 2 7" xfId="12436"/>
    <cellStyle name="Обычный 8 2 3 2 8" xfId="12437"/>
    <cellStyle name="Обычный 8 2 3 2 9" xfId="12438"/>
    <cellStyle name="Обычный 8 2 3 3" xfId="3904"/>
    <cellStyle name="Обычный 8 2 3 3 2" xfId="12439"/>
    <cellStyle name="Обычный 8 2 3 3 3" xfId="12440"/>
    <cellStyle name="Обычный 8 2 3 3 4" xfId="12441"/>
    <cellStyle name="Обычный 8 2 3 3 5" xfId="12442"/>
    <cellStyle name="Обычный 8 2 3 3 6" xfId="12443"/>
    <cellStyle name="Обычный 8 2 3 4" xfId="3905"/>
    <cellStyle name="Обычный 8 2 3 4 2" xfId="12444"/>
    <cellStyle name="Обычный 8 2 3 4 3" xfId="12445"/>
    <cellStyle name="Обычный 8 2 3 4 4" xfId="12446"/>
    <cellStyle name="Обычный 8 2 3 4 5" xfId="12447"/>
    <cellStyle name="Обычный 8 2 3 4 6" xfId="12448"/>
    <cellStyle name="Обычный 8 2 3 5" xfId="3906"/>
    <cellStyle name="Обычный 8 2 3 5 2" xfId="12449"/>
    <cellStyle name="Обычный 8 2 3 5 3" xfId="12450"/>
    <cellStyle name="Обычный 8 2 3 5 4" xfId="12451"/>
    <cellStyle name="Обычный 8 2 3 5 5" xfId="12452"/>
    <cellStyle name="Обычный 8 2 3 5 6" xfId="12453"/>
    <cellStyle name="Обычный 8 2 3 6" xfId="12454"/>
    <cellStyle name="Обычный 8 2 3 7" xfId="12455"/>
    <cellStyle name="Обычный 8 2 3 8" xfId="12456"/>
    <cellStyle name="Обычный 8 2 3 9" xfId="12457"/>
    <cellStyle name="Обычный 8 2 4" xfId="3907"/>
    <cellStyle name="Обычный 8 2 4 2" xfId="3908"/>
    <cellStyle name="Обычный 8 2 4 2 2" xfId="3909"/>
    <cellStyle name="Обычный 8 2 4 3" xfId="3910"/>
    <cellStyle name="Обычный 8 2 5" xfId="3911"/>
    <cellStyle name="Обычный 8 2 5 2" xfId="3912"/>
    <cellStyle name="Обычный 8 2 5 2 2" xfId="12458"/>
    <cellStyle name="Обычный 8 2 5 2 3" xfId="12459"/>
    <cellStyle name="Обычный 8 2 5 2 4" xfId="12460"/>
    <cellStyle name="Обычный 8 2 5 2 5" xfId="12461"/>
    <cellStyle name="Обычный 8 2 5 2 6" xfId="12462"/>
    <cellStyle name="Обычный 8 2 5 3" xfId="3913"/>
    <cellStyle name="Обычный 8 2 5 3 2" xfId="12463"/>
    <cellStyle name="Обычный 8 2 5 3 3" xfId="12464"/>
    <cellStyle name="Обычный 8 2 5 3 4" xfId="12465"/>
    <cellStyle name="Обычный 8 2 5 3 5" xfId="12466"/>
    <cellStyle name="Обычный 8 2 5 3 6" xfId="12467"/>
    <cellStyle name="Обычный 8 2 5 4" xfId="3914"/>
    <cellStyle name="Обычный 8 2 5 4 2" xfId="12468"/>
    <cellStyle name="Обычный 8 2 5 4 3" xfId="12469"/>
    <cellStyle name="Обычный 8 2 5 4 4" xfId="12470"/>
    <cellStyle name="Обычный 8 2 5 4 5" xfId="12471"/>
    <cellStyle name="Обычный 8 2 5 4 6" xfId="12472"/>
    <cellStyle name="Обычный 8 2 5 5" xfId="12473"/>
    <cellStyle name="Обычный 8 2 5 6" xfId="12474"/>
    <cellStyle name="Обычный 8 2 5 7" xfId="12475"/>
    <cellStyle name="Обычный 8 2 5 8" xfId="12476"/>
    <cellStyle name="Обычный 8 2 5 9" xfId="12477"/>
    <cellStyle name="Обычный 8 2 6" xfId="3915"/>
    <cellStyle name="Обычный 8 2 6 2" xfId="12478"/>
    <cellStyle name="Обычный 8 2 6 3" xfId="12479"/>
    <cellStyle name="Обычный 8 2 6 4" xfId="12480"/>
    <cellStyle name="Обычный 8 2 6 5" xfId="12481"/>
    <cellStyle name="Обычный 8 2 6 6" xfId="12482"/>
    <cellStyle name="Обычный 8 2 7" xfId="3916"/>
    <cellStyle name="Обычный 8 2 7 2" xfId="12483"/>
    <cellStyle name="Обычный 8 2 7 3" xfId="12484"/>
    <cellStyle name="Обычный 8 2 7 4" xfId="12485"/>
    <cellStyle name="Обычный 8 2 7 5" xfId="12486"/>
    <cellStyle name="Обычный 8 2 7 6" xfId="12487"/>
    <cellStyle name="Обычный 8 2 8" xfId="3917"/>
    <cellStyle name="Обычный 8 2 8 2" xfId="12488"/>
    <cellStyle name="Обычный 8 2 8 3" xfId="12489"/>
    <cellStyle name="Обычный 8 2 8 4" xfId="12490"/>
    <cellStyle name="Обычный 8 2 8 5" xfId="12491"/>
    <cellStyle name="Обычный 8 2 8 6" xfId="12492"/>
    <cellStyle name="Обычный 8 2 9" xfId="5342"/>
    <cellStyle name="Обычный 8 3" xfId="3918"/>
    <cellStyle name="Обычный 8 3 2" xfId="3919"/>
    <cellStyle name="Обычный 8 3 3" xfId="3920"/>
    <cellStyle name="Обычный 8 3 3 2" xfId="3921"/>
    <cellStyle name="Обычный 8 3 3 2 2" xfId="12493"/>
    <cellStyle name="Обычный 8 3 3 2 3" xfId="12494"/>
    <cellStyle name="Обычный 8 3 3 2 4" xfId="12495"/>
    <cellStyle name="Обычный 8 3 3 2 5" xfId="12496"/>
    <cellStyle name="Обычный 8 3 3 2 6" xfId="12497"/>
    <cellStyle name="Обычный 8 3 3 3" xfId="3922"/>
    <cellStyle name="Обычный 8 3 3 3 2" xfId="12498"/>
    <cellStyle name="Обычный 8 3 3 3 3" xfId="12499"/>
    <cellStyle name="Обычный 8 3 3 3 4" xfId="12500"/>
    <cellStyle name="Обычный 8 3 3 3 5" xfId="12501"/>
    <cellStyle name="Обычный 8 3 3 3 6" xfId="12502"/>
    <cellStyle name="Обычный 8 3 3 4" xfId="3923"/>
    <cellStyle name="Обычный 8 3 3 4 2" xfId="12503"/>
    <cellStyle name="Обычный 8 3 3 4 3" xfId="12504"/>
    <cellStyle name="Обычный 8 3 3 4 4" xfId="12505"/>
    <cellStyle name="Обычный 8 3 3 4 5" xfId="12506"/>
    <cellStyle name="Обычный 8 3 3 4 6" xfId="12507"/>
    <cellStyle name="Обычный 8 3 3 5" xfId="12508"/>
    <cellStyle name="Обычный 8 3 3 6" xfId="12509"/>
    <cellStyle name="Обычный 8 3 3 7" xfId="12510"/>
    <cellStyle name="Обычный 8 3 3 8" xfId="12511"/>
    <cellStyle name="Обычный 8 3 3 9" xfId="12512"/>
    <cellStyle name="Обычный 8 3 4" xfId="5343"/>
    <cellStyle name="Обычный 8 4" xfId="3924"/>
    <cellStyle name="Обычный 8 4 10" xfId="12513"/>
    <cellStyle name="Обычный 8 4 11" xfId="12514"/>
    <cellStyle name="Обычный 8 4 2" xfId="3925"/>
    <cellStyle name="Обычный 8 4 2 10" xfId="12515"/>
    <cellStyle name="Обычный 8 4 2 2" xfId="3926"/>
    <cellStyle name="Обычный 8 4 2 2 2" xfId="3927"/>
    <cellStyle name="Обычный 8 4 2 2 2 2" xfId="12516"/>
    <cellStyle name="Обычный 8 4 2 2 2 3" xfId="12517"/>
    <cellStyle name="Обычный 8 4 2 2 2 4" xfId="12518"/>
    <cellStyle name="Обычный 8 4 2 2 2 5" xfId="12519"/>
    <cellStyle name="Обычный 8 4 2 2 2 6" xfId="12520"/>
    <cellStyle name="Обычный 8 4 2 2 3" xfId="3928"/>
    <cellStyle name="Обычный 8 4 2 2 3 2" xfId="12521"/>
    <cellStyle name="Обычный 8 4 2 2 3 3" xfId="12522"/>
    <cellStyle name="Обычный 8 4 2 2 3 4" xfId="12523"/>
    <cellStyle name="Обычный 8 4 2 2 3 5" xfId="12524"/>
    <cellStyle name="Обычный 8 4 2 2 3 6" xfId="12525"/>
    <cellStyle name="Обычный 8 4 2 2 4" xfId="3929"/>
    <cellStyle name="Обычный 8 4 2 2 4 2" xfId="12526"/>
    <cellStyle name="Обычный 8 4 2 2 4 3" xfId="12527"/>
    <cellStyle name="Обычный 8 4 2 2 4 4" xfId="12528"/>
    <cellStyle name="Обычный 8 4 2 2 4 5" xfId="12529"/>
    <cellStyle name="Обычный 8 4 2 2 4 6" xfId="12530"/>
    <cellStyle name="Обычный 8 4 2 2 5" xfId="12531"/>
    <cellStyle name="Обычный 8 4 2 2 6" xfId="12532"/>
    <cellStyle name="Обычный 8 4 2 2 7" xfId="12533"/>
    <cellStyle name="Обычный 8 4 2 2 8" xfId="12534"/>
    <cellStyle name="Обычный 8 4 2 2 9" xfId="12535"/>
    <cellStyle name="Обычный 8 4 2 3" xfId="3930"/>
    <cellStyle name="Обычный 8 4 2 3 2" xfId="12536"/>
    <cellStyle name="Обычный 8 4 2 3 3" xfId="12537"/>
    <cellStyle name="Обычный 8 4 2 3 4" xfId="12538"/>
    <cellStyle name="Обычный 8 4 2 3 5" xfId="12539"/>
    <cellStyle name="Обычный 8 4 2 3 6" xfId="12540"/>
    <cellStyle name="Обычный 8 4 2 4" xfId="3931"/>
    <cellStyle name="Обычный 8 4 2 4 2" xfId="12541"/>
    <cellStyle name="Обычный 8 4 2 4 3" xfId="12542"/>
    <cellStyle name="Обычный 8 4 2 4 4" xfId="12543"/>
    <cellStyle name="Обычный 8 4 2 4 5" xfId="12544"/>
    <cellStyle name="Обычный 8 4 2 4 6" xfId="12545"/>
    <cellStyle name="Обычный 8 4 2 5" xfId="3932"/>
    <cellStyle name="Обычный 8 4 2 5 2" xfId="12546"/>
    <cellStyle name="Обычный 8 4 2 5 3" xfId="12547"/>
    <cellStyle name="Обычный 8 4 2 5 4" xfId="12548"/>
    <cellStyle name="Обычный 8 4 2 5 5" xfId="12549"/>
    <cellStyle name="Обычный 8 4 2 5 6" xfId="12550"/>
    <cellStyle name="Обычный 8 4 2 6" xfId="12551"/>
    <cellStyle name="Обычный 8 4 2 7" xfId="12552"/>
    <cellStyle name="Обычный 8 4 2 8" xfId="12553"/>
    <cellStyle name="Обычный 8 4 2 9" xfId="12554"/>
    <cellStyle name="Обычный 8 4 3" xfId="3933"/>
    <cellStyle name="Обычный 8 4 3 2" xfId="3934"/>
    <cellStyle name="Обычный 8 4 3 2 2" xfId="12555"/>
    <cellStyle name="Обычный 8 4 3 2 3" xfId="12556"/>
    <cellStyle name="Обычный 8 4 3 2 4" xfId="12557"/>
    <cellStyle name="Обычный 8 4 3 2 5" xfId="12558"/>
    <cellStyle name="Обычный 8 4 3 2 6" xfId="12559"/>
    <cellStyle name="Обычный 8 4 3 3" xfId="3935"/>
    <cellStyle name="Обычный 8 4 3 3 2" xfId="12560"/>
    <cellStyle name="Обычный 8 4 3 3 3" xfId="12561"/>
    <cellStyle name="Обычный 8 4 3 3 4" xfId="12562"/>
    <cellStyle name="Обычный 8 4 3 3 5" xfId="12563"/>
    <cellStyle name="Обычный 8 4 3 3 6" xfId="12564"/>
    <cellStyle name="Обычный 8 4 3 4" xfId="3936"/>
    <cellStyle name="Обычный 8 4 3 4 2" xfId="12565"/>
    <cellStyle name="Обычный 8 4 3 4 3" xfId="12566"/>
    <cellStyle name="Обычный 8 4 3 4 4" xfId="12567"/>
    <cellStyle name="Обычный 8 4 3 4 5" xfId="12568"/>
    <cellStyle name="Обычный 8 4 3 4 6" xfId="12569"/>
    <cellStyle name="Обычный 8 4 3 5" xfId="12570"/>
    <cellStyle name="Обычный 8 4 3 6" xfId="12571"/>
    <cellStyle name="Обычный 8 4 3 7" xfId="12572"/>
    <cellStyle name="Обычный 8 4 3 8" xfId="12573"/>
    <cellStyle name="Обычный 8 4 3 9" xfId="12574"/>
    <cellStyle name="Обычный 8 4 4" xfId="3937"/>
    <cellStyle name="Обычный 8 4 4 2" xfId="12575"/>
    <cellStyle name="Обычный 8 4 4 3" xfId="12576"/>
    <cellStyle name="Обычный 8 4 4 4" xfId="12577"/>
    <cellStyle name="Обычный 8 4 4 5" xfId="12578"/>
    <cellStyle name="Обычный 8 4 4 6" xfId="12579"/>
    <cellStyle name="Обычный 8 4 5" xfId="3938"/>
    <cellStyle name="Обычный 8 4 5 2" xfId="12580"/>
    <cellStyle name="Обычный 8 4 5 3" xfId="12581"/>
    <cellStyle name="Обычный 8 4 5 4" xfId="12582"/>
    <cellStyle name="Обычный 8 4 5 5" xfId="12583"/>
    <cellStyle name="Обычный 8 4 5 6" xfId="12584"/>
    <cellStyle name="Обычный 8 4 6" xfId="3939"/>
    <cellStyle name="Обычный 8 4 6 2" xfId="12585"/>
    <cellStyle name="Обычный 8 4 6 3" xfId="12586"/>
    <cellStyle name="Обычный 8 4 6 4" xfId="12587"/>
    <cellStyle name="Обычный 8 4 6 5" xfId="12588"/>
    <cellStyle name="Обычный 8 4 6 6" xfId="12589"/>
    <cellStyle name="Обычный 8 4 7" xfId="12590"/>
    <cellStyle name="Обычный 8 4 8" xfId="12591"/>
    <cellStyle name="Обычный 8 4 9" xfId="12592"/>
    <cellStyle name="Обычный 8 5" xfId="3940"/>
    <cellStyle name="Обычный 8 5 2" xfId="3941"/>
    <cellStyle name="Обычный 8 6" xfId="3942"/>
    <cellStyle name="Обычный 8 6 2" xfId="12593"/>
    <cellStyle name="Обычный 8 6 3" xfId="12594"/>
    <cellStyle name="Обычный 8 6 4" xfId="12595"/>
    <cellStyle name="Обычный 8 6 5" xfId="12596"/>
    <cellStyle name="Обычный 8 6 6" xfId="12597"/>
    <cellStyle name="Обычный 8 7" xfId="5344"/>
    <cellStyle name="Обычный 80" xfId="5345"/>
    <cellStyle name="Обычный 80 2" xfId="3943"/>
    <cellStyle name="Обычный 80 2 2" xfId="12598"/>
    <cellStyle name="Обычный 80 2 3" xfId="12599"/>
    <cellStyle name="Обычный 80 2 4" xfId="12600"/>
    <cellStyle name="Обычный 80 2 5" xfId="12601"/>
    <cellStyle name="Обычный 81" xfId="5346"/>
    <cellStyle name="Обычный 82" xfId="5347"/>
    <cellStyle name="Обычный 83" xfId="5348"/>
    <cellStyle name="Обычный 83 2" xfId="5349"/>
    <cellStyle name="Обычный 84" xfId="5688"/>
    <cellStyle name="Обычный 9" xfId="3944"/>
    <cellStyle name="Обычный 9 10" xfId="3945"/>
    <cellStyle name="Обычный 9 10 2" xfId="12602"/>
    <cellStyle name="Обычный 9 10 3" xfId="12603"/>
    <cellStyle name="Обычный 9 10 4" xfId="12604"/>
    <cellStyle name="Обычный 9 10 5" xfId="12605"/>
    <cellStyle name="Обычный 9 10 6" xfId="12606"/>
    <cellStyle name="Обычный 9 11" xfId="12607"/>
    <cellStyle name="Обычный 9 12" xfId="12608"/>
    <cellStyle name="Обычный 9 13" xfId="12609"/>
    <cellStyle name="Обычный 9 14" xfId="12610"/>
    <cellStyle name="Обычный 9 15" xfId="12611"/>
    <cellStyle name="Обычный 9 2" xfId="3946"/>
    <cellStyle name="Обычный 9 2 2" xfId="3947"/>
    <cellStyle name="Обычный 9 2 2 10" xfId="12612"/>
    <cellStyle name="Обычный 9 2 2 11" xfId="12613"/>
    <cellStyle name="Обычный 9 2 2 12" xfId="12614"/>
    <cellStyle name="Обычный 9 2 2 2" xfId="3948"/>
    <cellStyle name="Обычный 9 2 2 2 10" xfId="12615"/>
    <cellStyle name="Обычный 9 2 2 2 2" xfId="3949"/>
    <cellStyle name="Обычный 9 2 2 2 2 2" xfId="3950"/>
    <cellStyle name="Обычный 9 2 2 2 2 2 2" xfId="12616"/>
    <cellStyle name="Обычный 9 2 2 2 2 2 3" xfId="12617"/>
    <cellStyle name="Обычный 9 2 2 2 2 2 4" xfId="12618"/>
    <cellStyle name="Обычный 9 2 2 2 2 2 5" xfId="12619"/>
    <cellStyle name="Обычный 9 2 2 2 2 2 6" xfId="12620"/>
    <cellStyle name="Обычный 9 2 2 2 2 3" xfId="3951"/>
    <cellStyle name="Обычный 9 2 2 2 2 3 2" xfId="12621"/>
    <cellStyle name="Обычный 9 2 2 2 2 3 3" xfId="12622"/>
    <cellStyle name="Обычный 9 2 2 2 2 3 4" xfId="12623"/>
    <cellStyle name="Обычный 9 2 2 2 2 3 5" xfId="12624"/>
    <cellStyle name="Обычный 9 2 2 2 2 3 6" xfId="12625"/>
    <cellStyle name="Обычный 9 2 2 2 2 4" xfId="3952"/>
    <cellStyle name="Обычный 9 2 2 2 2 4 2" xfId="12626"/>
    <cellStyle name="Обычный 9 2 2 2 2 4 3" xfId="12627"/>
    <cellStyle name="Обычный 9 2 2 2 2 4 4" xfId="12628"/>
    <cellStyle name="Обычный 9 2 2 2 2 4 5" xfId="12629"/>
    <cellStyle name="Обычный 9 2 2 2 2 4 6" xfId="12630"/>
    <cellStyle name="Обычный 9 2 2 2 2 5" xfId="12631"/>
    <cellStyle name="Обычный 9 2 2 2 2 6" xfId="12632"/>
    <cellStyle name="Обычный 9 2 2 2 2 7" xfId="12633"/>
    <cellStyle name="Обычный 9 2 2 2 2 8" xfId="12634"/>
    <cellStyle name="Обычный 9 2 2 2 2 9" xfId="12635"/>
    <cellStyle name="Обычный 9 2 2 2 3" xfId="3953"/>
    <cellStyle name="Обычный 9 2 2 2 3 2" xfId="12636"/>
    <cellStyle name="Обычный 9 2 2 2 3 3" xfId="12637"/>
    <cellStyle name="Обычный 9 2 2 2 3 4" xfId="12638"/>
    <cellStyle name="Обычный 9 2 2 2 3 5" xfId="12639"/>
    <cellStyle name="Обычный 9 2 2 2 3 6" xfId="12640"/>
    <cellStyle name="Обычный 9 2 2 2 4" xfId="3954"/>
    <cellStyle name="Обычный 9 2 2 2 4 2" xfId="12641"/>
    <cellStyle name="Обычный 9 2 2 2 4 3" xfId="12642"/>
    <cellStyle name="Обычный 9 2 2 2 4 4" xfId="12643"/>
    <cellStyle name="Обычный 9 2 2 2 4 5" xfId="12644"/>
    <cellStyle name="Обычный 9 2 2 2 4 6" xfId="12645"/>
    <cellStyle name="Обычный 9 2 2 2 5" xfId="3955"/>
    <cellStyle name="Обычный 9 2 2 2 5 2" xfId="12646"/>
    <cellStyle name="Обычный 9 2 2 2 5 3" xfId="12647"/>
    <cellStyle name="Обычный 9 2 2 2 5 4" xfId="12648"/>
    <cellStyle name="Обычный 9 2 2 2 5 5" xfId="12649"/>
    <cellStyle name="Обычный 9 2 2 2 5 6" xfId="12650"/>
    <cellStyle name="Обычный 9 2 2 2 6" xfId="12651"/>
    <cellStyle name="Обычный 9 2 2 2 7" xfId="12652"/>
    <cellStyle name="Обычный 9 2 2 2 8" xfId="12653"/>
    <cellStyle name="Обычный 9 2 2 2 9" xfId="12654"/>
    <cellStyle name="Обычный 9 2 2 3" xfId="3956"/>
    <cellStyle name="Обычный 9 2 2 3 2" xfId="3957"/>
    <cellStyle name="Обычный 9 2 2 3 2 2" xfId="3958"/>
    <cellStyle name="Обычный 9 2 2 3 3" xfId="3959"/>
    <cellStyle name="Обычный 9 2 2 4" xfId="3960"/>
    <cellStyle name="Обычный 9 2 2 4 2" xfId="3961"/>
    <cellStyle name="Обычный 9 2 2 4 2 2" xfId="12655"/>
    <cellStyle name="Обычный 9 2 2 4 2 3" xfId="12656"/>
    <cellStyle name="Обычный 9 2 2 4 2 4" xfId="12657"/>
    <cellStyle name="Обычный 9 2 2 4 2 5" xfId="12658"/>
    <cellStyle name="Обычный 9 2 2 4 2 6" xfId="12659"/>
    <cellStyle name="Обычный 9 2 2 4 3" xfId="3962"/>
    <cellStyle name="Обычный 9 2 2 4 3 2" xfId="12660"/>
    <cellStyle name="Обычный 9 2 2 4 3 3" xfId="12661"/>
    <cellStyle name="Обычный 9 2 2 4 3 4" xfId="12662"/>
    <cellStyle name="Обычный 9 2 2 4 3 5" xfId="12663"/>
    <cellStyle name="Обычный 9 2 2 4 3 6" xfId="12664"/>
    <cellStyle name="Обычный 9 2 2 4 4" xfId="3963"/>
    <cellStyle name="Обычный 9 2 2 4 4 2" xfId="12665"/>
    <cellStyle name="Обычный 9 2 2 4 4 3" xfId="12666"/>
    <cellStyle name="Обычный 9 2 2 4 4 4" xfId="12667"/>
    <cellStyle name="Обычный 9 2 2 4 4 5" xfId="12668"/>
    <cellStyle name="Обычный 9 2 2 4 4 6" xfId="12669"/>
    <cellStyle name="Обычный 9 2 2 4 5" xfId="12670"/>
    <cellStyle name="Обычный 9 2 2 4 6" xfId="12671"/>
    <cellStyle name="Обычный 9 2 2 4 7" xfId="12672"/>
    <cellStyle name="Обычный 9 2 2 4 8" xfId="12673"/>
    <cellStyle name="Обычный 9 2 2 4 9" xfId="12674"/>
    <cellStyle name="Обычный 9 2 2 5" xfId="3964"/>
    <cellStyle name="Обычный 9 2 2 5 2" xfId="12675"/>
    <cellStyle name="Обычный 9 2 2 5 3" xfId="12676"/>
    <cellStyle name="Обычный 9 2 2 5 4" xfId="12677"/>
    <cellStyle name="Обычный 9 2 2 5 5" xfId="12678"/>
    <cellStyle name="Обычный 9 2 2 5 6" xfId="12679"/>
    <cellStyle name="Обычный 9 2 2 6" xfId="3965"/>
    <cellStyle name="Обычный 9 2 2 6 2" xfId="12680"/>
    <cellStyle name="Обычный 9 2 2 6 3" xfId="12681"/>
    <cellStyle name="Обычный 9 2 2 6 4" xfId="12682"/>
    <cellStyle name="Обычный 9 2 2 6 5" xfId="12683"/>
    <cellStyle name="Обычный 9 2 2 6 6" xfId="12684"/>
    <cellStyle name="Обычный 9 2 2 7" xfId="3966"/>
    <cellStyle name="Обычный 9 2 2 7 2" xfId="12685"/>
    <cellStyle name="Обычный 9 2 2 7 3" xfId="12686"/>
    <cellStyle name="Обычный 9 2 2 7 4" xfId="12687"/>
    <cellStyle name="Обычный 9 2 2 7 5" xfId="12688"/>
    <cellStyle name="Обычный 9 2 2 7 6" xfId="12689"/>
    <cellStyle name="Обычный 9 2 2 8" xfId="12690"/>
    <cellStyle name="Обычный 9 2 2 9" xfId="12691"/>
    <cellStyle name="Обычный 9 2 3" xfId="3967"/>
    <cellStyle name="Обычный 9 2 4" xfId="3968"/>
    <cellStyle name="Обычный 9 2 4 2" xfId="3969"/>
    <cellStyle name="Обычный 9 2 4 2 2" xfId="12692"/>
    <cellStyle name="Обычный 9 2 4 2 3" xfId="12693"/>
    <cellStyle name="Обычный 9 2 4 2 4" xfId="12694"/>
    <cellStyle name="Обычный 9 2 4 2 5" xfId="12695"/>
    <cellStyle name="Обычный 9 2 4 2 6" xfId="12696"/>
    <cellStyle name="Обычный 9 2 4 3" xfId="3970"/>
    <cellStyle name="Обычный 9 2 4 3 2" xfId="12697"/>
    <cellStyle name="Обычный 9 2 4 3 3" xfId="12698"/>
    <cellStyle name="Обычный 9 2 4 3 4" xfId="12699"/>
    <cellStyle name="Обычный 9 2 4 3 5" xfId="12700"/>
    <cellStyle name="Обычный 9 2 4 3 6" xfId="12701"/>
    <cellStyle name="Обычный 9 2 4 4" xfId="3971"/>
    <cellStyle name="Обычный 9 2 4 4 2" xfId="12702"/>
    <cellStyle name="Обычный 9 2 4 4 3" xfId="12703"/>
    <cellStyle name="Обычный 9 2 4 4 4" xfId="12704"/>
    <cellStyle name="Обычный 9 2 4 4 5" xfId="12705"/>
    <cellStyle name="Обычный 9 2 4 4 6" xfId="12706"/>
    <cellStyle name="Обычный 9 2 4 5" xfId="12707"/>
    <cellStyle name="Обычный 9 2 4 6" xfId="12708"/>
    <cellStyle name="Обычный 9 2 4 7" xfId="12709"/>
    <cellStyle name="Обычный 9 2 4 8" xfId="12710"/>
    <cellStyle name="Обычный 9 2 4 9" xfId="12711"/>
    <cellStyle name="Обычный 9 2 5" xfId="3972"/>
    <cellStyle name="Обычный 9 2 5 2" xfId="3973"/>
    <cellStyle name="Обычный 9 2 6" xfId="3974"/>
    <cellStyle name="Обычный 9 2 7" xfId="5350"/>
    <cellStyle name="Обычный 9 3" xfId="3975"/>
    <cellStyle name="Обычный 9 3 2" xfId="3976"/>
    <cellStyle name="Обычный 9 3 2 2" xfId="3977"/>
    <cellStyle name="Обычный 9 3 2 2 2" xfId="3978"/>
    <cellStyle name="Обычный 9 3 2 3" xfId="3979"/>
    <cellStyle name="Обычный 9 4" xfId="3980"/>
    <cellStyle name="Обычный 9 4 10" xfId="12712"/>
    <cellStyle name="Обычный 9 4 11" xfId="12713"/>
    <cellStyle name="Обычный 9 4 2" xfId="3981"/>
    <cellStyle name="Обычный 9 4 2 10" xfId="12714"/>
    <cellStyle name="Обычный 9 4 2 2" xfId="3982"/>
    <cellStyle name="Обычный 9 4 2 2 2" xfId="3983"/>
    <cellStyle name="Обычный 9 4 2 2 2 2" xfId="12715"/>
    <cellStyle name="Обычный 9 4 2 2 2 3" xfId="12716"/>
    <cellStyle name="Обычный 9 4 2 2 2 4" xfId="12717"/>
    <cellStyle name="Обычный 9 4 2 2 2 5" xfId="12718"/>
    <cellStyle name="Обычный 9 4 2 2 2 6" xfId="12719"/>
    <cellStyle name="Обычный 9 4 2 2 3" xfId="3984"/>
    <cellStyle name="Обычный 9 4 2 2 3 2" xfId="12720"/>
    <cellStyle name="Обычный 9 4 2 2 3 3" xfId="12721"/>
    <cellStyle name="Обычный 9 4 2 2 3 4" xfId="12722"/>
    <cellStyle name="Обычный 9 4 2 2 3 5" xfId="12723"/>
    <cellStyle name="Обычный 9 4 2 2 3 6" xfId="12724"/>
    <cellStyle name="Обычный 9 4 2 2 4" xfId="3985"/>
    <cellStyle name="Обычный 9 4 2 2 4 2" xfId="12725"/>
    <cellStyle name="Обычный 9 4 2 2 4 3" xfId="12726"/>
    <cellStyle name="Обычный 9 4 2 2 4 4" xfId="12727"/>
    <cellStyle name="Обычный 9 4 2 2 4 5" xfId="12728"/>
    <cellStyle name="Обычный 9 4 2 2 4 6" xfId="12729"/>
    <cellStyle name="Обычный 9 4 2 2 5" xfId="12730"/>
    <cellStyle name="Обычный 9 4 2 2 6" xfId="12731"/>
    <cellStyle name="Обычный 9 4 2 2 7" xfId="12732"/>
    <cellStyle name="Обычный 9 4 2 2 8" xfId="12733"/>
    <cellStyle name="Обычный 9 4 2 2 9" xfId="12734"/>
    <cellStyle name="Обычный 9 4 2 3" xfId="3986"/>
    <cellStyle name="Обычный 9 4 2 3 2" xfId="12735"/>
    <cellStyle name="Обычный 9 4 2 3 3" xfId="12736"/>
    <cellStyle name="Обычный 9 4 2 3 4" xfId="12737"/>
    <cellStyle name="Обычный 9 4 2 3 5" xfId="12738"/>
    <cellStyle name="Обычный 9 4 2 3 6" xfId="12739"/>
    <cellStyle name="Обычный 9 4 2 4" xfId="3987"/>
    <cellStyle name="Обычный 9 4 2 4 2" xfId="12740"/>
    <cellStyle name="Обычный 9 4 2 4 3" xfId="12741"/>
    <cellStyle name="Обычный 9 4 2 4 4" xfId="12742"/>
    <cellStyle name="Обычный 9 4 2 4 5" xfId="12743"/>
    <cellStyle name="Обычный 9 4 2 4 6" xfId="12744"/>
    <cellStyle name="Обычный 9 4 2 5" xfId="3988"/>
    <cellStyle name="Обычный 9 4 2 5 2" xfId="12745"/>
    <cellStyle name="Обычный 9 4 2 5 3" xfId="12746"/>
    <cellStyle name="Обычный 9 4 2 5 4" xfId="12747"/>
    <cellStyle name="Обычный 9 4 2 5 5" xfId="12748"/>
    <cellStyle name="Обычный 9 4 2 5 6" xfId="12749"/>
    <cellStyle name="Обычный 9 4 2 6" xfId="12750"/>
    <cellStyle name="Обычный 9 4 2 7" xfId="12751"/>
    <cellStyle name="Обычный 9 4 2 8" xfId="12752"/>
    <cellStyle name="Обычный 9 4 2 9" xfId="12753"/>
    <cellStyle name="Обычный 9 4 3" xfId="3989"/>
    <cellStyle name="Обычный 9 4 3 2" xfId="3990"/>
    <cellStyle name="Обычный 9 4 3 2 2" xfId="12754"/>
    <cellStyle name="Обычный 9 4 3 2 3" xfId="12755"/>
    <cellStyle name="Обычный 9 4 3 2 4" xfId="12756"/>
    <cellStyle name="Обычный 9 4 3 2 5" xfId="12757"/>
    <cellStyle name="Обычный 9 4 3 2 6" xfId="12758"/>
    <cellStyle name="Обычный 9 4 3 3" xfId="3991"/>
    <cellStyle name="Обычный 9 4 3 3 2" xfId="12759"/>
    <cellStyle name="Обычный 9 4 3 3 3" xfId="12760"/>
    <cellStyle name="Обычный 9 4 3 3 4" xfId="12761"/>
    <cellStyle name="Обычный 9 4 3 3 5" xfId="12762"/>
    <cellStyle name="Обычный 9 4 3 3 6" xfId="12763"/>
    <cellStyle name="Обычный 9 4 3 4" xfId="3992"/>
    <cellStyle name="Обычный 9 4 3 4 2" xfId="12764"/>
    <cellStyle name="Обычный 9 4 3 4 3" xfId="12765"/>
    <cellStyle name="Обычный 9 4 3 4 4" xfId="12766"/>
    <cellStyle name="Обычный 9 4 3 4 5" xfId="12767"/>
    <cellStyle name="Обычный 9 4 3 4 6" xfId="12768"/>
    <cellStyle name="Обычный 9 4 3 5" xfId="12769"/>
    <cellStyle name="Обычный 9 4 3 6" xfId="12770"/>
    <cellStyle name="Обычный 9 4 3 7" xfId="12771"/>
    <cellStyle name="Обычный 9 4 3 8" xfId="12772"/>
    <cellStyle name="Обычный 9 4 3 9" xfId="12773"/>
    <cellStyle name="Обычный 9 4 4" xfId="3993"/>
    <cellStyle name="Обычный 9 4 4 2" xfId="12774"/>
    <cellStyle name="Обычный 9 4 4 3" xfId="12775"/>
    <cellStyle name="Обычный 9 4 4 4" xfId="12776"/>
    <cellStyle name="Обычный 9 4 4 5" xfId="12777"/>
    <cellStyle name="Обычный 9 4 4 6" xfId="12778"/>
    <cellStyle name="Обычный 9 4 5" xfId="3994"/>
    <cellStyle name="Обычный 9 4 5 2" xfId="12779"/>
    <cellStyle name="Обычный 9 4 5 3" xfId="12780"/>
    <cellStyle name="Обычный 9 4 5 4" xfId="12781"/>
    <cellStyle name="Обычный 9 4 5 5" xfId="12782"/>
    <cellStyle name="Обычный 9 4 5 6" xfId="12783"/>
    <cellStyle name="Обычный 9 4 6" xfId="3995"/>
    <cellStyle name="Обычный 9 4 6 2" xfId="12784"/>
    <cellStyle name="Обычный 9 4 6 3" xfId="12785"/>
    <cellStyle name="Обычный 9 4 6 4" xfId="12786"/>
    <cellStyle name="Обычный 9 4 6 5" xfId="12787"/>
    <cellStyle name="Обычный 9 4 6 6" xfId="12788"/>
    <cellStyle name="Обычный 9 4 7" xfId="12789"/>
    <cellStyle name="Обычный 9 4 8" xfId="12790"/>
    <cellStyle name="Обычный 9 4 9" xfId="12791"/>
    <cellStyle name="Обычный 9 5" xfId="3996"/>
    <cellStyle name="Обычный 9 5 10" xfId="12792"/>
    <cellStyle name="Обычный 9 5 2" xfId="3997"/>
    <cellStyle name="Обычный 9 5 2 2" xfId="3998"/>
    <cellStyle name="Обычный 9 5 2 2 2" xfId="12793"/>
    <cellStyle name="Обычный 9 5 2 2 3" xfId="12794"/>
    <cellStyle name="Обычный 9 5 2 2 4" xfId="12795"/>
    <cellStyle name="Обычный 9 5 2 2 5" xfId="12796"/>
    <cellStyle name="Обычный 9 5 2 2 6" xfId="12797"/>
    <cellStyle name="Обычный 9 5 2 3" xfId="3999"/>
    <cellStyle name="Обычный 9 5 2 3 2" xfId="12798"/>
    <cellStyle name="Обычный 9 5 2 3 3" xfId="12799"/>
    <cellStyle name="Обычный 9 5 2 3 4" xfId="12800"/>
    <cellStyle name="Обычный 9 5 2 3 5" xfId="12801"/>
    <cellStyle name="Обычный 9 5 2 3 6" xfId="12802"/>
    <cellStyle name="Обычный 9 5 2 4" xfId="4000"/>
    <cellStyle name="Обычный 9 5 2 4 2" xfId="12803"/>
    <cellStyle name="Обычный 9 5 2 4 3" xfId="12804"/>
    <cellStyle name="Обычный 9 5 2 4 4" xfId="12805"/>
    <cellStyle name="Обычный 9 5 2 4 5" xfId="12806"/>
    <cellStyle name="Обычный 9 5 2 4 6" xfId="12807"/>
    <cellStyle name="Обычный 9 5 2 5" xfId="12808"/>
    <cellStyle name="Обычный 9 5 2 6" xfId="12809"/>
    <cellStyle name="Обычный 9 5 2 7" xfId="12810"/>
    <cellStyle name="Обычный 9 5 2 8" xfId="12811"/>
    <cellStyle name="Обычный 9 5 2 9" xfId="12812"/>
    <cellStyle name="Обычный 9 5 3" xfId="4001"/>
    <cellStyle name="Обычный 9 5 3 2" xfId="12813"/>
    <cellStyle name="Обычный 9 5 3 3" xfId="12814"/>
    <cellStyle name="Обычный 9 5 3 4" xfId="12815"/>
    <cellStyle name="Обычный 9 5 3 5" xfId="12816"/>
    <cellStyle name="Обычный 9 5 3 6" xfId="12817"/>
    <cellStyle name="Обычный 9 5 4" xfId="4002"/>
    <cellStyle name="Обычный 9 5 4 2" xfId="12818"/>
    <cellStyle name="Обычный 9 5 4 3" xfId="12819"/>
    <cellStyle name="Обычный 9 5 4 4" xfId="12820"/>
    <cellStyle name="Обычный 9 5 4 5" xfId="12821"/>
    <cellStyle name="Обычный 9 5 4 6" xfId="12822"/>
    <cellStyle name="Обычный 9 5 5" xfId="4003"/>
    <cellStyle name="Обычный 9 5 5 2" xfId="12823"/>
    <cellStyle name="Обычный 9 5 5 3" xfId="12824"/>
    <cellStyle name="Обычный 9 5 5 4" xfId="12825"/>
    <cellStyle name="Обычный 9 5 5 5" xfId="12826"/>
    <cellStyle name="Обычный 9 5 5 6" xfId="12827"/>
    <cellStyle name="Обычный 9 5 6" xfId="12828"/>
    <cellStyle name="Обычный 9 5 7" xfId="12829"/>
    <cellStyle name="Обычный 9 5 8" xfId="12830"/>
    <cellStyle name="Обычный 9 5 9" xfId="12831"/>
    <cellStyle name="Обычный 9 6" xfId="4004"/>
    <cellStyle name="Обычный 9 7" xfId="4005"/>
    <cellStyle name="Обычный 9 7 2" xfId="4006"/>
    <cellStyle name="Обычный 9 7 2 2" xfId="12832"/>
    <cellStyle name="Обычный 9 7 2 3" xfId="12833"/>
    <cellStyle name="Обычный 9 7 2 4" xfId="12834"/>
    <cellStyle name="Обычный 9 7 2 5" xfId="12835"/>
    <cellStyle name="Обычный 9 7 2 6" xfId="12836"/>
    <cellStyle name="Обычный 9 7 3" xfId="4007"/>
    <cellStyle name="Обычный 9 7 3 2" xfId="12837"/>
    <cellStyle name="Обычный 9 7 3 3" xfId="12838"/>
    <cellStyle name="Обычный 9 7 3 4" xfId="12839"/>
    <cellStyle name="Обычный 9 7 3 5" xfId="12840"/>
    <cellStyle name="Обычный 9 7 3 6" xfId="12841"/>
    <cellStyle name="Обычный 9 7 4" xfId="4008"/>
    <cellStyle name="Обычный 9 7 4 2" xfId="12842"/>
    <cellStyle name="Обычный 9 7 4 3" xfId="12843"/>
    <cellStyle name="Обычный 9 7 4 4" xfId="12844"/>
    <cellStyle name="Обычный 9 7 4 5" xfId="12845"/>
    <cellStyle name="Обычный 9 7 4 6" xfId="12846"/>
    <cellStyle name="Обычный 9 7 5" xfId="12847"/>
    <cellStyle name="Обычный 9 7 6" xfId="12848"/>
    <cellStyle name="Обычный 9 7 7" xfId="12849"/>
    <cellStyle name="Обычный 9 7 8" xfId="12850"/>
    <cellStyle name="Обычный 9 7 9" xfId="12851"/>
    <cellStyle name="Обычный 9 8" xfId="4009"/>
    <cellStyle name="Обычный 9 8 2" xfId="12852"/>
    <cellStyle name="Обычный 9 8 3" xfId="12853"/>
    <cellStyle name="Обычный 9 8 4" xfId="12854"/>
    <cellStyle name="Обычный 9 8 5" xfId="12855"/>
    <cellStyle name="Обычный 9 8 6" xfId="12856"/>
    <cellStyle name="Обычный 9 9" xfId="4010"/>
    <cellStyle name="Обычный 9 9 2" xfId="12857"/>
    <cellStyle name="Обычный 9 9 3" xfId="12858"/>
    <cellStyle name="Обычный 9 9 4" xfId="12859"/>
    <cellStyle name="Обычный 9 9 5" xfId="12860"/>
    <cellStyle name="Обычный 9 9 6" xfId="12861"/>
    <cellStyle name="Обычный 9_БДР по видам деят-ти за 12 г." xfId="4011"/>
    <cellStyle name="Обычный_8.Бюджет на 2015" xfId="4666"/>
    <cellStyle name="Обычный_Лист1" xfId="4664"/>
    <cellStyle name="Обычный_Лист2" xfId="4665"/>
    <cellStyle name="Ошибка" xfId="4012"/>
    <cellStyle name="Ошибка 2" xfId="5351"/>
    <cellStyle name="Плохой 10" xfId="4013"/>
    <cellStyle name="Плохой 2" xfId="4014"/>
    <cellStyle name="Плохой 2 2" xfId="4015"/>
    <cellStyle name="Плохой 3" xfId="4016"/>
    <cellStyle name="Плохой 3 2" xfId="4017"/>
    <cellStyle name="Плохой 3 3" xfId="4018"/>
    <cellStyle name="Плохой 3 3 2" xfId="4019"/>
    <cellStyle name="Плохой 3 4" xfId="5352"/>
    <cellStyle name="Плохой 4" xfId="4020"/>
    <cellStyle name="Плохой 4 2" xfId="4021"/>
    <cellStyle name="Плохой 5" xfId="4022"/>
    <cellStyle name="Плохой 5 2" xfId="4023"/>
    <cellStyle name="Плохой 6" xfId="4024"/>
    <cellStyle name="Плохой 6 2" xfId="4025"/>
    <cellStyle name="Плохой 7" xfId="4026"/>
    <cellStyle name="Плохой 7 2" xfId="4027"/>
    <cellStyle name="Плохой 8" xfId="4028"/>
    <cellStyle name="Плохой 8 2" xfId="4029"/>
    <cellStyle name="Плохой 9" xfId="4030"/>
    <cellStyle name="Плохой 9 2" xfId="4031"/>
    <cellStyle name="По центру с переносом" xfId="4032"/>
    <cellStyle name="По ширине с переносом" xfId="4033"/>
    <cellStyle name="Подгруппа" xfId="4034"/>
    <cellStyle name="Подгруппа 2" xfId="5353"/>
    <cellStyle name="Поле ввода" xfId="4035"/>
    <cellStyle name="Пояснение 10" xfId="4036"/>
    <cellStyle name="Пояснение 2" xfId="4037"/>
    <cellStyle name="Пояснение 2 2" xfId="4038"/>
    <cellStyle name="Пояснение 3" xfId="4039"/>
    <cellStyle name="Пояснение 3 2" xfId="4040"/>
    <cellStyle name="Пояснение 3 3" xfId="4041"/>
    <cellStyle name="Пояснение 3 3 2" xfId="4042"/>
    <cellStyle name="Пояснение 3 4" xfId="5354"/>
    <cellStyle name="Пояснение 4" xfId="4043"/>
    <cellStyle name="Пояснение 4 2" xfId="4044"/>
    <cellStyle name="Пояснение 5" xfId="4045"/>
    <cellStyle name="Пояснение 5 2" xfId="4046"/>
    <cellStyle name="Пояснение 6" xfId="4047"/>
    <cellStyle name="Пояснение 6 2" xfId="4048"/>
    <cellStyle name="Пояснение 7" xfId="4049"/>
    <cellStyle name="Пояснение 7 2" xfId="4050"/>
    <cellStyle name="Пояснение 8" xfId="4051"/>
    <cellStyle name="Пояснение 8 2" xfId="4052"/>
    <cellStyle name="Пояснение 9" xfId="4053"/>
    <cellStyle name="Пояснение 9 2" xfId="4054"/>
    <cellStyle name="Примечание 10" xfId="4055"/>
    <cellStyle name="Примечание 10 2" xfId="4056"/>
    <cellStyle name="Примечание 10 2 2" xfId="4057"/>
    <cellStyle name="Примечание 10 2 2 2" xfId="5355"/>
    <cellStyle name="Примечание 10 2 3" xfId="5356"/>
    <cellStyle name="Примечание 10 2 3 2" xfId="5357"/>
    <cellStyle name="Примечание 10 2 4" xfId="5358"/>
    <cellStyle name="Примечание 10 3" xfId="4058"/>
    <cellStyle name="Примечание 10 3 2" xfId="5359"/>
    <cellStyle name="Примечание 10 4" xfId="5360"/>
    <cellStyle name="Примечание 10 4 2" xfId="5361"/>
    <cellStyle name="Примечание 10 5" xfId="5362"/>
    <cellStyle name="Примечание 10_46EE.2011(v1.0)" xfId="4059"/>
    <cellStyle name="Примечание 11" xfId="4060"/>
    <cellStyle name="Примечание 11 2" xfId="4061"/>
    <cellStyle name="Примечание 11 2 2" xfId="4062"/>
    <cellStyle name="Примечание 11 2 2 2" xfId="5363"/>
    <cellStyle name="Примечание 11 2 3" xfId="5364"/>
    <cellStyle name="Примечание 11 2 3 2" xfId="5365"/>
    <cellStyle name="Примечание 11 2 4" xfId="5366"/>
    <cellStyle name="Примечание 11 3" xfId="4063"/>
    <cellStyle name="Примечание 11 3 2" xfId="5367"/>
    <cellStyle name="Примечание 11 4" xfId="5368"/>
    <cellStyle name="Примечание 11 4 2" xfId="5369"/>
    <cellStyle name="Примечание 11 5" xfId="5370"/>
    <cellStyle name="Примечание 11_46EE.2011(v1.0)" xfId="4064"/>
    <cellStyle name="Примечание 12" xfId="4065"/>
    <cellStyle name="Примечание 12 2" xfId="4066"/>
    <cellStyle name="Примечание 12 2 2" xfId="4067"/>
    <cellStyle name="Примечание 12 2 2 2" xfId="5371"/>
    <cellStyle name="Примечание 12 2 3" xfId="5372"/>
    <cellStyle name="Примечание 12 2 3 2" xfId="5373"/>
    <cellStyle name="Примечание 12 2 4" xfId="5374"/>
    <cellStyle name="Примечание 12 3" xfId="4068"/>
    <cellStyle name="Примечание 12 3 2" xfId="5375"/>
    <cellStyle name="Примечание 12 4" xfId="5376"/>
    <cellStyle name="Примечание 12 4 2" xfId="5377"/>
    <cellStyle name="Примечание 12 5" xfId="5378"/>
    <cellStyle name="Примечание 12_46EE.2011(v1.0)" xfId="4069"/>
    <cellStyle name="Примечание 13" xfId="4070"/>
    <cellStyle name="Примечание 13 2" xfId="4071"/>
    <cellStyle name="Примечание 13 2 2" xfId="4072"/>
    <cellStyle name="Примечание 13 2 2 2" xfId="5379"/>
    <cellStyle name="Примечание 13 2 3" xfId="5380"/>
    <cellStyle name="Примечание 13 3" xfId="4073"/>
    <cellStyle name="Примечание 13 3 2" xfId="4074"/>
    <cellStyle name="Примечание 13 3 2 2" xfId="5381"/>
    <cellStyle name="Примечание 13 3 3" xfId="5382"/>
    <cellStyle name="Примечание 13 4" xfId="4075"/>
    <cellStyle name="Примечание 13 4 2" xfId="5383"/>
    <cellStyle name="Примечание 13 5" xfId="5384"/>
    <cellStyle name="Примечание 14" xfId="4076"/>
    <cellStyle name="Примечание 14 2" xfId="4077"/>
    <cellStyle name="Примечание 14 2 2" xfId="5385"/>
    <cellStyle name="Примечание 14 3" xfId="4078"/>
    <cellStyle name="Примечание 14 3 2" xfId="4079"/>
    <cellStyle name="Примечание 14 3 2 2" xfId="5386"/>
    <cellStyle name="Примечание 14 3 3" xfId="5387"/>
    <cellStyle name="Примечание 14 4" xfId="4080"/>
    <cellStyle name="Примечание 14 4 2" xfId="5388"/>
    <cellStyle name="Примечание 14 5" xfId="5389"/>
    <cellStyle name="Примечание 15" xfId="4081"/>
    <cellStyle name="Примечание 15 2" xfId="4082"/>
    <cellStyle name="Примечание 15 2 2" xfId="5390"/>
    <cellStyle name="Примечание 15 3" xfId="4083"/>
    <cellStyle name="Примечание 15 3 2" xfId="4084"/>
    <cellStyle name="Примечание 15 3 2 2" xfId="5391"/>
    <cellStyle name="Примечание 15 3 3" xfId="5392"/>
    <cellStyle name="Примечание 15 4" xfId="4085"/>
    <cellStyle name="Примечание 15 4 2" xfId="5393"/>
    <cellStyle name="Примечание 15 5" xfId="5394"/>
    <cellStyle name="Примечание 16" xfId="4086"/>
    <cellStyle name="Примечание 16 2" xfId="4087"/>
    <cellStyle name="Примечание 16 2 2" xfId="4088"/>
    <cellStyle name="Примечание 16 2 2 2" xfId="5395"/>
    <cellStyle name="Примечание 16 2 3" xfId="5396"/>
    <cellStyle name="Примечание 16 3" xfId="4089"/>
    <cellStyle name="Примечание 16 3 2" xfId="5397"/>
    <cellStyle name="Примечание 16 4" xfId="5398"/>
    <cellStyle name="Примечание 17" xfId="4090"/>
    <cellStyle name="Примечание 17 2" xfId="5399"/>
    <cellStyle name="Примечание 18" xfId="4091"/>
    <cellStyle name="Примечание 18 2" xfId="5400"/>
    <cellStyle name="Примечание 19" xfId="4092"/>
    <cellStyle name="Примечание 19 2" xfId="5401"/>
    <cellStyle name="Примечание 2" xfId="4093"/>
    <cellStyle name="Примечание 2 10" xfId="4094"/>
    <cellStyle name="Примечание 2 10 2" xfId="4095"/>
    <cellStyle name="Примечание 2 10 2 2" xfId="5402"/>
    <cellStyle name="Примечание 2 10 3" xfId="5403"/>
    <cellStyle name="Примечание 2 11" xfId="4096"/>
    <cellStyle name="Примечание 2 11 2" xfId="5404"/>
    <cellStyle name="Примечание 2 12" xfId="5405"/>
    <cellStyle name="Примечание 2 2" xfId="4097"/>
    <cellStyle name="Примечание 2 2 2" xfId="4098"/>
    <cellStyle name="Примечание 2 2 2 2" xfId="4099"/>
    <cellStyle name="Примечание 2 2 2 2 2" xfId="4100"/>
    <cellStyle name="Примечание 2 2 2 2 2 2" xfId="5406"/>
    <cellStyle name="Примечание 2 2 2 2 3" xfId="5407"/>
    <cellStyle name="Примечание 2 2 2 3" xfId="5408"/>
    <cellStyle name="Примечание 2 2 3" xfId="5409"/>
    <cellStyle name="Примечание 2 2 3 2" xfId="5410"/>
    <cellStyle name="Примечание 2 2 4" xfId="5411"/>
    <cellStyle name="Примечание 2 2 5" xfId="5412"/>
    <cellStyle name="Примечание 2 3" xfId="4101"/>
    <cellStyle name="Примечание 2 3 2" xfId="4102"/>
    <cellStyle name="Примечание 2 3 2 2" xfId="4103"/>
    <cellStyle name="Примечание 2 3 2 2 2" xfId="5413"/>
    <cellStyle name="Примечание 2 3 2 3" xfId="5414"/>
    <cellStyle name="Примечание 2 3 3" xfId="4104"/>
    <cellStyle name="Примечание 2 3 3 2" xfId="4105"/>
    <cellStyle name="Примечание 2 3 3 2 2" xfId="5415"/>
    <cellStyle name="Примечание 2 3 3 3" xfId="5416"/>
    <cellStyle name="Примечание 2 3 4" xfId="4106"/>
    <cellStyle name="Примечание 2 3 4 2" xfId="5417"/>
    <cellStyle name="Примечание 2 3 5" xfId="5418"/>
    <cellStyle name="Примечание 2 4" xfId="4107"/>
    <cellStyle name="Примечание 2 4 2" xfId="4108"/>
    <cellStyle name="Примечание 2 4 2 2" xfId="4109"/>
    <cellStyle name="Примечание 2 4 2 2 2" xfId="5419"/>
    <cellStyle name="Примечание 2 4 2 3" xfId="5420"/>
    <cellStyle name="Примечание 2 4 3" xfId="4110"/>
    <cellStyle name="Примечание 2 4 3 2" xfId="4111"/>
    <cellStyle name="Примечание 2 4 3 2 2" xfId="5421"/>
    <cellStyle name="Примечание 2 4 3 3" xfId="5422"/>
    <cellStyle name="Примечание 2 4 4" xfId="4112"/>
    <cellStyle name="Примечание 2 4 4 2" xfId="5423"/>
    <cellStyle name="Примечание 2 4 5" xfId="5424"/>
    <cellStyle name="Примечание 2 5" xfId="4113"/>
    <cellStyle name="Примечание 2 5 2" xfId="4114"/>
    <cellStyle name="Примечание 2 5 2 2" xfId="4115"/>
    <cellStyle name="Примечание 2 5 2 2 2" xfId="5425"/>
    <cellStyle name="Примечание 2 5 2 3" xfId="5426"/>
    <cellStyle name="Примечание 2 5 3" xfId="4116"/>
    <cellStyle name="Примечание 2 5 3 2" xfId="4117"/>
    <cellStyle name="Примечание 2 5 3 2 2" xfId="5427"/>
    <cellStyle name="Примечание 2 5 3 3" xfId="5428"/>
    <cellStyle name="Примечание 2 5 4" xfId="4118"/>
    <cellStyle name="Примечание 2 5 4 2" xfId="5429"/>
    <cellStyle name="Примечание 2 5 5" xfId="5430"/>
    <cellStyle name="Примечание 2 6" xfId="4119"/>
    <cellStyle name="Примечание 2 6 2" xfId="4120"/>
    <cellStyle name="Примечание 2 6 2 2" xfId="4121"/>
    <cellStyle name="Примечание 2 6 2 2 2" xfId="5431"/>
    <cellStyle name="Примечание 2 6 2 3" xfId="5432"/>
    <cellStyle name="Примечание 2 6 3" xfId="4122"/>
    <cellStyle name="Примечание 2 6 3 2" xfId="4123"/>
    <cellStyle name="Примечание 2 6 3 2 2" xfId="5433"/>
    <cellStyle name="Примечание 2 6 3 3" xfId="5434"/>
    <cellStyle name="Примечание 2 6 4" xfId="4124"/>
    <cellStyle name="Примечание 2 6 4 2" xfId="5435"/>
    <cellStyle name="Примечание 2 6 5" xfId="5436"/>
    <cellStyle name="Примечание 2 7" xfId="4125"/>
    <cellStyle name="Примечание 2 7 2" xfId="4126"/>
    <cellStyle name="Примечание 2 7 2 2" xfId="4127"/>
    <cellStyle name="Примечание 2 7 2 2 2" xfId="5437"/>
    <cellStyle name="Примечание 2 7 2 3" xfId="5438"/>
    <cellStyle name="Примечание 2 7 3" xfId="4128"/>
    <cellStyle name="Примечание 2 7 3 2" xfId="4129"/>
    <cellStyle name="Примечание 2 7 3 2 2" xfId="5439"/>
    <cellStyle name="Примечание 2 7 3 3" xfId="5440"/>
    <cellStyle name="Примечание 2 7 4" xfId="4130"/>
    <cellStyle name="Примечание 2 7 4 2" xfId="5441"/>
    <cellStyle name="Примечание 2 7 5" xfId="5442"/>
    <cellStyle name="Примечание 2 8" xfId="4131"/>
    <cellStyle name="Примечание 2 8 2" xfId="4132"/>
    <cellStyle name="Примечание 2 8 2 2" xfId="4133"/>
    <cellStyle name="Примечание 2 8 2 2 2" xfId="5443"/>
    <cellStyle name="Примечание 2 8 2 3" xfId="5444"/>
    <cellStyle name="Примечание 2 8 3" xfId="4134"/>
    <cellStyle name="Примечание 2 8 3 2" xfId="4135"/>
    <cellStyle name="Примечание 2 8 3 2 2" xfId="5445"/>
    <cellStyle name="Примечание 2 8 3 3" xfId="5446"/>
    <cellStyle name="Примечание 2 8 4" xfId="4136"/>
    <cellStyle name="Примечание 2 8 4 2" xfId="5447"/>
    <cellStyle name="Примечание 2 8 5" xfId="5448"/>
    <cellStyle name="Примечание 2 9" xfId="4137"/>
    <cellStyle name="Примечание 2 9 2" xfId="4138"/>
    <cellStyle name="Примечание 2 9 2 2" xfId="4139"/>
    <cellStyle name="Примечание 2 9 2 2 2" xfId="5449"/>
    <cellStyle name="Примечание 2 9 2 3" xfId="5450"/>
    <cellStyle name="Примечание 2 9 3" xfId="4140"/>
    <cellStyle name="Примечание 2 9 3 2" xfId="5451"/>
    <cellStyle name="Примечание 2 9 4" xfId="5452"/>
    <cellStyle name="Примечание 2_46EE.2011(v1.0)" xfId="4141"/>
    <cellStyle name="Примечание 20" xfId="4142"/>
    <cellStyle name="Примечание 20 2" xfId="5453"/>
    <cellStyle name="Примечание 21" xfId="4143"/>
    <cellStyle name="Примечание 21 2" xfId="5454"/>
    <cellStyle name="Примечание 3" xfId="4144"/>
    <cellStyle name="Примечание 3 10" xfId="4145"/>
    <cellStyle name="Примечание 3 10 2" xfId="4146"/>
    <cellStyle name="Примечание 3 10 2 2" xfId="5455"/>
    <cellStyle name="Примечание 3 10 3" xfId="5456"/>
    <cellStyle name="Примечание 3 11" xfId="4147"/>
    <cellStyle name="Примечание 3 11 2" xfId="5457"/>
    <cellStyle name="Примечание 3 12" xfId="5458"/>
    <cellStyle name="Примечание 3 13" xfId="5459"/>
    <cellStyle name="Примечание 3 2" xfId="4148"/>
    <cellStyle name="Примечание 3 2 2" xfId="4149"/>
    <cellStyle name="Примечание 3 2 2 2" xfId="4150"/>
    <cellStyle name="Примечание 3 2 2 2 2" xfId="4151"/>
    <cellStyle name="Примечание 3 2 2 2 2 2" xfId="5460"/>
    <cellStyle name="Примечание 3 2 2 2 3" xfId="5461"/>
    <cellStyle name="Примечание 3 2 2 3" xfId="4152"/>
    <cellStyle name="Примечание 3 2 2 3 2" xfId="5462"/>
    <cellStyle name="Примечание 3 2 2 4" xfId="5463"/>
    <cellStyle name="Примечание 3 2 3" xfId="5464"/>
    <cellStyle name="Примечание 3 2 3 2" xfId="5465"/>
    <cellStyle name="Примечание 3 2 4" xfId="5466"/>
    <cellStyle name="Примечание 3 3" xfId="4153"/>
    <cellStyle name="Примечание 3 3 2" xfId="4154"/>
    <cellStyle name="Примечание 3 3 2 2" xfId="4155"/>
    <cellStyle name="Примечание 3 3 2 2 2" xfId="5467"/>
    <cellStyle name="Примечание 3 3 2 3" xfId="5468"/>
    <cellStyle name="Примечание 3 3 3" xfId="4156"/>
    <cellStyle name="Примечание 3 3 3 2" xfId="4157"/>
    <cellStyle name="Примечание 3 3 3 2 2" xfId="5469"/>
    <cellStyle name="Примечание 3 3 3 3" xfId="5470"/>
    <cellStyle name="Примечание 3 3 4" xfId="4158"/>
    <cellStyle name="Примечание 3 3 4 2" xfId="5471"/>
    <cellStyle name="Примечание 3 3 5" xfId="5472"/>
    <cellStyle name="Примечание 3 4" xfId="4159"/>
    <cellStyle name="Примечание 3 4 2" xfId="4160"/>
    <cellStyle name="Примечание 3 4 2 2" xfId="4161"/>
    <cellStyle name="Примечание 3 4 2 2 2" xfId="5473"/>
    <cellStyle name="Примечание 3 4 2 3" xfId="5474"/>
    <cellStyle name="Примечание 3 4 3" xfId="4162"/>
    <cellStyle name="Примечание 3 4 3 2" xfId="4163"/>
    <cellStyle name="Примечание 3 4 3 2 2" xfId="5475"/>
    <cellStyle name="Примечание 3 4 3 3" xfId="5476"/>
    <cellStyle name="Примечание 3 4 4" xfId="4164"/>
    <cellStyle name="Примечание 3 4 4 2" xfId="5477"/>
    <cellStyle name="Примечание 3 4 5" xfId="5478"/>
    <cellStyle name="Примечание 3 5" xfId="4165"/>
    <cellStyle name="Примечание 3 5 2" xfId="4166"/>
    <cellStyle name="Примечание 3 5 2 2" xfId="4167"/>
    <cellStyle name="Примечание 3 5 2 2 2" xfId="5479"/>
    <cellStyle name="Примечание 3 5 2 3" xfId="5480"/>
    <cellStyle name="Примечание 3 5 3" xfId="4168"/>
    <cellStyle name="Примечание 3 5 3 2" xfId="4169"/>
    <cellStyle name="Примечание 3 5 3 2 2" xfId="5481"/>
    <cellStyle name="Примечание 3 5 3 3" xfId="5482"/>
    <cellStyle name="Примечание 3 5 4" xfId="4170"/>
    <cellStyle name="Примечание 3 5 4 2" xfId="5483"/>
    <cellStyle name="Примечание 3 5 5" xfId="5484"/>
    <cellStyle name="Примечание 3 6" xfId="4171"/>
    <cellStyle name="Примечание 3 6 2" xfId="4172"/>
    <cellStyle name="Примечание 3 6 2 2" xfId="4173"/>
    <cellStyle name="Примечание 3 6 2 2 2" xfId="5485"/>
    <cellStyle name="Примечание 3 6 2 3" xfId="5486"/>
    <cellStyle name="Примечание 3 6 3" xfId="4174"/>
    <cellStyle name="Примечание 3 6 3 2" xfId="4175"/>
    <cellStyle name="Примечание 3 6 3 2 2" xfId="5487"/>
    <cellStyle name="Примечание 3 6 3 3" xfId="5488"/>
    <cellStyle name="Примечание 3 6 4" xfId="4176"/>
    <cellStyle name="Примечание 3 6 4 2" xfId="5489"/>
    <cellStyle name="Примечание 3 6 5" xfId="5490"/>
    <cellStyle name="Примечание 3 7" xfId="4177"/>
    <cellStyle name="Примечание 3 7 2" xfId="4178"/>
    <cellStyle name="Примечание 3 7 2 2" xfId="4179"/>
    <cellStyle name="Примечание 3 7 2 2 2" xfId="5491"/>
    <cellStyle name="Примечание 3 7 2 3" xfId="5492"/>
    <cellStyle name="Примечание 3 7 3" xfId="4180"/>
    <cellStyle name="Примечание 3 7 3 2" xfId="4181"/>
    <cellStyle name="Примечание 3 7 3 2 2" xfId="5493"/>
    <cellStyle name="Примечание 3 7 3 3" xfId="5494"/>
    <cellStyle name="Примечание 3 7 4" xfId="4182"/>
    <cellStyle name="Примечание 3 7 4 2" xfId="5495"/>
    <cellStyle name="Примечание 3 7 5" xfId="5496"/>
    <cellStyle name="Примечание 3 8" xfId="4183"/>
    <cellStyle name="Примечание 3 8 2" xfId="4184"/>
    <cellStyle name="Примечание 3 8 2 2" xfId="4185"/>
    <cellStyle name="Примечание 3 8 2 2 2" xfId="5497"/>
    <cellStyle name="Примечание 3 8 2 3" xfId="5498"/>
    <cellStyle name="Примечание 3 8 3" xfId="4186"/>
    <cellStyle name="Примечание 3 8 3 2" xfId="4187"/>
    <cellStyle name="Примечание 3 8 3 2 2" xfId="5499"/>
    <cellStyle name="Примечание 3 8 3 3" xfId="5500"/>
    <cellStyle name="Примечание 3 8 4" xfId="4188"/>
    <cellStyle name="Примечание 3 8 4 2" xfId="5501"/>
    <cellStyle name="Примечание 3 8 5" xfId="5502"/>
    <cellStyle name="Примечание 3 9" xfId="4189"/>
    <cellStyle name="Примечание 3 9 2" xfId="4190"/>
    <cellStyle name="Примечание 3 9 2 2" xfId="4191"/>
    <cellStyle name="Примечание 3 9 2 2 2" xfId="5503"/>
    <cellStyle name="Примечание 3 9 2 3" xfId="5504"/>
    <cellStyle name="Примечание 3 9 3" xfId="4192"/>
    <cellStyle name="Примечание 3 9 3 2" xfId="5505"/>
    <cellStyle name="Примечание 3 9 4" xfId="5506"/>
    <cellStyle name="Примечание 3_46EE.2011(v1.0)" xfId="4193"/>
    <cellStyle name="Примечание 4" xfId="4194"/>
    <cellStyle name="Примечание 4 10" xfId="4195"/>
    <cellStyle name="Примечание 4 10 2" xfId="5507"/>
    <cellStyle name="Примечание 4 11" xfId="5508"/>
    <cellStyle name="Примечание 4 11 2" xfId="5509"/>
    <cellStyle name="Примечание 4 12" xfId="5510"/>
    <cellStyle name="Примечание 4 2" xfId="4196"/>
    <cellStyle name="Примечание 4 2 2" xfId="4197"/>
    <cellStyle name="Примечание 4 2 2 2" xfId="4198"/>
    <cellStyle name="Примечание 4 2 2 2 2" xfId="5511"/>
    <cellStyle name="Примечание 4 2 2 3" xfId="5512"/>
    <cellStyle name="Примечание 4 2 3" xfId="4199"/>
    <cellStyle name="Примечание 4 2 3 2" xfId="4200"/>
    <cellStyle name="Примечание 4 2 3 2 2" xfId="5513"/>
    <cellStyle name="Примечание 4 2 3 3" xfId="5514"/>
    <cellStyle name="Примечание 4 2 4" xfId="4201"/>
    <cellStyle name="Примечание 4 2 4 2" xfId="5515"/>
    <cellStyle name="Примечание 4 2 5" xfId="5516"/>
    <cellStyle name="Примечание 4 3" xfId="4202"/>
    <cellStyle name="Примечание 4 3 2" xfId="4203"/>
    <cellStyle name="Примечание 4 3 2 2" xfId="4204"/>
    <cellStyle name="Примечание 4 3 2 2 2" xfId="5517"/>
    <cellStyle name="Примечание 4 3 2 3" xfId="5518"/>
    <cellStyle name="Примечание 4 3 3" xfId="4205"/>
    <cellStyle name="Примечание 4 3 3 2" xfId="4206"/>
    <cellStyle name="Примечание 4 3 3 2 2" xfId="5519"/>
    <cellStyle name="Примечание 4 3 3 3" xfId="5520"/>
    <cellStyle name="Примечание 4 3 4" xfId="4207"/>
    <cellStyle name="Примечание 4 3 4 2" xfId="5521"/>
    <cellStyle name="Примечание 4 3 5" xfId="5522"/>
    <cellStyle name="Примечание 4 4" xfId="4208"/>
    <cellStyle name="Примечание 4 4 2" xfId="4209"/>
    <cellStyle name="Примечание 4 4 2 2" xfId="4210"/>
    <cellStyle name="Примечание 4 4 2 2 2" xfId="5523"/>
    <cellStyle name="Примечание 4 4 2 3" xfId="5524"/>
    <cellStyle name="Примечание 4 4 3" xfId="4211"/>
    <cellStyle name="Примечание 4 4 3 2" xfId="4212"/>
    <cellStyle name="Примечание 4 4 3 2 2" xfId="5525"/>
    <cellStyle name="Примечание 4 4 3 3" xfId="5526"/>
    <cellStyle name="Примечание 4 4 4" xfId="4213"/>
    <cellStyle name="Примечание 4 4 4 2" xfId="5527"/>
    <cellStyle name="Примечание 4 4 5" xfId="5528"/>
    <cellStyle name="Примечание 4 5" xfId="4214"/>
    <cellStyle name="Примечание 4 5 2" xfId="4215"/>
    <cellStyle name="Примечание 4 5 2 2" xfId="4216"/>
    <cellStyle name="Примечание 4 5 2 2 2" xfId="5529"/>
    <cellStyle name="Примечание 4 5 2 3" xfId="5530"/>
    <cellStyle name="Примечание 4 5 3" xfId="4217"/>
    <cellStyle name="Примечание 4 5 3 2" xfId="4218"/>
    <cellStyle name="Примечание 4 5 3 2 2" xfId="5531"/>
    <cellStyle name="Примечание 4 5 3 3" xfId="5532"/>
    <cellStyle name="Примечание 4 5 4" xfId="4219"/>
    <cellStyle name="Примечание 4 5 4 2" xfId="5533"/>
    <cellStyle name="Примечание 4 5 5" xfId="5534"/>
    <cellStyle name="Примечание 4 6" xfId="4220"/>
    <cellStyle name="Примечание 4 6 2" xfId="4221"/>
    <cellStyle name="Примечание 4 6 2 2" xfId="4222"/>
    <cellStyle name="Примечание 4 6 2 2 2" xfId="5535"/>
    <cellStyle name="Примечание 4 6 2 3" xfId="5536"/>
    <cellStyle name="Примечание 4 6 3" xfId="4223"/>
    <cellStyle name="Примечание 4 6 3 2" xfId="4224"/>
    <cellStyle name="Примечание 4 6 3 2 2" xfId="5537"/>
    <cellStyle name="Примечание 4 6 3 3" xfId="5538"/>
    <cellStyle name="Примечание 4 6 4" xfId="4225"/>
    <cellStyle name="Примечание 4 6 4 2" xfId="5539"/>
    <cellStyle name="Примечание 4 6 5" xfId="5540"/>
    <cellStyle name="Примечание 4 7" xfId="4226"/>
    <cellStyle name="Примечание 4 7 2" xfId="4227"/>
    <cellStyle name="Примечание 4 7 2 2" xfId="4228"/>
    <cellStyle name="Примечание 4 7 2 2 2" xfId="5541"/>
    <cellStyle name="Примечание 4 7 2 3" xfId="5542"/>
    <cellStyle name="Примечание 4 7 3" xfId="4229"/>
    <cellStyle name="Примечание 4 7 3 2" xfId="4230"/>
    <cellStyle name="Примечание 4 7 3 2 2" xfId="5543"/>
    <cellStyle name="Примечание 4 7 3 3" xfId="5544"/>
    <cellStyle name="Примечание 4 7 4" xfId="4231"/>
    <cellStyle name="Примечание 4 7 4 2" xfId="5545"/>
    <cellStyle name="Примечание 4 7 5" xfId="5546"/>
    <cellStyle name="Примечание 4 8" xfId="4232"/>
    <cellStyle name="Примечание 4 8 2" xfId="4233"/>
    <cellStyle name="Примечание 4 8 2 2" xfId="4234"/>
    <cellStyle name="Примечание 4 8 2 2 2" xfId="5547"/>
    <cellStyle name="Примечание 4 8 2 3" xfId="5548"/>
    <cellStyle name="Примечание 4 8 3" xfId="4235"/>
    <cellStyle name="Примечание 4 8 3 2" xfId="4236"/>
    <cellStyle name="Примечание 4 8 3 2 2" xfId="5549"/>
    <cellStyle name="Примечание 4 8 3 3" xfId="5550"/>
    <cellStyle name="Примечание 4 8 4" xfId="4237"/>
    <cellStyle name="Примечание 4 8 4 2" xfId="5551"/>
    <cellStyle name="Примечание 4 8 5" xfId="5552"/>
    <cellStyle name="Примечание 4 9" xfId="4238"/>
    <cellStyle name="Примечание 4 9 2" xfId="4239"/>
    <cellStyle name="Примечание 4 9 2 2" xfId="4240"/>
    <cellStyle name="Примечание 4 9 2 2 2" xfId="5553"/>
    <cellStyle name="Примечание 4 9 2 3" xfId="5554"/>
    <cellStyle name="Примечание 4 9 3" xfId="4241"/>
    <cellStyle name="Примечание 4 9 3 2" xfId="5555"/>
    <cellStyle name="Примечание 4 9 4" xfId="5556"/>
    <cellStyle name="Примечание 4_46EE.2011(v1.0)" xfId="4242"/>
    <cellStyle name="Примечание 5" xfId="4243"/>
    <cellStyle name="Примечание 5 10" xfId="4244"/>
    <cellStyle name="Примечание 5 10 2" xfId="4245"/>
    <cellStyle name="Примечание 5 10 2 2" xfId="5557"/>
    <cellStyle name="Примечание 5 10 3" xfId="5558"/>
    <cellStyle name="Примечание 5 11" xfId="4246"/>
    <cellStyle name="Примечание 5 11 2" xfId="5559"/>
    <cellStyle name="Примечание 5 12" xfId="5560"/>
    <cellStyle name="Примечание 5 2" xfId="4247"/>
    <cellStyle name="Примечание 5 2 2" xfId="4248"/>
    <cellStyle name="Примечание 5 2 2 2" xfId="4249"/>
    <cellStyle name="Примечание 5 2 2 2 2" xfId="5561"/>
    <cellStyle name="Примечание 5 2 2 3" xfId="5562"/>
    <cellStyle name="Примечание 5 2 3" xfId="4250"/>
    <cellStyle name="Примечание 5 2 3 2" xfId="4251"/>
    <cellStyle name="Примечание 5 2 3 2 2" xfId="5563"/>
    <cellStyle name="Примечание 5 2 3 3" xfId="5564"/>
    <cellStyle name="Примечание 5 2 4" xfId="4252"/>
    <cellStyle name="Примечание 5 2 4 2" xfId="5565"/>
    <cellStyle name="Примечание 5 2 5" xfId="5566"/>
    <cellStyle name="Примечание 5 3" xfId="4253"/>
    <cellStyle name="Примечание 5 3 2" xfId="4254"/>
    <cellStyle name="Примечание 5 3 2 2" xfId="4255"/>
    <cellStyle name="Примечание 5 3 2 2 2" xfId="5567"/>
    <cellStyle name="Примечание 5 3 2 3" xfId="5568"/>
    <cellStyle name="Примечание 5 3 3" xfId="4256"/>
    <cellStyle name="Примечание 5 3 3 2" xfId="4257"/>
    <cellStyle name="Примечание 5 3 3 2 2" xfId="5569"/>
    <cellStyle name="Примечание 5 3 3 3" xfId="5570"/>
    <cellStyle name="Примечание 5 3 4" xfId="4258"/>
    <cellStyle name="Примечание 5 3 4 2" xfId="5571"/>
    <cellStyle name="Примечание 5 3 5" xfId="5572"/>
    <cellStyle name="Примечание 5 4" xfId="4259"/>
    <cellStyle name="Примечание 5 4 2" xfId="4260"/>
    <cellStyle name="Примечание 5 4 2 2" xfId="4261"/>
    <cellStyle name="Примечание 5 4 2 2 2" xfId="5573"/>
    <cellStyle name="Примечание 5 4 2 3" xfId="5574"/>
    <cellStyle name="Примечание 5 4 3" xfId="4262"/>
    <cellStyle name="Примечание 5 4 3 2" xfId="4263"/>
    <cellStyle name="Примечание 5 4 3 2 2" xfId="5575"/>
    <cellStyle name="Примечание 5 4 3 3" xfId="5576"/>
    <cellStyle name="Примечание 5 4 4" xfId="4264"/>
    <cellStyle name="Примечание 5 4 4 2" xfId="5577"/>
    <cellStyle name="Примечание 5 4 5" xfId="5578"/>
    <cellStyle name="Примечание 5 5" xfId="4265"/>
    <cellStyle name="Примечание 5 5 2" xfId="4266"/>
    <cellStyle name="Примечание 5 5 2 2" xfId="4267"/>
    <cellStyle name="Примечание 5 5 2 2 2" xfId="5579"/>
    <cellStyle name="Примечание 5 5 2 3" xfId="5580"/>
    <cellStyle name="Примечание 5 5 3" xfId="4268"/>
    <cellStyle name="Примечание 5 5 3 2" xfId="4269"/>
    <cellStyle name="Примечание 5 5 3 2 2" xfId="5581"/>
    <cellStyle name="Примечание 5 5 3 3" xfId="5582"/>
    <cellStyle name="Примечание 5 5 4" xfId="4270"/>
    <cellStyle name="Примечание 5 5 4 2" xfId="5583"/>
    <cellStyle name="Примечание 5 5 5" xfId="5584"/>
    <cellStyle name="Примечание 5 6" xfId="4271"/>
    <cellStyle name="Примечание 5 6 2" xfId="4272"/>
    <cellStyle name="Примечание 5 6 2 2" xfId="4273"/>
    <cellStyle name="Примечание 5 6 2 2 2" xfId="5585"/>
    <cellStyle name="Примечание 5 6 2 3" xfId="5586"/>
    <cellStyle name="Примечание 5 6 3" xfId="4274"/>
    <cellStyle name="Примечание 5 6 3 2" xfId="4275"/>
    <cellStyle name="Примечание 5 6 3 2 2" xfId="5587"/>
    <cellStyle name="Примечание 5 6 3 3" xfId="5588"/>
    <cellStyle name="Примечание 5 6 4" xfId="4276"/>
    <cellStyle name="Примечание 5 6 4 2" xfId="5589"/>
    <cellStyle name="Примечание 5 6 5" xfId="5590"/>
    <cellStyle name="Примечание 5 7" xfId="4277"/>
    <cellStyle name="Примечание 5 7 2" xfId="4278"/>
    <cellStyle name="Примечание 5 7 2 2" xfId="4279"/>
    <cellStyle name="Примечание 5 7 2 2 2" xfId="5591"/>
    <cellStyle name="Примечание 5 7 2 3" xfId="5592"/>
    <cellStyle name="Примечание 5 7 3" xfId="4280"/>
    <cellStyle name="Примечание 5 7 3 2" xfId="4281"/>
    <cellStyle name="Примечание 5 7 3 2 2" xfId="5593"/>
    <cellStyle name="Примечание 5 7 3 3" xfId="5594"/>
    <cellStyle name="Примечание 5 7 4" xfId="4282"/>
    <cellStyle name="Примечание 5 7 4 2" xfId="5595"/>
    <cellStyle name="Примечание 5 7 5" xfId="5596"/>
    <cellStyle name="Примечание 5 8" xfId="4283"/>
    <cellStyle name="Примечание 5 8 2" xfId="4284"/>
    <cellStyle name="Примечание 5 8 2 2" xfId="4285"/>
    <cellStyle name="Примечание 5 8 2 2 2" xfId="5597"/>
    <cellStyle name="Примечание 5 8 2 3" xfId="5598"/>
    <cellStyle name="Примечание 5 8 3" xfId="4286"/>
    <cellStyle name="Примечание 5 8 3 2" xfId="4287"/>
    <cellStyle name="Примечание 5 8 3 2 2" xfId="5599"/>
    <cellStyle name="Примечание 5 8 3 3" xfId="5600"/>
    <cellStyle name="Примечание 5 8 4" xfId="4288"/>
    <cellStyle name="Примечание 5 8 4 2" xfId="5601"/>
    <cellStyle name="Примечание 5 8 5" xfId="5602"/>
    <cellStyle name="Примечание 5 9" xfId="4289"/>
    <cellStyle name="Примечание 5 9 2" xfId="4290"/>
    <cellStyle name="Примечание 5 9 2 2" xfId="4291"/>
    <cellStyle name="Примечание 5 9 2 2 2" xfId="5603"/>
    <cellStyle name="Примечание 5 9 2 3" xfId="5604"/>
    <cellStyle name="Примечание 5 9 3" xfId="4292"/>
    <cellStyle name="Примечание 5 9 3 2" xfId="5605"/>
    <cellStyle name="Примечание 5 9 4" xfId="5606"/>
    <cellStyle name="Примечание 5_46EE.2011(v1.0)" xfId="4293"/>
    <cellStyle name="Примечание 6" xfId="4294"/>
    <cellStyle name="Примечание 6 2" xfId="4295"/>
    <cellStyle name="Примечание 6 2 2" xfId="4296"/>
    <cellStyle name="Примечание 6 2 2 2" xfId="4297"/>
    <cellStyle name="Примечание 6 2 2 2 2" xfId="5607"/>
    <cellStyle name="Примечание 6 2 2 3" xfId="5608"/>
    <cellStyle name="Примечание 6 2 3" xfId="4298"/>
    <cellStyle name="Примечание 6 2 3 2" xfId="4299"/>
    <cellStyle name="Примечание 6 2 3 2 2" xfId="5609"/>
    <cellStyle name="Примечание 6 2 3 3" xfId="5610"/>
    <cellStyle name="Примечание 6 2 4" xfId="4300"/>
    <cellStyle name="Примечание 6 2 4 2" xfId="5611"/>
    <cellStyle name="Примечание 6 2 5" xfId="5612"/>
    <cellStyle name="Примечание 6 3" xfId="4301"/>
    <cellStyle name="Примечание 6 3 2" xfId="4302"/>
    <cellStyle name="Примечание 6 3 2 2" xfId="5613"/>
    <cellStyle name="Примечание 6 3 3" xfId="5614"/>
    <cellStyle name="Примечание 6 4" xfId="4303"/>
    <cellStyle name="Примечание 6 4 2" xfId="4304"/>
    <cellStyle name="Примечание 6 4 2 2" xfId="5615"/>
    <cellStyle name="Примечание 6 4 3" xfId="5616"/>
    <cellStyle name="Примечание 6 5" xfId="4305"/>
    <cellStyle name="Примечание 6 5 2" xfId="5617"/>
    <cellStyle name="Примечание 6 6" xfId="5618"/>
    <cellStyle name="Примечание 6_46EE.2011(v1.0)" xfId="4306"/>
    <cellStyle name="Примечание 7" xfId="4307"/>
    <cellStyle name="Примечание 7 2" xfId="4308"/>
    <cellStyle name="Примечание 7 2 2" xfId="4309"/>
    <cellStyle name="Примечание 7 2 2 2" xfId="4310"/>
    <cellStyle name="Примечание 7 2 2 2 2" xfId="5619"/>
    <cellStyle name="Примечание 7 2 2 3" xfId="5620"/>
    <cellStyle name="Примечание 7 2 3" xfId="4311"/>
    <cellStyle name="Примечание 7 2 3 2" xfId="4312"/>
    <cellStyle name="Примечание 7 2 3 2 2" xfId="5621"/>
    <cellStyle name="Примечание 7 2 3 3" xfId="5622"/>
    <cellStyle name="Примечание 7 2 4" xfId="4313"/>
    <cellStyle name="Примечание 7 2 4 2" xfId="5623"/>
    <cellStyle name="Примечание 7 2 5" xfId="5624"/>
    <cellStyle name="Примечание 7 3" xfId="4314"/>
    <cellStyle name="Примечание 7 3 2" xfId="4315"/>
    <cellStyle name="Примечание 7 3 2 2" xfId="5625"/>
    <cellStyle name="Примечание 7 3 3" xfId="5626"/>
    <cellStyle name="Примечание 7 4" xfId="4316"/>
    <cellStyle name="Примечание 7 4 2" xfId="4317"/>
    <cellStyle name="Примечание 7 4 2 2" xfId="5627"/>
    <cellStyle name="Примечание 7 4 3" xfId="5628"/>
    <cellStyle name="Примечание 7 5" xfId="4318"/>
    <cellStyle name="Примечание 7 5 2" xfId="5629"/>
    <cellStyle name="Примечание 7 6" xfId="5630"/>
    <cellStyle name="Примечание 7_46EE.2011(v1.0)" xfId="4319"/>
    <cellStyle name="Примечание 8" xfId="4320"/>
    <cellStyle name="Примечание 8 2" xfId="4321"/>
    <cellStyle name="Примечание 8 2 2" xfId="4322"/>
    <cellStyle name="Примечание 8 2 2 2" xfId="4323"/>
    <cellStyle name="Примечание 8 2 2 2 2" xfId="5631"/>
    <cellStyle name="Примечание 8 2 2 3" xfId="5632"/>
    <cellStyle name="Примечание 8 2 3" xfId="4324"/>
    <cellStyle name="Примечание 8 2 3 2" xfId="4325"/>
    <cellStyle name="Примечание 8 2 3 2 2" xfId="5633"/>
    <cellStyle name="Примечание 8 2 3 3" xfId="5634"/>
    <cellStyle name="Примечание 8 2 4" xfId="4326"/>
    <cellStyle name="Примечание 8 2 4 2" xfId="5635"/>
    <cellStyle name="Примечание 8 2 5" xfId="5636"/>
    <cellStyle name="Примечание 8 3" xfId="4327"/>
    <cellStyle name="Примечание 8 3 2" xfId="4328"/>
    <cellStyle name="Примечание 8 3 2 2" xfId="5637"/>
    <cellStyle name="Примечание 8 3 3" xfId="5638"/>
    <cellStyle name="Примечание 8 4" xfId="4329"/>
    <cellStyle name="Примечание 8 4 2" xfId="4330"/>
    <cellStyle name="Примечание 8 4 2 2" xfId="5639"/>
    <cellStyle name="Примечание 8 4 3" xfId="5640"/>
    <cellStyle name="Примечание 8 5" xfId="4331"/>
    <cellStyle name="Примечание 8 5 2" xfId="5641"/>
    <cellStyle name="Примечание 8 6" xfId="5642"/>
    <cellStyle name="Примечание 8_46EE.2011(v1.0)" xfId="4332"/>
    <cellStyle name="Примечание 9" xfId="4333"/>
    <cellStyle name="Примечание 9 2" xfId="4334"/>
    <cellStyle name="Примечание 9 2 2" xfId="4335"/>
    <cellStyle name="Примечание 9 2 2 2" xfId="4336"/>
    <cellStyle name="Примечание 9 2 2 2 2" xfId="5643"/>
    <cellStyle name="Примечание 9 2 2 3" xfId="5644"/>
    <cellStyle name="Примечание 9 2 3" xfId="4337"/>
    <cellStyle name="Примечание 9 2 3 2" xfId="4338"/>
    <cellStyle name="Примечание 9 2 3 2 2" xfId="5645"/>
    <cellStyle name="Примечание 9 2 3 3" xfId="5646"/>
    <cellStyle name="Примечание 9 2 4" xfId="4339"/>
    <cellStyle name="Примечание 9 2 4 2" xfId="5647"/>
    <cellStyle name="Примечание 9 2 5" xfId="5648"/>
    <cellStyle name="Примечание 9 3" xfId="4340"/>
    <cellStyle name="Примечание 9 3 2" xfId="4341"/>
    <cellStyle name="Примечание 9 3 2 2" xfId="5649"/>
    <cellStyle name="Примечание 9 3 3" xfId="5650"/>
    <cellStyle name="Примечание 9 4" xfId="4342"/>
    <cellStyle name="Примечание 9 4 2" xfId="4343"/>
    <cellStyle name="Примечание 9 4 2 2" xfId="5651"/>
    <cellStyle name="Примечание 9 4 3" xfId="5652"/>
    <cellStyle name="Примечание 9 5" xfId="4344"/>
    <cellStyle name="Примечание 9 5 2" xfId="5653"/>
    <cellStyle name="Примечание 9 6" xfId="5654"/>
    <cellStyle name="Примечание 9_46EE.2011(v1.0)" xfId="4345"/>
    <cellStyle name="Продукт" xfId="4346"/>
    <cellStyle name="Процентный 10" xfId="4347"/>
    <cellStyle name="Процентный 11" xfId="4348"/>
    <cellStyle name="Процентный 11 2" xfId="4349"/>
    <cellStyle name="Процентный 11 2 2" xfId="12862"/>
    <cellStyle name="Процентный 11 2 3" xfId="12863"/>
    <cellStyle name="Процентный 11 2 4" xfId="12864"/>
    <cellStyle name="Процентный 11 2 5" xfId="12865"/>
    <cellStyle name="Процентный 11 3" xfId="12866"/>
    <cellStyle name="Процентный 11 4" xfId="12867"/>
    <cellStyle name="Процентный 11 5" xfId="12868"/>
    <cellStyle name="Процентный 11 6" xfId="12869"/>
    <cellStyle name="Процентный 11 7" xfId="12870"/>
    <cellStyle name="Процентный 12" xfId="5655"/>
    <cellStyle name="Процентный 2" xfId="10"/>
    <cellStyle name="Процентный 2 2" xfId="4350"/>
    <cellStyle name="Процентный 2 2 2" xfId="4351"/>
    <cellStyle name="Процентный 2 2 3" xfId="4352"/>
    <cellStyle name="Процентный 2 2 3 2" xfId="4353"/>
    <cellStyle name="Процентный 2 2 4" xfId="4354"/>
    <cellStyle name="Процентный 2 2 5" xfId="5656"/>
    <cellStyle name="Процентный 2 3" xfId="4355"/>
    <cellStyle name="Процентный 2 3 2" xfId="4356"/>
    <cellStyle name="Процентный 2 3 2 2" xfId="4357"/>
    <cellStyle name="Процентный 2 3 3" xfId="5657"/>
    <cellStyle name="Процентный 2 4" xfId="4358"/>
    <cellStyle name="Процентный 2 4 2" xfId="4359"/>
    <cellStyle name="Процентный 2 5" xfId="4360"/>
    <cellStyle name="Процентный 2 5 2" xfId="4361"/>
    <cellStyle name="Процентный 2 6" xfId="4362"/>
    <cellStyle name="Процентный 3" xfId="4363"/>
    <cellStyle name="Процентный 3 2" xfId="4364"/>
    <cellStyle name="Процентный 3 3" xfId="4365"/>
    <cellStyle name="Процентный 3 4" xfId="4366"/>
    <cellStyle name="Процентный 3 4 2" xfId="4367"/>
    <cellStyle name="Процентный 3 5" xfId="4368"/>
    <cellStyle name="Процентный 3 6" xfId="5658"/>
    <cellStyle name="Процентный 4" xfId="8"/>
    <cellStyle name="Процентный 4 2" xfId="4369"/>
    <cellStyle name="Процентный 4 3" xfId="4370"/>
    <cellStyle name="Процентный 4 4" xfId="4371"/>
    <cellStyle name="Процентный 4 5" xfId="5659"/>
    <cellStyle name="Процентный 5" xfId="4372"/>
    <cellStyle name="Процентный 5 2" xfId="4373"/>
    <cellStyle name="Процентный 5 2 2" xfId="4374"/>
    <cellStyle name="Процентный 5 2 2 2" xfId="4375"/>
    <cellStyle name="Процентный 5 2 3" xfId="4376"/>
    <cellStyle name="Процентный 6" xfId="4377"/>
    <cellStyle name="Процентный 6 10" xfId="12871"/>
    <cellStyle name="Процентный 6 2" xfId="4378"/>
    <cellStyle name="Процентный 6 2 2" xfId="4379"/>
    <cellStyle name="Процентный 6 2 2 2" xfId="12872"/>
    <cellStyle name="Процентный 6 2 2 3" xfId="12873"/>
    <cellStyle name="Процентный 6 2 2 4" xfId="12874"/>
    <cellStyle name="Процентный 6 2 2 5" xfId="12875"/>
    <cellStyle name="Процентный 6 2 2 6" xfId="12876"/>
    <cellStyle name="Процентный 6 2 3" xfId="4380"/>
    <cellStyle name="Процентный 6 2 3 2" xfId="12877"/>
    <cellStyle name="Процентный 6 2 3 3" xfId="12878"/>
    <cellStyle name="Процентный 6 2 3 4" xfId="12879"/>
    <cellStyle name="Процентный 6 2 3 5" xfId="12880"/>
    <cellStyle name="Процентный 6 2 3 6" xfId="12881"/>
    <cellStyle name="Процентный 6 2 4" xfId="4381"/>
    <cellStyle name="Процентный 6 2 4 2" xfId="12882"/>
    <cellStyle name="Процентный 6 2 4 3" xfId="12883"/>
    <cellStyle name="Процентный 6 2 4 4" xfId="12884"/>
    <cellStyle name="Процентный 6 2 4 5" xfId="12885"/>
    <cellStyle name="Процентный 6 2 4 6" xfId="12886"/>
    <cellStyle name="Процентный 6 2 5" xfId="12887"/>
    <cellStyle name="Процентный 6 2 6" xfId="12888"/>
    <cellStyle name="Процентный 6 2 7" xfId="12889"/>
    <cellStyle name="Процентный 6 2 8" xfId="12890"/>
    <cellStyle name="Процентный 6 2 9" xfId="12891"/>
    <cellStyle name="Процентный 6 3" xfId="4382"/>
    <cellStyle name="Процентный 6 3 2" xfId="12892"/>
    <cellStyle name="Процентный 6 3 3" xfId="12893"/>
    <cellStyle name="Процентный 6 3 4" xfId="12894"/>
    <cellStyle name="Процентный 6 3 5" xfId="12895"/>
    <cellStyle name="Процентный 6 3 6" xfId="12896"/>
    <cellStyle name="Процентный 6 4" xfId="4383"/>
    <cellStyle name="Процентный 6 4 2" xfId="12897"/>
    <cellStyle name="Процентный 6 4 3" xfId="12898"/>
    <cellStyle name="Процентный 6 4 4" xfId="12899"/>
    <cellStyle name="Процентный 6 4 5" xfId="12900"/>
    <cellStyle name="Процентный 6 4 6" xfId="12901"/>
    <cellStyle name="Процентный 6 5" xfId="4384"/>
    <cellStyle name="Процентный 6 5 2" xfId="12902"/>
    <cellStyle name="Процентный 6 5 3" xfId="12903"/>
    <cellStyle name="Процентный 6 5 4" xfId="12904"/>
    <cellStyle name="Процентный 6 5 5" xfId="12905"/>
    <cellStyle name="Процентный 6 5 6" xfId="12906"/>
    <cellStyle name="Процентный 6 6" xfId="12907"/>
    <cellStyle name="Процентный 6 7" xfId="12908"/>
    <cellStyle name="Процентный 6 8" xfId="12909"/>
    <cellStyle name="Процентный 6 9" xfId="12910"/>
    <cellStyle name="Процентный 7" xfId="4385"/>
    <cellStyle name="Процентный 7 2" xfId="12911"/>
    <cellStyle name="Процентный 7 3" xfId="12912"/>
    <cellStyle name="Процентный 7 4" xfId="12913"/>
    <cellStyle name="Процентный 7 5" xfId="12914"/>
    <cellStyle name="Процентный 7 6" xfId="12915"/>
    <cellStyle name="Процентный 8" xfId="4386"/>
    <cellStyle name="Процентный 9" xfId="4387"/>
    <cellStyle name="Разница" xfId="4388"/>
    <cellStyle name="Рамки" xfId="4389"/>
    <cellStyle name="Сводная таблица" xfId="4390"/>
    <cellStyle name="Связанная ячейка 10" xfId="4391"/>
    <cellStyle name="Связанная ячейка 2" xfId="4392"/>
    <cellStyle name="Связанная ячейка 2 2" xfId="4393"/>
    <cellStyle name="Связанная ячейка 2_46EE.2011(v1.0)" xfId="4394"/>
    <cellStyle name="Связанная ячейка 3" xfId="4395"/>
    <cellStyle name="Связанная ячейка 3 2" xfId="4396"/>
    <cellStyle name="Связанная ячейка 3 3" xfId="4397"/>
    <cellStyle name="Связанная ячейка 3 3 2" xfId="4398"/>
    <cellStyle name="Связанная ячейка 3 4" xfId="5660"/>
    <cellStyle name="Связанная ячейка 3_46EE.2011(v1.0)" xfId="4399"/>
    <cellStyle name="Связанная ячейка 4" xfId="4400"/>
    <cellStyle name="Связанная ячейка 4 2" xfId="4401"/>
    <cellStyle name="Связанная ячейка 4_46EE.2011(v1.0)" xfId="4402"/>
    <cellStyle name="Связанная ячейка 5" xfId="4403"/>
    <cellStyle name="Связанная ячейка 5 2" xfId="4404"/>
    <cellStyle name="Связанная ячейка 5_46EE.2011(v1.0)" xfId="4405"/>
    <cellStyle name="Связанная ячейка 6" xfId="4406"/>
    <cellStyle name="Связанная ячейка 6 2" xfId="4407"/>
    <cellStyle name="Связанная ячейка 6_46EE.2011(v1.0)" xfId="4408"/>
    <cellStyle name="Связанная ячейка 7" xfId="4409"/>
    <cellStyle name="Связанная ячейка 7 2" xfId="4410"/>
    <cellStyle name="Связанная ячейка 7_46EE.2011(v1.0)" xfId="4411"/>
    <cellStyle name="Связанная ячейка 8" xfId="4412"/>
    <cellStyle name="Связанная ячейка 8 2" xfId="4413"/>
    <cellStyle name="Связанная ячейка 8_46EE.2011(v1.0)" xfId="4414"/>
    <cellStyle name="Связанная ячейка 9" xfId="4415"/>
    <cellStyle name="Связанная ячейка 9 2" xfId="4416"/>
    <cellStyle name="Связанная ячейка 9_46EE.2011(v1.0)" xfId="4417"/>
    <cellStyle name="Стиль 1" xfId="4418"/>
    <cellStyle name="Стиль 1 10" xfId="4419"/>
    <cellStyle name="Стиль 1 2" xfId="4420"/>
    <cellStyle name="Стиль 1 2 2" xfId="4421"/>
    <cellStyle name="Стиль 1 2_46EP.2011(v2.0)" xfId="4422"/>
    <cellStyle name="Стиль 1 3" xfId="4423"/>
    <cellStyle name="Стиль 1 3 2" xfId="4424"/>
    <cellStyle name="Стиль 1 4" xfId="4425"/>
    <cellStyle name="Стиль 1 5" xfId="4426"/>
    <cellStyle name="Стиль 1 6" xfId="4427"/>
    <cellStyle name="Стиль 1 7" xfId="4428"/>
    <cellStyle name="Стиль 1 8" xfId="4429"/>
    <cellStyle name="Стиль 1 9" xfId="4430"/>
    <cellStyle name="Стиль 1_Копия RAB_ВЭ 25 01 10 послед (3)" xfId="4431"/>
    <cellStyle name="Стиль 2" xfId="4432"/>
    <cellStyle name="Субсчет" xfId="4433"/>
    <cellStyle name="Счет" xfId="4434"/>
    <cellStyle name="ТЕКСТ" xfId="4435"/>
    <cellStyle name="ТЕКСТ 2" xfId="4436"/>
    <cellStyle name="ТЕКСТ 3" xfId="4437"/>
    <cellStyle name="ТЕКСТ 4" xfId="4438"/>
    <cellStyle name="ТЕКСТ 5" xfId="4439"/>
    <cellStyle name="ТЕКСТ 6" xfId="4440"/>
    <cellStyle name="ТЕКСТ 7" xfId="4441"/>
    <cellStyle name="ТЕКСТ 8" xfId="4442"/>
    <cellStyle name="ТЕКСТ 9" xfId="4443"/>
    <cellStyle name="Текст предупреждения 10" xfId="4444"/>
    <cellStyle name="Текст предупреждения 2" xfId="4445"/>
    <cellStyle name="Текст предупреждения 2 2" xfId="4446"/>
    <cellStyle name="Текст предупреждения 3" xfId="4447"/>
    <cellStyle name="Текст предупреждения 3 2" xfId="4448"/>
    <cellStyle name="Текст предупреждения 3 3" xfId="4449"/>
    <cellStyle name="Текст предупреждения 3 3 2" xfId="4450"/>
    <cellStyle name="Текст предупреждения 3 4" xfId="5661"/>
    <cellStyle name="Текст предупреждения 4" xfId="4451"/>
    <cellStyle name="Текст предупреждения 4 2" xfId="4452"/>
    <cellStyle name="Текст предупреждения 5" xfId="4453"/>
    <cellStyle name="Текст предупреждения 5 2" xfId="4454"/>
    <cellStyle name="Текст предупреждения 6" xfId="4455"/>
    <cellStyle name="Текст предупреждения 6 2" xfId="4456"/>
    <cellStyle name="Текст предупреждения 7" xfId="4457"/>
    <cellStyle name="Текст предупреждения 7 2" xfId="4458"/>
    <cellStyle name="Текст предупреждения 8" xfId="4459"/>
    <cellStyle name="Текст предупреждения 8 2" xfId="4460"/>
    <cellStyle name="Текст предупреждения 9" xfId="4461"/>
    <cellStyle name="Текст предупреждения 9 2" xfId="4462"/>
    <cellStyle name="Текстовый" xfId="4463"/>
    <cellStyle name="Текстовый 10" xfId="4464"/>
    <cellStyle name="Текстовый 11" xfId="4465"/>
    <cellStyle name="Текстовый 12" xfId="4466"/>
    <cellStyle name="Текстовый 13" xfId="4467"/>
    <cellStyle name="Текстовый 14" xfId="4468"/>
    <cellStyle name="Текстовый 2" xfId="4469"/>
    <cellStyle name="Текстовый 3" xfId="4470"/>
    <cellStyle name="Текстовый 4" xfId="4471"/>
    <cellStyle name="Текстовый 5" xfId="4472"/>
    <cellStyle name="Текстовый 6" xfId="4473"/>
    <cellStyle name="Текстовый 7" xfId="4474"/>
    <cellStyle name="Текстовый 8" xfId="4475"/>
    <cellStyle name="Текстовый 9" xfId="4476"/>
    <cellStyle name="Текстовый_1" xfId="4477"/>
    <cellStyle name="Тысячи [0]_22гк" xfId="4478"/>
    <cellStyle name="Тысячи_22гк" xfId="4479"/>
    <cellStyle name="ФИКСИРОВАННЫЙ" xfId="4480"/>
    <cellStyle name="ФИКСИРОВАННЫЙ 2" xfId="4481"/>
    <cellStyle name="ФИКСИРОВАННЫЙ 3" xfId="4482"/>
    <cellStyle name="ФИКСИРОВАННЫЙ 4" xfId="4483"/>
    <cellStyle name="ФИКСИРОВАННЫЙ 5" xfId="4484"/>
    <cellStyle name="ФИКСИРОВАННЫЙ 6" xfId="4485"/>
    <cellStyle name="ФИКСИРОВАННЫЙ 7" xfId="4486"/>
    <cellStyle name="ФИКСИРОВАННЫЙ 8" xfId="4487"/>
    <cellStyle name="ФИКСИРОВАННЫЙ 9" xfId="4488"/>
    <cellStyle name="ФИКСИРОВАННЫЙ_1" xfId="4489"/>
    <cellStyle name="Финансовый 10" xfId="4490"/>
    <cellStyle name="Финансовый 11" xfId="4491"/>
    <cellStyle name="Финансовый 11 2" xfId="4492"/>
    <cellStyle name="Финансовый 11 2 2" xfId="4493"/>
    <cellStyle name="Финансовый 11 2 2 2" xfId="12916"/>
    <cellStyle name="Финансовый 11 2 2 3" xfId="12917"/>
    <cellStyle name="Финансовый 11 2 2 4" xfId="12918"/>
    <cellStyle name="Финансовый 11 2 2 5" xfId="12919"/>
    <cellStyle name="Финансовый 11 2 2 6" xfId="12920"/>
    <cellStyle name="Финансовый 11 2 3" xfId="4494"/>
    <cellStyle name="Финансовый 11 2 3 2" xfId="12921"/>
    <cellStyle name="Финансовый 11 2 3 3" xfId="12922"/>
    <cellStyle name="Финансовый 11 2 3 4" xfId="12923"/>
    <cellStyle name="Финансовый 11 2 3 5" xfId="12924"/>
    <cellStyle name="Финансовый 11 2 3 6" xfId="12925"/>
    <cellStyle name="Финансовый 11 2 4" xfId="4495"/>
    <cellStyle name="Финансовый 11 2 4 2" xfId="12926"/>
    <cellStyle name="Финансовый 11 2 4 3" xfId="12927"/>
    <cellStyle name="Финансовый 11 2 4 4" xfId="12928"/>
    <cellStyle name="Финансовый 11 2 4 5" xfId="12929"/>
    <cellStyle name="Финансовый 11 2 4 6" xfId="12930"/>
    <cellStyle name="Финансовый 11 2 5" xfId="12931"/>
    <cellStyle name="Финансовый 11 2 6" xfId="12932"/>
    <cellStyle name="Финансовый 11 2 7" xfId="12933"/>
    <cellStyle name="Финансовый 11 2 8" xfId="12934"/>
    <cellStyle name="Финансовый 11 2 9" xfId="12935"/>
    <cellStyle name="Финансовый 12" xfId="4496"/>
    <cellStyle name="Финансовый 13" xfId="4497"/>
    <cellStyle name="Финансовый 14" xfId="4498"/>
    <cellStyle name="Финансовый 15" xfId="4663"/>
    <cellStyle name="Финансовый 2" xfId="4499"/>
    <cellStyle name="Финансовый 2 2" xfId="4500"/>
    <cellStyle name="Финансовый 2 2 2" xfId="4501"/>
    <cellStyle name="Финансовый 2 2 3" xfId="4502"/>
    <cellStyle name="Финансовый 2 2 3 10" xfId="12936"/>
    <cellStyle name="Финансовый 2 2 3 2" xfId="4503"/>
    <cellStyle name="Финансовый 2 2 3 3" xfId="4504"/>
    <cellStyle name="Финансовый 2 2 3 3 2" xfId="12937"/>
    <cellStyle name="Финансовый 2 2 3 3 3" xfId="12938"/>
    <cellStyle name="Финансовый 2 2 3 3 4" xfId="12939"/>
    <cellStyle name="Финансовый 2 2 3 3 5" xfId="12940"/>
    <cellStyle name="Финансовый 2 2 3 3 6" xfId="12941"/>
    <cellStyle name="Финансовый 2 2 3 4" xfId="4505"/>
    <cellStyle name="Финансовый 2 2 3 4 2" xfId="12942"/>
    <cellStyle name="Финансовый 2 2 3 4 3" xfId="12943"/>
    <cellStyle name="Финансовый 2 2 3 4 4" xfId="12944"/>
    <cellStyle name="Финансовый 2 2 3 4 5" xfId="12945"/>
    <cellStyle name="Финансовый 2 2 3 4 6" xfId="12946"/>
    <cellStyle name="Финансовый 2 2 3 5" xfId="4506"/>
    <cellStyle name="Финансовый 2 2 3 5 2" xfId="12947"/>
    <cellStyle name="Финансовый 2 2 3 5 3" xfId="12948"/>
    <cellStyle name="Финансовый 2 2 3 5 4" xfId="12949"/>
    <cellStyle name="Финансовый 2 2 3 5 5" xfId="12950"/>
    <cellStyle name="Финансовый 2 2 3 5 6" xfId="12951"/>
    <cellStyle name="Финансовый 2 2 3 6" xfId="12952"/>
    <cellStyle name="Финансовый 2 2 3 7" xfId="12953"/>
    <cellStyle name="Финансовый 2 2 3 8" xfId="12954"/>
    <cellStyle name="Финансовый 2 2 3 9" xfId="12955"/>
    <cellStyle name="Финансовый 2 2 4" xfId="4507"/>
    <cellStyle name="Финансовый 2 2 5" xfId="4508"/>
    <cellStyle name="Финансовый 2 2 6" xfId="4509"/>
    <cellStyle name="Финансовый 2 2 7" xfId="4510"/>
    <cellStyle name="Финансовый 2 2 7 10" xfId="12956"/>
    <cellStyle name="Финансовый 2 2 7 2" xfId="4511"/>
    <cellStyle name="Финансовый 2 2 7 2 2" xfId="4512"/>
    <cellStyle name="Финансовый 2 2 7 2 2 2" xfId="12957"/>
    <cellStyle name="Финансовый 2 2 7 2 2 3" xfId="12958"/>
    <cellStyle name="Финансовый 2 2 7 2 2 4" xfId="12959"/>
    <cellStyle name="Финансовый 2 2 7 2 2 5" xfId="12960"/>
    <cellStyle name="Финансовый 2 2 7 2 2 6" xfId="12961"/>
    <cellStyle name="Финансовый 2 2 7 2 3" xfId="4513"/>
    <cellStyle name="Финансовый 2 2 7 2 3 2" xfId="12962"/>
    <cellStyle name="Финансовый 2 2 7 2 3 3" xfId="12963"/>
    <cellStyle name="Финансовый 2 2 7 2 3 4" xfId="12964"/>
    <cellStyle name="Финансовый 2 2 7 2 3 5" xfId="12965"/>
    <cellStyle name="Финансовый 2 2 7 2 3 6" xfId="12966"/>
    <cellStyle name="Финансовый 2 2 7 2 4" xfId="4514"/>
    <cellStyle name="Финансовый 2 2 7 2 4 2" xfId="12967"/>
    <cellStyle name="Финансовый 2 2 7 2 4 3" xfId="12968"/>
    <cellStyle name="Финансовый 2 2 7 2 4 4" xfId="12969"/>
    <cellStyle name="Финансовый 2 2 7 2 4 5" xfId="12970"/>
    <cellStyle name="Финансовый 2 2 7 2 4 6" xfId="12971"/>
    <cellStyle name="Финансовый 2 2 7 2 5" xfId="12972"/>
    <cellStyle name="Финансовый 2 2 7 2 6" xfId="12973"/>
    <cellStyle name="Финансовый 2 2 7 2 7" xfId="12974"/>
    <cellStyle name="Финансовый 2 2 7 2 8" xfId="12975"/>
    <cellStyle name="Финансовый 2 2 7 2 9" xfId="12976"/>
    <cellStyle name="Финансовый 2 2 7 3" xfId="4515"/>
    <cellStyle name="Финансовый 2 2 7 3 2" xfId="12977"/>
    <cellStyle name="Финансовый 2 2 7 3 3" xfId="12978"/>
    <cellStyle name="Финансовый 2 2 7 3 4" xfId="12979"/>
    <cellStyle name="Финансовый 2 2 7 3 5" xfId="12980"/>
    <cellStyle name="Финансовый 2 2 7 3 6" xfId="12981"/>
    <cellStyle name="Финансовый 2 2 7 4" xfId="4516"/>
    <cellStyle name="Финансовый 2 2 7 4 2" xfId="12982"/>
    <cellStyle name="Финансовый 2 2 7 4 3" xfId="12983"/>
    <cellStyle name="Финансовый 2 2 7 4 4" xfId="12984"/>
    <cellStyle name="Финансовый 2 2 7 4 5" xfId="12985"/>
    <cellStyle name="Финансовый 2 2 7 4 6" xfId="12986"/>
    <cellStyle name="Финансовый 2 2 7 5" xfId="4517"/>
    <cellStyle name="Финансовый 2 2 7 5 2" xfId="12987"/>
    <cellStyle name="Финансовый 2 2 7 5 3" xfId="12988"/>
    <cellStyle name="Финансовый 2 2 7 5 4" xfId="12989"/>
    <cellStyle name="Финансовый 2 2 7 5 5" xfId="12990"/>
    <cellStyle name="Финансовый 2 2 7 5 6" xfId="12991"/>
    <cellStyle name="Финансовый 2 2 7 6" xfId="5662"/>
    <cellStyle name="Финансовый 2 2 7 7" xfId="12992"/>
    <cellStyle name="Финансовый 2 2 7 8" xfId="12993"/>
    <cellStyle name="Финансовый 2 2 7 9" xfId="12994"/>
    <cellStyle name="Финансовый 2 2 8" xfId="5663"/>
    <cellStyle name="Финансовый 2 2_INDEX.STATION.2012(v1.0)_" xfId="4518"/>
    <cellStyle name="Финансовый 2 3" xfId="4519"/>
    <cellStyle name="Финансовый 2 3 10" xfId="12995"/>
    <cellStyle name="Финансовый 2 3 11" xfId="12996"/>
    <cellStyle name="Финансовый 2 3 12" xfId="12997"/>
    <cellStyle name="Финансовый 2 3 2" xfId="4520"/>
    <cellStyle name="Финансовый 2 3 2 10" xfId="12998"/>
    <cellStyle name="Финансовый 2 3 2 2" xfId="4521"/>
    <cellStyle name="Финансовый 2 3 2 2 2" xfId="4522"/>
    <cellStyle name="Финансовый 2 3 2 2 2 2" xfId="12999"/>
    <cellStyle name="Финансовый 2 3 2 2 2 3" xfId="13000"/>
    <cellStyle name="Финансовый 2 3 2 2 2 4" xfId="13001"/>
    <cellStyle name="Финансовый 2 3 2 2 2 5" xfId="13002"/>
    <cellStyle name="Финансовый 2 3 2 2 2 6" xfId="13003"/>
    <cellStyle name="Финансовый 2 3 2 2 3" xfId="4523"/>
    <cellStyle name="Финансовый 2 3 2 2 3 2" xfId="13004"/>
    <cellStyle name="Финансовый 2 3 2 2 3 3" xfId="13005"/>
    <cellStyle name="Финансовый 2 3 2 2 3 4" xfId="13006"/>
    <cellStyle name="Финансовый 2 3 2 2 3 5" xfId="13007"/>
    <cellStyle name="Финансовый 2 3 2 2 3 6" xfId="13008"/>
    <cellStyle name="Финансовый 2 3 2 2 4" xfId="4524"/>
    <cellStyle name="Финансовый 2 3 2 2 4 2" xfId="13009"/>
    <cellStyle name="Финансовый 2 3 2 2 4 3" xfId="13010"/>
    <cellStyle name="Финансовый 2 3 2 2 4 4" xfId="13011"/>
    <cellStyle name="Финансовый 2 3 2 2 4 5" xfId="13012"/>
    <cellStyle name="Финансовый 2 3 2 2 4 6" xfId="13013"/>
    <cellStyle name="Финансовый 2 3 2 2 5" xfId="13014"/>
    <cellStyle name="Финансовый 2 3 2 2 6" xfId="13015"/>
    <cellStyle name="Финансовый 2 3 2 2 7" xfId="13016"/>
    <cellStyle name="Финансовый 2 3 2 2 8" xfId="13017"/>
    <cellStyle name="Финансовый 2 3 2 2 9" xfId="13018"/>
    <cellStyle name="Финансовый 2 3 2 3" xfId="4525"/>
    <cellStyle name="Финансовый 2 3 2 3 2" xfId="13019"/>
    <cellStyle name="Финансовый 2 3 2 3 3" xfId="13020"/>
    <cellStyle name="Финансовый 2 3 2 3 4" xfId="13021"/>
    <cellStyle name="Финансовый 2 3 2 3 5" xfId="13022"/>
    <cellStyle name="Финансовый 2 3 2 3 6" xfId="13023"/>
    <cellStyle name="Финансовый 2 3 2 4" xfId="4526"/>
    <cellStyle name="Финансовый 2 3 2 4 2" xfId="13024"/>
    <cellStyle name="Финансовый 2 3 2 4 3" xfId="13025"/>
    <cellStyle name="Финансовый 2 3 2 4 4" xfId="13026"/>
    <cellStyle name="Финансовый 2 3 2 4 5" xfId="13027"/>
    <cellStyle name="Финансовый 2 3 2 4 6" xfId="13028"/>
    <cellStyle name="Финансовый 2 3 2 5" xfId="4527"/>
    <cellStyle name="Финансовый 2 3 2 5 2" xfId="13029"/>
    <cellStyle name="Финансовый 2 3 2 5 3" xfId="13030"/>
    <cellStyle name="Финансовый 2 3 2 5 4" xfId="13031"/>
    <cellStyle name="Финансовый 2 3 2 5 5" xfId="13032"/>
    <cellStyle name="Финансовый 2 3 2 5 6" xfId="13033"/>
    <cellStyle name="Финансовый 2 3 2 6" xfId="13034"/>
    <cellStyle name="Финансовый 2 3 2 7" xfId="13035"/>
    <cellStyle name="Финансовый 2 3 2 8" xfId="13036"/>
    <cellStyle name="Финансовый 2 3 2 9" xfId="13037"/>
    <cellStyle name="Финансовый 2 3 3" xfId="4528"/>
    <cellStyle name="Финансовый 2 3 4" xfId="4529"/>
    <cellStyle name="Финансовый 2 3 4 2" xfId="4530"/>
    <cellStyle name="Финансовый 2 3 4 2 2" xfId="13038"/>
    <cellStyle name="Финансовый 2 3 4 2 3" xfId="13039"/>
    <cellStyle name="Финансовый 2 3 4 2 4" xfId="13040"/>
    <cellStyle name="Финансовый 2 3 4 2 5" xfId="13041"/>
    <cellStyle name="Финансовый 2 3 4 2 6" xfId="13042"/>
    <cellStyle name="Финансовый 2 3 4 3" xfId="4531"/>
    <cellStyle name="Финансовый 2 3 4 3 2" xfId="13043"/>
    <cellStyle name="Финансовый 2 3 4 3 3" xfId="13044"/>
    <cellStyle name="Финансовый 2 3 4 3 4" xfId="13045"/>
    <cellStyle name="Финансовый 2 3 4 3 5" xfId="13046"/>
    <cellStyle name="Финансовый 2 3 4 3 6" xfId="13047"/>
    <cellStyle name="Финансовый 2 3 4 4" xfId="4532"/>
    <cellStyle name="Финансовый 2 3 4 4 2" xfId="13048"/>
    <cellStyle name="Финансовый 2 3 4 4 3" xfId="13049"/>
    <cellStyle name="Финансовый 2 3 4 4 4" xfId="13050"/>
    <cellStyle name="Финансовый 2 3 4 4 5" xfId="13051"/>
    <cellStyle name="Финансовый 2 3 4 4 6" xfId="13052"/>
    <cellStyle name="Финансовый 2 3 4 5" xfId="13053"/>
    <cellStyle name="Финансовый 2 3 4 6" xfId="13054"/>
    <cellStyle name="Финансовый 2 3 4 7" xfId="13055"/>
    <cellStyle name="Финансовый 2 3 4 8" xfId="13056"/>
    <cellStyle name="Финансовый 2 3 4 9" xfId="13057"/>
    <cellStyle name="Финансовый 2 3 5" xfId="4533"/>
    <cellStyle name="Финансовый 2 3 5 2" xfId="13058"/>
    <cellStyle name="Финансовый 2 3 5 3" xfId="13059"/>
    <cellStyle name="Финансовый 2 3 5 4" xfId="13060"/>
    <cellStyle name="Финансовый 2 3 5 5" xfId="13061"/>
    <cellStyle name="Финансовый 2 3 5 6" xfId="13062"/>
    <cellStyle name="Финансовый 2 3 6" xfId="4534"/>
    <cellStyle name="Финансовый 2 3 6 2" xfId="13063"/>
    <cellStyle name="Финансовый 2 3 6 3" xfId="13064"/>
    <cellStyle name="Финансовый 2 3 6 4" xfId="13065"/>
    <cellStyle name="Финансовый 2 3 6 5" xfId="13066"/>
    <cellStyle name="Финансовый 2 3 6 6" xfId="13067"/>
    <cellStyle name="Финансовый 2 3 7" xfId="4535"/>
    <cellStyle name="Финансовый 2 3 7 2" xfId="13068"/>
    <cellStyle name="Финансовый 2 3 7 3" xfId="13069"/>
    <cellStyle name="Финансовый 2 3 7 4" xfId="13070"/>
    <cellStyle name="Финансовый 2 3 7 5" xfId="13071"/>
    <cellStyle name="Финансовый 2 3 7 6" xfId="13072"/>
    <cellStyle name="Финансовый 2 3 8" xfId="5664"/>
    <cellStyle name="Финансовый 2 3 9" xfId="13073"/>
    <cellStyle name="Финансовый 2 4" xfId="4536"/>
    <cellStyle name="Финансовый 2 4 2" xfId="4537"/>
    <cellStyle name="Финансовый 2 4 2 2" xfId="4538"/>
    <cellStyle name="Финансовый 2 4 2 3" xfId="4539"/>
    <cellStyle name="Финансовый 2 4 3" xfId="4540"/>
    <cellStyle name="Финансовый 2 4 3 2" xfId="4541"/>
    <cellStyle name="Финансовый 2 4 4" xfId="4542"/>
    <cellStyle name="Финансовый 2 5" xfId="4543"/>
    <cellStyle name="Финансовый 2 5 10" xfId="13074"/>
    <cellStyle name="Финансовый 2 5 2" xfId="4544"/>
    <cellStyle name="Финансовый 2 5 3" xfId="4545"/>
    <cellStyle name="Финансовый 2 5 3 2" xfId="13075"/>
    <cellStyle name="Финансовый 2 5 3 3" xfId="13076"/>
    <cellStyle name="Финансовый 2 5 3 4" xfId="13077"/>
    <cellStyle name="Финансовый 2 5 3 5" xfId="13078"/>
    <cellStyle name="Финансовый 2 5 3 6" xfId="13079"/>
    <cellStyle name="Финансовый 2 5 4" xfId="4546"/>
    <cellStyle name="Финансовый 2 5 4 2" xfId="13080"/>
    <cellStyle name="Финансовый 2 5 4 3" xfId="13081"/>
    <cellStyle name="Финансовый 2 5 4 4" xfId="13082"/>
    <cellStyle name="Финансовый 2 5 4 5" xfId="13083"/>
    <cellStyle name="Финансовый 2 5 4 6" xfId="13084"/>
    <cellStyle name="Финансовый 2 5 5" xfId="4547"/>
    <cellStyle name="Финансовый 2 5 5 2" xfId="13085"/>
    <cellStyle name="Финансовый 2 5 5 3" xfId="13086"/>
    <cellStyle name="Финансовый 2 5 5 4" xfId="13087"/>
    <cellStyle name="Финансовый 2 5 5 5" xfId="13088"/>
    <cellStyle name="Финансовый 2 5 5 6" xfId="13089"/>
    <cellStyle name="Финансовый 2 5 6" xfId="13090"/>
    <cellStyle name="Финансовый 2 5 7" xfId="13091"/>
    <cellStyle name="Финансовый 2 5 8" xfId="13092"/>
    <cellStyle name="Финансовый 2 5 9" xfId="13093"/>
    <cellStyle name="Финансовый 2 6" xfId="4548"/>
    <cellStyle name="Финансовый 2 7" xfId="4549"/>
    <cellStyle name="Финансовый 2 8" xfId="4550"/>
    <cellStyle name="Финансовый 2 8 2" xfId="4551"/>
    <cellStyle name="Финансовый 2 8 2 2" xfId="13094"/>
    <cellStyle name="Финансовый 2 8 2 3" xfId="13095"/>
    <cellStyle name="Финансовый 2 8 2 4" xfId="13096"/>
    <cellStyle name="Финансовый 2 8 2 5" xfId="13097"/>
    <cellStyle name="Финансовый 2 8 2 6" xfId="13098"/>
    <cellStyle name="Финансовый 2 8 3" xfId="4552"/>
    <cellStyle name="Финансовый 2 8 3 2" xfId="13099"/>
    <cellStyle name="Финансовый 2 8 3 3" xfId="13100"/>
    <cellStyle name="Финансовый 2 8 3 4" xfId="13101"/>
    <cellStyle name="Финансовый 2 8 3 5" xfId="13102"/>
    <cellStyle name="Финансовый 2 8 3 6" xfId="13103"/>
    <cellStyle name="Финансовый 2 8 4" xfId="4553"/>
    <cellStyle name="Финансовый 2 8 4 2" xfId="13104"/>
    <cellStyle name="Финансовый 2 8 4 3" xfId="13105"/>
    <cellStyle name="Финансовый 2 8 4 4" xfId="13106"/>
    <cellStyle name="Финансовый 2 8 4 5" xfId="13107"/>
    <cellStyle name="Финансовый 2 8 4 6" xfId="13108"/>
    <cellStyle name="Финансовый 2 8 5" xfId="13109"/>
    <cellStyle name="Финансовый 2 8 6" xfId="13110"/>
    <cellStyle name="Финансовый 2 8 7" xfId="13111"/>
    <cellStyle name="Финансовый 2 8 8" xfId="13112"/>
    <cellStyle name="Финансовый 2 8 9" xfId="13113"/>
    <cellStyle name="Финансовый 2 9" xfId="5665"/>
    <cellStyle name="Финансовый 2_46EE.2011(v1.0)" xfId="4554"/>
    <cellStyle name="Финансовый 3" xfId="4555"/>
    <cellStyle name="Финансовый 3 10" xfId="5666"/>
    <cellStyle name="Финансовый 3 2" xfId="4556"/>
    <cellStyle name="Финансовый 3 3" xfId="4557"/>
    <cellStyle name="Финансовый 3 3 2" xfId="4558"/>
    <cellStyle name="Финансовый 3 3 3" xfId="4559"/>
    <cellStyle name="Финансовый 3 3 3 2" xfId="4560"/>
    <cellStyle name="Финансовый 3 3 4" xfId="4561"/>
    <cellStyle name="Финансовый 3 4" xfId="4562"/>
    <cellStyle name="Финансовый 3 4 2" xfId="4563"/>
    <cellStyle name="Финансовый 3 4 3" xfId="4564"/>
    <cellStyle name="Финансовый 3 4 3 2" xfId="4565"/>
    <cellStyle name="Финансовый 3 4 4" xfId="4566"/>
    <cellStyle name="Финансовый 3 5" xfId="4567"/>
    <cellStyle name="Финансовый 3 6" xfId="4568"/>
    <cellStyle name="Финансовый 3 6 2" xfId="4569"/>
    <cellStyle name="Финансовый 3 7" xfId="4570"/>
    <cellStyle name="Финансовый 3 8" xfId="4571"/>
    <cellStyle name="Финансовый 3 8 2" xfId="4572"/>
    <cellStyle name="Финансовый 3 9" xfId="4573"/>
    <cellStyle name="Финансовый 3_INDEX.STATION.2012(v1.0)_" xfId="4574"/>
    <cellStyle name="Финансовый 4" xfId="4575"/>
    <cellStyle name="Финансовый 4 2" xfId="4576"/>
    <cellStyle name="Финансовый 4 2 2" xfId="4577"/>
    <cellStyle name="Финансовый 4 2 2 2" xfId="4578"/>
    <cellStyle name="Финансовый 4 2 3" xfId="4579"/>
    <cellStyle name="Финансовый 5" xfId="4580"/>
    <cellStyle name="Финансовый 5 2" xfId="4581"/>
    <cellStyle name="Финансовый 6" xfId="4582"/>
    <cellStyle name="Финансовый 6 2" xfId="4583"/>
    <cellStyle name="Финансовый 7" xfId="4584"/>
    <cellStyle name="Финансовый 7 2" xfId="4585"/>
    <cellStyle name="Финансовый 7 3" xfId="4586"/>
    <cellStyle name="Финансовый 7 3 2" xfId="4587"/>
    <cellStyle name="Финансовый 7 4" xfId="4588"/>
    <cellStyle name="Финансовый 8" xfId="4589"/>
    <cellStyle name="Финансовый 8 2" xfId="4590"/>
    <cellStyle name="Финансовый 9" xfId="4591"/>
    <cellStyle name="Финансовый 9 10" xfId="13114"/>
    <cellStyle name="Финансовый 9 2" xfId="4592"/>
    <cellStyle name="Финансовый 9 2 2" xfId="4593"/>
    <cellStyle name="Финансовый 9 2 2 2" xfId="13115"/>
    <cellStyle name="Финансовый 9 2 2 3" xfId="13116"/>
    <cellStyle name="Финансовый 9 2 2 4" xfId="13117"/>
    <cellStyle name="Финансовый 9 2 2 5" xfId="13118"/>
    <cellStyle name="Финансовый 9 2 2 6" xfId="13119"/>
    <cellStyle name="Финансовый 9 2 3" xfId="4594"/>
    <cellStyle name="Финансовый 9 2 3 2" xfId="13120"/>
    <cellStyle name="Финансовый 9 2 3 3" xfId="13121"/>
    <cellStyle name="Финансовый 9 2 3 4" xfId="13122"/>
    <cellStyle name="Финансовый 9 2 3 5" xfId="13123"/>
    <cellStyle name="Финансовый 9 2 3 6" xfId="13124"/>
    <cellStyle name="Финансовый 9 2 4" xfId="4595"/>
    <cellStyle name="Финансовый 9 2 4 2" xfId="13125"/>
    <cellStyle name="Финансовый 9 2 4 3" xfId="13126"/>
    <cellStyle name="Финансовый 9 2 4 4" xfId="13127"/>
    <cellStyle name="Финансовый 9 2 4 5" xfId="13128"/>
    <cellStyle name="Финансовый 9 2 4 6" xfId="13129"/>
    <cellStyle name="Финансовый 9 2 5" xfId="13130"/>
    <cellStyle name="Финансовый 9 2 6" xfId="13131"/>
    <cellStyle name="Финансовый 9 2 7" xfId="13132"/>
    <cellStyle name="Финансовый 9 2 8" xfId="13133"/>
    <cellStyle name="Финансовый 9 2 9" xfId="13134"/>
    <cellStyle name="Финансовый 9 3" xfId="4596"/>
    <cellStyle name="Финансовый 9 3 2" xfId="13135"/>
    <cellStyle name="Финансовый 9 3 3" xfId="13136"/>
    <cellStyle name="Финансовый 9 3 4" xfId="13137"/>
    <cellStyle name="Финансовый 9 3 5" xfId="13138"/>
    <cellStyle name="Финансовый 9 3 6" xfId="13139"/>
    <cellStyle name="Финансовый 9 4" xfId="4597"/>
    <cellStyle name="Финансовый 9 4 2" xfId="13140"/>
    <cellStyle name="Финансовый 9 4 3" xfId="13141"/>
    <cellStyle name="Финансовый 9 4 4" xfId="13142"/>
    <cellStyle name="Финансовый 9 4 5" xfId="13143"/>
    <cellStyle name="Финансовый 9 4 6" xfId="13144"/>
    <cellStyle name="Финансовый 9 5" xfId="4598"/>
    <cellStyle name="Финансовый 9 5 2" xfId="13145"/>
    <cellStyle name="Финансовый 9 5 3" xfId="13146"/>
    <cellStyle name="Финансовый 9 5 4" xfId="13147"/>
    <cellStyle name="Финансовый 9 5 5" xfId="13148"/>
    <cellStyle name="Финансовый 9 5 6" xfId="13149"/>
    <cellStyle name="Финансовый 9 6" xfId="13150"/>
    <cellStyle name="Финансовый 9 7" xfId="13151"/>
    <cellStyle name="Финансовый 9 8" xfId="13152"/>
    <cellStyle name="Финансовый 9 9" xfId="13153"/>
    <cellStyle name="Финансовый0[0]_FU_bal" xfId="4599"/>
    <cellStyle name="Формула" xfId="4600"/>
    <cellStyle name="Формула 2" xfId="4601"/>
    <cellStyle name="Формула 2 2" xfId="4602"/>
    <cellStyle name="Формула 2 3" xfId="5667"/>
    <cellStyle name="Формула 2 3 2" xfId="5668"/>
    <cellStyle name="Формула 3" xfId="4603"/>
    <cellStyle name="Формула_A РТ 2009 Рязаньэнерго" xfId="4604"/>
    <cellStyle name="ФормулаВБ" xfId="4605"/>
    <cellStyle name="ФормулаВБ 2" xfId="4606"/>
    <cellStyle name="ФормулаВБ 2 2" xfId="4607"/>
    <cellStyle name="ФормулаВБ 2 2 2" xfId="5669"/>
    <cellStyle name="ФормулаВБ 2 3" xfId="4608"/>
    <cellStyle name="ФормулаВБ 2 3 2" xfId="5670"/>
    <cellStyle name="ФормулаВБ 2 4" xfId="5671"/>
    <cellStyle name="ФормулаВБ 3" xfId="5672"/>
    <cellStyle name="ФормулаВБ 4" xfId="5673"/>
    <cellStyle name="ФормулаНаКонтроль" xfId="4609"/>
    <cellStyle name="ФормулаНаКонтроль 2" xfId="4610"/>
    <cellStyle name="ФормулаНаКонтроль 3" xfId="4611"/>
    <cellStyle name="ФормулаНаКонтроль 3 2" xfId="5674"/>
    <cellStyle name="ФормулаНаКонтроль 4" xfId="4612"/>
    <cellStyle name="ФормулаНаКонтроль 5" xfId="5675"/>
    <cellStyle name="ФормулаНаКонтроль_GRES.2007.5" xfId="4613"/>
    <cellStyle name="Хороший 10" xfId="4614"/>
    <cellStyle name="Хороший 2" xfId="4615"/>
    <cellStyle name="Хороший 2 2" xfId="4616"/>
    <cellStyle name="Хороший 3" xfId="4617"/>
    <cellStyle name="Хороший 3 2" xfId="4618"/>
    <cellStyle name="Хороший 3 3" xfId="4619"/>
    <cellStyle name="Хороший 3 3 2" xfId="4620"/>
    <cellStyle name="Хороший 3 4" xfId="5676"/>
    <cellStyle name="Хороший 4" xfId="4621"/>
    <cellStyle name="Хороший 4 2" xfId="4622"/>
    <cellStyle name="Хороший 5" xfId="4623"/>
    <cellStyle name="Хороший 5 2" xfId="4624"/>
    <cellStyle name="Хороший 6" xfId="4625"/>
    <cellStyle name="Хороший 6 2" xfId="4626"/>
    <cellStyle name="Хороший 7" xfId="4627"/>
    <cellStyle name="Хороший 7 2" xfId="4628"/>
    <cellStyle name="Хороший 8" xfId="4629"/>
    <cellStyle name="Хороший 8 2" xfId="4630"/>
    <cellStyle name="Хороший 9" xfId="4631"/>
    <cellStyle name="Хороший 9 2" xfId="4632"/>
    <cellStyle name="Цена_продукта" xfId="4633"/>
    <cellStyle name="Цифры по центру с десятыми" xfId="4634"/>
    <cellStyle name="Цифры по центру с десятыми 2" xfId="4635"/>
    <cellStyle name="Цифры по центру с десятыми 3" xfId="5677"/>
    <cellStyle name="число" xfId="4636"/>
    <cellStyle name="Џђћ–…ќ’ќ›‰" xfId="4637"/>
    <cellStyle name="Џђћ–…ќ’ќ›‰ 2" xfId="4638"/>
    <cellStyle name="Џђћ–…ќ’ќ›‰ 3" xfId="5678"/>
    <cellStyle name="Шапка" xfId="4639"/>
    <cellStyle name="Шапка таблицы" xfId="4640"/>
    <cellStyle name="Шапка таблицы 2" xfId="4641"/>
    <cellStyle name="Шапка таблицы 3" xfId="5679"/>
    <cellStyle name="Шапка_4DNS.UPDATE.EXAMPLE" xfId="4642"/>
    <cellStyle name="ШАУ" xfId="4643"/>
    <cellStyle name="標準_PL-CF sheet" xfId="4644"/>
    <cellStyle name="㼿" xfId="4645"/>
    <cellStyle name="㼿 2" xfId="4646"/>
    <cellStyle name="㼿 2 2" xfId="5680"/>
    <cellStyle name="㼿 3" xfId="5681"/>
    <cellStyle name="㼿 3 2" xfId="5682"/>
    <cellStyle name="㼿 4" xfId="5683"/>
    <cellStyle name="㼿?" xfId="4647"/>
    <cellStyle name="㼿㼿" xfId="4648"/>
    <cellStyle name="㼿㼿?" xfId="4649"/>
    <cellStyle name="㼿㼿? 2" xfId="4650"/>
    <cellStyle name="㼿㼿? 2 2" xfId="5684"/>
    <cellStyle name="㼿㼿? 3" xfId="5685"/>
    <cellStyle name="㼿㼿? 3 2" xfId="5686"/>
    <cellStyle name="㼿㼿? 4" xfId="5687"/>
    <cellStyle name="㼿㼿㼿" xfId="4651"/>
    <cellStyle name="㼿㼿㼿?" xfId="4652"/>
    <cellStyle name="㼿㼿㼿㼿" xfId="4653"/>
    <cellStyle name="㼿㼿㼿㼿?" xfId="4654"/>
    <cellStyle name="㼿㼿㼿㼿㼿" xfId="4655"/>
    <cellStyle name="㼿㼿㼿㼿㼿?" xfId="4656"/>
    <cellStyle name="䁺_x0001_" xfId="4657"/>
    <cellStyle name="䁺_x0001_ 2" xfId="4658"/>
    <cellStyle name="䁺_x0001_ 2 2" xfId="4659"/>
    <cellStyle name="䁺_x0001_ 3" xfId="466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1086;&#1073;&#1084;&#1077;&#1085;/&#1092;&#1083;&#1101;&#1096;/16%20&#1085;&#1086;&#1103;&#1073;&#1088;&#1103;%20&#1087;&#1086;&#1089;&#1083;&#1077;&#1076;&#1085;&#1080;&#1081;/RAB.2010%20&#1050;&#1069;&#108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chaelsrv\disk%20t\&#1089;%20&#1089;&#1072;&#1081;&#1090;&#1072;%20&#1045;&#1048;&#1040;&#1057;%20(11,11,2009)\TEPLO.PREDEL.2010_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1056;&#1072;&#1073;&#1086;&#1095;&#1080;&#1081;%20&#1089;&#1090;&#1086;&#1083;/&#1058;&#1072;&#1088;&#1080;&#1092;&#1099;%202012%20&#1075;&#1086;&#1076;/&#1040;&#1085;&#1072;&#1083;&#1080;&#1079;%20&#1053;&#1069;&#1057;&#1050;%20&#1092;&#1072;&#1082;&#1090;&#1072;%202010%20&#1075;&#1086;&#1076;/&#1054;&#1090;&#1087;&#1088;&#1072;&#1074;&#1083;&#1077;&#1085;&#1086;%20&#1074;%20&#1053;&#1069;&#1057;&#1050;%2029.12.2011%20&#1055;&#1083;&#1072;&#1085;-&#1092;&#1072;&#1082;&#1090;%20%20&#1045;&#1048;&#1040;&#1057;%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1/SINICI~1/LOCALS~1/Temp/7zO175.tmp/KOTEL.NET.FACT.3.23%202012%20&#1075;&#1086;&#107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1059;&#1087;&#1088;&#1072;&#1074;&#1083;&#1077;&#1085;&#1080;&#1077;%20&#1090;&#1088;&#1072;&#1085;&#1089;&#1087;&#1086;&#1088;&#1090;&#1072;%20&#1101;&#1083;&#1077;&#1082;&#1090;&#1088;&#1086;&#1101;&#1085;&#1077;&#1088;&#1075;&#1080;&#1080;\&#1086;&#1090;&#1076;&#1077;&#1083;%20&#1073;&#1072;&#1083;&#1072;&#1085;&#1089;&#1086;&#1074;%20&#1080;%20&#1088;&#1072;&#1089;&#1095;&#1077;&#1090;&#1086;&#1074;\&#1056;&#1072;&#1073;&#1086;&#1095;&#1072;&#1103;\&#1057;&#1077;&#1082;&#1090;&#1086;&#1088;%20&#1073;&#1072;&#1083;&#1072;&#1085;&#1089;&#1086;&#1074;%20&#1101;&#1101;%20&#1080;%20&#1089;&#1090;&#1072;&#1090;&#1080;&#1089;&#1090;&#1080;&#1082;&#1080;\&#1058;&#1040;&#1056;&#1048;&#1060;&#1053;&#1054;&#1045;%20&#1044;&#1045;&#1051;&#1054;%202008,%202009,%202010%20&#1075;&#1075;\&#1060;&#1086;&#1088;&#1084;&#1072;%203.1\2012\FORM3.1.2012(v1.0)%2001.06.201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af4.mail.ru/Documents%20and%20Settings/grebennikovrv/&#1052;&#1086;&#1080;%20&#1076;&#1086;&#1082;&#1091;&#1084;&#1077;&#1085;&#1090;&#1099;/&#1058;&#1072;&#1088;&#1080;&#1092;&#1085;&#1086;&#1077;%20&#1076;&#1077;&#1083;&#1086;%202008/OAO%20Kubanenergo_tarifnoe%20delo%20po%20peredache%20na%202008%20go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044;&#1062;&#1058;%20&#1072;&#1085;&#1072;&#1083;&#1080;&#1079;%20&#1092;&#1072;&#1082;&#1090;&#1072;%20&#1053;&#1042;&#1042;%20%202013/5.&#1044;&#1086;&#1087;&#1086;&#1083;&#1085;&#1080;&#1090;&#1077;&#1083;&#1100;&#1085;&#1099;&#1077;%20&#1084;&#1072;&#1090;&#1077;&#1088;&#1080;&#1072;&#1083;&#1099;/&#1060;&#1086;&#1088;&#1084;&#1099;%20&#1052;&#1077;&#1090;&#1086;&#1076;&#1080;&#1082;&#1080;/KOTEL.POTERI.NET.FACT.3.23(v2.0)%202013%20&#1075;&#1086;&#107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af4.mail.ru/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haelsrv\disk%20t\&#1089;%20&#1089;&#1072;&#1081;&#1090;&#1072;%20&#1045;&#1048;&#1040;&#1057;%20(11,11,2009)\&#1057;&#1090;&#1072;&#1085;&#1094;&#1080;&#1080;%202009\&#1040;&#1083;&#1090;&#1072;&#1081;-&#1050;&#1086;&#1082;&#1089;_09_&#1060;&#1057;&#105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nts%20and%20Settings/sindeevanv/Local%20Settings/Temporary%20Internet%20Files/OLK41/OREP.INV.NE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044;&#1062;&#1058;%20&#1072;&#1085;&#1072;&#1083;&#1080;&#1079;%20&#1092;&#1072;&#1082;&#1090;&#1072;%20&#1053;&#1042;&#1042;%20%202013/5.&#1044;&#1086;&#1087;&#1086;&#1083;&#1085;&#1080;&#1090;&#1077;&#1083;&#1100;&#1085;&#1099;&#1077;%20&#1084;&#1072;&#1090;&#1077;&#1088;&#1080;&#1072;&#1083;&#1099;/&#1060;&#1086;&#1088;&#1084;&#1099;%20&#1052;&#1077;&#1090;&#1086;&#1076;&#1080;&#1082;&#1080;/FORM3.1.2015(v1.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af4.mail.ru/Documents%20and%20Settings/&#1045;&#1088;&#1084;&#1086;&#1083;&#1077;&#1085;&#1082;&#1086;/&#1056;&#1072;&#1073;&#1086;&#1095;&#1080;&#1081;%20&#1089;&#1090;&#1086;&#1083;/Tarif_demo/Tarif2_dem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af4.mail.ru/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KH2VWXUR\Model_RAB_MRSK_sv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hlakina_ah.ENERGO\Local%20Settings\Temporary%20Internet%20Files\Content.IE5\S9MJGT6F\&#1056;&#1072;&#1089;&#1095;&#1077;&#1090;%20&#1040;&#1089;&#1090;&#1088;&#1072;&#1093;&#1072;&#1085;&#1100;&#1101;&#1085;&#1077;&#1088;&#1075;&#108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af4.mail.ru/Documents%20and%20Settings/Rromashchenko.FST/&#1056;&#1072;&#1073;&#1086;&#1095;&#1080;&#1081;%20&#1089;&#1090;&#1086;&#1083;/&#1055;&#1056;&#1040;&#1042;&#1051;&#1045;&#1053;&#1048;&#1045;%202007/&#1055;&#1086;&#1089;&#1083;&#1077;%20&#1055;&#1088;&#1072;&#1074;&#1083;&#1077;&#1085;&#1080;&#1103;/&#1048;&#1090;&#1086;&#1075;/&#1087;&#1088;&#1080;&#1082;&#1072;&#1079;%2028%20&#1085;&#1086;&#1103;&#1073;&#1088;&#1103;%20314_&#1101;_12/&#1055;&#1056;&#1040;&#1042;&#1051;&#1045;&#1053;&#1048;&#1045;%202007/&#1041;&#1072;&#1083;&#1072;&#1085;&#1089;%20&#1101;&#1085;&#1077;&#1088;&#1075;&#1080;&#1103;%20%202007%20&#1055;&#1088;&#1072;&#1074;&#1083;&#1077;&#1085;&#1080;&#1077;031006/21%2008%2006%20&#1073;&#1072;&#1083;&#1072;&#1085;&#1089;&#1099;%20&#1086;&#1090;%20&#1052;&#1053;&#1042;/Form9-&#1057;&#1072;&#1093;&#1072;&#1083;&#1080;&#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chaelsrv\disk%20t\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Rogacheva/Local%20Settings/Temporary%20Internet%20Files/Content.IE5/99BCKV55/&#1055;&#1086;%20&#1092;&#1086;&#1088;&#1084;&#1077;%20RAB%20&#1044;&#1086;&#1083;&#1075;&#1086;&#1089;&#1088;&#1086;&#1095;&#1085;&#1099;&#1077;%202012%20&#1074;&#1089;&#1077;%20&#1092;&#1086;&#1088;&#1084;&#1099;/&#1044;&#1086;&#1083;&#1075;&#1086;&#1089;&#1088;&#1086;&#1095;&#1085;&#1099;&#1077;%20%20&#1056;&#1086;&#1084;&#1072;&#1085;&#1094;&#1086;&#1074;&#107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nergo\Resource\COMMON\JDANOVA\&#1060;&#1054;\&#1050;&#1085;&#1080;&#1075;&#1072;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1056;&#1072;&#1089;&#1095;&#1077;&#1090;&#1085;&#1072;&#1103;%20&#1074;&#1077;&#1083;&#1080;&#1095;&#1080;&#1085;&#1072;%20&#1074;&#1099;&#1088;&#1091;&#1095;&#1082;&#1080;%202015-2016&#1075;&#1075;..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3.2%20&#1040;&#1085;&#1072;&#1083;&#1080;&#1079;%20&#1053;&#1042;&#1042;%20&#1079;&#1072;%202014%20&#1075;&#1086;&#1076;,%20&#1088;&#1072;&#1073;&#1086;&#1090;&#1072;%20&#1089;%20&#1056;&#1069;&#1050;/2.%20&#1056;&#1072;&#1073;&#1086;&#1090;&#1072;%20&#1089;%20&#1048;&#1088;&#1086;&#1081;/1.%20&#1040;&#1085;&#1072;&#1083;&#1080;&#1079;%20&#1053;&#1042;&#1042;%20&#1079;&#1072;%202014%20&#1075;&#1086;&#1076;%2029.12.2014%20&#1085;&#1077;&#1095;&#1077;&#1089;&#1086;&#1074;%20-4%20762%2000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3.2%20&#1040;&#1085;&#1072;&#1083;&#1080;&#1079;%20&#1053;&#1042;&#1042;%20&#1079;&#1072;%202014%20&#1075;&#1086;&#1076;,%20&#1088;&#1072;&#1073;&#1086;&#1090;&#1072;%20&#1089;%20&#1056;&#1069;&#1050;/2.%20&#1056;&#1072;&#1073;&#1086;&#1090;&#1072;%20&#1089;%20&#1048;&#1088;&#1086;&#1081;/3.1.%20&#1040;&#1085;&#1072;&#1083;&#1080;&#1079;%20&#1053;&#1042;&#1042;%20&#1079;&#1072;%202014%20&#1075;&#1086;&#1076;,%20&#1088;&#1072;&#1073;&#1086;&#1090;&#1072;%20&#1089;%20&#1048;&#1088;&#1086;&#1081;%20&#1087;&#1086;%20&#1087;&#1088;&#1080;&#1084;&#1077;&#1095;&#1072;&#1085;&#1080;&#1103;&#1084;_20.11.15.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6/1.%20&#1055;&#1045;&#1056;&#1045;&#1044;&#1040;&#1063;&#1040;/3.2%20&#1040;&#1085;&#1072;&#1083;&#1080;&#1079;%20&#1053;&#1042;&#1042;%20&#1079;&#1072;%202014%20&#1075;&#1086;&#1076;,%20&#1088;&#1072;&#1073;&#1086;&#1090;&#1072;%20&#1089;%20&#1056;&#1069;&#1050;/2.%20&#1056;&#1072;&#1073;&#1086;&#1090;&#1072;%20&#1089;%20&#1048;&#1088;&#1086;&#1081;/2.2.%20&#1040;&#1085;&#1072;&#1083;&#1080;&#1079;%20&#1053;&#1042;&#1042;%20&#1079;&#1072;%202014%20&#1075;&#1086;&#1076;,%20&#1087;&#1083;&#1072;&#1085;%20&#1085;&#1072;%202016%20&#1075;&#1086;&#1076;_&#1088;&#1072;&#1073;&#1086;&#1090;&#1072;_20.11.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1050;&#1086;&#1087;&#1080;&#1103;%20&#1052;&#1072;&#1082;&#1077;&#1090;%204%20&#1082;&#1074;._%20&#1075;&#1086;&#1076;%20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0;&#1086;&#1087;&#1080;&#1103;/&#1055;&#1051;&#1040;&#1053;&#1054;&#1042;&#1054;-&#1069;&#1050;&#1054;&#1053;&#1054;&#1052;&#1048;&#1063;&#1045;&#1057;&#1050;&#1048;&#1049;%20&#1054;&#1058;&#1044;&#1045;&#1051;/2015/&#1041;&#1055;%20&#1080;&#1089;&#1087;&#1086;&#1083;&#1085;&#1077;&#1085;&#1080;&#1077;%20&#1060;&#1040;&#1050;&#1058;&#1040;%202015/&#1060;&#1072;&#1082;&#1090;%20&#1079;&#1072;%2012%20&#1084;&#1077;&#1089;.%202015%20&#1075;&#1086;&#1076;&#1072;/&#1042;&#1089;&#1087;&#1086;&#1084;&#1086;&#1075;&#1072;&#1090;&#1077;&#1083;&#1100;&#1085;&#1099;&#1077;%20&#1084;&#1072;&#1090;&#1077;&#1088;&#1080;&#1072;&#1083;&#1099;/&#1076;&#1086;&#1093;&#1086;&#1076;&#1099;%20&#1087;&#1088;&#1086;&#1096;&#1083;&#1099;&#1093;%20&#1083;&#1077;&#1090;%202014%20&#1075;&#1086;&#107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0;&#1086;&#1087;&#1080;&#1103;/&#1055;&#1051;&#1040;&#1053;&#1054;&#1042;&#1054;-&#1069;&#1050;&#1054;&#1053;&#1054;&#1052;&#1048;&#1063;&#1045;&#1057;&#1050;&#1048;&#1049;%20&#1054;&#1058;&#1044;&#1045;&#1051;/2014/&#1041;&#1055;%202014/&#1050;&#1086;&#1088;&#1088;&#1077;&#1082;&#1090;&#1080;&#1088;&#1086;&#1074;&#1082;&#1072;%20&#1041;&#1055;%202014/&#1052;&#1072;&#1082;&#1077;&#1090;%20&#1041;&#1044;&#1056;%20&#1082;&#1086;&#1088;&#1088;&#1077;&#1082;&#1090;&#1080;&#1088;&#1086;&#1074;&#1082;&#1072;%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4/&#1056;&#1069;&#1050;-%202012-2014/&#1048;&#1090;&#1086;&#1075;&#1086;&#1074;&#1099;&#1077;%20&#1092;&#1086;&#1088;&#1084;&#1072;&#1090;&#1099;%202012-2014%20&#1075;&#1086;&#1076;/DOCUME~1/SINICI~1/LOCALS~1/Temp/7zO182.tmp/KOTEL.POTERI.NET.FACT.3.23(v2.0)%20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1.%20&#1053;&#1042;&#1042;%20&#1085;&#1072;%202017%20&#1075;&#1086;&#1076;.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3.1.%20&#1040;&#1085;&#1072;&#1083;&#1080;&#1079;%20&#1053;&#1042;&#1042;%20&#1079;&#1072;%202014%20&#1075;&#1086;&#1076;,%20&#1088;&#1072;&#1073;&#1086;&#1090;&#1072;%20&#1089;%20&#1048;&#1088;&#1086;&#1081;%20&#1087;&#1086;%20&#1087;&#1088;&#1080;&#1084;&#1077;&#1095;&#1072;&#1085;&#1080;&#1103;&#1084;_20.11.15.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1059;&#1087;&#1088;&#1072;&#1074;&#1083;&#1077;&#1085;&#1080;&#1077;%20&#1087;&#1086;%20&#1101;&#1082;&#1086;&#1085;&#1086;&#1084;&#1080;&#1082;&#1077;%20&#1057;&#1077;&#1090;&#1080;/&#1054;&#1058;&#1044;&#1045;&#1051;%20&#1058;&#1040;&#1056;&#1048;&#1060;&#1054;&#1042;%20&#1048;%20&#1062;&#1045;&#1053;&#1054;&#1054;&#1041;&#1056;&#1040;&#1047;&#1054;&#1042;&#1040;&#1053;&#1048;&#1071;/2017/&#1055;&#1045;&#1056;&#1045;&#1044;&#1040;&#1063;&#1040;/1.%20&#1058;&#1072;&#1088;&#1080;&#1092;&#1085;&#1086;&#1077;%20&#1076;&#1077;&#1083;&#1086;%202017/2.2.%20&#1040;&#1085;&#1072;&#1083;&#1080;&#1079;%20&#1053;&#1042;&#1042;%20&#1079;&#1072;%202014%20&#1075;&#1086;&#1076;,%20&#1087;&#1083;&#1072;&#1085;%20&#1085;&#1072;%202016%20&#1075;&#1086;&#1076;_&#1088;&#1072;&#1073;&#1086;&#1090;&#1072;_20.11.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К снятию в 2012 году в эксертно"/>
      <sheetName val="НЭСК сети расчет тарифа"/>
      <sheetName val="расчет 2012 (2)"/>
      <sheetName val="К снятию в 2012 году"/>
      <sheetName val="анализ 2010"/>
      <sheetName val="Инвестиции"/>
      <sheetName val="16"/>
      <sheetName val="17"/>
      <sheetName val="17.1"/>
      <sheetName val="24 "/>
      <sheetName val="24"/>
      <sheetName val="25"/>
      <sheetName val="P2.1"/>
      <sheetName val="P2.2"/>
      <sheetName val="перекрестка"/>
      <sheetName val="Ф-1 (для АО-энерго)"/>
      <sheetName val="Ф-2 (для АО-энерго)"/>
      <sheetName val="TEHSHEET"/>
    </sheetNames>
    <sheetDataSet>
      <sheetData sheetId="0"/>
      <sheetData sheetId="1">
        <row r="15">
          <cell r="B15">
            <v>2007</v>
          </cell>
        </row>
      </sheetData>
      <sheetData sheetId="2">
        <row r="13">
          <cell r="E13" t="str">
            <v>Краснодарский край</v>
          </cell>
        </row>
        <row r="21">
          <cell r="D21" t="str">
            <v>Краснодарский край</v>
          </cell>
        </row>
        <row r="27">
          <cell r="F27" t="str">
            <v>Сводный по региону</v>
          </cell>
        </row>
      </sheetData>
      <sheetData sheetId="3"/>
      <sheetData sheetId="4"/>
      <sheetData sheetId="5">
        <row r="15">
          <cell r="H15">
            <v>7.29</v>
          </cell>
          <cell r="M15">
            <v>32.42</v>
          </cell>
          <cell r="R15">
            <v>1.6557499362291563</v>
          </cell>
          <cell r="W15">
            <v>1.6557499362291563</v>
          </cell>
          <cell r="AB15">
            <v>9.9700000000000006</v>
          </cell>
        </row>
        <row r="16">
          <cell r="H16">
            <v>48.32</v>
          </cell>
          <cell r="I16">
            <v>0.48</v>
          </cell>
          <cell r="M16">
            <v>53.58</v>
          </cell>
          <cell r="N16">
            <v>0.55100000000000005</v>
          </cell>
          <cell r="R16">
            <v>57.751634432025533</v>
          </cell>
          <cell r="S16">
            <v>0.45711209261557595</v>
          </cell>
          <cell r="W16">
            <v>57.751634432025533</v>
          </cell>
          <cell r="X16">
            <v>0.45711209261557595</v>
          </cell>
          <cell r="AB16">
            <v>104.24</v>
          </cell>
          <cell r="AC16">
            <v>44.305999999999997</v>
          </cell>
        </row>
        <row r="17">
          <cell r="I17">
            <v>2780.56</v>
          </cell>
          <cell r="N17">
            <v>3035.23</v>
          </cell>
          <cell r="S17">
            <v>2925.16</v>
          </cell>
          <cell r="X17">
            <v>2925.16</v>
          </cell>
          <cell r="AC17">
            <v>3132.72</v>
          </cell>
        </row>
        <row r="19">
          <cell r="F19">
            <v>106.4</v>
          </cell>
          <cell r="G19">
            <v>107.23</v>
          </cell>
          <cell r="H19">
            <v>5111.28</v>
          </cell>
          <cell r="I19">
            <v>4.3099999999999996</v>
          </cell>
          <cell r="K19">
            <v>115.79</v>
          </cell>
          <cell r="L19">
            <v>99.51</v>
          </cell>
          <cell r="M19">
            <v>5442.23</v>
          </cell>
          <cell r="N19">
            <v>8.81</v>
          </cell>
          <cell r="P19">
            <v>100.71799139111307</v>
          </cell>
          <cell r="Q19">
            <v>118.09</v>
          </cell>
          <cell r="R19">
            <v>5390.36</v>
          </cell>
          <cell r="S19">
            <v>9.4427619706761288</v>
          </cell>
          <cell r="U19">
            <v>100.71799139111307</v>
          </cell>
          <cell r="V19">
            <v>118.09</v>
          </cell>
          <cell r="W19">
            <v>5390.36</v>
          </cell>
          <cell r="X19">
            <v>9.4427619706761288</v>
          </cell>
          <cell r="Z19">
            <v>109.85</v>
          </cell>
          <cell r="AA19">
            <v>216.38</v>
          </cell>
          <cell r="AB19">
            <v>5686.45</v>
          </cell>
          <cell r="AC19">
            <v>7.01</v>
          </cell>
        </row>
        <row r="20">
          <cell r="H20">
            <v>0</v>
          </cell>
          <cell r="I20">
            <v>0</v>
          </cell>
        </row>
        <row r="23">
          <cell r="H23">
            <v>0</v>
          </cell>
          <cell r="I23">
            <v>5.38</v>
          </cell>
          <cell r="N23">
            <v>5.0199999999999996</v>
          </cell>
          <cell r="R23">
            <v>0</v>
          </cell>
          <cell r="S23">
            <v>5.77</v>
          </cell>
          <cell r="W23">
            <v>0</v>
          </cell>
          <cell r="X23">
            <v>5.77</v>
          </cell>
          <cell r="AB23">
            <v>0</v>
          </cell>
          <cell r="AC23">
            <v>5.44</v>
          </cell>
        </row>
        <row r="25">
          <cell r="F25">
            <v>98.98</v>
          </cell>
          <cell r="G25">
            <v>57.06</v>
          </cell>
          <cell r="H25">
            <v>2013.18</v>
          </cell>
          <cell r="I25">
            <v>2273.6</v>
          </cell>
          <cell r="K25">
            <v>82.89</v>
          </cell>
          <cell r="L25">
            <v>43.64</v>
          </cell>
          <cell r="M25">
            <v>2022.51</v>
          </cell>
          <cell r="N25">
            <v>2388.2199999999998</v>
          </cell>
          <cell r="P25">
            <v>98.985249564225299</v>
          </cell>
          <cell r="Q25">
            <v>58.49</v>
          </cell>
          <cell r="R25">
            <v>2082</v>
          </cell>
          <cell r="S25">
            <v>2387.16</v>
          </cell>
          <cell r="U25">
            <v>98.985249564225299</v>
          </cell>
          <cell r="V25">
            <v>58.49</v>
          </cell>
          <cell r="W25">
            <v>2082</v>
          </cell>
          <cell r="X25">
            <v>2387.16</v>
          </cell>
          <cell r="Z25">
            <v>99.71</v>
          </cell>
          <cell r="AA25">
            <v>66.209999999999994</v>
          </cell>
          <cell r="AB25">
            <v>2182.19</v>
          </cell>
          <cell r="AC25">
            <v>2609.69</v>
          </cell>
        </row>
      </sheetData>
      <sheetData sheetId="6">
        <row r="15">
          <cell r="H15">
            <v>1.02</v>
          </cell>
          <cell r="M15">
            <v>4.78</v>
          </cell>
          <cell r="R15">
            <v>0.23180499107208519</v>
          </cell>
          <cell r="W15">
            <v>0.23180499107208519</v>
          </cell>
          <cell r="AB15">
            <v>1.46</v>
          </cell>
        </row>
        <row r="16">
          <cell r="H16">
            <v>6.73</v>
          </cell>
          <cell r="I16">
            <v>7.0000000000000007E-2</v>
          </cell>
          <cell r="M16">
            <v>7.9</v>
          </cell>
          <cell r="N16">
            <v>0.08</v>
          </cell>
          <cell r="R16">
            <v>8.0852288204835716</v>
          </cell>
          <cell r="S16">
            <v>6.3995692966180601E-2</v>
          </cell>
          <cell r="W16">
            <v>8.0852288204835716</v>
          </cell>
          <cell r="X16">
            <v>6.3995692966180601E-2</v>
          </cell>
          <cell r="AB16">
            <v>15.29</v>
          </cell>
          <cell r="AC16">
            <v>6.5</v>
          </cell>
        </row>
        <row r="17">
          <cell r="I17">
            <v>386.96</v>
          </cell>
          <cell r="N17">
            <v>447.7</v>
          </cell>
          <cell r="S17">
            <v>379.18836268525666</v>
          </cell>
          <cell r="X17">
            <v>379.18836268525666</v>
          </cell>
          <cell r="AC17">
            <v>459.47</v>
          </cell>
        </row>
        <row r="19">
          <cell r="F19">
            <v>14.81</v>
          </cell>
          <cell r="G19">
            <v>14.92</v>
          </cell>
          <cell r="H19">
            <v>711.32</v>
          </cell>
          <cell r="I19">
            <v>0.6</v>
          </cell>
          <cell r="K19">
            <v>17.079999999999998</v>
          </cell>
          <cell r="L19">
            <v>14.68</v>
          </cell>
          <cell r="M19">
            <v>802.73</v>
          </cell>
          <cell r="N19">
            <v>1.3</v>
          </cell>
          <cell r="P19">
            <v>14.100518794755825</v>
          </cell>
          <cell r="Q19">
            <v>15.58342785822399</v>
          </cell>
          <cell r="R19">
            <v>705.24979560131112</v>
          </cell>
          <cell r="S19">
            <v>1.3219866758946575</v>
          </cell>
          <cell r="U19">
            <v>14.100518794755825</v>
          </cell>
          <cell r="V19">
            <v>15.58342785822399</v>
          </cell>
          <cell r="W19">
            <v>705.24979560131112</v>
          </cell>
          <cell r="X19">
            <v>1.3219866758946575</v>
          </cell>
          <cell r="Z19">
            <v>16.11</v>
          </cell>
          <cell r="AA19">
            <v>31.74</v>
          </cell>
          <cell r="AB19">
            <v>834.01</v>
          </cell>
          <cell r="AC19">
            <v>1.03</v>
          </cell>
        </row>
        <row r="20">
          <cell r="K20">
            <v>0</v>
          </cell>
          <cell r="L20">
            <v>0</v>
          </cell>
          <cell r="M20">
            <v>0</v>
          </cell>
          <cell r="N20">
            <v>0</v>
          </cell>
        </row>
        <row r="21">
          <cell r="F21">
            <v>0.02</v>
          </cell>
          <cell r="G21">
            <v>0.19</v>
          </cell>
          <cell r="H21">
            <v>51.93</v>
          </cell>
          <cell r="I21">
            <v>70.47</v>
          </cell>
          <cell r="K21">
            <v>7.0000000000000007E-2</v>
          </cell>
          <cell r="L21">
            <v>0.26</v>
          </cell>
          <cell r="M21">
            <v>69.400000000000006</v>
          </cell>
          <cell r="N21">
            <v>96.07</v>
          </cell>
          <cell r="P21">
            <v>1.0778864692205731E-2</v>
          </cell>
          <cell r="Q21">
            <v>0.19494985464485756</v>
          </cell>
          <cell r="R21">
            <v>58.877352845298745</v>
          </cell>
          <cell r="S21">
            <v>68.966837629141367</v>
          </cell>
          <cell r="U21">
            <v>1.0778864692205731E-2</v>
          </cell>
          <cell r="V21">
            <v>0.19494985464485756</v>
          </cell>
          <cell r="W21">
            <v>58.877352845298745</v>
          </cell>
          <cell r="X21">
            <v>68.966837629141367</v>
          </cell>
          <cell r="Z21">
            <v>0.02</v>
          </cell>
          <cell r="AA21">
            <v>0.24</v>
          </cell>
          <cell r="AB21">
            <v>71.239999999999995</v>
          </cell>
          <cell r="AC21">
            <v>83.44</v>
          </cell>
        </row>
        <row r="23">
          <cell r="H23">
            <v>0</v>
          </cell>
          <cell r="I23">
            <v>0.75</v>
          </cell>
          <cell r="N23">
            <v>0.74</v>
          </cell>
          <cell r="S23">
            <v>0.81</v>
          </cell>
          <cell r="X23">
            <v>0.81</v>
          </cell>
          <cell r="AC23">
            <v>0.8</v>
          </cell>
        </row>
        <row r="25">
          <cell r="F25">
            <v>13.77</v>
          </cell>
          <cell r="G25">
            <v>7.94</v>
          </cell>
          <cell r="H25">
            <v>280.17</v>
          </cell>
          <cell r="I25">
            <v>316.41000000000003</v>
          </cell>
          <cell r="K25">
            <v>12.23</v>
          </cell>
          <cell r="L25">
            <v>6.44</v>
          </cell>
          <cell r="M25">
            <v>298.32</v>
          </cell>
          <cell r="N25">
            <v>352.26</v>
          </cell>
          <cell r="P25">
            <v>13.857934938991534</v>
          </cell>
          <cell r="Q25">
            <v>7.2392534901293795</v>
          </cell>
          <cell r="R25">
            <v>275.50111388231136</v>
          </cell>
          <cell r="S25">
            <v>310.79750742497617</v>
          </cell>
          <cell r="U25">
            <v>13.857934938991534</v>
          </cell>
          <cell r="V25">
            <v>7.2392534901293795</v>
          </cell>
          <cell r="W25">
            <v>275.50111388231136</v>
          </cell>
          <cell r="X25">
            <v>310.79750742497617</v>
          </cell>
          <cell r="Z25">
            <v>14.62</v>
          </cell>
          <cell r="AA25">
            <v>9.7100000000000009</v>
          </cell>
          <cell r="AB25">
            <v>320.05</v>
          </cell>
          <cell r="AC25">
            <v>382.75</v>
          </cell>
        </row>
      </sheetData>
      <sheetData sheetId="7">
        <row r="10">
          <cell r="E10">
            <v>741.65000000000009</v>
          </cell>
          <cell r="F10">
            <v>835.79</v>
          </cell>
          <cell r="G10">
            <v>736.25572893018557</v>
          </cell>
          <cell r="H10">
            <v>736.25572893018557</v>
          </cell>
          <cell r="I10">
            <v>882.89</v>
          </cell>
          <cell r="J10">
            <v>119.91621461239845</v>
          </cell>
          <cell r="K10">
            <v>119.91621461239845</v>
          </cell>
          <cell r="L10">
            <v>119.04402346120135</v>
          </cell>
          <cell r="M10">
            <v>105.63538687947928</v>
          </cell>
        </row>
        <row r="11">
          <cell r="E11">
            <v>1013.07</v>
          </cell>
          <cell r="F11">
            <v>1129.71</v>
          </cell>
          <cell r="G11">
            <v>994.96520192618686</v>
          </cell>
          <cell r="H11">
            <v>994.96520192618686</v>
          </cell>
          <cell r="I11">
            <v>1209.8699999999999</v>
          </cell>
          <cell r="J11">
            <v>121.59922755667954</v>
          </cell>
          <cell r="K11">
            <v>121.59922755667954</v>
          </cell>
          <cell r="L11">
            <v>119.42610086173708</v>
          </cell>
          <cell r="M11">
            <v>107.0956263111772</v>
          </cell>
        </row>
        <row r="12">
          <cell r="E12">
            <v>618.29</v>
          </cell>
          <cell r="F12">
            <v>669.25</v>
          </cell>
          <cell r="G12">
            <v>607.39580973640841</v>
          </cell>
          <cell r="H12">
            <v>607.39580973640841</v>
          </cell>
          <cell r="I12">
            <v>727.13</v>
          </cell>
          <cell r="J12">
            <v>119.7127125910784</v>
          </cell>
          <cell r="K12">
            <v>119.7127125910784</v>
          </cell>
          <cell r="L12">
            <v>117.60338999498619</v>
          </cell>
          <cell r="M12">
            <v>108.64848711243931</v>
          </cell>
        </row>
        <row r="13">
          <cell r="E13">
            <v>1977854.402538883</v>
          </cell>
          <cell r="F13">
            <v>2704595.0730996472</v>
          </cell>
          <cell r="G13">
            <v>2865673.0175072737</v>
          </cell>
          <cell r="H13">
            <v>4179421.0605011219</v>
          </cell>
          <cell r="I13" t="e">
            <v>#VALUE!</v>
          </cell>
          <cell r="J13" t="e">
            <v>#VALUE!</v>
          </cell>
          <cell r="K13" t="e">
            <v>#VALUE!</v>
          </cell>
          <cell r="L13" t="e">
            <v>#VALUE!</v>
          </cell>
          <cell r="M13" t="e">
            <v>#VALUE!</v>
          </cell>
        </row>
        <row r="14">
          <cell r="E14">
            <v>304986.74</v>
          </cell>
          <cell r="F14">
            <v>179234.64959000002</v>
          </cell>
          <cell r="G14">
            <v>274488.06599999999</v>
          </cell>
          <cell r="H14">
            <v>400743.53</v>
          </cell>
          <cell r="I14" t="e">
            <v>#VALUE!</v>
          </cell>
          <cell r="J14" t="e">
            <v>#VALUE!</v>
          </cell>
          <cell r="K14" t="e">
            <v>#VALUE!</v>
          </cell>
          <cell r="L14" t="e">
            <v>#VALUE!</v>
          </cell>
          <cell r="M14" t="e">
            <v>#VALUE!</v>
          </cell>
        </row>
        <row r="15">
          <cell r="E15">
            <v>63245.49</v>
          </cell>
          <cell r="F15">
            <v>35188.559999999998</v>
          </cell>
          <cell r="G15">
            <v>56920.940999999999</v>
          </cell>
          <cell r="H15">
            <v>81176.899999999994</v>
          </cell>
          <cell r="I15" t="e">
            <v>#VALUE!</v>
          </cell>
          <cell r="J15" t="e">
            <v>#VALUE!</v>
          </cell>
          <cell r="K15" t="e">
            <v>#VALUE!</v>
          </cell>
          <cell r="L15" t="e">
            <v>#VALUE!</v>
          </cell>
          <cell r="M15" t="e">
            <v>#VALUE!</v>
          </cell>
        </row>
        <row r="16">
          <cell r="E16">
            <v>241741.25</v>
          </cell>
          <cell r="F16">
            <v>144046.08959000002</v>
          </cell>
          <cell r="G16">
            <v>217567.125</v>
          </cell>
          <cell r="H16">
            <v>319566.63</v>
          </cell>
          <cell r="I16" t="e">
            <v>#VALUE!</v>
          </cell>
          <cell r="J16" t="e">
            <v>#VALUE!</v>
          </cell>
          <cell r="K16" t="e">
            <v>#VALUE!</v>
          </cell>
          <cell r="L16" t="e">
            <v>#VALUE!</v>
          </cell>
          <cell r="M16" t="e">
            <v>#VALUE!</v>
          </cell>
        </row>
        <row r="17">
          <cell r="E17">
            <v>11570</v>
          </cell>
          <cell r="F17">
            <v>15878.543000000001</v>
          </cell>
          <cell r="G17">
            <v>17585.349999999999</v>
          </cell>
          <cell r="H17">
            <v>22266.300000000003</v>
          </cell>
          <cell r="I17">
            <v>28064.5</v>
          </cell>
          <cell r="J17">
            <v>159.59022709243774</v>
          </cell>
          <cell r="K17">
            <v>126.04024916577966</v>
          </cell>
          <cell r="L17">
            <v>242.56266205704407</v>
          </cell>
          <cell r="M17">
            <v>176.74480586789355</v>
          </cell>
        </row>
        <row r="18">
          <cell r="E18">
            <v>11570</v>
          </cell>
          <cell r="F18">
            <v>13140.503000000001</v>
          </cell>
          <cell r="G18">
            <v>13131.95</v>
          </cell>
          <cell r="H18">
            <v>17812.900000000001</v>
          </cell>
          <cell r="I18">
            <v>20558.7</v>
          </cell>
          <cell r="J18">
            <v>156.55481478379068</v>
          </cell>
          <cell r="K18">
            <v>115.41467138983546</v>
          </cell>
          <cell r="L18">
            <v>177.68971477960241</v>
          </cell>
          <cell r="M18">
            <v>156.45291508247439</v>
          </cell>
        </row>
        <row r="19">
          <cell r="F19">
            <v>2738.04</v>
          </cell>
          <cell r="G19">
            <v>4453.3999999999996</v>
          </cell>
          <cell r="H19">
            <v>4453.3999999999996</v>
          </cell>
          <cell r="I19">
            <v>7505.8</v>
          </cell>
          <cell r="J19">
            <v>168.54089010643557</v>
          </cell>
          <cell r="K19">
            <v>168.54089010643557</v>
          </cell>
          <cell r="L19">
            <v>0</v>
          </cell>
          <cell r="M19">
            <v>274.13039984806653</v>
          </cell>
        </row>
        <row r="20">
          <cell r="E20">
            <v>34166.997958782798</v>
          </cell>
          <cell r="F20">
            <v>52689.306408079174</v>
          </cell>
          <cell r="G20">
            <v>34166.997958782798</v>
          </cell>
          <cell r="H20">
            <v>242583.65428416143</v>
          </cell>
          <cell r="I20">
            <v>509065.93623089395</v>
          </cell>
          <cell r="J20">
            <v>1489.9346347168203</v>
          </cell>
          <cell r="K20">
            <v>209.85170568606259</v>
          </cell>
          <cell r="L20">
            <v>1489.9346347168203</v>
          </cell>
          <cell r="M20">
            <v>966.16556742685782</v>
          </cell>
        </row>
        <row r="21">
          <cell r="E21">
            <v>12756.667558782799</v>
          </cell>
          <cell r="F21">
            <v>31470.754814311178</v>
          </cell>
          <cell r="G21">
            <v>9566.7579587828004</v>
          </cell>
          <cell r="H21">
            <v>205393.50554073573</v>
          </cell>
          <cell r="I21" t="e">
            <v>#REF!</v>
          </cell>
          <cell r="J21" t="e">
            <v>#REF!</v>
          </cell>
          <cell r="K21" t="e">
            <v>#REF!</v>
          </cell>
          <cell r="L21" t="e">
            <v>#REF!</v>
          </cell>
          <cell r="M21" t="e">
            <v>#REF!</v>
          </cell>
        </row>
        <row r="22">
          <cell r="E22">
            <v>21410.330399999999</v>
          </cell>
          <cell r="F22">
            <v>21218.551593767996</v>
          </cell>
          <cell r="G22">
            <v>24600.239999999998</v>
          </cell>
          <cell r="H22">
            <v>37190.148743425692</v>
          </cell>
          <cell r="I22" t="e">
            <v>#REF!</v>
          </cell>
          <cell r="J22" t="e">
            <v>#REF!</v>
          </cell>
          <cell r="K22" t="e">
            <v>#REF!</v>
          </cell>
          <cell r="L22" t="e">
            <v>#REF!</v>
          </cell>
          <cell r="M22" t="e">
            <v>#REF!</v>
          </cell>
        </row>
        <row r="23">
          <cell r="E23">
            <v>134.76035663631777</v>
          </cell>
          <cell r="F23">
            <v>133.55326735556983</v>
          </cell>
          <cell r="G23">
            <v>43.275438786557253</v>
          </cell>
          <cell r="H23">
            <v>65.422939183076167</v>
          </cell>
          <cell r="I23" t="e">
            <v>#REF!</v>
          </cell>
          <cell r="J23" t="e">
            <v>#REF!</v>
          </cell>
          <cell r="K23" t="e">
            <v>#REF!</v>
          </cell>
          <cell r="L23" t="e">
            <v>#REF!</v>
          </cell>
          <cell r="M23" t="e">
            <v>#REF!</v>
          </cell>
        </row>
        <row r="24">
          <cell r="E24">
            <v>184.13461017091996</v>
          </cell>
          <cell r="F24">
            <v>182.48526076505678</v>
          </cell>
          <cell r="G24">
            <v>232.53996931539342</v>
          </cell>
          <cell r="H24">
            <v>351.54925511422357</v>
          </cell>
          <cell r="I24" t="e">
            <v>#REF!</v>
          </cell>
          <cell r="J24" t="e">
            <v>#REF!</v>
          </cell>
          <cell r="K24" t="e">
            <v>#REF!</v>
          </cell>
          <cell r="L24" t="e">
            <v>#REF!</v>
          </cell>
          <cell r="M24" t="e">
            <v>#REF!</v>
          </cell>
        </row>
        <row r="25">
          <cell r="E25">
            <v>15087.344506587791</v>
          </cell>
          <cell r="F25">
            <v>14952.20259776959</v>
          </cell>
          <cell r="G25">
            <v>17669.786282475456</v>
          </cell>
          <cell r="H25">
            <v>26712.828009393612</v>
          </cell>
          <cell r="I25" t="e">
            <v>#REF!</v>
          </cell>
          <cell r="J25" t="e">
            <v>#REF!</v>
          </cell>
          <cell r="K25" t="e">
            <v>#REF!</v>
          </cell>
          <cell r="L25" t="e">
            <v>#REF!</v>
          </cell>
          <cell r="M25" t="e">
            <v>#REF!</v>
          </cell>
        </row>
        <row r="26">
          <cell r="E26">
            <v>6004.0909266049675</v>
          </cell>
          <cell r="F26">
            <v>5950.3104678777781</v>
          </cell>
          <cell r="G26">
            <v>6654.6383094225939</v>
          </cell>
          <cell r="H26">
            <v>10060.348539734781</v>
          </cell>
          <cell r="I26" t="e">
            <v>#REF!</v>
          </cell>
          <cell r="J26" t="e">
            <v>#REF!</v>
          </cell>
          <cell r="K26" t="e">
            <v>#REF!</v>
          </cell>
          <cell r="L26" t="e">
            <v>#REF!</v>
          </cell>
          <cell r="M26" t="e">
            <v>#REF!</v>
          </cell>
        </row>
        <row r="27">
          <cell r="E27">
            <v>0</v>
          </cell>
          <cell r="F27">
            <v>632211.44306156808</v>
          </cell>
          <cell r="G27">
            <v>670805.81062849076</v>
          </cell>
          <cell r="H27">
            <v>1259744.1062169601</v>
          </cell>
          <cell r="I27">
            <v>1259408.6114400001</v>
          </cell>
          <cell r="J27">
            <v>187.74563241484688</v>
          </cell>
          <cell r="K27">
            <v>99.973368021703436</v>
          </cell>
          <cell r="L27">
            <v>0</v>
          </cell>
          <cell r="M27">
            <v>199.20686745895429</v>
          </cell>
        </row>
        <row r="28">
          <cell r="E28">
            <v>145880.31</v>
          </cell>
          <cell r="F28">
            <v>141971.21299999999</v>
          </cell>
          <cell r="G28">
            <v>145880.20392</v>
          </cell>
          <cell r="H28">
            <v>255777.65</v>
          </cell>
          <cell r="I28">
            <v>359153.99636687996</v>
          </cell>
          <cell r="J28">
            <v>246.19789849199708</v>
          </cell>
          <cell r="K28">
            <v>140.41648923073612</v>
          </cell>
          <cell r="L28">
            <v>246.19771946390844</v>
          </cell>
          <cell r="M28">
            <v>252.97663433141193</v>
          </cell>
        </row>
        <row r="29">
          <cell r="E29">
            <v>93130.674580100371</v>
          </cell>
          <cell r="F29">
            <v>65238.282910000002</v>
          </cell>
          <cell r="G29">
            <v>83817.603000000003</v>
          </cell>
          <cell r="H29">
            <v>199180.68</v>
          </cell>
          <cell r="I29">
            <v>144942.33000000002</v>
          </cell>
          <cell r="J29">
            <v>172.92588288405241</v>
          </cell>
          <cell r="K29">
            <v>72.769271598028496</v>
          </cell>
          <cell r="L29">
            <v>155.63328694171238</v>
          </cell>
          <cell r="M29">
            <v>222.17373532034307</v>
          </cell>
        </row>
        <row r="30">
          <cell r="E30">
            <v>1388119.68</v>
          </cell>
          <cell r="F30">
            <v>1617371.6351299998</v>
          </cell>
          <cell r="G30">
            <v>1638928.9859999998</v>
          </cell>
          <cell r="H30">
            <v>1799125.1400000001</v>
          </cell>
          <cell r="I30">
            <v>229794.15400000001</v>
          </cell>
          <cell r="J30">
            <v>14.020995172026327</v>
          </cell>
          <cell r="K30">
            <v>12.77254977383063</v>
          </cell>
          <cell r="L30">
            <v>16.554347388836099</v>
          </cell>
          <cell r="M30">
            <v>14.207875852943952</v>
          </cell>
        </row>
        <row r="31">
          <cell r="E31">
            <v>0</v>
          </cell>
          <cell r="F31">
            <v>0</v>
          </cell>
          <cell r="G31">
            <v>0</v>
          </cell>
          <cell r="H31">
            <v>0</v>
          </cell>
          <cell r="I31">
            <v>0</v>
          </cell>
          <cell r="J31">
            <v>0</v>
          </cell>
          <cell r="K31">
            <v>0</v>
          </cell>
          <cell r="L31">
            <v>0</v>
          </cell>
          <cell r="M31">
            <v>0</v>
          </cell>
        </row>
        <row r="32">
          <cell r="J32">
            <v>0</v>
          </cell>
          <cell r="K32">
            <v>0</v>
          </cell>
          <cell r="L32">
            <v>0</v>
          </cell>
          <cell r="M32">
            <v>0</v>
          </cell>
        </row>
        <row r="33">
          <cell r="J33">
            <v>0</v>
          </cell>
          <cell r="K33">
            <v>0</v>
          </cell>
          <cell r="L33">
            <v>0</v>
          </cell>
          <cell r="M33">
            <v>0</v>
          </cell>
        </row>
        <row r="34">
          <cell r="J34">
            <v>0</v>
          </cell>
          <cell r="K34">
            <v>0</v>
          </cell>
          <cell r="L34">
            <v>0</v>
          </cell>
          <cell r="M34">
            <v>0</v>
          </cell>
        </row>
        <row r="35">
          <cell r="J35">
            <v>0</v>
          </cell>
          <cell r="K35">
            <v>0</v>
          </cell>
          <cell r="L35">
            <v>0</v>
          </cell>
          <cell r="M35">
            <v>0</v>
          </cell>
        </row>
        <row r="36">
          <cell r="J36">
            <v>0</v>
          </cell>
          <cell r="K36">
            <v>0</v>
          </cell>
          <cell r="L36">
            <v>0</v>
          </cell>
          <cell r="M36">
            <v>0</v>
          </cell>
        </row>
        <row r="37">
          <cell r="E37">
            <v>1423.68</v>
          </cell>
          <cell r="F37">
            <v>1601.34449</v>
          </cell>
          <cell r="G37">
            <v>1423.67</v>
          </cell>
          <cell r="H37">
            <v>1908.6</v>
          </cell>
          <cell r="I37">
            <v>2396.3599999999997</v>
          </cell>
          <cell r="J37">
            <v>168.32271523597458</v>
          </cell>
          <cell r="K37">
            <v>125.55590485172377</v>
          </cell>
          <cell r="L37">
            <v>168.32153292874801</v>
          </cell>
          <cell r="M37">
            <v>149.64675089992659</v>
          </cell>
        </row>
        <row r="38">
          <cell r="E38">
            <v>0.24</v>
          </cell>
          <cell r="F38">
            <v>7.5999999999999998E-2</v>
          </cell>
          <cell r="G38">
            <v>0.23</v>
          </cell>
          <cell r="H38">
            <v>0.23</v>
          </cell>
          <cell r="I38">
            <v>0.12</v>
          </cell>
          <cell r="J38">
            <v>52.173913043478258</v>
          </cell>
          <cell r="K38">
            <v>52.173913043478258</v>
          </cell>
          <cell r="L38">
            <v>50</v>
          </cell>
          <cell r="M38">
            <v>157.89473684210526</v>
          </cell>
        </row>
        <row r="39">
          <cell r="J39">
            <v>0</v>
          </cell>
          <cell r="K39">
            <v>0</v>
          </cell>
          <cell r="L39">
            <v>0</v>
          </cell>
          <cell r="M39">
            <v>0</v>
          </cell>
        </row>
        <row r="40">
          <cell r="E40">
            <v>1423.44</v>
          </cell>
          <cell r="F40">
            <v>1601.2684899999999</v>
          </cell>
          <cell r="G40">
            <v>1423.44</v>
          </cell>
          <cell r="H40">
            <v>1908.37</v>
          </cell>
          <cell r="I40">
            <v>2396.2399999999998</v>
          </cell>
          <cell r="J40">
            <v>168.34148260551899</v>
          </cell>
          <cell r="K40">
            <v>125.56474897425551</v>
          </cell>
          <cell r="L40">
            <v>168.34148260551899</v>
          </cell>
          <cell r="M40">
            <v>149.6463594309534</v>
          </cell>
        </row>
        <row r="41">
          <cell r="E41">
            <v>1386696</v>
          </cell>
          <cell r="F41">
            <v>1615770.2906399998</v>
          </cell>
          <cell r="G41">
            <v>1637505.3159999999</v>
          </cell>
          <cell r="H41">
            <v>1797216.54</v>
          </cell>
          <cell r="I41">
            <v>227397.79400000002</v>
          </cell>
          <cell r="J41">
            <v>13.886843100789056</v>
          </cell>
          <cell r="K41">
            <v>12.652776609767905</v>
          </cell>
          <cell r="L41">
            <v>16.398532482966708</v>
          </cell>
          <cell r="M41">
            <v>14.073646193230147</v>
          </cell>
        </row>
        <row r="42">
          <cell r="E42">
            <v>10687.75</v>
          </cell>
          <cell r="F42">
            <v>17349.64241</v>
          </cell>
          <cell r="G42">
            <v>9618.98</v>
          </cell>
          <cell r="H42">
            <v>19817.7</v>
          </cell>
          <cell r="I42">
            <v>17880.7</v>
          </cell>
          <cell r="J42">
            <v>185.88977209641772</v>
          </cell>
          <cell r="K42">
            <v>90.225909162011746</v>
          </cell>
          <cell r="L42">
            <v>167.30088185071693</v>
          </cell>
          <cell r="M42">
            <v>103.06091374940331</v>
          </cell>
        </row>
        <row r="43">
          <cell r="E43">
            <v>556.77</v>
          </cell>
          <cell r="F43">
            <v>16618.031879999999</v>
          </cell>
          <cell r="G43">
            <v>15768.99</v>
          </cell>
          <cell r="H43">
            <v>25350.69</v>
          </cell>
          <cell r="I43">
            <v>24403.014000000003</v>
          </cell>
          <cell r="J43">
            <v>154.7531833047012</v>
          </cell>
          <cell r="K43">
            <v>96.261734887689471</v>
          </cell>
          <cell r="L43">
            <v>4382.9613664529352</v>
          </cell>
          <cell r="M43">
            <v>146.8465951697284</v>
          </cell>
        </row>
        <row r="44">
          <cell r="E44">
            <v>3225.52</v>
          </cell>
          <cell r="F44">
            <v>54426.992140000002</v>
          </cell>
          <cell r="G44">
            <v>36581</v>
          </cell>
          <cell r="H44">
            <v>58080.4</v>
          </cell>
          <cell r="I44">
            <v>102537.8</v>
          </cell>
          <cell r="J44">
            <v>280.30343621005443</v>
          </cell>
          <cell r="K44">
            <v>176.54458302628771</v>
          </cell>
          <cell r="L44">
            <v>3178.9540911232921</v>
          </cell>
          <cell r="M44">
            <v>188.3951252280244</v>
          </cell>
        </row>
        <row r="45">
          <cell r="E45">
            <v>56727.58</v>
          </cell>
          <cell r="F45">
            <v>60220.340900000003</v>
          </cell>
          <cell r="G45">
            <v>51054.822</v>
          </cell>
          <cell r="H45">
            <v>62400.34</v>
          </cell>
          <cell r="I45">
            <v>80813.279999999999</v>
          </cell>
          <cell r="J45">
            <v>158.28726226878237</v>
          </cell>
          <cell r="K45">
            <v>129.50775588722755</v>
          </cell>
          <cell r="L45">
            <v>142.45853604190413</v>
          </cell>
          <cell r="M45">
            <v>134.19598559595664</v>
          </cell>
        </row>
        <row r="46">
          <cell r="E46">
            <v>3026.52</v>
          </cell>
          <cell r="F46">
            <v>2089.7798600000001</v>
          </cell>
          <cell r="G46">
            <v>2723.8679999999999</v>
          </cell>
          <cell r="H46">
            <v>4086.43</v>
          </cell>
          <cell r="I46">
            <v>1553</v>
          </cell>
          <cell r="J46">
            <v>57.014510247926843</v>
          </cell>
          <cell r="K46">
            <v>38.003832195828636</v>
          </cell>
          <cell r="L46">
            <v>51.313059223134161</v>
          </cell>
          <cell r="M46">
            <v>74.31404760499511</v>
          </cell>
        </row>
        <row r="47">
          <cell r="E47">
            <v>1187496</v>
          </cell>
          <cell r="F47">
            <v>849355.15457999997</v>
          </cell>
          <cell r="G47">
            <v>1406172.47</v>
          </cell>
          <cell r="H47">
            <v>1426172.47</v>
          </cell>
          <cell r="I47">
            <v>0</v>
          </cell>
          <cell r="J47">
            <v>0</v>
          </cell>
          <cell r="K47">
            <v>0</v>
          </cell>
          <cell r="L47">
            <v>0</v>
          </cell>
          <cell r="M47">
            <v>0</v>
          </cell>
        </row>
        <row r="48">
          <cell r="E48">
            <v>10695.06</v>
          </cell>
          <cell r="F48">
            <v>8845.0030000000006</v>
          </cell>
          <cell r="G48">
            <v>9625.5499999999993</v>
          </cell>
          <cell r="H48">
            <v>14053.7</v>
          </cell>
          <cell r="J48">
            <v>0</v>
          </cell>
          <cell r="K48">
            <v>0</v>
          </cell>
          <cell r="L48">
            <v>0</v>
          </cell>
          <cell r="M48">
            <v>0</v>
          </cell>
        </row>
        <row r="49">
          <cell r="E49">
            <v>5668.41</v>
          </cell>
          <cell r="F49">
            <v>3693.098</v>
          </cell>
          <cell r="G49">
            <v>5101.57</v>
          </cell>
          <cell r="H49">
            <v>12153.34</v>
          </cell>
          <cell r="J49">
            <v>0</v>
          </cell>
          <cell r="K49">
            <v>0</v>
          </cell>
          <cell r="L49">
            <v>0</v>
          </cell>
          <cell r="M49">
            <v>0</v>
          </cell>
        </row>
        <row r="50">
          <cell r="E50">
            <v>16419.349999999999</v>
          </cell>
          <cell r="F50">
            <v>3895.9878699999999</v>
          </cell>
          <cell r="G50">
            <v>14777.42</v>
          </cell>
          <cell r="H50">
            <v>14777.42</v>
          </cell>
          <cell r="I50">
            <v>210</v>
          </cell>
          <cell r="J50">
            <v>1.4210870368440498</v>
          </cell>
          <cell r="K50">
            <v>1.4210870368440498</v>
          </cell>
          <cell r="L50">
            <v>1.2789787659072986</v>
          </cell>
          <cell r="M50">
            <v>5.3901605191599327</v>
          </cell>
        </row>
        <row r="51">
          <cell r="J51">
            <v>0</v>
          </cell>
          <cell r="K51">
            <v>0</v>
          </cell>
          <cell r="L51">
            <v>0</v>
          </cell>
          <cell r="M51">
            <v>0</v>
          </cell>
        </row>
        <row r="52">
          <cell r="J52">
            <v>0</v>
          </cell>
          <cell r="K52">
            <v>0</v>
          </cell>
          <cell r="L52">
            <v>0</v>
          </cell>
          <cell r="M52">
            <v>0</v>
          </cell>
        </row>
        <row r="53">
          <cell r="E53">
            <v>92193.04</v>
          </cell>
          <cell r="F53">
            <v>599276.26</v>
          </cell>
          <cell r="G53">
            <v>86080.645999999993</v>
          </cell>
          <cell r="H53">
            <v>160324.04999999999</v>
          </cell>
          <cell r="J53">
            <v>0</v>
          </cell>
          <cell r="K53">
            <v>0</v>
          </cell>
          <cell r="L53">
            <v>0</v>
          </cell>
          <cell r="M53">
            <v>0</v>
          </cell>
        </row>
        <row r="54">
          <cell r="E54">
            <v>73764.920000000013</v>
          </cell>
          <cell r="F54">
            <v>232187.81130999999</v>
          </cell>
          <cell r="G54">
            <v>109464.1</v>
          </cell>
          <cell r="H54">
            <v>172225.28</v>
          </cell>
          <cell r="I54">
            <v>0</v>
          </cell>
          <cell r="J54">
            <v>0</v>
          </cell>
          <cell r="K54">
            <v>0</v>
          </cell>
          <cell r="L54">
            <v>0</v>
          </cell>
          <cell r="M54">
            <v>0</v>
          </cell>
        </row>
        <row r="55">
          <cell r="E55">
            <v>2688.1</v>
          </cell>
          <cell r="F55">
            <v>6137.4722700000002</v>
          </cell>
          <cell r="G55">
            <v>2688.1</v>
          </cell>
          <cell r="H55">
            <v>4978.09</v>
          </cell>
          <cell r="J55">
            <v>0</v>
          </cell>
          <cell r="K55">
            <v>0</v>
          </cell>
          <cell r="L55">
            <v>0</v>
          </cell>
          <cell r="M55">
            <v>0</v>
          </cell>
        </row>
        <row r="56">
          <cell r="E56">
            <v>68339.91</v>
          </cell>
          <cell r="F56">
            <v>224600.33903999999</v>
          </cell>
          <cell r="G56">
            <v>104259.91</v>
          </cell>
          <cell r="H56">
            <v>155931.1</v>
          </cell>
          <cell r="J56">
            <v>0</v>
          </cell>
          <cell r="K56">
            <v>0</v>
          </cell>
          <cell r="L56">
            <v>0</v>
          </cell>
          <cell r="M56">
            <v>0</v>
          </cell>
        </row>
        <row r="57">
          <cell r="E57">
            <v>2736.9099999999994</v>
          </cell>
          <cell r="F57">
            <v>1243.76</v>
          </cell>
          <cell r="G57">
            <v>2516.0900000000006</v>
          </cell>
          <cell r="H57">
            <v>2516.0900000000006</v>
          </cell>
          <cell r="I57">
            <v>0</v>
          </cell>
          <cell r="J57">
            <v>0</v>
          </cell>
          <cell r="K57">
            <v>0</v>
          </cell>
          <cell r="L57">
            <v>0</v>
          </cell>
          <cell r="M57">
            <v>0</v>
          </cell>
        </row>
        <row r="58">
          <cell r="E58">
            <v>17.226589258123006</v>
          </cell>
          <cell r="F58">
            <v>3.1401755884047118</v>
          </cell>
          <cell r="G58">
            <v>4.4261722152494798</v>
          </cell>
          <cell r="H58">
            <v>4.4261722152494798</v>
          </cell>
          <cell r="J58">
            <v>0</v>
          </cell>
          <cell r="K58">
            <v>0</v>
          </cell>
          <cell r="L58">
            <v>0</v>
          </cell>
          <cell r="M58">
            <v>0</v>
          </cell>
        </row>
        <row r="59">
          <cell r="E59">
            <v>23.538163424273566</v>
          </cell>
          <cell r="F59">
            <v>7.5171092369338526</v>
          </cell>
          <cell r="G59">
            <v>23.783974928487218</v>
          </cell>
          <cell r="H59">
            <v>23.783974928487218</v>
          </cell>
          <cell r="J59">
            <v>0</v>
          </cell>
          <cell r="K59">
            <v>0</v>
          </cell>
          <cell r="L59">
            <v>0</v>
          </cell>
          <cell r="M59">
            <v>0</v>
          </cell>
        </row>
        <row r="60">
          <cell r="E60">
            <v>1928.6346021790112</v>
          </cell>
          <cell r="F60">
            <v>873.11491534798938</v>
          </cell>
          <cell r="G60">
            <v>1807.2495458366943</v>
          </cell>
          <cell r="H60">
            <v>1807.2495458366943</v>
          </cell>
          <cell r="J60">
            <v>0</v>
          </cell>
          <cell r="K60">
            <v>0</v>
          </cell>
          <cell r="L60">
            <v>0</v>
          </cell>
          <cell r="M60">
            <v>0</v>
          </cell>
        </row>
        <row r="61">
          <cell r="E61">
            <v>767.51064513859171</v>
          </cell>
          <cell r="F61">
            <v>359.98779982667202</v>
          </cell>
          <cell r="G61">
            <v>680.63030701956961</v>
          </cell>
          <cell r="H61">
            <v>680.63030701956961</v>
          </cell>
          <cell r="J61">
            <v>0</v>
          </cell>
          <cell r="K61">
            <v>0</v>
          </cell>
          <cell r="L61">
            <v>0</v>
          </cell>
          <cell r="M61">
            <v>0</v>
          </cell>
        </row>
        <row r="62">
          <cell r="F62">
            <v>206.24</v>
          </cell>
          <cell r="J62">
            <v>0</v>
          </cell>
          <cell r="K62">
            <v>0</v>
          </cell>
          <cell r="L62">
            <v>0</v>
          </cell>
          <cell r="M62">
            <v>0</v>
          </cell>
        </row>
        <row r="63">
          <cell r="H63">
            <v>8800</v>
          </cell>
          <cell r="J63">
            <v>0</v>
          </cell>
          <cell r="K63">
            <v>0</v>
          </cell>
          <cell r="L63">
            <v>0</v>
          </cell>
          <cell r="M63">
            <v>0</v>
          </cell>
        </row>
        <row r="64">
          <cell r="E64">
            <v>2051619.322538883</v>
          </cell>
          <cell r="F64">
            <v>2936782.884409647</v>
          </cell>
          <cell r="G64">
            <v>2975137.1175072738</v>
          </cell>
          <cell r="H64">
            <v>4351646.3405011222</v>
          </cell>
          <cell r="I64" t="e">
            <v>#VALUE!</v>
          </cell>
          <cell r="J64" t="e">
            <v>#VALUE!</v>
          </cell>
          <cell r="K64" t="e">
            <v>#VALUE!</v>
          </cell>
          <cell r="L64" t="e">
            <v>#VALUE!</v>
          </cell>
          <cell r="M64" t="e">
            <v>#VALUE!</v>
          </cell>
        </row>
        <row r="65">
          <cell r="E65">
            <v>12913.250119078057</v>
          </cell>
          <cell r="F65">
            <v>18479.935812768672</v>
          </cell>
          <cell r="G65">
            <v>5233.7035821723875</v>
          </cell>
          <cell r="H65">
            <v>7655.1856741683087</v>
          </cell>
          <cell r="I65" t="e">
            <v>#REF!</v>
          </cell>
          <cell r="J65" t="e">
            <v>#REF!</v>
          </cell>
          <cell r="K65" t="e">
            <v>#REF!</v>
          </cell>
          <cell r="L65" t="e">
            <v>#REF!</v>
          </cell>
          <cell r="M65" t="e">
            <v>#REF!</v>
          </cell>
        </row>
        <row r="66">
          <cell r="E66">
            <v>17644.478955580438</v>
          </cell>
          <cell r="F66">
            <v>25253.944521429232</v>
          </cell>
          <cell r="G66">
            <v>28123.233513747415</v>
          </cell>
          <cell r="H66">
            <v>41135.033905830802</v>
          </cell>
          <cell r="I66" t="e">
            <v>#REF!</v>
          </cell>
          <cell r="J66" t="e">
            <v>#REF!</v>
          </cell>
          <cell r="K66" t="e">
            <v>#REF!</v>
          </cell>
          <cell r="L66" t="e">
            <v>#REF!</v>
          </cell>
          <cell r="M66" t="e">
            <v>#REF!</v>
          </cell>
        </row>
        <row r="67">
          <cell r="E67">
            <v>1445726.7560670797</v>
          </cell>
          <cell r="F67">
            <v>2069476.8802517031</v>
          </cell>
          <cell r="G67">
            <v>2136972.526585659</v>
          </cell>
          <cell r="H67">
            <v>3125687.4247394032</v>
          </cell>
          <cell r="I67" t="e">
            <v>#REF!</v>
          </cell>
          <cell r="J67" t="e">
            <v>#REF!</v>
          </cell>
          <cell r="K67" t="e">
            <v>#REF!</v>
          </cell>
          <cell r="L67" t="e">
            <v>#REF!</v>
          </cell>
          <cell r="M67" t="e">
            <v>#REF!</v>
          </cell>
        </row>
        <row r="68">
          <cell r="E68">
            <v>575334.83739714453</v>
          </cell>
          <cell r="F68">
            <v>823572.12382374587</v>
          </cell>
          <cell r="G68">
            <v>804807.65382569516</v>
          </cell>
          <cell r="H68">
            <v>1177168.6961817208</v>
          </cell>
          <cell r="I68" t="e">
            <v>#REF!</v>
          </cell>
          <cell r="J68" t="e">
            <v>#REF!</v>
          </cell>
          <cell r="K68" t="e">
            <v>#REF!</v>
          </cell>
          <cell r="L68" t="e">
            <v>#REF!</v>
          </cell>
          <cell r="M68" t="e">
            <v>#REF!</v>
          </cell>
        </row>
        <row r="70">
          <cell r="E70">
            <v>413314.06000000006</v>
          </cell>
          <cell r="F70">
            <v>832051.6</v>
          </cell>
          <cell r="G70">
            <v>1580389.8900000001</v>
          </cell>
          <cell r="H70">
            <v>1936256.5700000003</v>
          </cell>
          <cell r="I70">
            <v>2163184.4032540005</v>
          </cell>
          <cell r="J70">
            <v>136.87662879531584</v>
          </cell>
          <cell r="K70">
            <v>111.71992579754036</v>
          </cell>
          <cell r="L70">
            <v>523.37546979505123</v>
          </cell>
          <cell r="M70">
            <v>259.98200150735846</v>
          </cell>
        </row>
        <row r="71">
          <cell r="E71">
            <v>318411.83</v>
          </cell>
          <cell r="F71">
            <v>82571</v>
          </cell>
          <cell r="G71">
            <v>1533116.2000000002</v>
          </cell>
          <cell r="H71">
            <v>1758091.0000000002</v>
          </cell>
          <cell r="I71">
            <v>2163184.4032540005</v>
          </cell>
          <cell r="J71">
            <v>141.09722428436933</v>
          </cell>
          <cell r="K71">
            <v>123.04166298866215</v>
          </cell>
          <cell r="L71">
            <v>679.36684489831941</v>
          </cell>
          <cell r="M71">
            <v>2619.7870962613997</v>
          </cell>
        </row>
        <row r="72">
          <cell r="E72">
            <v>2004.1396356976627</v>
          </cell>
          <cell r="F72">
            <v>519.7162864809128</v>
          </cell>
          <cell r="G72">
            <v>2696.9767882662641</v>
          </cell>
          <cell r="H72">
            <v>3092.7405363401836</v>
          </cell>
          <cell r="I72">
            <v>3531.4573775661438</v>
          </cell>
          <cell r="J72">
            <v>130.94133375305466</v>
          </cell>
          <cell r="K72">
            <v>114.18537494726664</v>
          </cell>
          <cell r="L72">
            <v>176.20815010411215</v>
          </cell>
          <cell r="M72">
            <v>679.49715439518764</v>
          </cell>
        </row>
        <row r="73">
          <cell r="E73">
            <v>2738.4275298647067</v>
          </cell>
          <cell r="F73">
            <v>710.13284766605148</v>
          </cell>
          <cell r="G73">
            <v>14492.167316454337</v>
          </cell>
          <cell r="H73">
            <v>16618.798320409453</v>
          </cell>
          <cell r="I73">
            <v>18551.647674680549</v>
          </cell>
          <cell r="J73">
            <v>128.01154768353453</v>
          </cell>
          <cell r="K73">
            <v>111.63050009396514</v>
          </cell>
          <cell r="L73">
            <v>677.45622158557183</v>
          </cell>
          <cell r="M73">
            <v>2612.4193150131096</v>
          </cell>
        </row>
        <row r="74">
          <cell r="E74">
            <v>224377.15273105112</v>
          </cell>
          <cell r="F74">
            <v>58185.79629455231</v>
          </cell>
          <cell r="G74">
            <v>1101202.0858414755</v>
          </cell>
          <cell r="H74">
            <v>1262796.3074808847</v>
          </cell>
          <cell r="I74">
            <v>1552660.2208030336</v>
          </cell>
          <cell r="J74">
            <v>140.99684706068999</v>
          </cell>
          <cell r="K74">
            <v>122.95413057553122</v>
          </cell>
          <cell r="L74">
            <v>691.98677401175701</v>
          </cell>
          <cell r="M74">
            <v>2668.4523022475205</v>
          </cell>
        </row>
        <row r="75">
          <cell r="E75">
            <v>89292.110103386527</v>
          </cell>
          <cell r="F75">
            <v>23155.354571300722</v>
          </cell>
          <cell r="G75">
            <v>414724.97005380405</v>
          </cell>
          <cell r="H75">
            <v>475583.15366236586</v>
          </cell>
          <cell r="I75">
            <v>588441.07739872008</v>
          </cell>
          <cell r="J75">
            <v>141.88706248441687</v>
          </cell>
          <cell r="K75">
            <v>123.73042923561508</v>
          </cell>
          <cell r="L75">
            <v>659.00679994838947</v>
          </cell>
          <cell r="M75">
            <v>2541.2743112474186</v>
          </cell>
        </row>
        <row r="76">
          <cell r="E76">
            <v>1770.59</v>
          </cell>
          <cell r="J76">
            <v>0</v>
          </cell>
          <cell r="K76">
            <v>0</v>
          </cell>
          <cell r="L76">
            <v>0</v>
          </cell>
          <cell r="M76">
            <v>0</v>
          </cell>
        </row>
        <row r="77">
          <cell r="E77">
            <v>33379.910000000003</v>
          </cell>
          <cell r="F77">
            <v>63351</v>
          </cell>
          <cell r="G77">
            <v>33379.910000000003</v>
          </cell>
          <cell r="H77">
            <v>112121</v>
          </cell>
          <cell r="J77">
            <v>0</v>
          </cell>
          <cell r="K77">
            <v>0</v>
          </cell>
          <cell r="L77">
            <v>0</v>
          </cell>
          <cell r="M77">
            <v>0</v>
          </cell>
        </row>
        <row r="78">
          <cell r="J78">
            <v>0</v>
          </cell>
          <cell r="K78">
            <v>0</v>
          </cell>
          <cell r="L78">
            <v>0</v>
          </cell>
          <cell r="M78">
            <v>0</v>
          </cell>
        </row>
        <row r="79">
          <cell r="E79">
            <v>59751.73</v>
          </cell>
          <cell r="F79">
            <v>686129.6</v>
          </cell>
          <cell r="G79">
            <v>13893.78</v>
          </cell>
          <cell r="H79">
            <v>66044.570000000007</v>
          </cell>
          <cell r="J79">
            <v>0</v>
          </cell>
          <cell r="K79">
            <v>0</v>
          </cell>
          <cell r="L79">
            <v>0</v>
          </cell>
          <cell r="M79">
            <v>0</v>
          </cell>
        </row>
        <row r="81">
          <cell r="E81">
            <v>34166.997958782798</v>
          </cell>
          <cell r="F81">
            <v>52689.306408079174</v>
          </cell>
          <cell r="G81">
            <v>34166.997958782798</v>
          </cell>
          <cell r="H81">
            <v>242583.65428416143</v>
          </cell>
          <cell r="I81">
            <v>509065.93623089395</v>
          </cell>
          <cell r="J81">
            <v>1489.9346347168203</v>
          </cell>
          <cell r="K81">
            <v>209.85170568606259</v>
          </cell>
          <cell r="L81">
            <v>1489.9346347168203</v>
          </cell>
          <cell r="M81">
            <v>966.16556742685782</v>
          </cell>
        </row>
        <row r="83">
          <cell r="E83">
            <v>601096.65503199538</v>
          </cell>
          <cell r="F83">
            <v>842229.09640090854</v>
          </cell>
          <cell r="G83">
            <v>1975487.3625</v>
          </cell>
          <cell r="H83">
            <v>2547706.0131578948</v>
          </cell>
          <cell r="I83">
            <v>2703980.5040675006</v>
          </cell>
          <cell r="J83">
            <v>136.87662879531584</v>
          </cell>
          <cell r="K83">
            <v>106.13392950766337</v>
          </cell>
          <cell r="L83">
            <v>449.84121628884662</v>
          </cell>
          <cell r="M83">
            <v>321.05047375142948</v>
          </cell>
        </row>
        <row r="84">
          <cell r="E84">
            <v>187782.59503199536</v>
          </cell>
          <cell r="F84">
            <v>10177.496400908578</v>
          </cell>
          <cell r="G84">
            <v>395097.47249999997</v>
          </cell>
          <cell r="H84">
            <v>611449.44315789477</v>
          </cell>
          <cell r="I84">
            <v>540796.10081350012</v>
          </cell>
          <cell r="J84">
            <v>136.87662879531587</v>
          </cell>
          <cell r="K84">
            <v>88.444941256386116</v>
          </cell>
          <cell r="L84">
            <v>287.99053539618865</v>
          </cell>
          <cell r="M84">
            <v>5313.6457092259107</v>
          </cell>
        </row>
        <row r="85">
          <cell r="E85">
            <v>1181.9364299303354</v>
          </cell>
          <cell r="F85">
            <v>64.058938793923545</v>
          </cell>
          <cell r="G85">
            <v>695.03453974015042</v>
          </cell>
          <cell r="H85">
            <v>1075.6294633082439</v>
          </cell>
          <cell r="I85">
            <v>882.86434439153584</v>
          </cell>
          <cell r="J85">
            <v>127.02452812224389</v>
          </cell>
          <cell r="K85">
            <v>82.07885470858777</v>
          </cell>
          <cell r="L85">
            <v>74.696432230587291</v>
          </cell>
          <cell r="M85">
            <v>1378.2063221991461</v>
          </cell>
        </row>
        <row r="86">
          <cell r="E86">
            <v>1614.9809128167492</v>
          </cell>
          <cell r="F86">
            <v>87.529211239880823</v>
          </cell>
          <cell r="G86">
            <v>3734.7584467362722</v>
          </cell>
          <cell r="H86">
            <v>5779.8799828721703</v>
          </cell>
          <cell r="I86">
            <v>4637.9119186701373</v>
          </cell>
          <cell r="J86">
            <v>124.18237979281128</v>
          </cell>
          <cell r="K86">
            <v>80.242356803496122</v>
          </cell>
          <cell r="L86">
            <v>287.18060268470794</v>
          </cell>
          <cell r="M86">
            <v>5298.7018310488002</v>
          </cell>
        </row>
        <row r="87">
          <cell r="E87">
            <v>132325.87497055979</v>
          </cell>
          <cell r="F87">
            <v>7171.8367510603694</v>
          </cell>
          <cell r="G87">
            <v>283789.42237235181</v>
          </cell>
          <cell r="H87">
            <v>439190.06412696082</v>
          </cell>
          <cell r="I87">
            <v>388165.05520075845</v>
          </cell>
          <cell r="J87">
            <v>136.77925412295968</v>
          </cell>
          <cell r="K87">
            <v>88.382021112514948</v>
          </cell>
          <cell r="L87">
            <v>293.34025207626132</v>
          </cell>
          <cell r="M87">
            <v>5412.3520748484343</v>
          </cell>
        </row>
        <row r="88">
          <cell r="E88">
            <v>52659.802718688472</v>
          </cell>
          <cell r="F88">
            <v>2854.0714998144031</v>
          </cell>
          <cell r="G88">
            <v>106878.25714117177</v>
          </cell>
          <cell r="H88">
            <v>165403.86958475364</v>
          </cell>
          <cell r="I88">
            <v>147110.26934967999</v>
          </cell>
          <cell r="J88">
            <v>137.64284082155939</v>
          </cell>
          <cell r="K88">
            <v>88.940040954906479</v>
          </cell>
          <cell r="L88">
            <v>279.35970466040493</v>
          </cell>
          <cell r="M88">
            <v>5154.4002790135564</v>
          </cell>
        </row>
        <row r="90">
          <cell r="E90">
            <v>-51451</v>
          </cell>
          <cell r="G90">
            <v>-64582.3</v>
          </cell>
          <cell r="J90">
            <v>0</v>
          </cell>
          <cell r="K90">
            <v>0</v>
          </cell>
          <cell r="L90">
            <v>0</v>
          </cell>
          <cell r="M90">
            <v>0</v>
          </cell>
        </row>
        <row r="92">
          <cell r="E92">
            <v>549645.65503199538</v>
          </cell>
          <cell r="F92">
            <v>842229.09640090854</v>
          </cell>
          <cell r="G92">
            <v>1910905.0625</v>
          </cell>
          <cell r="H92">
            <v>2547706.0131578948</v>
          </cell>
          <cell r="I92">
            <v>2703980.5040675006</v>
          </cell>
          <cell r="J92">
            <v>141.50260822115021</v>
          </cell>
          <cell r="K92">
            <v>106.13392950766337</v>
          </cell>
          <cell r="L92">
            <v>491.94976423676076</v>
          </cell>
          <cell r="M92">
            <v>321.05047375142948</v>
          </cell>
        </row>
        <row r="93">
          <cell r="E93">
            <v>3459.5656915090949</v>
          </cell>
          <cell r="F93">
            <v>5301.1369409072768</v>
          </cell>
          <cell r="G93">
            <v>3361.5629383754431</v>
          </cell>
          <cell r="H93">
            <v>4481.7894304510155</v>
          </cell>
          <cell r="I93">
            <v>4414.32172195768</v>
          </cell>
          <cell r="J93">
            <v>131.31753898057337</v>
          </cell>
          <cell r="K93">
            <v>98.494625650305352</v>
          </cell>
          <cell r="L93">
            <v>127.59756904723238</v>
          </cell>
          <cell r="M93">
            <v>83.271225987272445</v>
          </cell>
        </row>
        <row r="94">
          <cell r="E94">
            <v>4727.1007280418435</v>
          </cell>
          <cell r="F94">
            <v>7243.397156560809</v>
          </cell>
          <cell r="G94">
            <v>18063.311764372218</v>
          </cell>
          <cell r="H94">
            <v>24082.833261967375</v>
          </cell>
          <cell r="I94">
            <v>23189.559593350685</v>
          </cell>
          <cell r="J94">
            <v>128.37933539457251</v>
          </cell>
          <cell r="K94">
            <v>96.290828164195347</v>
          </cell>
          <cell r="L94">
            <v>490.56622499679082</v>
          </cell>
          <cell r="M94">
            <v>320.14756463196852</v>
          </cell>
        </row>
        <row r="95">
          <cell r="E95">
            <v>387322.06365282554</v>
          </cell>
          <cell r="F95">
            <v>593498.57258030202</v>
          </cell>
          <cell r="G95">
            <v>1372559.1319627534</v>
          </cell>
          <cell r="H95">
            <v>1829958.600529003</v>
          </cell>
          <cell r="I95">
            <v>1940825.276003792</v>
          </cell>
          <cell r="J95">
            <v>141.40194260544686</v>
          </cell>
          <cell r="K95">
            <v>106.05842533501794</v>
          </cell>
          <cell r="L95">
            <v>501.08823073488588</v>
          </cell>
          <cell r="M95">
            <v>327.01431236234237</v>
          </cell>
        </row>
        <row r="96">
          <cell r="E96">
            <v>154136.92495961892</v>
          </cell>
          <cell r="F96">
            <v>236185.98972313834</v>
          </cell>
          <cell r="G96">
            <v>516921.05583449901</v>
          </cell>
          <cell r="H96">
            <v>689182.78993647336</v>
          </cell>
          <cell r="I96">
            <v>735551.34674840001</v>
          </cell>
          <cell r="J96">
            <v>142.29471569134517</v>
          </cell>
          <cell r="K96">
            <v>106.72804914588781</v>
          </cell>
          <cell r="L96">
            <v>477.2064493573497</v>
          </cell>
          <cell r="M96">
            <v>311.42886485799903</v>
          </cell>
        </row>
        <row r="98">
          <cell r="E98">
            <v>2601264.9775708783</v>
          </cell>
          <cell r="F98">
            <v>3779011.9808105556</v>
          </cell>
          <cell r="G98">
            <v>4886042.1800072733</v>
          </cell>
          <cell r="H98">
            <v>6899352.353659017</v>
          </cell>
          <cell r="I98" t="e">
            <v>#VALUE!</v>
          </cell>
          <cell r="J98" t="e">
            <v>#VALUE!</v>
          </cell>
          <cell r="K98" t="e">
            <v>#VALUE!</v>
          </cell>
          <cell r="L98" t="e">
            <v>#VALUE!</v>
          </cell>
          <cell r="M98" t="e">
            <v>#VALUE!</v>
          </cell>
        </row>
        <row r="101">
          <cell r="E101">
            <v>26.790820743090283</v>
          </cell>
          <cell r="F101">
            <v>28.678629968596187</v>
          </cell>
          <cell r="G101">
            <v>64.229142625233237</v>
          </cell>
          <cell r="H101">
            <v>58.545796551668047</v>
          </cell>
          <cell r="I101" t="e">
            <v>#VALUE!</v>
          </cell>
          <cell r="J101" t="e">
            <v>#VALUE!</v>
          </cell>
          <cell r="K101" t="e">
            <v>#VALUE!</v>
          </cell>
          <cell r="L101" t="e">
            <v>#VALUE!</v>
          </cell>
          <cell r="M101" t="e">
            <v>#VALUE!</v>
          </cell>
        </row>
        <row r="102">
          <cell r="E102">
            <v>34.600933685384625</v>
          </cell>
          <cell r="F102">
            <v>50.266829435578792</v>
          </cell>
          <cell r="G102">
            <v>62.334226706416928</v>
          </cell>
          <cell r="H102">
            <v>88.019255236923101</v>
          </cell>
          <cell r="I102" t="e">
            <v>#VALUE!</v>
          </cell>
          <cell r="J102" t="e">
            <v>#VALUE!</v>
          </cell>
          <cell r="K102" t="e">
            <v>#VALUE!</v>
          </cell>
          <cell r="L102" t="e">
            <v>#VALUE!</v>
          </cell>
          <cell r="M102" t="e">
            <v>#VALUE!</v>
          </cell>
        </row>
        <row r="104">
          <cell r="E104">
            <v>348148.83</v>
          </cell>
          <cell r="F104">
            <v>307941.65754689998</v>
          </cell>
          <cell r="G104">
            <v>1567283.2</v>
          </cell>
          <cell r="H104">
            <v>1799087.42</v>
          </cell>
          <cell r="I104">
            <v>2345846.1500732005</v>
          </cell>
          <cell r="J104">
            <v>149.67595837645683</v>
          </cell>
          <cell r="K104">
            <v>130.39089284906458</v>
          </cell>
          <cell r="L104">
            <v>673.80555323802196</v>
          </cell>
          <cell r="M104">
            <v>761.78265998841835</v>
          </cell>
        </row>
        <row r="106">
          <cell r="E106">
            <v>242800.04</v>
          </cell>
          <cell r="F106">
            <v>118295.35754689999</v>
          </cell>
          <cell r="G106">
            <v>1567283.2</v>
          </cell>
          <cell r="H106">
            <v>1799087.42</v>
          </cell>
          <cell r="I106">
            <v>2345846.1500732005</v>
          </cell>
          <cell r="J106">
            <v>149.67595837645683</v>
          </cell>
          <cell r="K106">
            <v>130.39089284906458</v>
          </cell>
          <cell r="L106">
            <v>966.16382356164365</v>
          </cell>
          <cell r="M106">
            <v>1983.0415991964471</v>
          </cell>
        </row>
        <row r="107">
          <cell r="E107">
            <v>29736.57</v>
          </cell>
          <cell r="F107">
            <v>29470.210546899994</v>
          </cell>
          <cell r="G107">
            <v>34167</v>
          </cell>
          <cell r="H107">
            <v>40996.42</v>
          </cell>
          <cell r="I107">
            <v>182661.74681919997</v>
          </cell>
          <cell r="J107">
            <v>534.61453103638007</v>
          </cell>
          <cell r="K107">
            <v>445.55536024657761</v>
          </cell>
          <cell r="L107">
            <v>614.26636232490819</v>
          </cell>
          <cell r="M107">
            <v>619.81826199885893</v>
          </cell>
        </row>
        <row r="108">
          <cell r="J108">
            <v>0</v>
          </cell>
          <cell r="K108">
            <v>0</v>
          </cell>
          <cell r="L108">
            <v>0</v>
          </cell>
          <cell r="M108">
            <v>0</v>
          </cell>
        </row>
        <row r="109">
          <cell r="E109">
            <v>213063.47</v>
          </cell>
          <cell r="F109">
            <v>82571</v>
          </cell>
          <cell r="G109">
            <v>1533116.2</v>
          </cell>
          <cell r="H109">
            <v>1758091</v>
          </cell>
          <cell r="I109">
            <v>2163184.4032540005</v>
          </cell>
          <cell r="J109">
            <v>141.09722428436936</v>
          </cell>
          <cell r="K109">
            <v>123.04166298866217</v>
          </cell>
          <cell r="L109">
            <v>1015.2769985647941</v>
          </cell>
          <cell r="M109">
            <v>2619.7870962613997</v>
          </cell>
        </row>
        <row r="110">
          <cell r="E110">
            <v>0</v>
          </cell>
          <cell r="F110">
            <v>6254.1469999999999</v>
          </cell>
          <cell r="J110">
            <v>0</v>
          </cell>
          <cell r="K110">
            <v>0</v>
          </cell>
          <cell r="L110">
            <v>0</v>
          </cell>
          <cell r="M110">
            <v>0</v>
          </cell>
        </row>
        <row r="111">
          <cell r="J111">
            <v>0</v>
          </cell>
          <cell r="K111">
            <v>0</v>
          </cell>
          <cell r="L111">
            <v>0</v>
          </cell>
          <cell r="M111">
            <v>0</v>
          </cell>
        </row>
        <row r="112">
          <cell r="J112">
            <v>0</v>
          </cell>
          <cell r="K112">
            <v>0</v>
          </cell>
          <cell r="L112">
            <v>0</v>
          </cell>
          <cell r="M112">
            <v>0</v>
          </cell>
        </row>
        <row r="113">
          <cell r="E113">
            <v>105348.79</v>
          </cell>
          <cell r="F113">
            <v>189646.3</v>
          </cell>
          <cell r="G113">
            <v>0</v>
          </cell>
          <cell r="H113">
            <v>0</v>
          </cell>
          <cell r="I113">
            <v>0</v>
          </cell>
          <cell r="J113">
            <v>0</v>
          </cell>
          <cell r="K113">
            <v>0</v>
          </cell>
          <cell r="L113">
            <v>0</v>
          </cell>
          <cell r="M113">
            <v>0</v>
          </cell>
        </row>
        <row r="114">
          <cell r="E114">
            <v>105348.79</v>
          </cell>
          <cell r="F114">
            <v>65045</v>
          </cell>
          <cell r="J114">
            <v>0</v>
          </cell>
          <cell r="K114">
            <v>0</v>
          </cell>
          <cell r="L114">
            <v>0</v>
          </cell>
          <cell r="M114">
            <v>0</v>
          </cell>
        </row>
        <row r="115">
          <cell r="J115">
            <v>0</v>
          </cell>
          <cell r="K115">
            <v>0</v>
          </cell>
          <cell r="L115">
            <v>0</v>
          </cell>
          <cell r="M115">
            <v>0</v>
          </cell>
        </row>
        <row r="116">
          <cell r="J116">
            <v>0</v>
          </cell>
          <cell r="K116">
            <v>0</v>
          </cell>
          <cell r="L116">
            <v>0</v>
          </cell>
          <cell r="M116">
            <v>0</v>
          </cell>
        </row>
        <row r="117">
          <cell r="E117">
            <v>0</v>
          </cell>
          <cell r="F117">
            <v>124601.3</v>
          </cell>
          <cell r="J117">
            <v>0</v>
          </cell>
          <cell r="K117">
            <v>0</v>
          </cell>
          <cell r="L117">
            <v>0</v>
          </cell>
          <cell r="M117">
            <v>0</v>
          </cell>
        </row>
        <row r="120">
          <cell r="E120">
            <v>31.24</v>
          </cell>
          <cell r="F120">
            <v>1.2083999999999999</v>
          </cell>
          <cell r="G120">
            <v>20</v>
          </cell>
          <cell r="H120">
            <v>24</v>
          </cell>
          <cell r="I120">
            <v>20</v>
          </cell>
          <cell r="J120">
            <v>100</v>
          </cell>
          <cell r="K120">
            <v>83.333333333333343</v>
          </cell>
          <cell r="L120">
            <v>64.020486555697829</v>
          </cell>
          <cell r="M120">
            <v>1655.0810989738497</v>
          </cell>
        </row>
        <row r="121">
          <cell r="E121">
            <v>26.4</v>
          </cell>
          <cell r="F121">
            <v>26.4</v>
          </cell>
          <cell r="G121">
            <v>26.4</v>
          </cell>
          <cell r="I121">
            <v>26.4</v>
          </cell>
          <cell r="J121">
            <v>100</v>
          </cell>
          <cell r="K121">
            <v>0</v>
          </cell>
          <cell r="L121">
            <v>100</v>
          </cell>
          <cell r="M121">
            <v>100</v>
          </cell>
        </row>
        <row r="123">
          <cell r="E123">
            <v>75179.040000000008</v>
          </cell>
          <cell r="F123">
            <v>75179.040000000008</v>
          </cell>
          <cell r="G123">
            <v>78384.579999999987</v>
          </cell>
          <cell r="H123">
            <v>78384.579999999987</v>
          </cell>
          <cell r="I123">
            <v>88178.861000000004</v>
          </cell>
          <cell r="J123">
            <v>112.49516295169282</v>
          </cell>
          <cell r="K123">
            <v>112.49516295169282</v>
          </cell>
          <cell r="L123">
            <v>117.29181564436044</v>
          </cell>
          <cell r="M123">
            <v>117.29181564436044</v>
          </cell>
        </row>
        <row r="124">
          <cell r="E124">
            <v>473.19</v>
          </cell>
          <cell r="F124">
            <v>473.19</v>
          </cell>
          <cell r="G124">
            <v>137.88999999999999</v>
          </cell>
          <cell r="H124">
            <v>137.88999999999999</v>
          </cell>
          <cell r="I124">
            <v>130.09</v>
          </cell>
          <cell r="J124">
            <v>94.343317136848228</v>
          </cell>
          <cell r="K124">
            <v>94.343317136848228</v>
          </cell>
          <cell r="L124">
            <v>27.492127897884572</v>
          </cell>
          <cell r="M124">
            <v>27.492127897884572</v>
          </cell>
        </row>
        <row r="125">
          <cell r="E125">
            <v>646.55999999999995</v>
          </cell>
          <cell r="F125">
            <v>646.55999999999995</v>
          </cell>
          <cell r="G125">
            <v>740.95</v>
          </cell>
          <cell r="H125">
            <v>740.95</v>
          </cell>
          <cell r="I125">
            <v>833.73599999999999</v>
          </cell>
          <cell r="J125">
            <v>112.52257237330454</v>
          </cell>
          <cell r="K125">
            <v>112.52257237330454</v>
          </cell>
          <cell r="L125">
            <v>128.94951744617671</v>
          </cell>
          <cell r="M125">
            <v>128.94951744617671</v>
          </cell>
        </row>
        <row r="126">
          <cell r="E126">
            <v>52976.86</v>
          </cell>
          <cell r="F126">
            <v>52976.86</v>
          </cell>
          <cell r="G126">
            <v>56301.84</v>
          </cell>
          <cell r="H126">
            <v>56301.84</v>
          </cell>
          <cell r="I126">
            <v>63439.089</v>
          </cell>
          <cell r="J126">
            <v>112.67675976486737</v>
          </cell>
          <cell r="K126">
            <v>112.67675976486737</v>
          </cell>
          <cell r="L126">
            <v>119.74867706391055</v>
          </cell>
          <cell r="M126">
            <v>119.74867706391055</v>
          </cell>
        </row>
        <row r="127">
          <cell r="E127">
            <v>21082.43</v>
          </cell>
          <cell r="F127">
            <v>21082.43</v>
          </cell>
          <cell r="G127">
            <v>21203.9</v>
          </cell>
          <cell r="H127">
            <v>21203.9</v>
          </cell>
          <cell r="I127">
            <v>23775.946000000004</v>
          </cell>
          <cell r="J127">
            <v>112.13006097934814</v>
          </cell>
          <cell r="K127">
            <v>112.13006097934814</v>
          </cell>
          <cell r="L127">
            <v>112.77611736407995</v>
          </cell>
          <cell r="M127">
            <v>112.77611736407995</v>
          </cell>
        </row>
      </sheetData>
      <sheetData sheetId="8"/>
      <sheetData sheetId="9"/>
      <sheetData sheetId="10"/>
      <sheetData sheetId="11"/>
      <sheetData sheetId="12"/>
      <sheetData sheetId="13"/>
      <sheetData sheetId="14">
        <row r="9">
          <cell r="E9">
            <v>0</v>
          </cell>
          <cell r="F9">
            <v>3359.5</v>
          </cell>
          <cell r="G9">
            <v>3359.5</v>
          </cell>
          <cell r="H9">
            <v>3359.5</v>
          </cell>
          <cell r="I9">
            <v>4123</v>
          </cell>
        </row>
        <row r="10">
          <cell r="E10">
            <v>0</v>
          </cell>
          <cell r="G10">
            <v>3359.5</v>
          </cell>
          <cell r="H10">
            <v>0</v>
          </cell>
          <cell r="I10">
            <v>0</v>
          </cell>
        </row>
        <row r="11">
          <cell r="E11">
            <v>0</v>
          </cell>
          <cell r="F11">
            <v>3359.5</v>
          </cell>
          <cell r="G11">
            <v>3359.5</v>
          </cell>
          <cell r="H11">
            <v>3359.5</v>
          </cell>
          <cell r="I11">
            <v>4123</v>
          </cell>
        </row>
        <row r="13">
          <cell r="F13">
            <v>3132</v>
          </cell>
          <cell r="G13">
            <v>3359.5</v>
          </cell>
        </row>
        <row r="16">
          <cell r="E16">
            <v>0</v>
          </cell>
          <cell r="F16">
            <v>3132</v>
          </cell>
          <cell r="G16">
            <v>3359.5</v>
          </cell>
          <cell r="H16">
            <v>4123</v>
          </cell>
          <cell r="I16">
            <v>4123</v>
          </cell>
        </row>
        <row r="18">
          <cell r="E18">
            <v>0</v>
          </cell>
          <cell r="F18">
            <v>4091.7</v>
          </cell>
          <cell r="G18">
            <v>4091.7</v>
          </cell>
          <cell r="H18">
            <v>4500</v>
          </cell>
          <cell r="I18">
            <v>4500</v>
          </cell>
        </row>
        <row r="19">
          <cell r="E19">
            <v>0</v>
          </cell>
          <cell r="F19">
            <v>6.4</v>
          </cell>
          <cell r="G19">
            <v>5.8</v>
          </cell>
          <cell r="H19">
            <v>7.14</v>
          </cell>
          <cell r="I19">
            <v>7.14</v>
          </cell>
        </row>
        <row r="20">
          <cell r="E20">
            <v>0</v>
          </cell>
          <cell r="F20">
            <v>2.4716447645969657</v>
          </cell>
          <cell r="G20">
            <v>1.7999389007014202</v>
          </cell>
          <cell r="H20">
            <v>2.257506666666667</v>
          </cell>
          <cell r="I20">
            <v>2.257506666666667</v>
          </cell>
        </row>
        <row r="23">
          <cell r="E23">
            <v>0</v>
          </cell>
          <cell r="F23">
            <v>6.55</v>
          </cell>
          <cell r="G23">
            <v>1.9128430000000001</v>
          </cell>
          <cell r="H23">
            <v>10.621551013015342</v>
          </cell>
          <cell r="I23">
            <v>10.621551013015342</v>
          </cell>
        </row>
        <row r="26">
          <cell r="E26">
            <v>0</v>
          </cell>
          <cell r="F26">
            <v>50.011459899999998</v>
          </cell>
          <cell r="G26">
            <v>73.592299999999994</v>
          </cell>
          <cell r="H26">
            <v>78.480218548114394</v>
          </cell>
          <cell r="I26">
            <v>78.480218548114394</v>
          </cell>
        </row>
        <row r="29">
          <cell r="E29">
            <v>0</v>
          </cell>
          <cell r="F29">
            <v>0</v>
          </cell>
          <cell r="G29">
            <v>15</v>
          </cell>
          <cell r="H29">
            <v>15</v>
          </cell>
          <cell r="I29">
            <v>15.000029531105112</v>
          </cell>
        </row>
        <row r="32">
          <cell r="E32">
            <v>0</v>
          </cell>
          <cell r="F32">
            <v>0</v>
          </cell>
          <cell r="G32">
            <v>33</v>
          </cell>
          <cell r="H32">
            <v>33</v>
          </cell>
          <cell r="I32">
            <v>33.000025593624436</v>
          </cell>
        </row>
        <row r="34">
          <cell r="B34" t="str">
            <v>Выплаты &lt;______________&gt;:</v>
          </cell>
        </row>
        <row r="35">
          <cell r="E35">
            <v>0</v>
          </cell>
          <cell r="F35">
            <v>6.4923793111047399</v>
          </cell>
          <cell r="G35">
            <v>1.02</v>
          </cell>
          <cell r="H35">
            <v>5.2</v>
          </cell>
          <cell r="I35">
            <v>5.1331951277614047</v>
          </cell>
        </row>
        <row r="37">
          <cell r="B37" t="str">
            <v>Выплаты &lt;______________&gt;:</v>
          </cell>
        </row>
        <row r="38">
          <cell r="H38">
            <v>0</v>
          </cell>
          <cell r="I38">
            <v>0</v>
          </cell>
        </row>
        <row r="49">
          <cell r="E49">
            <v>12</v>
          </cell>
          <cell r="F49">
            <v>12</v>
          </cell>
          <cell r="G49">
            <v>12</v>
          </cell>
          <cell r="H49">
            <v>12</v>
          </cell>
          <cell r="I49">
            <v>12</v>
          </cell>
        </row>
      </sheetData>
      <sheetData sheetId="15">
        <row r="9">
          <cell r="F9">
            <v>15683</v>
          </cell>
          <cell r="H9">
            <v>78001</v>
          </cell>
          <cell r="J9">
            <v>184014.84</v>
          </cell>
        </row>
        <row r="10">
          <cell r="E10">
            <v>464430</v>
          </cell>
          <cell r="F10">
            <v>146534</v>
          </cell>
          <cell r="G10">
            <v>464430</v>
          </cell>
          <cell r="H10">
            <v>648734</v>
          </cell>
          <cell r="J10">
            <v>2879638</v>
          </cell>
        </row>
        <row r="11">
          <cell r="F11">
            <v>0</v>
          </cell>
          <cell r="J11">
            <v>0</v>
          </cell>
        </row>
        <row r="13">
          <cell r="F13">
            <v>49349</v>
          </cell>
          <cell r="J13">
            <v>0</v>
          </cell>
        </row>
        <row r="14">
          <cell r="F14">
            <v>67941</v>
          </cell>
          <cell r="J14">
            <v>0</v>
          </cell>
        </row>
        <row r="15">
          <cell r="J15">
            <v>0</v>
          </cell>
        </row>
        <row r="16">
          <cell r="F16">
            <v>48501</v>
          </cell>
          <cell r="J16">
            <v>0</v>
          </cell>
        </row>
        <row r="17">
          <cell r="H17">
            <v>287964</v>
          </cell>
          <cell r="J17">
            <v>801438.14</v>
          </cell>
        </row>
        <row r="18">
          <cell r="F18">
            <v>56986</v>
          </cell>
          <cell r="H18">
            <v>66433</v>
          </cell>
          <cell r="J18">
            <v>206095.3</v>
          </cell>
        </row>
        <row r="19">
          <cell r="F19">
            <v>0</v>
          </cell>
          <cell r="J19">
            <v>0</v>
          </cell>
        </row>
        <row r="20">
          <cell r="F20">
            <v>11376</v>
          </cell>
          <cell r="H20">
            <v>12403</v>
          </cell>
          <cell r="J20">
            <v>39311.58</v>
          </cell>
        </row>
        <row r="21">
          <cell r="F21">
            <v>234</v>
          </cell>
          <cell r="H21">
            <v>3540</v>
          </cell>
          <cell r="J21">
            <v>7810.7</v>
          </cell>
        </row>
        <row r="24">
          <cell r="F24">
            <v>62340</v>
          </cell>
          <cell r="H24">
            <v>106013.84</v>
          </cell>
          <cell r="J24">
            <v>40459.69</v>
          </cell>
          <cell r="K24">
            <v>40459.69</v>
          </cell>
          <cell r="L24">
            <v>40459.69</v>
          </cell>
          <cell r="M24">
            <v>40459.69</v>
          </cell>
        </row>
        <row r="25">
          <cell r="F25">
            <v>503187</v>
          </cell>
          <cell r="H25">
            <v>2230904</v>
          </cell>
          <cell r="J25">
            <v>343455.66</v>
          </cell>
          <cell r="K25">
            <v>343455.66</v>
          </cell>
          <cell r="L25">
            <v>343455.66</v>
          </cell>
          <cell r="M25">
            <v>343455.66</v>
          </cell>
        </row>
        <row r="26">
          <cell r="J26">
            <v>0</v>
          </cell>
          <cell r="K26">
            <v>0</v>
          </cell>
          <cell r="L26">
            <v>0</v>
          </cell>
          <cell r="M26">
            <v>0</v>
          </cell>
        </row>
        <row r="28">
          <cell r="J28">
            <v>0</v>
          </cell>
          <cell r="K28">
            <v>0</v>
          </cell>
          <cell r="L28">
            <v>0</v>
          </cell>
          <cell r="M28">
            <v>0</v>
          </cell>
        </row>
        <row r="30">
          <cell r="J30">
            <v>0</v>
          </cell>
          <cell r="K30">
            <v>0</v>
          </cell>
          <cell r="L30">
            <v>0</v>
          </cell>
          <cell r="M30">
            <v>0</v>
          </cell>
        </row>
        <row r="31">
          <cell r="F31">
            <v>6291</v>
          </cell>
          <cell r="J31">
            <v>0</v>
          </cell>
          <cell r="K31">
            <v>0</v>
          </cell>
          <cell r="L31">
            <v>0</v>
          </cell>
          <cell r="M31">
            <v>0</v>
          </cell>
        </row>
        <row r="32">
          <cell r="F32">
            <v>118530</v>
          </cell>
          <cell r="H32">
            <v>513474.14</v>
          </cell>
          <cell r="J32">
            <v>195966.25</v>
          </cell>
          <cell r="K32">
            <v>195966.25</v>
          </cell>
          <cell r="L32">
            <v>195966.25</v>
          </cell>
          <cell r="M32">
            <v>195966.25</v>
          </cell>
        </row>
        <row r="33">
          <cell r="F33">
            <v>9488</v>
          </cell>
          <cell r="H33">
            <v>139662.29999999999</v>
          </cell>
          <cell r="J33">
            <v>53301.47</v>
          </cell>
          <cell r="K33">
            <v>53301.47</v>
          </cell>
          <cell r="L33">
            <v>53301.47</v>
          </cell>
          <cell r="M33">
            <v>53301.47</v>
          </cell>
        </row>
        <row r="35">
          <cell r="F35">
            <v>1481</v>
          </cell>
          <cell r="H35">
            <v>26908.58</v>
          </cell>
          <cell r="J35">
            <v>10269.530000000001</v>
          </cell>
          <cell r="K35">
            <v>10269.530000000001</v>
          </cell>
          <cell r="L35">
            <v>10269.530000000001</v>
          </cell>
          <cell r="M35">
            <v>10269.530000000001</v>
          </cell>
        </row>
        <row r="36">
          <cell r="F36">
            <v>3306</v>
          </cell>
          <cell r="H36">
            <v>4270.7</v>
          </cell>
          <cell r="J36">
            <v>1629.89</v>
          </cell>
          <cell r="K36">
            <v>1629.89</v>
          </cell>
          <cell r="L36">
            <v>1629.89</v>
          </cell>
          <cell r="M36">
            <v>1629.89</v>
          </cell>
        </row>
        <row r="39">
          <cell r="F39">
            <v>22</v>
          </cell>
        </row>
        <row r="40">
          <cell r="E40">
            <v>48940</v>
          </cell>
          <cell r="F40">
            <v>987</v>
          </cell>
          <cell r="G40">
            <v>0</v>
          </cell>
          <cell r="H40">
            <v>0</v>
          </cell>
          <cell r="J40">
            <v>0</v>
          </cell>
          <cell r="K40">
            <v>0</v>
          </cell>
          <cell r="L40">
            <v>0</v>
          </cell>
          <cell r="M40">
            <v>0</v>
          </cell>
        </row>
        <row r="41">
          <cell r="F41">
            <v>0</v>
          </cell>
          <cell r="H41">
            <v>0</v>
          </cell>
          <cell r="J41">
            <v>0</v>
          </cell>
          <cell r="K41">
            <v>0</v>
          </cell>
          <cell r="L41">
            <v>0</v>
          </cell>
          <cell r="M41">
            <v>0</v>
          </cell>
        </row>
        <row r="43">
          <cell r="H43">
            <v>0</v>
          </cell>
          <cell r="J43">
            <v>0</v>
          </cell>
          <cell r="K43">
            <v>0</v>
          </cell>
          <cell r="L43">
            <v>0</v>
          </cell>
          <cell r="M43">
            <v>0</v>
          </cell>
        </row>
        <row r="44">
          <cell r="H44">
            <v>0</v>
          </cell>
          <cell r="J44">
            <v>0</v>
          </cell>
          <cell r="K44">
            <v>0</v>
          </cell>
          <cell r="L44">
            <v>0</v>
          </cell>
          <cell r="M44">
            <v>0</v>
          </cell>
        </row>
        <row r="46">
          <cell r="F46">
            <v>1002</v>
          </cell>
          <cell r="H46">
            <v>0</v>
          </cell>
          <cell r="J46">
            <v>0</v>
          </cell>
          <cell r="K46">
            <v>0</v>
          </cell>
          <cell r="L46">
            <v>0</v>
          </cell>
          <cell r="M46">
            <v>0</v>
          </cell>
        </row>
        <row r="47">
          <cell r="F47">
            <v>1646</v>
          </cell>
        </row>
        <row r="48">
          <cell r="F48">
            <v>41</v>
          </cell>
        </row>
        <row r="50">
          <cell r="F50">
            <v>454</v>
          </cell>
          <cell r="H50">
            <v>0</v>
          </cell>
          <cell r="J50">
            <v>0</v>
          </cell>
          <cell r="K50">
            <v>0</v>
          </cell>
          <cell r="L50">
            <v>0</v>
          </cell>
          <cell r="M50">
            <v>0</v>
          </cell>
        </row>
        <row r="51">
          <cell r="F51">
            <v>0</v>
          </cell>
          <cell r="H51">
            <v>0</v>
          </cell>
        </row>
        <row r="54">
          <cell r="F54">
            <v>46842</v>
          </cell>
          <cell r="H54">
            <v>131007.92</v>
          </cell>
        </row>
        <row r="55">
          <cell r="E55">
            <v>281510.23</v>
          </cell>
          <cell r="F55">
            <v>397634</v>
          </cell>
          <cell r="G55">
            <v>281510.23</v>
          </cell>
          <cell r="H55">
            <v>1764186</v>
          </cell>
        </row>
        <row r="61">
          <cell r="F61">
            <v>51146</v>
          </cell>
        </row>
        <row r="62">
          <cell r="F62">
            <v>175732</v>
          </cell>
          <cell r="H62">
            <v>544701.06999999995</v>
          </cell>
        </row>
        <row r="63">
          <cell r="F63">
            <v>61709.5</v>
          </cell>
          <cell r="H63">
            <v>136264.15</v>
          </cell>
        </row>
        <row r="65">
          <cell r="F65">
            <v>11890</v>
          </cell>
          <cell r="H65">
            <v>25857.29</v>
          </cell>
        </row>
        <row r="66">
          <cell r="F66">
            <v>1887</v>
          </cell>
          <cell r="H66">
            <v>5675.35</v>
          </cell>
        </row>
        <row r="69">
          <cell r="F69">
            <v>6.3</v>
          </cell>
          <cell r="H69">
            <v>8.9</v>
          </cell>
          <cell r="I69">
            <v>8.9</v>
          </cell>
          <cell r="J69">
            <v>2.2250000000000001</v>
          </cell>
          <cell r="K69">
            <v>2.2250000000000001</v>
          </cell>
          <cell r="L69">
            <v>2.2254999999999998</v>
          </cell>
          <cell r="M69">
            <v>2.2587000000000002</v>
          </cell>
        </row>
        <row r="70">
          <cell r="E70">
            <v>12.137036</v>
          </cell>
          <cell r="F70">
            <v>5.8918736967477185</v>
          </cell>
          <cell r="G70">
            <v>12.137036</v>
          </cell>
          <cell r="H70">
            <v>8</v>
          </cell>
          <cell r="I70">
            <v>8.0009999999999994</v>
          </cell>
          <cell r="J70">
            <v>2.0002499999999999</v>
          </cell>
          <cell r="K70">
            <v>2.0002499999999999</v>
          </cell>
          <cell r="L70">
            <v>2.0002399999999998</v>
          </cell>
          <cell r="M70">
            <v>2.0002499999999999</v>
          </cell>
        </row>
        <row r="71">
          <cell r="F71">
            <v>2.58792</v>
          </cell>
        </row>
        <row r="72">
          <cell r="F72">
            <v>9.83</v>
          </cell>
          <cell r="H72">
            <v>10.28</v>
          </cell>
          <cell r="I72">
            <v>10.29</v>
          </cell>
          <cell r="J72">
            <v>2.57</v>
          </cell>
          <cell r="K72">
            <v>2.5724999999999998</v>
          </cell>
          <cell r="L72">
            <v>2.5724999999999998</v>
          </cell>
          <cell r="M72">
            <v>2.5724999999999998</v>
          </cell>
        </row>
        <row r="73">
          <cell r="F73">
            <v>11.046760292267264</v>
          </cell>
        </row>
        <row r="74">
          <cell r="F74">
            <v>10.421012652805116</v>
          </cell>
        </row>
        <row r="75">
          <cell r="F75">
            <v>5.5218449999999999</v>
          </cell>
        </row>
        <row r="76">
          <cell r="F76">
            <v>6.4438726388801975</v>
          </cell>
        </row>
        <row r="77">
          <cell r="F77">
            <v>0</v>
          </cell>
          <cell r="H77">
            <v>10.28</v>
          </cell>
          <cell r="I77">
            <v>10.29</v>
          </cell>
          <cell r="J77">
            <v>2.5724999999999998</v>
          </cell>
          <cell r="K77">
            <v>2.5724999999999998</v>
          </cell>
          <cell r="L77">
            <v>2.5996000000000001</v>
          </cell>
          <cell r="M77">
            <v>2.7925</v>
          </cell>
        </row>
        <row r="78">
          <cell r="F78">
            <v>4.4647116777049831</v>
          </cell>
          <cell r="H78">
            <v>21.98</v>
          </cell>
          <cell r="I78">
            <v>21.98</v>
          </cell>
          <cell r="J78">
            <v>5.5</v>
          </cell>
          <cell r="K78">
            <v>5.4950000000000001</v>
          </cell>
          <cell r="L78">
            <v>5.4954000000000001</v>
          </cell>
          <cell r="M78">
            <v>5.4969999999999999</v>
          </cell>
        </row>
        <row r="79">
          <cell r="F79">
            <v>0</v>
          </cell>
        </row>
        <row r="80">
          <cell r="F80">
            <v>9.7899999999999991</v>
          </cell>
          <cell r="H80">
            <v>11.569799999000001</v>
          </cell>
          <cell r="I80">
            <v>11.578899999900001</v>
          </cell>
          <cell r="J80">
            <v>2.84849</v>
          </cell>
          <cell r="K80">
            <v>2.8255852899999998</v>
          </cell>
          <cell r="L80">
            <v>2.7991914250000001</v>
          </cell>
          <cell r="M80">
            <v>2.8969292699999998</v>
          </cell>
        </row>
        <row r="81">
          <cell r="F81">
            <v>4.71</v>
          </cell>
          <cell r="H81">
            <v>15</v>
          </cell>
          <cell r="I81">
            <v>15.069100841099999</v>
          </cell>
          <cell r="J81">
            <v>3.7672752102749998</v>
          </cell>
          <cell r="K81">
            <v>3.7500000277500001</v>
          </cell>
          <cell r="L81">
            <v>3.8900000217500001</v>
          </cell>
          <cell r="M81">
            <v>3.7517005277500002</v>
          </cell>
        </row>
      </sheetData>
      <sheetData sheetId="16"/>
      <sheetData sheetId="17"/>
      <sheetData sheetId="18">
        <row r="8">
          <cell r="E8">
            <v>2051619.3225388825</v>
          </cell>
          <cell r="F8">
            <v>2936782.8844096465</v>
          </cell>
          <cell r="G8">
            <v>2975137.1175072738</v>
          </cell>
          <cell r="H8">
            <v>4351646.3405011231</v>
          </cell>
          <cell r="I8" t="e">
            <v>#REF!</v>
          </cell>
          <cell r="J8">
            <v>0</v>
          </cell>
        </row>
        <row r="9">
          <cell r="E9">
            <v>12913.250119078057</v>
          </cell>
          <cell r="F9">
            <v>18479.935812768672</v>
          </cell>
          <cell r="G9">
            <v>5233.7035821723875</v>
          </cell>
          <cell r="H9">
            <v>7655.1856741683087</v>
          </cell>
          <cell r="I9" t="e">
            <v>#REF!</v>
          </cell>
          <cell r="J9">
            <v>0</v>
          </cell>
        </row>
        <row r="10">
          <cell r="E10">
            <v>1463371.2350226601</v>
          </cell>
          <cell r="F10">
            <v>2094730.8247731323</v>
          </cell>
          <cell r="G10">
            <v>2165095.7600994064</v>
          </cell>
          <cell r="H10">
            <v>3166822.4586452339</v>
          </cell>
          <cell r="I10" t="e">
            <v>#REF!</v>
          </cell>
          <cell r="J10">
            <v>0</v>
          </cell>
        </row>
        <row r="12">
          <cell r="E12">
            <v>17644.478955580438</v>
          </cell>
          <cell r="F12">
            <v>25253.944521429232</v>
          </cell>
          <cell r="G12">
            <v>28123.233513747415</v>
          </cell>
          <cell r="H12">
            <v>41135.033905830802</v>
          </cell>
          <cell r="I12" t="e">
            <v>#REF!</v>
          </cell>
          <cell r="J12">
            <v>0</v>
          </cell>
        </row>
        <row r="13">
          <cell r="E13">
            <v>1445726.7560670797</v>
          </cell>
          <cell r="F13">
            <v>2069476.8802517031</v>
          </cell>
          <cell r="G13">
            <v>2136972.526585659</v>
          </cell>
          <cell r="H13">
            <v>3125687.4247394032</v>
          </cell>
          <cell r="I13" t="e">
            <v>#REF!</v>
          </cell>
          <cell r="J13">
            <v>0</v>
          </cell>
        </row>
        <row r="14">
          <cell r="E14">
            <v>575334.83739714453</v>
          </cell>
          <cell r="F14">
            <v>823572.12382374587</v>
          </cell>
          <cell r="G14">
            <v>804807.65382569516</v>
          </cell>
          <cell r="H14">
            <v>1177168.6961817208</v>
          </cell>
          <cell r="I14" t="e">
            <v>#REF!</v>
          </cell>
          <cell r="J14">
            <v>0</v>
          </cell>
        </row>
        <row r="15">
          <cell r="E15">
            <v>549645.65503199538</v>
          </cell>
          <cell r="F15">
            <v>842229.09640090843</v>
          </cell>
          <cell r="G15">
            <v>1910905.0625</v>
          </cell>
          <cell r="H15">
            <v>2547706.0131578948</v>
          </cell>
          <cell r="I15">
            <v>2703980.5040675001</v>
          </cell>
          <cell r="J15">
            <v>1.4150260822115019</v>
          </cell>
        </row>
        <row r="16">
          <cell r="E16">
            <v>3459.5656915090949</v>
          </cell>
          <cell r="F16">
            <v>5301.1369409072768</v>
          </cell>
          <cell r="G16">
            <v>3361.5629383754431</v>
          </cell>
          <cell r="H16">
            <v>4481.7894304510155</v>
          </cell>
          <cell r="I16">
            <v>4414.32172195768</v>
          </cell>
          <cell r="J16">
            <v>1.3131753898057337</v>
          </cell>
        </row>
        <row r="17">
          <cell r="E17">
            <v>392049.16438086738</v>
          </cell>
          <cell r="F17">
            <v>600741.96973686281</v>
          </cell>
          <cell r="G17">
            <v>1390622.4437271256</v>
          </cell>
          <cell r="H17">
            <v>1854041.4337909704</v>
          </cell>
          <cell r="I17">
            <v>1964014.8355971426</v>
          </cell>
          <cell r="J17">
            <v>1.4123278712036453</v>
          </cell>
        </row>
        <row r="19">
          <cell r="E19">
            <v>4727.1007280418435</v>
          </cell>
          <cell r="F19">
            <v>7243.397156560809</v>
          </cell>
          <cell r="G19">
            <v>18063.311764372218</v>
          </cell>
          <cell r="H19">
            <v>24082.833261967375</v>
          </cell>
          <cell r="I19">
            <v>23189.559593350685</v>
          </cell>
          <cell r="J19">
            <v>1.2837933539457251</v>
          </cell>
        </row>
        <row r="20">
          <cell r="E20">
            <v>387322.06365282554</v>
          </cell>
          <cell r="F20">
            <v>593498.57258030202</v>
          </cell>
          <cell r="G20">
            <v>1372559.1319627534</v>
          </cell>
          <cell r="H20">
            <v>1829958.600529003</v>
          </cell>
          <cell r="I20">
            <v>1940825.276003792</v>
          </cell>
          <cell r="J20">
            <v>1.4140194260544685</v>
          </cell>
        </row>
        <row r="21">
          <cell r="E21">
            <v>154136.92495961892</v>
          </cell>
          <cell r="F21">
            <v>236185.98972313834</v>
          </cell>
          <cell r="G21">
            <v>516921.05583449901</v>
          </cell>
          <cell r="H21">
            <v>689182.78993647336</v>
          </cell>
          <cell r="I21">
            <v>735551.34674840001</v>
          </cell>
          <cell r="J21">
            <v>1.4229471569134517</v>
          </cell>
        </row>
        <row r="22">
          <cell r="E22">
            <v>26.790820743090286</v>
          </cell>
          <cell r="F22">
            <v>28.678629968596187</v>
          </cell>
          <cell r="G22">
            <v>64.229142625233237</v>
          </cell>
          <cell r="H22">
            <v>58.54579655166804</v>
          </cell>
          <cell r="I22" t="e">
            <v>#REF!</v>
          </cell>
          <cell r="J22">
            <v>0</v>
          </cell>
        </row>
        <row r="23">
          <cell r="E23">
            <v>2601264.9775708779</v>
          </cell>
          <cell r="F23">
            <v>3779011.9808105547</v>
          </cell>
          <cell r="G23">
            <v>4886042.1800072733</v>
          </cell>
          <cell r="H23">
            <v>6899352.3536590179</v>
          </cell>
          <cell r="I23" t="e">
            <v>#REF!</v>
          </cell>
          <cell r="J23">
            <v>0</v>
          </cell>
        </row>
        <row r="24">
          <cell r="E24">
            <v>16372.815810587152</v>
          </cell>
          <cell r="F24">
            <v>23781.072753675948</v>
          </cell>
          <cell r="G24">
            <v>8595.2665205478297</v>
          </cell>
          <cell r="H24">
            <v>12136.975104619323</v>
          </cell>
          <cell r="I24" t="e">
            <v>#REF!</v>
          </cell>
          <cell r="J24">
            <v>0</v>
          </cell>
        </row>
        <row r="25">
          <cell r="E25">
            <v>1855420.3994035274</v>
          </cell>
          <cell r="F25">
            <v>2695472.7945099953</v>
          </cell>
          <cell r="G25">
            <v>3555718.2038265318</v>
          </cell>
          <cell r="H25">
            <v>5020863.8924362045</v>
          </cell>
          <cell r="I25" t="e">
            <v>#REF!</v>
          </cell>
          <cell r="J25">
            <v>0</v>
          </cell>
        </row>
        <row r="27">
          <cell r="E27">
            <v>22371.57968362228</v>
          </cell>
          <cell r="F27">
            <v>32497.34167799004</v>
          </cell>
          <cell r="G27">
            <v>46186.545278119636</v>
          </cell>
          <cell r="H27">
            <v>65217.867167798177</v>
          </cell>
          <cell r="I27" t="e">
            <v>#REF!</v>
          </cell>
          <cell r="J27">
            <v>0</v>
          </cell>
        </row>
        <row r="28">
          <cell r="E28">
            <v>1833048.8197199053</v>
          </cell>
          <cell r="F28">
            <v>2662975.452832005</v>
          </cell>
          <cell r="G28">
            <v>3509531.6585484124</v>
          </cell>
          <cell r="H28">
            <v>4955646.0252684057</v>
          </cell>
          <cell r="I28" t="e">
            <v>#REF!</v>
          </cell>
          <cell r="J28">
            <v>0</v>
          </cell>
        </row>
        <row r="29">
          <cell r="E29">
            <v>729471.76235676347</v>
          </cell>
          <cell r="F29">
            <v>1059758.1135468842</v>
          </cell>
          <cell r="G29">
            <v>1321728.7096601941</v>
          </cell>
          <cell r="H29">
            <v>1866351.4861181942</v>
          </cell>
          <cell r="I29" t="e">
            <v>#REF!</v>
          </cell>
          <cell r="J29">
            <v>0</v>
          </cell>
        </row>
        <row r="30">
          <cell r="E30">
            <v>1013.07</v>
          </cell>
          <cell r="F30">
            <v>1129.71</v>
          </cell>
          <cell r="G30">
            <v>994.96520192618686</v>
          </cell>
          <cell r="H30">
            <v>994.96520192618686</v>
          </cell>
          <cell r="I30">
            <v>1209.8699999999999</v>
          </cell>
          <cell r="J30">
            <v>1.2159922755667953</v>
          </cell>
        </row>
        <row r="31">
          <cell r="E31">
            <v>998.28000000000009</v>
          </cell>
          <cell r="F31">
            <v>1112.6999999999998</v>
          </cell>
          <cell r="G31">
            <v>980.87546199612325</v>
          </cell>
          <cell r="H31">
            <v>980.87546199612325</v>
          </cell>
          <cell r="I31">
            <v>1193.78</v>
          </cell>
          <cell r="J31">
            <v>1.2170556265834267</v>
          </cell>
        </row>
        <row r="32">
          <cell r="E32">
            <v>983.55000000000007</v>
          </cell>
          <cell r="F32">
            <v>1098.28</v>
          </cell>
          <cell r="G32">
            <v>965.48698399254408</v>
          </cell>
          <cell r="H32">
            <v>965.48698399254408</v>
          </cell>
          <cell r="I32">
            <v>1162.28</v>
          </cell>
          <cell r="J32">
            <v>1.2038277255625598</v>
          </cell>
        </row>
        <row r="33">
          <cell r="E33">
            <v>316.40999999999997</v>
          </cell>
          <cell r="F33">
            <v>352.27</v>
          </cell>
          <cell r="G33">
            <v>310.79750742497612</v>
          </cell>
          <cell r="H33">
            <v>310.79750742497612</v>
          </cell>
          <cell r="I33">
            <v>382.76</v>
          </cell>
          <cell r="J33">
            <v>1.231541408331259</v>
          </cell>
        </row>
        <row r="34">
          <cell r="J34">
            <v>0</v>
          </cell>
        </row>
        <row r="35">
          <cell r="E35">
            <v>92251.610381942475</v>
          </cell>
          <cell r="F35">
            <v>116505.35348655669</v>
          </cell>
          <cell r="G35">
            <v>50836.439394975991</v>
          </cell>
          <cell r="H35">
            <v>71783.765851740842</v>
          </cell>
          <cell r="I35" t="e">
            <v>#REF!</v>
          </cell>
          <cell r="J35">
            <v>0</v>
          </cell>
        </row>
        <row r="38">
          <cell r="E38">
            <v>126564.71873513398</v>
          </cell>
          <cell r="F38">
            <v>187802.4831136734</v>
          </cell>
          <cell r="G38">
            <v>250114.32399496844</v>
          </cell>
          <cell r="H38">
            <v>353174.7754858617</v>
          </cell>
          <cell r="I38" t="e">
            <v>#REF!</v>
          </cell>
          <cell r="J38">
            <v>0</v>
          </cell>
        </row>
        <row r="39">
          <cell r="E39">
            <v>230397.72670323055</v>
          </cell>
          <cell r="F39">
            <v>300224.09950838011</v>
          </cell>
          <cell r="G39">
            <v>449848.3693527804</v>
          </cell>
          <cell r="H39">
            <v>635209.90845788317</v>
          </cell>
          <cell r="I39" t="e">
            <v>#REF!</v>
          </cell>
          <cell r="J39">
            <v>0</v>
          </cell>
        </row>
        <row r="40">
          <cell r="E40">
            <v>473898.80797724286</v>
          </cell>
          <cell r="F40">
            <v>632243.74269115634</v>
          </cell>
          <cell r="G40">
            <v>903229.01266390202</v>
          </cell>
          <cell r="H40">
            <v>1275407.5762822265</v>
          </cell>
          <cell r="I40" t="e">
            <v>#REF!</v>
          </cell>
          <cell r="J40">
            <v>0</v>
          </cell>
        </row>
        <row r="41">
          <cell r="J41">
            <v>0</v>
          </cell>
        </row>
        <row r="42">
          <cell r="E42">
            <v>154.00743685100196</v>
          </cell>
          <cell r="F42">
            <v>206.27730338625963</v>
          </cell>
          <cell r="G42">
            <v>85.405218183559626</v>
          </cell>
          <cell r="H42">
            <v>120.59672663092455</v>
          </cell>
          <cell r="I42" t="e">
            <v>#REF!</v>
          </cell>
          <cell r="J42">
            <v>0</v>
          </cell>
        </row>
        <row r="43">
          <cell r="J43">
            <v>0</v>
          </cell>
        </row>
        <row r="45">
          <cell r="E45">
            <v>211.34045567969795</v>
          </cell>
          <cell r="F45">
            <v>332.57048338736666</v>
          </cell>
          <cell r="G45">
            <v>371.47703735584042</v>
          </cell>
          <cell r="H45">
            <v>524.54540456044128</v>
          </cell>
          <cell r="I45" t="e">
            <v>#REF!</v>
          </cell>
          <cell r="J45">
            <v>0</v>
          </cell>
        </row>
        <row r="46">
          <cell r="E46">
            <v>384.76756826778001</v>
          </cell>
          <cell r="F46">
            <v>531.39625533820822</v>
          </cell>
          <cell r="G46">
            <v>714.3154284428382</v>
          </cell>
          <cell r="H46">
            <v>1008.6515119840221</v>
          </cell>
          <cell r="I46" t="e">
            <v>#REF!</v>
          </cell>
          <cell r="J46">
            <v>0</v>
          </cell>
        </row>
        <row r="47">
          <cell r="E47">
            <v>791.41267680548606</v>
          </cell>
          <cell r="F47">
            <v>1119.063641375016</v>
          </cell>
          <cell r="G47">
            <v>1411.1563151352889</v>
          </cell>
          <cell r="H47">
            <v>1992.6280383021474</v>
          </cell>
          <cell r="I47" t="e">
            <v>#REF!</v>
          </cell>
          <cell r="J47">
            <v>0</v>
          </cell>
        </row>
        <row r="49">
          <cell r="E49">
            <v>1129.1597110749772</v>
          </cell>
          <cell r="F49">
            <v>6682.7470759888893</v>
          </cell>
          <cell r="G49">
            <v>141.40968456106748</v>
          </cell>
          <cell r="H49">
            <v>199.67802242860125</v>
          </cell>
          <cell r="I49" t="e">
            <v>#REF!</v>
          </cell>
          <cell r="J49">
            <v>0</v>
          </cell>
        </row>
        <row r="52">
          <cell r="E52">
            <v>0</v>
          </cell>
          <cell r="F52">
            <v>0</v>
          </cell>
          <cell r="G52">
            <v>0</v>
          </cell>
          <cell r="H52">
            <v>0</v>
          </cell>
          <cell r="I52" t="e">
            <v>#REF!</v>
          </cell>
          <cell r="J52">
            <v>0</v>
          </cell>
        </row>
        <row r="53">
          <cell r="E53">
            <v>1129.1597110749772</v>
          </cell>
          <cell r="F53">
            <v>6682.7470759888893</v>
          </cell>
          <cell r="G53">
            <v>141.40968456106748</v>
          </cell>
          <cell r="H53">
            <v>199.67802242860125</v>
          </cell>
          <cell r="I53" t="e">
            <v>#REF!</v>
          </cell>
          <cell r="J53">
            <v>0</v>
          </cell>
        </row>
        <row r="59">
          <cell r="E59">
            <v>10312.493282538713</v>
          </cell>
          <cell r="F59">
            <v>17983.965782965359</v>
          </cell>
          <cell r="G59">
            <v>24458.853363176531</v>
          </cell>
          <cell r="H59">
            <v>34537.206455057967</v>
          </cell>
          <cell r="I59" t="e">
            <v>#REF!</v>
          </cell>
          <cell r="J59">
            <v>0</v>
          </cell>
        </row>
        <row r="66">
          <cell r="E66">
            <v>1069884.0996281896</v>
          </cell>
          <cell r="F66">
            <v>1612887.9253068799</v>
          </cell>
          <cell r="G66">
            <v>2046927.1995781609</v>
          </cell>
          <cell r="H66">
            <v>2890370.4617951582</v>
          </cell>
          <cell r="I66" t="e">
            <v>#REF!</v>
          </cell>
          <cell r="J66">
            <v>0</v>
          </cell>
        </row>
      </sheetData>
      <sheetData sheetId="19">
        <row r="8">
          <cell r="E8">
            <v>2563.6622339074652</v>
          </cell>
          <cell r="F8">
            <v>0</v>
          </cell>
          <cell r="G8">
            <v>0</v>
          </cell>
          <cell r="H8">
            <v>0</v>
          </cell>
          <cell r="I8">
            <v>0</v>
          </cell>
        </row>
        <row r="20">
          <cell r="E20">
            <v>8.4904412113199967</v>
          </cell>
          <cell r="F20">
            <v>10.259429506606709</v>
          </cell>
          <cell r="G20">
            <v>9.3004010406344673</v>
          </cell>
          <cell r="H20">
            <v>9.3004010406344673</v>
          </cell>
          <cell r="I20">
            <v>9.127523857307164</v>
          </cell>
        </row>
        <row r="34">
          <cell r="E34" t="e">
            <v>#REF!</v>
          </cell>
          <cell r="F34">
            <v>1213479.8933906753</v>
          </cell>
          <cell r="G34">
            <v>0</v>
          </cell>
          <cell r="H34">
            <v>0</v>
          </cell>
          <cell r="I34">
            <v>0</v>
          </cell>
        </row>
        <row r="41">
          <cell r="E41" t="e">
            <v>#REF!</v>
          </cell>
          <cell r="F41">
            <v>284.66898825402944</v>
          </cell>
          <cell r="G41">
            <v>0</v>
          </cell>
          <cell r="H41">
            <v>0</v>
          </cell>
          <cell r="I41">
            <v>0</v>
          </cell>
        </row>
      </sheetData>
      <sheetData sheetId="20"/>
      <sheetData sheetId="21"/>
      <sheetData sheetId="22"/>
      <sheetData sheetId="23"/>
      <sheetData sheetId="24"/>
      <sheetData sheetId="25">
        <row r="6">
          <cell r="C6" t="str">
            <v>Алтайский край</v>
          </cell>
        </row>
        <row r="7">
          <cell r="C7" t="str">
            <v>Амурская область</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ow r="2">
          <cell r="N2" t="e">
            <v>#VALUE!</v>
          </cell>
        </row>
      </sheetData>
      <sheetData sheetId="1">
        <row r="6">
          <cell r="F6" t="str">
            <v>Краснодарский край</v>
          </cell>
        </row>
        <row r="8">
          <cell r="F8">
            <v>2012</v>
          </cell>
          <cell r="G8" t="str">
            <v>Год</v>
          </cell>
        </row>
      </sheetData>
      <sheetData sheetId="2"/>
      <sheetData sheetId="3"/>
      <sheetData sheetId="4"/>
      <sheetData sheetId="5"/>
      <sheetData sheetId="6"/>
      <sheetData sheetId="7">
        <row r="156">
          <cell r="A156" t="str">
            <v>Гирейское ЗАО "Железобетон"</v>
          </cell>
          <cell r="H156" t="str">
            <v>ЗАО "МАРЭМ+"</v>
          </cell>
          <cell r="X156" t="str">
            <v>Другие поставщики</v>
          </cell>
        </row>
        <row r="157">
          <cell r="A157" t="str">
            <v>ГНУ СКС ВИМ Россельхозакадемии</v>
          </cell>
          <cell r="H157" t="str">
            <v>ЗАО "Успенский сахарник"</v>
          </cell>
          <cell r="X157" t="str">
            <v>ЗАО "Картонтара"</v>
          </cell>
        </row>
        <row r="158">
          <cell r="A158" t="str">
            <v>ГУ Краснодарский НИИ хранения и переработки с/х продукции РАСН</v>
          </cell>
          <cell r="H158" t="str">
            <v>ОАО "Компания Импульс "</v>
          </cell>
          <cell r="X158" t="str">
            <v>ЗАО "Кристалл"</v>
          </cell>
        </row>
        <row r="159">
          <cell r="A159" t="str">
            <v>ЗАО "Анапа Инвест"</v>
          </cell>
          <cell r="H159" t="str">
            <v>ОАО "Кристалл-2"</v>
          </cell>
          <cell r="X159" t="str">
            <v>ЗАО "Кубаньжелдормаш"</v>
          </cell>
        </row>
        <row r="160">
          <cell r="A160" t="str">
            <v>ЗАО "КНПЗ-КЭН"</v>
          </cell>
          <cell r="H160" t="str">
            <v>ОАО "Кубаньэнергосбыт"</v>
          </cell>
          <cell r="X160" t="str">
            <v>ЗАО "Сахарный завод "Свобода"</v>
          </cell>
        </row>
        <row r="161">
          <cell r="A161" t="str">
            <v>ЗАО "Краснодарлекраспром"</v>
          </cell>
          <cell r="H161" t="str">
            <v>ОАО "Курский завод медстекла"</v>
          </cell>
          <cell r="X161" t="str">
            <v>ЗАО "Сахарный комбинат "Тихорецкий"</v>
          </cell>
        </row>
        <row r="162">
          <cell r="A162" t="str">
            <v>ЗАО "Пансионат "Шепси"</v>
          </cell>
          <cell r="H162" t="str">
            <v>ОАО "Мосэнергосбыт"</v>
          </cell>
          <cell r="X162" t="str">
            <v>ЗАО "ССК "Ленинградский"</v>
          </cell>
        </row>
        <row r="163">
          <cell r="A163" t="str">
            <v>ЗАО "Пластформ"</v>
          </cell>
          <cell r="H163" t="str">
            <v>ОАО "НЭСК"</v>
          </cell>
          <cell r="X163" t="str">
            <v>ЗАО "Тбилисский сахарный завод"</v>
          </cell>
        </row>
        <row r="164">
          <cell r="A164" t="str">
            <v>ЗАО "Сахарный комбинат "Курганинский"</v>
          </cell>
          <cell r="H164" t="str">
            <v>ОАО «Нижноватомэнергосбыт»</v>
          </cell>
          <cell r="X164" t="str">
            <v>ОАО "Адыгэнергострой"</v>
          </cell>
        </row>
        <row r="165">
          <cell r="A165" t="str">
            <v>ЗАО "Седин-Энерго"</v>
          </cell>
          <cell r="H165" t="str">
            <v>Общество с ограниченной ответственностью "РН-Энерго"</v>
          </cell>
          <cell r="X165" t="str">
            <v>ОАО "Викор"</v>
          </cell>
        </row>
        <row r="166">
          <cell r="A166" t="str">
            <v>ЗАО "СК "Главкраснодарпромстрой"</v>
          </cell>
          <cell r="H166" t="str">
            <v>ООО "ГРИНН Энергосбыт"</v>
          </cell>
          <cell r="X166" t="str">
            <v>ОАО "Гиркубс"</v>
          </cell>
        </row>
        <row r="167">
          <cell r="A167" t="str">
            <v>ЗАО "Успенский сахарник"</v>
          </cell>
          <cell r="H167" t="str">
            <v>ООО "Дизаж М"</v>
          </cell>
          <cell r="X167" t="str">
            <v>ОАО "Динсксахар"</v>
          </cell>
        </row>
        <row r="168">
          <cell r="A168" t="str">
            <v>ЗАО "Энергосервис"</v>
          </cell>
          <cell r="H168" t="str">
            <v>ООО "КНАУФ ЭНЕРГИЯ"</v>
          </cell>
          <cell r="X168" t="str">
            <v>ОАО "Изумруд"</v>
          </cell>
        </row>
        <row r="169">
          <cell r="A169" t="str">
            <v>ЗАО КПП "Геленджикский"</v>
          </cell>
          <cell r="H169" t="str">
            <v>ООО "КубаньРесурс"</v>
          </cell>
          <cell r="X169" t="str">
            <v>ОАО "Каневсксахар"</v>
          </cell>
        </row>
        <row r="170">
          <cell r="A170" t="str">
            <v>Муниципальное унитарное предприятие "МАЙКОПСКИЕ ГОРОДСКИЕ ЭЛЕКТРИЧЕСКИЕ СЕТИ" МО "Город Майкоп"</v>
          </cell>
          <cell r="H170" t="str">
            <v>ООО "Кубаньэнергосервис"</v>
          </cell>
          <cell r="X170" t="str">
            <v>ОАО "Новороссийский судоремонтный завод"</v>
          </cell>
        </row>
        <row r="171">
          <cell r="A171" t="str">
            <v>ОАО "28 электрическая сеть"</v>
          </cell>
          <cell r="H171" t="str">
            <v>ООО "Региональная энергосбытовая компания" (ОПП)</v>
          </cell>
          <cell r="X171" t="str">
            <v>ОАО "ОАО Мобильные ГТЭС"</v>
          </cell>
        </row>
        <row r="172">
          <cell r="A172" t="str">
            <v>ОАО "Агентство развития Краснодарского края"</v>
          </cell>
          <cell r="H172" t="str">
            <v>ООО "Русэнергоресурс"</v>
          </cell>
          <cell r="X172" t="str">
            <v>ОАО "Павловский сахарный завод"</v>
          </cell>
        </row>
        <row r="173">
          <cell r="A173" t="str">
            <v>ОАО "Армавирский завод резиновых изделий"</v>
          </cell>
          <cell r="H173" t="str">
            <v>ООО "РУСЭНЕРГОСБЫТ"</v>
          </cell>
          <cell r="X173" t="str">
            <v>ОАО "Сахарный завод "Лабинский"</v>
          </cell>
        </row>
        <row r="174">
          <cell r="A174" t="str">
            <v>ОАО "Армавирский Электротехнический завод"</v>
          </cell>
          <cell r="H174" t="str">
            <v>ООО "Сбытэнерго"</v>
          </cell>
          <cell r="X174" t="str">
            <v>ООО "ИнвестГрупп-Энерджи"</v>
          </cell>
        </row>
        <row r="175">
          <cell r="A175" t="str">
            <v>ОАО "Армавирэнергоинвест"</v>
          </cell>
          <cell r="H175" t="str">
            <v>ООО "ТД "Энергосервис"</v>
          </cell>
          <cell r="X175" t="str">
            <v>ООО "Лукойл - Экоэнерго"</v>
          </cell>
        </row>
        <row r="176">
          <cell r="A176" t="str">
            <v>ОАО "Аэропорт Анапа"</v>
          </cell>
          <cell r="H176" t="str">
            <v>ООО "Транснефтьсервис С"</v>
          </cell>
          <cell r="X176" t="str">
            <v>ООО "Межрегиональная генерирующая компания"</v>
          </cell>
        </row>
        <row r="177">
          <cell r="A177" t="str">
            <v>ОАО "Компрессорный завод "Борец"</v>
          </cell>
          <cell r="H177" t="str">
            <v>ООО "Транснефтьэнерго"</v>
          </cell>
          <cell r="X177" t="str">
            <v>ООО "РЭУ Идеал Хаус"</v>
          </cell>
        </row>
        <row r="178">
          <cell r="A178" t="str">
            <v>ОАО "Кореновсксахар"</v>
          </cell>
          <cell r="H178" t="str">
            <v>ООО "Электроснабжение"</v>
          </cell>
          <cell r="X178" t="str">
            <v>ООО "Саратовская ТЭЦ-1"</v>
          </cell>
        </row>
        <row r="179">
          <cell r="A179" t="str">
            <v>ОАО "Краснодарский приборный завод "Каскад"</v>
          </cell>
          <cell r="H179" t="str">
            <v>ООО "Энерголинк"</v>
          </cell>
          <cell r="X179" t="str">
            <v>ООО "Свод Интернешнл"</v>
          </cell>
        </row>
        <row r="180">
          <cell r="A180" t="str">
            <v>ОАО "Кристалл-2"</v>
          </cell>
          <cell r="H180" t="str">
            <v>ООО "ЭНЕРГОСБЫТХОЛДИНГ"</v>
          </cell>
          <cell r="X180" t="str">
            <v>ООО "ТЕАМ"</v>
          </cell>
        </row>
        <row r="181">
          <cell r="A181" t="str">
            <v>ОАО "Кропоткинское объединенное предприятие Стройиндустрии"</v>
          </cell>
          <cell r="H181" t="str">
            <v>Открытое акционерное общество "ГТ-ТЭЦ Энерго", г.Москва</v>
          </cell>
          <cell r="X181" t="str">
            <v>ООО "Теплоэнергодар"</v>
          </cell>
        </row>
        <row r="182">
          <cell r="A182" t="str">
            <v>ОАО "Кубаньэнерго"</v>
          </cell>
          <cell r="H182" t="str">
            <v>Открытое акционерное общество «Московское городское энергосбытовое предприятие»</v>
          </cell>
          <cell r="X182" t="str">
            <v>ООО "Хоста" Сочи</v>
          </cell>
        </row>
        <row r="183">
          <cell r="A183" t="str">
            <v>ОАО "Майкопнормаль"</v>
          </cell>
          <cell r="H183" t="str">
            <v>филиал "Южный" ОАО "Оборонэнергосбыт"</v>
          </cell>
          <cell r="X183" t="str">
            <v>ООО "Энерго-Сотекс"</v>
          </cell>
        </row>
        <row r="184">
          <cell r="A184" t="str">
            <v>ОАО "Международный аэропорт "Краснодар"</v>
          </cell>
          <cell r="H184" t="str">
            <v>Филиал ОАО "РЖД" Трансэнерго Юго-Восточная дирекция по энергообеспечению</v>
          </cell>
          <cell r="X184" t="str">
            <v>ООО ЛУКОЙЛ-Кубаньэнерго</v>
          </cell>
        </row>
        <row r="185">
          <cell r="A185" t="str">
            <v>ОАО "Нефтегазтехнология-Энергия"</v>
          </cell>
          <cell r="H185" t="str">
            <v>Южно-Уральская дирекция по энергообеспечению – структурное подразделение Трансэнерго – филиала ОАО «РЖД»</v>
          </cell>
          <cell r="X185" t="str">
            <v>Филиал "МЖК Краснодарский" ООО "МЭЗ Юг Руси"</v>
          </cell>
        </row>
        <row r="186">
          <cell r="A186" t="str">
            <v>ОАО "Новорослесэкспорт"</v>
          </cell>
          <cell r="X186" t="str">
            <v>Филиал КВЭП ЗАО "РАМО-М"</v>
          </cell>
        </row>
        <row r="187">
          <cell r="A187" t="str">
            <v>ОАО "Новороссийский морской торговый порт"</v>
          </cell>
          <cell r="X187" t="str">
            <v>филиал ОАО "ОГК-2" - Адлерская ТЭС</v>
          </cell>
        </row>
        <row r="188">
          <cell r="A188" t="str">
            <v>ОАО "НЭСК-электросети"</v>
          </cell>
          <cell r="X188" t="str">
            <v>Филиал ОАО "ОГК-3" "Джубгинская ТЭС"</v>
          </cell>
        </row>
        <row r="189">
          <cell r="A189" t="str">
            <v>ОАО "Прибой"</v>
          </cell>
          <cell r="X189" t="str">
            <v>филиала Сочинская ТЭС ОАО "ИНТЕР РАО ЕЭС"</v>
          </cell>
        </row>
        <row r="190">
          <cell r="A190" t="str">
            <v>ОАО "Российские Железные Дороги"</v>
          </cell>
        </row>
        <row r="191">
          <cell r="A191" t="str">
            <v>ОАО "Сатурн"</v>
          </cell>
        </row>
        <row r="192">
          <cell r="A192" t="str">
            <v>ОАО "Стройкомплект"</v>
          </cell>
        </row>
        <row r="193">
          <cell r="A193" t="str">
            <v>ОАО "Сургутнефтегаз" Оздоровительный трест " Сургут"</v>
          </cell>
        </row>
        <row r="194">
          <cell r="A194" t="str">
            <v>ОАО "Туапсинский морской торговый порт"</v>
          </cell>
        </row>
        <row r="195">
          <cell r="A195" t="str">
            <v>ОАО "ФСК ЕЭС"</v>
          </cell>
        </row>
        <row r="196">
          <cell r="A196" t="str">
            <v>ООО  МРСК  "Промэкспертиза"</v>
          </cell>
        </row>
        <row r="197">
          <cell r="A197" t="str">
            <v>ООО "Армавирский мясоперерабатывающий завод"</v>
          </cell>
        </row>
        <row r="198">
          <cell r="A198" t="str">
            <v>ООО "Афипский НПЗ"</v>
          </cell>
        </row>
        <row r="199">
          <cell r="A199" t="str">
            <v>ООО "Брис-Босфор"</v>
          </cell>
        </row>
        <row r="200">
          <cell r="A200" t="str">
            <v>ООО "Вегома"</v>
          </cell>
        </row>
        <row r="201">
          <cell r="A201" t="str">
            <v>ООО "ВТ-Ресурс"</v>
          </cell>
        </row>
        <row r="202">
          <cell r="A202" t="str">
            <v>ООО "Директория – Новый Морской Порт"</v>
          </cell>
        </row>
        <row r="203">
          <cell r="A203" t="str">
            <v>ООО "Дунай"</v>
          </cell>
        </row>
        <row r="204">
          <cell r="A204" t="str">
            <v>ООО "ИнвестСпецСтрой"</v>
          </cell>
        </row>
        <row r="205">
          <cell r="A205" t="str">
            <v>ООО "КВЭП"</v>
          </cell>
        </row>
        <row r="206">
          <cell r="A206" t="str">
            <v>ООО "Коммунальная энергосервисная компания"</v>
          </cell>
        </row>
        <row r="207">
          <cell r="A207" t="str">
            <v>ООО "Краснодар Водоканал"</v>
          </cell>
        </row>
        <row r="208">
          <cell r="A208" t="str">
            <v>ООО "Кропоткинский энергетический комплекс"</v>
          </cell>
        </row>
        <row r="209">
          <cell r="A209" t="str">
            <v>ООО "КС-Энерго"</v>
          </cell>
        </row>
        <row r="210">
          <cell r="A210" t="str">
            <v>ООО "Кубанские Фармацевтические склады"</v>
          </cell>
        </row>
        <row r="211">
          <cell r="A211" t="str">
            <v>ООО "Кубаньтрансэнерго"</v>
          </cell>
        </row>
        <row r="212">
          <cell r="A212" t="str">
            <v>ООО "ЛЭС"</v>
          </cell>
        </row>
        <row r="213">
          <cell r="A213" t="str">
            <v>ООО "МК-сеть"</v>
          </cell>
        </row>
        <row r="214">
          <cell r="A214" t="str">
            <v>ООО "НПК "Энергия"</v>
          </cell>
        </row>
        <row r="215">
          <cell r="A215" t="str">
            <v>ООО "НСК"</v>
          </cell>
        </row>
        <row r="216">
          <cell r="A216" t="str">
            <v>ООО "Первая строительная компания"</v>
          </cell>
        </row>
        <row r="217">
          <cell r="A217" t="str">
            <v>ООО "Промышленная компания "Крымский консервный комбинат"</v>
          </cell>
        </row>
        <row r="218">
          <cell r="A218" t="str">
            <v>ООО "ПХЦ-Алдан"</v>
          </cell>
        </row>
        <row r="219">
          <cell r="A219" t="str">
            <v>ООО "РН-Туапсинский НПЗ"</v>
          </cell>
        </row>
        <row r="220">
          <cell r="A220" t="str">
            <v>ООО "РОСТЭК"</v>
          </cell>
        </row>
        <row r="221">
          <cell r="A221" t="str">
            <v>ООО "Самаратранснефтьсервис"</v>
          </cell>
        </row>
        <row r="222">
          <cell r="A222" t="str">
            <v>ООО "Сервис-Плюс"</v>
          </cell>
        </row>
        <row r="223">
          <cell r="A223" t="str">
            <v>ООО "СК-Электро"</v>
          </cell>
        </row>
        <row r="224">
          <cell r="A224" t="str">
            <v>ООО "Славяне"</v>
          </cell>
        </row>
        <row r="225">
          <cell r="A225" t="str">
            <v>ООО "СоюзЭнергоСеть"</v>
          </cell>
        </row>
        <row r="226">
          <cell r="A226" t="str">
            <v>ООО "Тбилисские электрические сети"</v>
          </cell>
        </row>
        <row r="227">
          <cell r="A227" t="str">
            <v>ООО "Теплосервис-2000"</v>
          </cell>
        </row>
        <row r="228">
          <cell r="A228" t="str">
            <v>ООО "Транснефтьэнерго"</v>
          </cell>
        </row>
        <row r="229">
          <cell r="A229" t="str">
            <v>ООО "Универсал-Плюс-Сервис"</v>
          </cell>
        </row>
        <row r="230">
          <cell r="A230" t="str">
            <v>ООО "Фирма "Нефтестройиндустрия-Юг"</v>
          </cell>
        </row>
        <row r="231">
          <cell r="A231" t="str">
            <v>ООО "Фирма "СДМТ"</v>
          </cell>
        </row>
        <row r="232">
          <cell r="A232" t="str">
            <v>ООО "Электросбыт"</v>
          </cell>
        </row>
        <row r="233">
          <cell r="A233" t="str">
            <v>ООО "Электротранзит"</v>
          </cell>
        </row>
        <row r="234">
          <cell r="A234" t="str">
            <v>ООО "Энергоальянс"</v>
          </cell>
        </row>
        <row r="235">
          <cell r="A235" t="str">
            <v>ООО "ЭнергоСервис"</v>
          </cell>
        </row>
        <row r="236">
          <cell r="A236" t="str">
            <v>ООО "ЮгЭнергоРесурс"</v>
          </cell>
        </row>
        <row r="237">
          <cell r="A237" t="str">
            <v>ООО "Югэнергоэксперт"</v>
          </cell>
        </row>
        <row r="238">
          <cell r="A238" t="str">
            <v>ООО "Янтарь"</v>
          </cell>
        </row>
        <row r="239">
          <cell r="A239" t="str">
            <v>ООО «Кропоткинский Агрохим»</v>
          </cell>
        </row>
        <row r="240">
          <cell r="A240" t="str">
            <v>ООО ПФ "Поллет"</v>
          </cell>
        </row>
        <row r="241">
          <cell r="A241" t="str">
            <v>Открытое акционерное общество "ГТ-ТЭЦ Энерго", г.Москва</v>
          </cell>
        </row>
        <row r="242">
          <cell r="A242" t="str">
            <v>Северо-Кавказский филиал ООО "Газпром энерго"</v>
          </cell>
        </row>
        <row r="243">
          <cell r="A243" t="str">
            <v>ФГУ "Краснодарское водохранилище"</v>
          </cell>
        </row>
        <row r="244">
          <cell r="A244" t="str">
            <v>Филиал "Южный" открытого акционерного общества "28 Электрическая сеть"</v>
          </cell>
        </row>
        <row r="245">
          <cell r="A245" t="str">
            <v>Южно-Уральская дирекция по энергообеспечению – структурное подразделение Трансэнерго – филиала ОАО «РЖД»</v>
          </cell>
        </row>
      </sheetData>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расчет тарифов"/>
      <sheetName val="УФ-61"/>
      <sheetName val="Регионы"/>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35998"/>
      <sheetName val="44"/>
      <sheetName val="92"/>
      <sheetName val="94"/>
      <sheetName val="97"/>
      <sheetName val="Отчет"/>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sheetData>
      <sheetData sheetId="3"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5">
          <cell r="G35">
            <v>0</v>
          </cell>
          <cell r="H35">
            <v>0</v>
          </cell>
          <cell r="I35" t="str">
            <v>-</v>
          </cell>
          <cell r="J35">
            <v>0</v>
          </cell>
          <cell r="L35" t="str">
            <v>-</v>
          </cell>
          <cell r="M35">
            <v>0</v>
          </cell>
          <cell r="O35" t="str">
            <v>-</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J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Титульный"/>
      <sheetName val="Форма 3.1"/>
      <sheetName val="Субабоненты"/>
      <sheetName val="Комментарии"/>
      <sheetName val="Проверка"/>
      <sheetName val="AllSheetsInThisWorkbook"/>
      <sheetName val="REESTR_ORG"/>
      <sheetName val="REESTR_FILTERED"/>
      <sheetName val="REESTR_MO"/>
      <sheetName val="TEHSHEET"/>
      <sheetName val="modfrmReestr"/>
      <sheetName val="modCommandButton"/>
      <sheetName val="modReestr"/>
      <sheetName val="modProv"/>
      <sheetName val="modChange"/>
    </sheetNames>
    <sheetDataSet>
      <sheetData sheetId="0">
        <row r="3">
          <cell r="G3" t="str">
            <v>Версия 1.0</v>
          </cell>
        </row>
      </sheetData>
      <sheetData sheetId="1" refreshError="1"/>
      <sheetData sheetId="2">
        <row r="8">
          <cell r="F8" t="str">
            <v>Краснодарский край</v>
          </cell>
        </row>
        <row r="16">
          <cell r="F16" t="str">
            <v>230801001</v>
          </cell>
        </row>
      </sheetData>
      <sheetData sheetId="3"/>
      <sheetData sheetId="4">
        <row r="13">
          <cell r="G13">
            <v>617.79041572078461</v>
          </cell>
        </row>
      </sheetData>
      <sheetData sheetId="5" refreshError="1"/>
      <sheetData sheetId="6" refreshError="1"/>
      <sheetData sheetId="7" refreshError="1"/>
      <sheetData sheetId="8" refreshError="1"/>
      <sheetData sheetId="9" refreshError="1"/>
      <sheetData sheetId="10">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Анапа</v>
          </cell>
        </row>
        <row r="9">
          <cell r="D9" t="str">
            <v>Город Армавир</v>
          </cell>
        </row>
        <row r="10">
          <cell r="D10" t="str">
            <v>Город Горячий Ключ</v>
          </cell>
        </row>
        <row r="11">
          <cell r="D11" t="str">
            <v>Город Новороссийск</v>
          </cell>
        </row>
        <row r="12">
          <cell r="D12" t="str">
            <v>Город Сочи</v>
          </cell>
        </row>
        <row r="13">
          <cell r="D13" t="str">
            <v>Гулькевичский муниципальный район</v>
          </cell>
        </row>
        <row r="14">
          <cell r="D14" t="str">
            <v>Динской муниципальный район</v>
          </cell>
        </row>
        <row r="15">
          <cell r="D15" t="str">
            <v>Ейский муниципальный район</v>
          </cell>
        </row>
        <row r="16">
          <cell r="D16" t="str">
            <v>Кавказский муниципальный район</v>
          </cell>
        </row>
        <row r="17">
          <cell r="D17" t="str">
            <v>Калининский муниципальный район</v>
          </cell>
        </row>
        <row r="18">
          <cell r="D18" t="str">
            <v>Каневский муниципальный район</v>
          </cell>
        </row>
        <row r="19">
          <cell r="D19" t="str">
            <v>Кореновский муниципальный район</v>
          </cell>
        </row>
        <row r="20">
          <cell r="D20" t="str">
            <v>Красноармейский муниципальный район</v>
          </cell>
        </row>
        <row r="21">
          <cell r="D21" t="str">
            <v>Крыловский муниципальный район</v>
          </cell>
        </row>
        <row r="22">
          <cell r="D22" t="str">
            <v>Крымский муниципальный район</v>
          </cell>
        </row>
        <row r="23">
          <cell r="D23" t="str">
            <v>Курганинский муниципальный район</v>
          </cell>
        </row>
        <row r="24">
          <cell r="D24" t="str">
            <v>Кущевский муниципальный район</v>
          </cell>
        </row>
        <row r="25">
          <cell r="D25" t="str">
            <v>Лабинский муниципальный район</v>
          </cell>
        </row>
        <row r="26">
          <cell r="D26" t="str">
            <v>Ленинградский муниципальный район</v>
          </cell>
        </row>
        <row r="27">
          <cell r="D27" t="str">
            <v>Мостовский муниципальный район</v>
          </cell>
        </row>
        <row r="28">
          <cell r="D28" t="str">
            <v>Новокубанский муниципальный район</v>
          </cell>
        </row>
        <row r="29">
          <cell r="D29" t="str">
            <v>Новопокровский муниципальный район</v>
          </cell>
        </row>
        <row r="30">
          <cell r="D30" t="str">
            <v>Отрадненский муниципальный район</v>
          </cell>
        </row>
        <row r="31">
          <cell r="D31" t="str">
            <v>Павловский муниципальный район</v>
          </cell>
        </row>
        <row r="32">
          <cell r="D32" t="str">
            <v>Приморско-Ахтарский муниципальный район</v>
          </cell>
        </row>
        <row r="33">
          <cell r="D33" t="str">
            <v>Северский муниципальный район</v>
          </cell>
        </row>
        <row r="34">
          <cell r="D34" t="str">
            <v>Славянский муниципальный район</v>
          </cell>
        </row>
        <row r="35">
          <cell r="D35" t="str">
            <v>Староминский муниципальный район</v>
          </cell>
        </row>
        <row r="36">
          <cell r="D36" t="str">
            <v>Тбилисский муниципальный район</v>
          </cell>
        </row>
        <row r="37">
          <cell r="D37" t="str">
            <v>Темрюкский муниципальный район</v>
          </cell>
        </row>
        <row r="38">
          <cell r="D38" t="str">
            <v>Тимашевский муниципальный район</v>
          </cell>
        </row>
        <row r="39">
          <cell r="D39" t="str">
            <v>Тихорецкий муниципальный район</v>
          </cell>
        </row>
        <row r="40">
          <cell r="D40" t="str">
            <v>Туапсинский муниципальный район</v>
          </cell>
        </row>
        <row r="41">
          <cell r="D41" t="str">
            <v>Успенский муниципальный район</v>
          </cell>
        </row>
        <row r="42">
          <cell r="D42" t="str">
            <v>Усть-Лабинский муниципальный район</v>
          </cell>
        </row>
        <row r="43">
          <cell r="D43" t="str">
            <v>Щербиновский муниципальный район</v>
          </cell>
        </row>
        <row r="44">
          <cell r="D44" t="str">
            <v>город Геленджик</v>
          </cell>
        </row>
        <row r="45">
          <cell r="D45" t="str">
            <v>город Краснодар</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ЭСО"/>
      <sheetName val="сбыт"/>
      <sheetName val="Ген. не уч. ОРЭМ"/>
      <sheetName val="Свод"/>
      <sheetName val="Вводные данные систем"/>
      <sheetName val="1.6"/>
      <sheetName val="drivers"/>
      <sheetName val="УрРас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s>
    <sheetDataSet>
      <sheetData sheetId="0">
        <row r="10">
          <cell r="D10" t="str">
            <v>Действующая ИПР</v>
          </cell>
        </row>
      </sheetData>
      <sheetData sheetId="1"/>
      <sheetData sheetId="2"/>
      <sheetData sheetId="3"/>
      <sheetData sheetId="4" refreshError="1">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row r="21">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row>
        <row r="29">
          <cell r="B29" t="str">
            <v>БП №2</v>
          </cell>
        </row>
        <row r="30">
          <cell r="B30" t="str">
            <v>БП №3</v>
          </cell>
        </row>
        <row r="31">
          <cell r="B31" t="str">
            <v>БП №4</v>
          </cell>
        </row>
        <row r="32">
          <cell r="B32" t="str">
            <v>БП №5</v>
          </cell>
        </row>
        <row r="33">
          <cell r="B33" t="str">
            <v>БП №6</v>
          </cell>
        </row>
        <row r="34">
          <cell r="B34" t="str">
            <v>БП №7</v>
          </cell>
        </row>
        <row r="35">
          <cell r="B35" t="str">
            <v>БП №8</v>
          </cell>
        </row>
        <row r="36">
          <cell r="B36" t="str">
            <v>БП №9</v>
          </cell>
        </row>
        <row r="37">
          <cell r="B37" t="str">
            <v>БП №10</v>
          </cell>
        </row>
        <row r="39">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10">
          <cell r="B10" t="str">
            <v>БП №1</v>
          </cell>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9">
          <cell r="G29">
            <v>9.61</v>
          </cell>
          <cell r="H29">
            <v>8</v>
          </cell>
          <cell r="I29">
            <v>10</v>
          </cell>
          <cell r="J29">
            <v>10.000999999999999</v>
          </cell>
          <cell r="K29">
            <v>10.101311439854733</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J12">
            <v>18903</v>
          </cell>
        </row>
        <row r="13">
          <cell r="F13">
            <v>11964</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9">
          <cell r="F19">
            <v>13902</v>
          </cell>
          <cell r="G19">
            <v>17411</v>
          </cell>
          <cell r="H19">
            <v>18800</v>
          </cell>
          <cell r="I19">
            <v>21403</v>
          </cell>
          <cell r="J19">
            <v>21987</v>
          </cell>
        </row>
        <row r="22">
          <cell r="F22">
            <v>0</v>
          </cell>
          <cell r="G22">
            <v>0</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sheetData sheetId="14" refreshError="1">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sheetData sheetId="16"/>
      <sheetData sheetId="17" refreshError="1">
        <row r="4">
          <cell r="K4" t="str">
            <v>БП №1</v>
          </cell>
          <cell r="Q4" t="str">
            <v>БП №2</v>
          </cell>
          <cell r="W4" t="str">
            <v>БП №3</v>
          </cell>
          <cell r="AC4" t="str">
            <v>БП №4</v>
          </cell>
        </row>
        <row r="13">
          <cell r="E13">
            <v>547.77</v>
          </cell>
        </row>
      </sheetData>
      <sheetData sheetId="18">
        <row r="11">
          <cell r="F11">
            <v>230</v>
          </cell>
        </row>
      </sheetData>
      <sheetData sheetId="19"/>
      <sheetData sheetId="20" refreshError="1">
        <row r="24">
          <cell r="K24">
            <v>1538</v>
          </cell>
        </row>
        <row r="25">
          <cell r="K25">
            <v>274</v>
          </cell>
        </row>
        <row r="26">
          <cell r="K26">
            <v>278</v>
          </cell>
        </row>
        <row r="27">
          <cell r="H27">
            <v>78.694000000000003</v>
          </cell>
          <cell r="K27">
            <v>784</v>
          </cell>
        </row>
        <row r="28">
          <cell r="K28">
            <v>202</v>
          </cell>
        </row>
      </sheetData>
      <sheetData sheetId="21" refreshError="1">
        <row r="15">
          <cell r="F15">
            <v>160.33249999999998</v>
          </cell>
          <cell r="H15">
            <v>0.65700000000000003</v>
          </cell>
        </row>
        <row r="27">
          <cell r="F27">
            <v>160.33249999999998</v>
          </cell>
          <cell r="H27">
            <v>78.694000000000003</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sheetData sheetId="31"/>
      <sheetData sheetId="32">
        <row r="10">
          <cell r="D10" t="str">
            <v>Действующая ИПР</v>
          </cell>
        </row>
      </sheetData>
      <sheetData sheetId="33"/>
      <sheetData sheetId="34"/>
      <sheetData sheetId="35">
        <row r="10">
          <cell r="D10" t="str">
            <v>Действующая ИПР</v>
          </cell>
        </row>
      </sheetData>
      <sheetData sheetId="36"/>
      <sheetData sheetId="37"/>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3"/>
      <sheetName val="4"/>
      <sheetName val="5"/>
      <sheetName val="15_РСК"/>
      <sheetName val="15_проч"/>
      <sheetName val="16_2006"/>
      <sheetName val="16_2007"/>
      <sheetName val="16_ 2008"/>
      <sheetName val="16_МП"/>
      <sheetName val="20"/>
      <sheetName val="21_Прибыль"/>
      <sheetName val="P2.1"/>
      <sheetName val="P2.2"/>
      <sheetName val="НВВ_по_ур"/>
      <sheetName val="24"/>
      <sheetName val="25"/>
      <sheetName val="НВВ РСК_2008"/>
      <sheetName val="ФСК_потери"/>
      <sheetName val="Проверка"/>
    </sheetNames>
    <sheetDataSet>
      <sheetData sheetId="0"/>
      <sheetData sheetId="1"/>
      <sheetData sheetId="2">
        <row r="11">
          <cell r="L11">
            <v>7148.9750000000004</v>
          </cell>
          <cell r="Q11">
            <v>9623.5</v>
          </cell>
          <cell r="V11">
            <v>9623.5</v>
          </cell>
          <cell r="AA11">
            <v>7513.94</v>
          </cell>
        </row>
        <row r="12">
          <cell r="H12">
            <v>7621.9</v>
          </cell>
          <cell r="M12">
            <v>4779.7299999999996</v>
          </cell>
          <cell r="N12">
            <v>1839.43</v>
          </cell>
          <cell r="R12">
            <v>5922.4</v>
          </cell>
          <cell r="S12">
            <v>1554.1</v>
          </cell>
          <cell r="W12">
            <v>5891.25</v>
          </cell>
          <cell r="X12">
            <v>1554.1</v>
          </cell>
          <cell r="AB12">
            <v>4564.6499999999996</v>
          </cell>
          <cell r="AC12">
            <v>1894.9</v>
          </cell>
        </row>
        <row r="13">
          <cell r="I13">
            <v>5824.2</v>
          </cell>
          <cell r="N13">
            <v>3582.56</v>
          </cell>
          <cell r="S13">
            <v>4165.2</v>
          </cell>
          <cell r="X13">
            <v>4134.01</v>
          </cell>
          <cell r="AC13">
            <v>3720.56</v>
          </cell>
        </row>
        <row r="14">
          <cell r="J14">
            <v>3627.1</v>
          </cell>
          <cell r="O14">
            <v>3615.48</v>
          </cell>
          <cell r="T14">
            <v>3415.9</v>
          </cell>
          <cell r="Y14">
            <v>3383.36</v>
          </cell>
          <cell r="AD14">
            <v>3669.68</v>
          </cell>
        </row>
        <row r="15">
          <cell r="L15">
            <v>2391.8380000000002</v>
          </cell>
          <cell r="M15">
            <v>117.02</v>
          </cell>
          <cell r="N15">
            <v>96.91</v>
          </cell>
          <cell r="Q15">
            <v>2257.3000000000002</v>
          </cell>
          <cell r="R15">
            <v>48.4</v>
          </cell>
          <cell r="V15">
            <v>2257.3000000000002</v>
          </cell>
          <cell r="W15">
            <v>48.4</v>
          </cell>
          <cell r="AA15">
            <v>2507.54</v>
          </cell>
          <cell r="AB15">
            <v>122.05</v>
          </cell>
          <cell r="AC15">
            <v>102.23</v>
          </cell>
        </row>
        <row r="16">
          <cell r="G16">
            <v>14995.2</v>
          </cell>
          <cell r="H16">
            <v>34.6</v>
          </cell>
          <cell r="L16">
            <v>5023.6679999999997</v>
          </cell>
          <cell r="M16">
            <v>727.23</v>
          </cell>
          <cell r="N16">
            <v>462.98</v>
          </cell>
          <cell r="Q16">
            <v>3759.8</v>
          </cell>
          <cell r="V16">
            <v>3759.8</v>
          </cell>
          <cell r="AA16">
            <v>5266.67</v>
          </cell>
          <cell r="AB16">
            <v>762.40899999999999</v>
          </cell>
          <cell r="AC16">
            <v>485.35899999999998</v>
          </cell>
        </row>
        <row r="17">
          <cell r="H17">
            <v>127</v>
          </cell>
          <cell r="L17">
            <v>11.3</v>
          </cell>
          <cell r="M17">
            <v>98.76</v>
          </cell>
          <cell r="N17">
            <v>0</v>
          </cell>
          <cell r="Q17">
            <v>10.6</v>
          </cell>
          <cell r="R17">
            <v>140.9</v>
          </cell>
          <cell r="V17">
            <v>10.6</v>
          </cell>
          <cell r="W17">
            <v>140.9</v>
          </cell>
          <cell r="AA17">
            <v>15</v>
          </cell>
          <cell r="AB17">
            <v>430.33</v>
          </cell>
        </row>
        <row r="20">
          <cell r="J20">
            <v>34.1</v>
          </cell>
          <cell r="L20">
            <v>29.072410999999999</v>
          </cell>
          <cell r="N20">
            <v>1.2593939999999999</v>
          </cell>
          <cell r="O20">
            <v>0.168353</v>
          </cell>
          <cell r="T20">
            <v>32.700000000000003</v>
          </cell>
          <cell r="V20">
            <v>31.12</v>
          </cell>
          <cell r="X20">
            <v>1.3480000000000001</v>
          </cell>
          <cell r="Y20">
            <v>0.18</v>
          </cell>
          <cell r="AA20">
            <v>32.695</v>
          </cell>
          <cell r="AC20">
            <v>1.4159999999999999</v>
          </cell>
          <cell r="AD20">
            <v>0.189</v>
          </cell>
        </row>
        <row r="22">
          <cell r="G22">
            <v>6263.64</v>
          </cell>
          <cell r="H22">
            <v>1695.6510000000001</v>
          </cell>
          <cell r="I22">
            <v>1697.7349999999999</v>
          </cell>
          <cell r="J22">
            <v>3054.4879999999998</v>
          </cell>
          <cell r="L22">
            <v>7356.53</v>
          </cell>
          <cell r="M22">
            <v>1870.788</v>
          </cell>
          <cell r="N22">
            <v>1831.9469999999999</v>
          </cell>
          <cell r="O22">
            <v>2895.28</v>
          </cell>
          <cell r="Q22">
            <v>5897.2</v>
          </cell>
          <cell r="R22">
            <v>1692.1</v>
          </cell>
          <cell r="S22">
            <v>1848.7</v>
          </cell>
          <cell r="T22">
            <v>2681.4</v>
          </cell>
          <cell r="V22">
            <v>5881.7</v>
          </cell>
          <cell r="W22">
            <v>1624.3</v>
          </cell>
          <cell r="X22">
            <v>1766.1</v>
          </cell>
          <cell r="Y22">
            <v>2662.5</v>
          </cell>
          <cell r="AA22">
            <v>8215.2000000000007</v>
          </cell>
          <cell r="AB22">
            <v>1906.89</v>
          </cell>
          <cell r="AC22">
            <v>2010.25</v>
          </cell>
          <cell r="AD22">
            <v>2889.92</v>
          </cell>
        </row>
        <row r="24">
          <cell r="G24">
            <v>142.6</v>
          </cell>
          <cell r="L24">
            <v>153.32</v>
          </cell>
          <cell r="Q24">
            <v>10.5</v>
          </cell>
          <cell r="V24">
            <v>10.5</v>
          </cell>
        </row>
        <row r="25">
          <cell r="G25">
            <v>303.3</v>
          </cell>
          <cell r="L25">
            <v>207.31</v>
          </cell>
        </row>
        <row r="26">
          <cell r="Q26">
            <v>1699.2</v>
          </cell>
          <cell r="R26">
            <v>77.2</v>
          </cell>
          <cell r="S26">
            <v>16.5</v>
          </cell>
          <cell r="V26">
            <v>1699.2</v>
          </cell>
          <cell r="W26">
            <v>77.2</v>
          </cell>
          <cell r="X26">
            <v>16.5</v>
          </cell>
        </row>
        <row r="27">
          <cell r="G27">
            <v>544.4</v>
          </cell>
          <cell r="H27">
            <v>52.4</v>
          </cell>
          <cell r="I27">
            <v>6.8</v>
          </cell>
          <cell r="Q27">
            <v>10.6</v>
          </cell>
          <cell r="V27">
            <v>10.6</v>
          </cell>
        </row>
      </sheetData>
      <sheetData sheetId="3"/>
      <sheetData sheetId="4"/>
      <sheetData sheetId="5"/>
      <sheetData sheetId="6"/>
      <sheetData sheetId="7"/>
      <sheetData sheetId="8"/>
      <sheetData sheetId="9"/>
      <sheetData sheetId="10">
        <row r="9">
          <cell r="E9">
            <v>818496</v>
          </cell>
          <cell r="F9">
            <v>860237</v>
          </cell>
          <cell r="G9">
            <v>998299.99</v>
          </cell>
          <cell r="H9">
            <v>998299.99</v>
          </cell>
          <cell r="I9">
            <v>2160913.7999999998</v>
          </cell>
        </row>
        <row r="13">
          <cell r="E13">
            <v>480924.4</v>
          </cell>
          <cell r="F13">
            <v>456825</v>
          </cell>
          <cell r="G13">
            <v>482588.49</v>
          </cell>
          <cell r="H13">
            <v>482588.49</v>
          </cell>
          <cell r="I13">
            <v>1006100</v>
          </cell>
        </row>
        <row r="20">
          <cell r="F20">
            <v>119906</v>
          </cell>
          <cell r="I20">
            <v>1000000</v>
          </cell>
        </row>
      </sheetData>
      <sheetData sheetId="11"/>
      <sheetData sheetId="12">
        <row r="7">
          <cell r="F7">
            <v>800</v>
          </cell>
        </row>
        <row r="8">
          <cell r="F8">
            <v>600</v>
          </cell>
        </row>
        <row r="9">
          <cell r="F9">
            <v>400</v>
          </cell>
        </row>
        <row r="10">
          <cell r="F10">
            <v>300</v>
          </cell>
        </row>
        <row r="11">
          <cell r="F11">
            <v>230</v>
          </cell>
        </row>
        <row r="12">
          <cell r="F12">
            <v>170</v>
          </cell>
        </row>
        <row r="13">
          <cell r="F13">
            <v>290</v>
          </cell>
        </row>
        <row r="14">
          <cell r="F14">
            <v>210</v>
          </cell>
        </row>
        <row r="15">
          <cell r="F15">
            <v>260</v>
          </cell>
        </row>
        <row r="16">
          <cell r="F16">
            <v>210</v>
          </cell>
          <cell r="G16">
            <v>2.9</v>
          </cell>
        </row>
        <row r="17">
          <cell r="F17">
            <v>140</v>
          </cell>
          <cell r="G17">
            <v>68</v>
          </cell>
        </row>
        <row r="18">
          <cell r="F18">
            <v>270</v>
          </cell>
          <cell r="G18">
            <v>5.2</v>
          </cell>
        </row>
        <row r="19">
          <cell r="F19">
            <v>180</v>
          </cell>
          <cell r="G19">
            <v>0</v>
          </cell>
        </row>
        <row r="20">
          <cell r="F20">
            <v>180</v>
          </cell>
          <cell r="G20">
            <v>0</v>
          </cell>
        </row>
        <row r="21">
          <cell r="F21">
            <v>160</v>
          </cell>
          <cell r="G21">
            <v>700.76200000000006</v>
          </cell>
        </row>
        <row r="22">
          <cell r="F22">
            <v>130</v>
          </cell>
          <cell r="G22">
            <v>2679.4429999999998</v>
          </cell>
        </row>
        <row r="23">
          <cell r="F23">
            <v>190</v>
          </cell>
          <cell r="G23">
            <v>567.24249999999995</v>
          </cell>
        </row>
        <row r="24">
          <cell r="F24">
            <v>160</v>
          </cell>
          <cell r="G24">
            <v>744.45</v>
          </cell>
        </row>
        <row r="25">
          <cell r="F25">
            <v>3000</v>
          </cell>
        </row>
        <row r="26">
          <cell r="F26">
            <v>2300</v>
          </cell>
        </row>
        <row r="28">
          <cell r="F28">
            <v>170</v>
          </cell>
        </row>
        <row r="29">
          <cell r="F29">
            <v>140</v>
          </cell>
          <cell r="G29">
            <v>111.82399999999998</v>
          </cell>
        </row>
        <row r="30">
          <cell r="F30">
            <v>120</v>
          </cell>
          <cell r="G30">
            <v>5976.84</v>
          </cell>
        </row>
        <row r="31">
          <cell r="F31">
            <v>180</v>
          </cell>
          <cell r="G31">
            <v>58.953000000000003</v>
          </cell>
        </row>
        <row r="32">
          <cell r="F32">
            <v>150</v>
          </cell>
          <cell r="G32">
            <v>771.71950000000004</v>
          </cell>
        </row>
        <row r="33">
          <cell r="F33">
            <v>160</v>
          </cell>
          <cell r="G33">
            <v>38.130000000000003</v>
          </cell>
        </row>
        <row r="34">
          <cell r="F34">
            <v>140</v>
          </cell>
          <cell r="G34">
            <v>339.02</v>
          </cell>
        </row>
        <row r="35">
          <cell r="F35">
            <v>110</v>
          </cell>
          <cell r="G35">
            <v>32316.45</v>
          </cell>
        </row>
        <row r="36">
          <cell r="F36">
            <v>470</v>
          </cell>
          <cell r="G36">
            <v>0</v>
          </cell>
        </row>
        <row r="37">
          <cell r="F37">
            <v>350</v>
          </cell>
          <cell r="G37">
            <v>1086.231</v>
          </cell>
        </row>
        <row r="40">
          <cell r="F40">
            <v>260</v>
          </cell>
          <cell r="G40">
            <v>719.78200000000004</v>
          </cell>
        </row>
        <row r="41">
          <cell r="F41">
            <v>220</v>
          </cell>
          <cell r="G41">
            <v>2783.2740000000003</v>
          </cell>
        </row>
        <row r="42">
          <cell r="F42">
            <v>150</v>
          </cell>
          <cell r="G42">
            <v>37611.33</v>
          </cell>
        </row>
        <row r="43">
          <cell r="F43">
            <v>270</v>
          </cell>
          <cell r="G43">
            <v>460.7</v>
          </cell>
        </row>
      </sheetData>
      <sheetData sheetId="13"/>
      <sheetData sheetId="14"/>
      <sheetData sheetId="15"/>
      <sheetData sheetId="16"/>
      <sheetData sheetId="17"/>
      <sheetData sheetId="18"/>
      <sheetData sheetId="1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21.3"/>
      <sheetName val="P2.2"/>
      <sheetName val="Справочники"/>
      <sheetName val="2006"/>
      <sheetName val="P2.1 усл. единицы"/>
      <sheetName val="Расчет НВВ РСК по RAB"/>
      <sheetName val="База"/>
      <sheetName val="Лист2"/>
      <sheetName val="Контроль"/>
      <sheetName val="к2"/>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refreshError="1"/>
      <sheetData sheetId="4" refreshError="1"/>
      <sheetData sheetId="5">
        <row r="2">
          <cell r="C2">
            <v>2008</v>
          </cell>
        </row>
      </sheetData>
      <sheetData sheetId="6">
        <row r="179">
          <cell r="H179" t="str">
            <v>ЗАО "МАРЭМ+"</v>
          </cell>
        </row>
      </sheetData>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s>
    <sheetDataSet>
      <sheetData sheetId="0" refreshError="1"/>
      <sheetData sheetId="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efreshError="1">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Заголовок"/>
      <sheetName val="Регионы"/>
      <sheetName val="FORM 1.1"/>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modProv"/>
      <sheetName val="et_union_hor"/>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s>
    <sheetDataSet>
      <sheetData sheetId="0">
        <row r="3">
          <cell r="B3" t="str">
            <v>Версия 1.0.1</v>
          </cell>
        </row>
      </sheetData>
      <sheetData sheetId="1" refreshError="1"/>
      <sheetData sheetId="2">
        <row r="7">
          <cell r="F7" t="str">
            <v>Краснодарский край</v>
          </cell>
        </row>
      </sheetData>
      <sheetData sheetId="3" refreshError="1"/>
      <sheetData sheetId="4" refreshError="1"/>
      <sheetData sheetId="5" refreshError="1"/>
      <sheetData sheetId="6">
        <row r="13">
          <cell r="H13">
            <v>765.84900000000005</v>
          </cell>
        </row>
      </sheetData>
      <sheetData sheetId="7" refreshError="1"/>
      <sheetData sheetId="8" refreshError="1"/>
      <sheetData sheetId="9" refreshError="1"/>
      <sheetData sheetId="10">
        <row r="2">
          <cell r="B2" t="str">
            <v>2008</v>
          </cell>
        </row>
        <row r="3">
          <cell r="B3" t="str">
            <v>2009</v>
          </cell>
        </row>
        <row r="4">
          <cell r="B4" t="str">
            <v>2010</v>
          </cell>
        </row>
        <row r="5">
          <cell r="B5" t="str">
            <v>2011</v>
          </cell>
        </row>
        <row r="6">
          <cell r="B6" t="str">
            <v>2012</v>
          </cell>
        </row>
        <row r="7">
          <cell r="B7" t="str">
            <v>2013</v>
          </cell>
        </row>
        <row r="8">
          <cell r="B8" t="str">
            <v>2014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Объекты"/>
      <sheetName val="план"/>
      <sheetName val="Россия-экспорт"/>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P2.1"/>
      <sheetName val="Рейтинг"/>
      <sheetName val="ИТ-бюджет"/>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роизводство"/>
      <sheetName val="План Газпрома"/>
      <sheetName val="См.1"/>
      <sheetName val="4НКУ"/>
      <sheetName val="15.э"/>
      <sheetName val="5"/>
      <sheetName val="6"/>
      <sheetName val="мар 2001"/>
      <sheetName val="Приложение 1"/>
      <sheetName val="Приложение 2"/>
      <sheetName val="Приложение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SHPZ"/>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даты"/>
      <sheetName val="Аморт_осн"/>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5.э"/>
      <sheetName val="Детализация"/>
      <sheetName val="Справочник затрат_СБ"/>
      <sheetName val="Заголовок"/>
      <sheetName val="Прил_9"/>
      <sheetName val="SHPZ"/>
      <sheetName val="1.411.1"/>
      <sheetName val="ИПР ф.24"/>
      <sheetName val="ИП09"/>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s>
    <sheetDataSet>
      <sheetData sheetId="0" refreshError="1">
        <row r="360">
          <cell r="A360" t="str">
            <v>ИТОГО по электростанциям:</v>
          </cell>
          <cell r="B360" t="str">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s>
    <sheetDataSet>
      <sheetData sheetId="0" refreshError="1"/>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6"/>
      <sheetName val="Макро"/>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УЗ-22(2002)"/>
      <sheetName val="УЗ-21(1кв.) (2)"/>
      <sheetName val="УЗ-21(2002)"/>
      <sheetName val="УЗ-22(3кв.) (2)"/>
      <sheetName val="Калькуляция кв"/>
      <sheetName val="Balance Sheet"/>
      <sheetName val="Константы"/>
      <sheetName val="инвестиции 2007"/>
      <sheetName val="1997"/>
      <sheetName val="1998"/>
      <sheetName val="хар-ка земли 1 "/>
      <sheetName val="Коррект"/>
      <sheetName val="9-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Приложение 1"/>
      <sheetName val="1.11"/>
      <sheetName val="Table"/>
      <sheetName val="Справочник"/>
      <sheetName val="Ожид ФР"/>
      <sheetName val="FEK 2002.Н"/>
      <sheetName val="2007"/>
      <sheetName val="СписочнаяЧисленность"/>
      <sheetName val="Temp_TOV"/>
      <sheetName val="ф.2 за 4 кв.2005"/>
      <sheetName val="БФ-2-8-П"/>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Титульный лист С-П"/>
      <sheetName val="2002(v1)"/>
      <sheetName val="ФИНПЛАН"/>
      <sheetName val="13"/>
      <sheetName val="обслуживание"/>
      <sheetName val="SHPZ"/>
      <sheetName val=" накладные расходы"/>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ETС"/>
      <sheetName val="Исходные данные и тариф ЭЛЕКТР"/>
      <sheetName val="Детализация"/>
      <sheetName val="Справочник затрат_СБ"/>
      <sheetName val="Лизинг"/>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мощность"/>
      <sheetName val="Исходные"/>
      <sheetName val="Лист13"/>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Настройки"/>
      <sheetName val="Справочники"/>
      <sheetName val="Заголовок"/>
      <sheetName val="эл ст"/>
      <sheetName val="ИТ-бюджет"/>
      <sheetName val="База по сделкам"/>
      <sheetName val="ИТОГИ  по Н,Р,Э,Q"/>
      <sheetName val="2002(v1)"/>
      <sheetName val="1.11"/>
      <sheetName val="FST5"/>
      <sheetName val="Исходные"/>
      <sheetName val="табл_мет_1"/>
      <sheetName val="1997"/>
      <sheetName val="1998"/>
      <sheetName val="Исходник"/>
      <sheetName val="штат"/>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row r="5">
          <cell r="H5">
            <v>0.24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2007"/>
      <sheetName val="ЯНВ"/>
      <sheetName val="ФЕВ"/>
      <sheetName val="МАР"/>
      <sheetName val="АПР"/>
      <sheetName val="МАЙ"/>
      <sheetName val="ИЮН"/>
      <sheetName val="ИЮЛ"/>
      <sheetName val="АВГ"/>
      <sheetName val="СЕН"/>
      <sheetName val="ОКТ"/>
      <sheetName val="НОЯ"/>
      <sheetName val="ДЕК"/>
      <sheetName val="Регионы"/>
    </sheetNames>
    <sheetDataSet>
      <sheetData sheetId="0" refreshError="1"/>
      <sheetData sheetId="1">
        <row r="28">
          <cell r="A28" t="str">
            <v>ТЭЦ-1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Регионы"/>
      <sheetName val="НВВ утв тариф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ИТ-бюджет"/>
      <sheetName val="Регионы"/>
      <sheetName val="pred"/>
      <sheetName val="Исходные"/>
      <sheetName val="РАСЧЕТ"/>
      <sheetName val="АНАЛИ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Исходные данные (баланс)"/>
      <sheetName val="Содерж.сетей+потери"/>
      <sheetName val="Потери"/>
      <sheetName val="НВВ  "/>
      <sheetName val="Расходы_и_тариф_RAB"/>
      <sheetName val="Финпроекция_RAB"/>
      <sheetName val="RAB_критерии_индексация_2012"/>
      <sheetName val="Показатели_RAB"/>
      <sheetName val="1.1._к_порядку"/>
      <sheetName val="2.1. _к_порядку"/>
      <sheetName val="3_к_порядку"/>
      <sheetName val="4._к_порядку"/>
      <sheetName val="6._к_порядку"/>
    </sheetNames>
    <sheetDataSet>
      <sheetData sheetId="0">
        <row r="8">
          <cell r="K8">
            <v>1</v>
          </cell>
        </row>
      </sheetData>
      <sheetData sheetId="1">
        <row r="16">
          <cell r="B16">
            <v>4963.2299999999996</v>
          </cell>
        </row>
      </sheetData>
      <sheetData sheetId="2"/>
      <sheetData sheetId="3">
        <row r="21">
          <cell r="D21">
            <v>6869111.3716799999</v>
          </cell>
        </row>
      </sheetData>
      <sheetData sheetId="4">
        <row r="25">
          <cell r="D25" t="e">
            <v>#DIV/0!</v>
          </cell>
        </row>
      </sheetData>
      <sheetData sheetId="5"/>
      <sheetData sheetId="6"/>
      <sheetData sheetId="7"/>
      <sheetData sheetId="8"/>
      <sheetData sheetId="9"/>
      <sheetData sheetId="10"/>
      <sheetData sheetId="11"/>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план 2000"/>
      <sheetName val="расчет тарифов"/>
      <sheetName val="Исходные"/>
      <sheetName val="Расчет расходов"/>
      <sheetName val="ИТ-бюджет"/>
      <sheetName val="Пояснение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10">
          <cell r="D10">
            <v>2963716.16</v>
          </cell>
        </row>
      </sheetData>
      <sheetData sheetId="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нд. тарифы"/>
      <sheetName val="1.2, Балансовые показатели"/>
      <sheetName val="1.1.доходы по единым котловым"/>
      <sheetName val="2. долгоср.параметры"/>
      <sheetName val="3. П.1.1.2 баланс мощности"/>
      <sheetName val="П1.3 тех.расход потерь"/>
      <sheetName val="П1.4 баланс электроэнергии"/>
      <sheetName val="П1.5 мощность"/>
      <sheetName val="П1.6 полезный отпуск"/>
      <sheetName val="П1.30 отпсук эл_эн"/>
      <sheetName val="максим мощность"/>
      <sheetName val="максим мощность без Кр. пол."/>
      <sheetName val="4. Выпадающие 2012_2014"/>
      <sheetName val="доп_аналитика НВВ"/>
      <sheetName val="5. подк.неподк."/>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УЕ ВЛ, КЛ 2015_2019"/>
      <sheetName val="6. УЕ ВЛ,КЛ на 2016-1 вар"/>
      <sheetName val="УЕ ТП,КТП 2015_2019"/>
      <sheetName val="6. 1 УЕ ТП,КТП на 2016-1 вар"/>
      <sheetName val="5.1 отклонения"/>
      <sheetName val="6. расчет УЕ"/>
      <sheetName val="форма 1.3"/>
      <sheetName val="форма 1.6"/>
      <sheetName val="потери 2013"/>
      <sheetName val="потери 2014"/>
      <sheetName val="5.1. отклонения"/>
      <sheetName val="выпадающие по ИП 2012"/>
      <sheetName val="выпадающие по ИП 2013"/>
      <sheetName val="выпадающие по ИП 2014"/>
      <sheetName val="Лист3"/>
    </sheetNames>
    <sheetDataSet>
      <sheetData sheetId="0">
        <row r="91">
          <cell r="T91">
            <v>4460.0326499999992</v>
          </cell>
        </row>
        <row r="94">
          <cell r="T94">
            <v>1271.1401349999999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2">
          <cell r="Z92">
            <v>368373.10943581146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07">
          <cell r="H107">
            <v>98245.424199999994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row r="19">
          <cell r="V19">
            <v>348.81882822116933</v>
          </cell>
          <cell r="W19">
            <v>364.5156754911219</v>
          </cell>
          <cell r="X19">
            <v>969.85746178841623</v>
          </cell>
        </row>
        <row r="20">
          <cell r="V20">
            <v>388.39244749999989</v>
          </cell>
          <cell r="W20">
            <v>405.87010763749987</v>
          </cell>
          <cell r="X20">
            <v>1945.5006796043717</v>
          </cell>
        </row>
        <row r="21">
          <cell r="V21">
            <v>12141.517237820053</v>
          </cell>
          <cell r="W21">
            <v>12687.885513521955</v>
          </cell>
          <cell r="X21">
            <v>19441.68</v>
          </cell>
        </row>
        <row r="23">
          <cell r="V23">
            <v>2045.6766499999999</v>
          </cell>
          <cell r="W23">
            <v>2137.7320992499999</v>
          </cell>
          <cell r="X23">
            <v>2858.98</v>
          </cell>
        </row>
        <row r="24">
          <cell r="V24">
            <v>259.14756249999999</v>
          </cell>
          <cell r="W24">
            <v>270.80920281249996</v>
          </cell>
          <cell r="X24">
            <v>357.37099999999998</v>
          </cell>
        </row>
        <row r="25">
          <cell r="V25">
            <v>1821.5054602999996</v>
          </cell>
          <cell r="W25">
            <v>1903.4732060134995</v>
          </cell>
          <cell r="X25">
            <v>1903.4732060134995</v>
          </cell>
        </row>
        <row r="26">
          <cell r="V26">
            <v>701.39495933169087</v>
          </cell>
          <cell r="W26">
            <v>732.95773250161687</v>
          </cell>
          <cell r="X26">
            <v>796.94</v>
          </cell>
        </row>
        <row r="27">
          <cell r="V27">
            <v>0</v>
          </cell>
          <cell r="W27">
            <v>0</v>
          </cell>
          <cell r="X27">
            <v>1169.28</v>
          </cell>
        </row>
        <row r="28">
          <cell r="V28">
            <v>46.465101249999996</v>
          </cell>
          <cell r="W28">
            <v>48.556030806249993</v>
          </cell>
          <cell r="X28">
            <v>95.44</v>
          </cell>
        </row>
        <row r="29">
          <cell r="V29">
            <v>0</v>
          </cell>
          <cell r="W29">
            <v>724.28721275624991</v>
          </cell>
        </row>
        <row r="31">
          <cell r="V31">
            <v>624.25084002140966</v>
          </cell>
          <cell r="W31">
            <v>652.34212782237307</v>
          </cell>
          <cell r="X31">
            <v>752.11</v>
          </cell>
        </row>
        <row r="32">
          <cell r="V32">
            <v>1791.1896697871937</v>
          </cell>
          <cell r="W32">
            <v>1871.7932049276174</v>
          </cell>
          <cell r="X32">
            <v>2102.98</v>
          </cell>
        </row>
        <row r="33">
          <cell r="V33">
            <v>3475.4291426167297</v>
          </cell>
          <cell r="W33">
            <v>3631.8234540344824</v>
          </cell>
          <cell r="X33">
            <v>7141.74</v>
          </cell>
        </row>
        <row r="35">
          <cell r="V35">
            <v>25.359034999999999</v>
          </cell>
          <cell r="W35">
            <v>26.500191574999995</v>
          </cell>
          <cell r="X35">
            <v>26.500191574999995</v>
          </cell>
        </row>
        <row r="36">
          <cell r="V36">
            <v>374.26</v>
          </cell>
          <cell r="W36">
            <v>391.10169999999994</v>
          </cell>
          <cell r="X36">
            <v>391.10169999999994</v>
          </cell>
        </row>
        <row r="37">
          <cell r="V37">
            <v>694.85570499999994</v>
          </cell>
          <cell r="W37">
            <v>726.1242117249999</v>
          </cell>
          <cell r="X37">
            <v>2648.1181891200004</v>
          </cell>
        </row>
        <row r="38">
          <cell r="V38">
            <v>3975.9146837033086</v>
          </cell>
          <cell r="W38">
            <v>4154.8308444699569</v>
          </cell>
          <cell r="X38">
            <v>4167.5502868800004</v>
          </cell>
        </row>
        <row r="39">
          <cell r="V39">
            <v>724.19</v>
          </cell>
          <cell r="W39">
            <v>756.77855</v>
          </cell>
          <cell r="X39">
            <v>853.81099008000001</v>
          </cell>
        </row>
        <row r="41">
          <cell r="V41">
            <v>30.224431249999995</v>
          </cell>
          <cell r="W41">
            <v>31.584530656249992</v>
          </cell>
          <cell r="X41">
            <v>58.22</v>
          </cell>
        </row>
        <row r="42">
          <cell r="V42">
            <v>940.37583908140573</v>
          </cell>
          <cell r="W42">
            <v>982.69275184006892</v>
          </cell>
          <cell r="X42">
            <v>2359.31</v>
          </cell>
        </row>
        <row r="43">
          <cell r="V43">
            <v>161.51074124999997</v>
          </cell>
          <cell r="W43">
            <v>168.77872460624997</v>
          </cell>
          <cell r="X43">
            <v>249.38</v>
          </cell>
        </row>
        <row r="45">
          <cell r="V45">
            <v>76119.759441249989</v>
          </cell>
          <cell r="W45">
            <v>79545.148616106235</v>
          </cell>
          <cell r="X45">
            <v>110116.09748383379</v>
          </cell>
        </row>
        <row r="46">
          <cell r="V46">
            <v>51759.94</v>
          </cell>
          <cell r="W46">
            <v>54089.137300000002</v>
          </cell>
          <cell r="X46">
            <v>54089.137300000002</v>
          </cell>
        </row>
        <row r="47">
          <cell r="V47">
            <v>0</v>
          </cell>
          <cell r="W47">
            <v>0</v>
          </cell>
          <cell r="X47">
            <v>47.856180960000003</v>
          </cell>
        </row>
        <row r="48">
          <cell r="V48">
            <v>0</v>
          </cell>
          <cell r="W48">
            <v>0</v>
          </cell>
          <cell r="X48">
            <v>3923.2491927474757</v>
          </cell>
        </row>
        <row r="50">
          <cell r="V50">
            <v>3488.2100781781592</v>
          </cell>
          <cell r="W50">
            <v>3645.1795316961761</v>
          </cell>
          <cell r="X50">
            <v>5604.3094556515098</v>
          </cell>
        </row>
        <row r="51">
          <cell r="V51">
            <v>334.28</v>
          </cell>
          <cell r="W51">
            <v>349.32259999999997</v>
          </cell>
          <cell r="X51">
            <v>435.48975999999999</v>
          </cell>
        </row>
        <row r="52">
          <cell r="V52">
            <v>748.4853196020216</v>
          </cell>
          <cell r="W52">
            <v>782.16715898411258</v>
          </cell>
          <cell r="X52">
            <v>1987.3</v>
          </cell>
        </row>
        <row r="54">
          <cell r="V54">
            <v>819.04701919701756</v>
          </cell>
          <cell r="W54">
            <v>855.90413506088328</v>
          </cell>
          <cell r="X54">
            <v>1620.9</v>
          </cell>
        </row>
        <row r="55">
          <cell r="V55">
            <v>0</v>
          </cell>
          <cell r="W55">
            <v>0</v>
          </cell>
          <cell r="X55">
            <v>27574</v>
          </cell>
        </row>
        <row r="56">
          <cell r="V56">
            <v>1546.0618824999997</v>
          </cell>
          <cell r="W56">
            <v>1615.6346672124996</v>
          </cell>
          <cell r="X56">
            <v>5028.3</v>
          </cell>
        </row>
        <row r="57">
          <cell r="V57">
            <v>3871.6464427678188</v>
          </cell>
          <cell r="W57">
            <v>4045.8705326923705</v>
          </cell>
          <cell r="X57">
            <v>21477.1</v>
          </cell>
        </row>
        <row r="59">
          <cell r="V59">
            <v>443.79445375</v>
          </cell>
          <cell r="W59">
            <v>463.76520416874996</v>
          </cell>
          <cell r="X59">
            <v>3443.1847370314235</v>
          </cell>
        </row>
        <row r="60">
          <cell r="V60">
            <v>652.8742919887078</v>
          </cell>
          <cell r="W60">
            <v>682.25363512819956</v>
          </cell>
          <cell r="X60">
            <v>682.25363512819956</v>
          </cell>
        </row>
        <row r="61">
          <cell r="V61">
            <v>332.28528766139226</v>
          </cell>
          <cell r="W61">
            <v>347.23812560615488</v>
          </cell>
          <cell r="X61">
            <v>1158.55</v>
          </cell>
        </row>
        <row r="62">
          <cell r="V62">
            <v>3885.117150873873</v>
          </cell>
          <cell r="W62">
            <v>4059.9474226631969</v>
          </cell>
          <cell r="X62">
            <v>5042.1680000000006</v>
          </cell>
        </row>
        <row r="63">
          <cell r="V63">
            <v>4451.0308659483044</v>
          </cell>
          <cell r="W63">
            <v>4651.3272549159774</v>
          </cell>
          <cell r="X63">
            <v>5439.2998439999992</v>
          </cell>
        </row>
        <row r="64">
          <cell r="V64">
            <v>62.34</v>
          </cell>
          <cell r="W64">
            <v>65.145300000000006</v>
          </cell>
          <cell r="X64">
            <v>101.803</v>
          </cell>
        </row>
        <row r="65">
          <cell r="V65">
            <v>2223.8376649999996</v>
          </cell>
          <cell r="W65">
            <v>2323.9103599249993</v>
          </cell>
          <cell r="X65">
            <v>10791.408170000001</v>
          </cell>
        </row>
        <row r="66">
          <cell r="V66">
            <v>111.51009838930725</v>
          </cell>
          <cell r="W66">
            <v>116.52805281682606</v>
          </cell>
          <cell r="X66">
            <v>176.96</v>
          </cell>
        </row>
        <row r="68">
          <cell r="V68">
            <v>808.67313777138361</v>
          </cell>
          <cell r="W68">
            <v>845.06</v>
          </cell>
          <cell r="X68">
            <v>1127.56</v>
          </cell>
        </row>
        <row r="69">
          <cell r="V69">
            <v>0</v>
          </cell>
          <cell r="W69">
            <v>0</v>
          </cell>
          <cell r="X69">
            <v>1129.92</v>
          </cell>
        </row>
        <row r="70">
          <cell r="V70">
            <v>8.9142224999999993</v>
          </cell>
          <cell r="W70">
            <v>9.3153625124999984</v>
          </cell>
          <cell r="X70">
            <v>23.656956319999999</v>
          </cell>
        </row>
        <row r="71">
          <cell r="V71">
            <v>0</v>
          </cell>
          <cell r="W71">
            <v>0</v>
          </cell>
          <cell r="X71">
            <v>19407.099999999999</v>
          </cell>
        </row>
        <row r="76">
          <cell r="V76">
            <v>0</v>
          </cell>
          <cell r="W76">
            <v>0</v>
          </cell>
          <cell r="X76">
            <v>1392.1415932800003</v>
          </cell>
        </row>
        <row r="77">
          <cell r="V77">
            <v>0</v>
          </cell>
          <cell r="W77">
            <v>0</v>
          </cell>
          <cell r="X77">
            <v>167.30650800000001</v>
          </cell>
        </row>
        <row r="80">
          <cell r="V80">
            <v>0</v>
          </cell>
          <cell r="W80">
            <v>0</v>
          </cell>
          <cell r="X80">
            <v>3217.11</v>
          </cell>
        </row>
        <row r="81">
          <cell r="V81">
            <v>3222.1738787499994</v>
          </cell>
          <cell r="W81">
            <v>3273.0590032937498</v>
          </cell>
          <cell r="X81">
            <v>7731.9652857600013</v>
          </cell>
        </row>
        <row r="82">
          <cell r="V82">
            <v>58417.249008176252</v>
          </cell>
          <cell r="W82">
            <v>61140.137913544233</v>
          </cell>
          <cell r="X82">
            <v>80294.308680529488</v>
          </cell>
        </row>
        <row r="83">
          <cell r="V83">
            <v>962477.4773477799</v>
          </cell>
          <cell r="W83">
            <v>1005788.9638284299</v>
          </cell>
          <cell r="X83">
            <v>1961467.5</v>
          </cell>
        </row>
        <row r="85">
          <cell r="V85">
            <v>0</v>
          </cell>
          <cell r="W85">
            <v>0</v>
          </cell>
          <cell r="X85">
            <v>100</v>
          </cell>
        </row>
        <row r="86">
          <cell r="V86">
            <v>0</v>
          </cell>
          <cell r="W86">
            <v>0</v>
          </cell>
          <cell r="X86">
            <v>215</v>
          </cell>
        </row>
        <row r="87">
          <cell r="V87">
            <v>436.09</v>
          </cell>
          <cell r="W87">
            <v>455.71404999999993</v>
          </cell>
          <cell r="X87">
            <v>526.22</v>
          </cell>
        </row>
        <row r="88">
          <cell r="V88">
            <v>994.65</v>
          </cell>
          <cell r="W88">
            <v>1039.4092499999999</v>
          </cell>
          <cell r="X88">
            <v>1997.85</v>
          </cell>
        </row>
        <row r="89">
          <cell r="V89">
            <v>37214.33</v>
          </cell>
          <cell r="W89">
            <v>38888.974849999999</v>
          </cell>
          <cell r="X89">
            <v>69231.839999999997</v>
          </cell>
        </row>
        <row r="90">
          <cell r="X90">
            <v>69231.839999999997</v>
          </cell>
        </row>
        <row r="91">
          <cell r="V91">
            <v>0</v>
          </cell>
          <cell r="W91">
            <v>0</v>
          </cell>
          <cell r="X91">
            <v>559</v>
          </cell>
        </row>
        <row r="92">
          <cell r="V92">
            <v>954.12</v>
          </cell>
          <cell r="W92">
            <v>997.05539999999996</v>
          </cell>
          <cell r="X92">
            <v>1996.8</v>
          </cell>
        </row>
        <row r="93">
          <cell r="V93">
            <v>145.52000000000001</v>
          </cell>
          <cell r="W93">
            <v>152.0684</v>
          </cell>
          <cell r="X93">
            <v>336.2</v>
          </cell>
        </row>
        <row r="94">
          <cell r="V94">
            <v>655.66</v>
          </cell>
          <cell r="W94">
            <v>685.16469999999993</v>
          </cell>
          <cell r="X94">
            <v>1245.3</v>
          </cell>
        </row>
        <row r="95">
          <cell r="V95">
            <v>0.79</v>
          </cell>
          <cell r="W95">
            <v>0.82555000000000001</v>
          </cell>
          <cell r="X95">
            <v>3.3</v>
          </cell>
        </row>
        <row r="96">
          <cell r="V96">
            <v>879.75</v>
          </cell>
          <cell r="W96">
            <v>919.33874999999989</v>
          </cell>
          <cell r="X96">
            <v>2350.3000000000002</v>
          </cell>
        </row>
        <row r="97">
          <cell r="V97">
            <v>1541.56</v>
          </cell>
          <cell r="W97">
            <v>1610.9301999999998</v>
          </cell>
          <cell r="X97">
            <v>1470</v>
          </cell>
        </row>
        <row r="98">
          <cell r="V98">
            <v>0</v>
          </cell>
          <cell r="W98">
            <v>0</v>
          </cell>
          <cell r="X98">
            <v>1120</v>
          </cell>
        </row>
        <row r="99">
          <cell r="V99">
            <v>158.29</v>
          </cell>
          <cell r="W99">
            <v>165.41304999999997</v>
          </cell>
          <cell r="X99">
            <v>322.39999999999998</v>
          </cell>
        </row>
        <row r="100">
          <cell r="V100">
            <v>0</v>
          </cell>
          <cell r="W100">
            <v>0</v>
          </cell>
          <cell r="X100">
            <v>0</v>
          </cell>
        </row>
        <row r="103">
          <cell r="V103">
            <v>32447.679169999996</v>
          </cell>
          <cell r="W103">
            <v>33907.824732649991</v>
          </cell>
          <cell r="X103">
            <v>109702.51</v>
          </cell>
        </row>
        <row r="104">
          <cell r="V104">
            <v>15673.24</v>
          </cell>
          <cell r="W104">
            <v>16378.535799999998</v>
          </cell>
          <cell r="X104">
            <v>31725.15</v>
          </cell>
        </row>
        <row r="105">
          <cell r="V105">
            <v>816.06</v>
          </cell>
          <cell r="W105">
            <v>852.78269999999986</v>
          </cell>
          <cell r="X105">
            <v>2142.91</v>
          </cell>
        </row>
        <row r="106">
          <cell r="V106">
            <v>7579.7429775000001</v>
          </cell>
          <cell r="W106">
            <v>7920.8314114874993</v>
          </cell>
          <cell r="X106">
            <v>10806.28</v>
          </cell>
        </row>
        <row r="107">
          <cell r="V107">
            <v>52.5</v>
          </cell>
          <cell r="W107">
            <v>54.86</v>
          </cell>
          <cell r="X107">
            <v>55.2</v>
          </cell>
        </row>
        <row r="109">
          <cell r="V109">
            <v>0</v>
          </cell>
          <cell r="W109">
            <v>0</v>
          </cell>
          <cell r="X109">
            <v>1240.45</v>
          </cell>
        </row>
        <row r="110">
          <cell r="V110">
            <v>9759.2476962500004</v>
          </cell>
          <cell r="W110">
            <v>10198.413842581249</v>
          </cell>
          <cell r="X110">
            <v>12039.995869574399</v>
          </cell>
        </row>
        <row r="111">
          <cell r="V111">
            <v>1068</v>
          </cell>
          <cell r="W111">
            <v>1116.06</v>
          </cell>
          <cell r="X111">
            <v>9608.237127360002</v>
          </cell>
        </row>
        <row r="112">
          <cell r="V112">
            <v>4093.0767910949003</v>
          </cell>
          <cell r="W112">
            <v>4277.2652466941709</v>
          </cell>
          <cell r="X112">
            <v>6588.2101073927042</v>
          </cell>
        </row>
        <row r="113">
          <cell r="V113">
            <v>148.32086749999996</v>
          </cell>
          <cell r="W113">
            <v>154.99530653749994</v>
          </cell>
          <cell r="X113">
            <v>433</v>
          </cell>
        </row>
        <row r="114">
          <cell r="V114">
            <v>1550.6839220379297</v>
          </cell>
          <cell r="W114">
            <v>1620.4646985296365</v>
          </cell>
          <cell r="X114">
            <v>1768.2932799999999</v>
          </cell>
        </row>
        <row r="115">
          <cell r="V115">
            <v>280.93020235999995</v>
          </cell>
          <cell r="W115">
            <v>293.57206146619995</v>
          </cell>
          <cell r="X115">
            <v>390.38</v>
          </cell>
        </row>
        <row r="116">
          <cell r="V116">
            <v>558.94216499999993</v>
          </cell>
          <cell r="W116">
            <v>584.09456242499994</v>
          </cell>
          <cell r="X116">
            <v>798.37</v>
          </cell>
        </row>
        <row r="120">
          <cell r="V120">
            <v>4024.987161123061</v>
          </cell>
          <cell r="W120">
            <v>4206.1115833735985</v>
          </cell>
          <cell r="X120">
            <v>5767.3471704000003</v>
          </cell>
        </row>
        <row r="121">
          <cell r="V121">
            <v>2444.4438537721167</v>
          </cell>
          <cell r="W121">
            <v>2554.4438271918616</v>
          </cell>
          <cell r="X121">
            <v>3117.5947190400002</v>
          </cell>
        </row>
        <row r="122">
          <cell r="V122">
            <v>1467.9660349999997</v>
          </cell>
          <cell r="W122">
            <v>1534.0245065749996</v>
          </cell>
          <cell r="X122">
            <v>1534.0245065749996</v>
          </cell>
        </row>
        <row r="123">
          <cell r="V123">
            <v>200.14</v>
          </cell>
          <cell r="W123">
            <v>209.14629999999997</v>
          </cell>
          <cell r="X123">
            <v>209.14629999999997</v>
          </cell>
        </row>
        <row r="124">
          <cell r="V124">
            <v>139.06640749999997</v>
          </cell>
          <cell r="W124">
            <v>145.32439583749996</v>
          </cell>
          <cell r="X124">
            <v>3763.1256599999997</v>
          </cell>
        </row>
        <row r="125">
          <cell r="V125">
            <v>5332.2521217373433</v>
          </cell>
          <cell r="W125">
            <v>5572.2034672155232</v>
          </cell>
          <cell r="X125">
            <v>5572.2034672155232</v>
          </cell>
        </row>
        <row r="126">
          <cell r="V126">
            <v>800</v>
          </cell>
          <cell r="W126">
            <v>836</v>
          </cell>
          <cell r="X126">
            <v>836</v>
          </cell>
        </row>
        <row r="127">
          <cell r="V127">
            <v>70.047904199770684</v>
          </cell>
          <cell r="W127">
            <v>73.200059888760364</v>
          </cell>
          <cell r="X127">
            <v>73.200059888760364</v>
          </cell>
        </row>
        <row r="128">
          <cell r="V128">
            <v>0</v>
          </cell>
          <cell r="W128">
            <v>0</v>
          </cell>
          <cell r="X128">
            <v>0.66239999999999999</v>
          </cell>
        </row>
        <row r="130">
          <cell r="V130">
            <v>18308.048922764599</v>
          </cell>
          <cell r="W130">
            <v>19131.911124289007</v>
          </cell>
          <cell r="X130">
            <v>24542.5975</v>
          </cell>
        </row>
        <row r="132">
          <cell r="V132">
            <v>18717.472600651665</v>
          </cell>
          <cell r="W132">
            <v>19559.75886768099</v>
          </cell>
          <cell r="X132">
            <v>19559.75886768099</v>
          </cell>
        </row>
        <row r="133">
          <cell r="V133">
            <v>60815.949549348334</v>
          </cell>
          <cell r="W133">
            <v>63552.667279069006</v>
          </cell>
          <cell r="X133">
            <v>63552.667279069006</v>
          </cell>
        </row>
        <row r="134">
          <cell r="V134">
            <v>0</v>
          </cell>
          <cell r="W134">
            <v>0</v>
          </cell>
          <cell r="X134">
            <v>0</v>
          </cell>
        </row>
        <row r="135">
          <cell r="V135">
            <v>0</v>
          </cell>
          <cell r="W135">
            <v>0</v>
          </cell>
          <cell r="X135">
            <v>130</v>
          </cell>
        </row>
        <row r="137">
          <cell r="V137">
            <v>1083.1368500000001</v>
          </cell>
          <cell r="W137">
            <v>1131.87800825</v>
          </cell>
          <cell r="X137">
            <v>1131.87800825</v>
          </cell>
        </row>
        <row r="138">
          <cell r="V138">
            <v>1083.1368500000001</v>
          </cell>
          <cell r="W138">
            <v>1131.87800825</v>
          </cell>
          <cell r="X138">
            <v>1131.87800825</v>
          </cell>
        </row>
        <row r="140">
          <cell r="V140">
            <v>25.903414999999995</v>
          </cell>
          <cell r="W140">
            <v>27.069068674999993</v>
          </cell>
          <cell r="X140">
            <v>228.09</v>
          </cell>
        </row>
        <row r="142">
          <cell r="V142">
            <v>65091.762081356239</v>
          </cell>
          <cell r="W142">
            <v>68020.891375017265</v>
          </cell>
          <cell r="X142">
            <v>68020.891375017265</v>
          </cell>
        </row>
        <row r="143">
          <cell r="V143">
            <v>1876.7387087499999</v>
          </cell>
          <cell r="W143">
            <v>1961.1919506437498</v>
          </cell>
          <cell r="X143">
            <v>1961.1919506437498</v>
          </cell>
        </row>
        <row r="144">
          <cell r="V144">
            <v>722.06336374999989</v>
          </cell>
          <cell r="W144">
            <v>754.55621511874983</v>
          </cell>
          <cell r="X144">
            <v>2253.75</v>
          </cell>
        </row>
        <row r="145">
          <cell r="V145">
            <v>137.19345893796066</v>
          </cell>
          <cell r="W145">
            <v>143.36716459016887</v>
          </cell>
          <cell r="X145">
            <v>2475.7419199999999</v>
          </cell>
        </row>
        <row r="146">
          <cell r="V146">
            <v>1007.38653125</v>
          </cell>
          <cell r="W146">
            <v>1052.71892515625</v>
          </cell>
          <cell r="X146">
            <v>1506.84509267712</v>
          </cell>
        </row>
        <row r="147">
          <cell r="V147">
            <v>2894.3329136414918</v>
          </cell>
          <cell r="W147">
            <v>3024.5778947553586</v>
          </cell>
          <cell r="X147">
            <v>3024.5778947553586</v>
          </cell>
        </row>
        <row r="149">
          <cell r="V149">
            <v>1635.16</v>
          </cell>
          <cell r="W149">
            <v>1708.7394751625</v>
          </cell>
          <cell r="X149">
            <v>1708.7394751625</v>
          </cell>
        </row>
        <row r="150">
          <cell r="V150">
            <v>531.14476124999999</v>
          </cell>
          <cell r="W150">
            <v>555.04627550624991</v>
          </cell>
          <cell r="X150">
            <v>2354.6471200000005</v>
          </cell>
        </row>
        <row r="151">
          <cell r="V151">
            <v>558.94216499999993</v>
          </cell>
          <cell r="W151">
            <v>584.09456242499994</v>
          </cell>
          <cell r="X151">
            <v>48031.428820479996</v>
          </cell>
        </row>
        <row r="152">
          <cell r="V152">
            <v>0</v>
          </cell>
          <cell r="W152">
            <v>0</v>
          </cell>
          <cell r="X152">
            <v>0.79525536000000008</v>
          </cell>
        </row>
        <row r="153">
          <cell r="V153">
            <v>197.48934404138484</v>
          </cell>
          <cell r="W153">
            <v>206.37636452324713</v>
          </cell>
          <cell r="X153">
            <v>871.37</v>
          </cell>
        </row>
        <row r="154">
          <cell r="V154">
            <v>545.13829626056668</v>
          </cell>
          <cell r="W154">
            <v>569.66951959229209</v>
          </cell>
          <cell r="X154">
            <v>1273.3685527500002</v>
          </cell>
        </row>
        <row r="155">
          <cell r="V155">
            <v>3678.11481125</v>
          </cell>
          <cell r="W155">
            <v>3843.6299777562499</v>
          </cell>
          <cell r="X155">
            <v>5078.8</v>
          </cell>
        </row>
        <row r="157">
          <cell r="V157">
            <v>2597.8494074999999</v>
          </cell>
          <cell r="W157">
            <v>2714.7526308374995</v>
          </cell>
          <cell r="X157">
            <v>13512.59</v>
          </cell>
        </row>
        <row r="158">
          <cell r="V158">
            <v>69.751059601403242</v>
          </cell>
          <cell r="W158">
            <v>72.889857283466384</v>
          </cell>
          <cell r="X158">
            <v>262.75</v>
          </cell>
        </row>
        <row r="159">
          <cell r="V159">
            <v>0</v>
          </cell>
          <cell r="W159">
            <v>0</v>
          </cell>
          <cell r="X159">
            <v>85.472181599999999</v>
          </cell>
        </row>
        <row r="161">
          <cell r="V161">
            <v>0</v>
          </cell>
          <cell r="W161">
            <v>0</v>
          </cell>
          <cell r="X161">
            <v>58419.285000000003</v>
          </cell>
        </row>
        <row r="162">
          <cell r="V162">
            <v>0</v>
          </cell>
          <cell r="W162">
            <v>0</v>
          </cell>
          <cell r="X162">
            <v>722.52941999999996</v>
          </cell>
        </row>
        <row r="164">
          <cell r="V164">
            <v>0</v>
          </cell>
          <cell r="W164">
            <v>0</v>
          </cell>
          <cell r="X164">
            <v>0</v>
          </cell>
        </row>
        <row r="165">
          <cell r="V165">
            <v>1574.7984999999999</v>
          </cell>
          <cell r="W165">
            <v>1645.6644324999997</v>
          </cell>
          <cell r="X165">
            <v>4872.7468800000006</v>
          </cell>
        </row>
        <row r="166">
          <cell r="V166">
            <v>0</v>
          </cell>
          <cell r="W166">
            <v>0</v>
          </cell>
          <cell r="X166">
            <v>554.48400000000004</v>
          </cell>
        </row>
        <row r="167">
          <cell r="V167">
            <v>0</v>
          </cell>
          <cell r="W167">
            <v>0</v>
          </cell>
          <cell r="X167">
            <v>0</v>
          </cell>
        </row>
        <row r="169">
          <cell r="V169">
            <v>0</v>
          </cell>
          <cell r="W169">
            <v>0</v>
          </cell>
          <cell r="X169">
            <v>1536.56</v>
          </cell>
        </row>
        <row r="170">
          <cell r="V170">
            <v>0</v>
          </cell>
          <cell r="W170">
            <v>0</v>
          </cell>
          <cell r="X170">
            <v>0</v>
          </cell>
        </row>
        <row r="171">
          <cell r="V171">
            <v>18157.998824999999</v>
          </cell>
          <cell r="W171">
            <v>18975.108772124997</v>
          </cell>
          <cell r="X171">
            <v>20028.599999999999</v>
          </cell>
        </row>
        <row r="172">
          <cell r="V172">
            <v>0</v>
          </cell>
          <cell r="W172">
            <v>0</v>
          </cell>
          <cell r="X172">
            <v>0</v>
          </cell>
        </row>
        <row r="173">
          <cell r="V173">
            <v>0</v>
          </cell>
          <cell r="W173">
            <v>0</v>
          </cell>
          <cell r="X173">
            <v>351.24299999999999</v>
          </cell>
        </row>
        <row r="174">
          <cell r="V174">
            <v>0</v>
          </cell>
          <cell r="W174">
            <v>0</v>
          </cell>
          <cell r="X174">
            <v>3775.93</v>
          </cell>
        </row>
        <row r="175">
          <cell r="V175">
            <v>313.61855361417162</v>
          </cell>
          <cell r="W175">
            <v>327.73138852680933</v>
          </cell>
          <cell r="X175">
            <v>566.94491712000013</v>
          </cell>
        </row>
        <row r="176">
          <cell r="V176">
            <v>2026.66</v>
          </cell>
          <cell r="W176">
            <v>2117.8612178624999</v>
          </cell>
          <cell r="X176">
            <v>3782.08</v>
          </cell>
        </row>
        <row r="177">
          <cell r="V177">
            <v>0</v>
          </cell>
          <cell r="W177">
            <v>0</v>
          </cell>
          <cell r="X177">
            <v>519.4</v>
          </cell>
        </row>
        <row r="178">
          <cell r="V178">
            <v>49617.8491096254</v>
          </cell>
          <cell r="W178">
            <v>51850.65231955854</v>
          </cell>
          <cell r="X178">
            <v>94820.794550320003</v>
          </cell>
        </row>
        <row r="179">
          <cell r="V179">
            <v>0</v>
          </cell>
          <cell r="W179">
            <v>0</v>
          </cell>
          <cell r="X179">
            <v>196.46612880000001</v>
          </cell>
        </row>
        <row r="180">
          <cell r="V180">
            <v>0</v>
          </cell>
          <cell r="W180">
            <v>0</v>
          </cell>
          <cell r="X180">
            <v>0</v>
          </cell>
        </row>
        <row r="181">
          <cell r="V181">
            <v>0</v>
          </cell>
          <cell r="W181">
            <v>0</v>
          </cell>
          <cell r="X181">
            <v>131</v>
          </cell>
        </row>
        <row r="182">
          <cell r="V182">
            <v>0</v>
          </cell>
          <cell r="W182">
            <v>0</v>
          </cell>
          <cell r="X182">
            <v>10135.690736440678</v>
          </cell>
        </row>
        <row r="183">
          <cell r="V183">
            <v>0</v>
          </cell>
          <cell r="W183">
            <v>0</v>
          </cell>
          <cell r="X183">
            <v>30.04</v>
          </cell>
        </row>
        <row r="184">
          <cell r="V184">
            <v>693.09781124999995</v>
          </cell>
          <cell r="W184">
            <v>0</v>
          </cell>
          <cell r="X184">
            <v>724.28721275624991</v>
          </cell>
        </row>
        <row r="185">
          <cell r="V185">
            <v>0</v>
          </cell>
          <cell r="W185">
            <v>0</v>
          </cell>
          <cell r="X185">
            <v>212.5</v>
          </cell>
        </row>
        <row r="186">
          <cell r="V186">
            <v>0</v>
          </cell>
          <cell r="W186">
            <v>0</v>
          </cell>
          <cell r="X186">
            <v>1696.9915200000003</v>
          </cell>
        </row>
        <row r="187">
          <cell r="V187">
            <v>0</v>
          </cell>
          <cell r="W187">
            <v>0</v>
          </cell>
          <cell r="X187">
            <v>520</v>
          </cell>
        </row>
        <row r="188">
          <cell r="V188">
            <v>0</v>
          </cell>
          <cell r="W188">
            <v>0</v>
          </cell>
          <cell r="X188">
            <v>3440.68</v>
          </cell>
        </row>
        <row r="189">
          <cell r="V189">
            <v>0</v>
          </cell>
          <cell r="W189">
            <v>0</v>
          </cell>
          <cell r="X189">
            <v>246.69</v>
          </cell>
        </row>
        <row r="195">
          <cell r="V195">
            <v>644.24</v>
          </cell>
          <cell r="W195">
            <v>673.22973279374992</v>
          </cell>
          <cell r="X195">
            <v>673.22973279374992</v>
          </cell>
        </row>
        <row r="196">
          <cell r="V196">
            <v>2831.3551312500003</v>
          </cell>
          <cell r="W196">
            <v>2958.7661121562501</v>
          </cell>
          <cell r="X196">
            <v>2958.7661121562501</v>
          </cell>
        </row>
        <row r="197">
          <cell r="V197">
            <v>4593.8796124999999</v>
          </cell>
          <cell r="W197">
            <v>4800.6041950624995</v>
          </cell>
          <cell r="X197">
            <v>4800.6041950624995</v>
          </cell>
        </row>
        <row r="198">
          <cell r="V198">
            <v>0</v>
          </cell>
          <cell r="W198">
            <v>0</v>
          </cell>
          <cell r="X198">
            <v>66.52</v>
          </cell>
        </row>
        <row r="200">
          <cell r="V200">
            <v>6328.4246125</v>
          </cell>
          <cell r="W200">
            <v>6613.21</v>
          </cell>
          <cell r="X200">
            <v>6637.67</v>
          </cell>
        </row>
        <row r="201">
          <cell r="V201">
            <v>2104.7189763077477</v>
          </cell>
          <cell r="W201">
            <v>2199.4313302415962</v>
          </cell>
          <cell r="X201">
            <v>2199.4313302415962</v>
          </cell>
        </row>
        <row r="203">
          <cell r="V203">
            <v>2923.1111563005902</v>
          </cell>
          <cell r="W203">
            <v>3054.6511583341166</v>
          </cell>
          <cell r="X203">
            <v>3501.2715679999997</v>
          </cell>
        </row>
        <row r="204">
          <cell r="V204">
            <v>192.37028249999997</v>
          </cell>
          <cell r="W204">
            <v>201.02694521249995</v>
          </cell>
          <cell r="X204">
            <v>300.87273996333329</v>
          </cell>
        </row>
        <row r="205">
          <cell r="V205">
            <v>214.68195</v>
          </cell>
          <cell r="W205">
            <v>224.34263774999999</v>
          </cell>
          <cell r="X205">
            <v>844.44932400000016</v>
          </cell>
        </row>
        <row r="206">
          <cell r="V206">
            <v>1559.5959499999999</v>
          </cell>
          <cell r="W206">
            <v>1629.7777677499998</v>
          </cell>
          <cell r="X206">
            <v>2644.5540000000005</v>
          </cell>
        </row>
        <row r="207">
          <cell r="V207">
            <v>0</v>
          </cell>
          <cell r="W207">
            <v>0</v>
          </cell>
          <cell r="X207">
            <v>681.78182600000002</v>
          </cell>
        </row>
        <row r="209">
          <cell r="V209">
            <v>0</v>
          </cell>
          <cell r="W209">
            <v>0</v>
          </cell>
          <cell r="X209">
            <v>1297.5999999999999</v>
          </cell>
        </row>
        <row r="210">
          <cell r="V210">
            <v>0</v>
          </cell>
          <cell r="W210">
            <v>0</v>
          </cell>
          <cell r="X210">
            <v>0</v>
          </cell>
        </row>
        <row r="211">
          <cell r="V211">
            <v>775.74562044950346</v>
          </cell>
          <cell r="W211">
            <v>810.6541733697311</v>
          </cell>
          <cell r="X211">
            <v>4726.3938042086411</v>
          </cell>
        </row>
        <row r="212">
          <cell r="V212">
            <v>0</v>
          </cell>
          <cell r="W212">
            <v>0</v>
          </cell>
          <cell r="X212">
            <v>1000</v>
          </cell>
        </row>
        <row r="213">
          <cell r="V213">
            <v>768.27220286507793</v>
          </cell>
          <cell r="W213">
            <v>802.84445199400636</v>
          </cell>
          <cell r="X213">
            <v>802.84445199400636</v>
          </cell>
        </row>
        <row r="214">
          <cell r="V214">
            <v>0</v>
          </cell>
          <cell r="W214">
            <v>0</v>
          </cell>
          <cell r="X214">
            <v>0</v>
          </cell>
        </row>
        <row r="215">
          <cell r="V215">
            <v>0</v>
          </cell>
          <cell r="W215">
            <v>0</v>
          </cell>
          <cell r="X215">
            <v>0</v>
          </cell>
        </row>
        <row r="217">
          <cell r="V217">
            <v>664.47249624999995</v>
          </cell>
          <cell r="W217">
            <v>694.37375858124994</v>
          </cell>
          <cell r="X217">
            <v>920.91</v>
          </cell>
        </row>
        <row r="218">
          <cell r="V218">
            <v>0</v>
          </cell>
          <cell r="W218">
            <v>0</v>
          </cell>
          <cell r="X218">
            <v>1166.4000000000001</v>
          </cell>
        </row>
        <row r="219">
          <cell r="V219">
            <v>0</v>
          </cell>
          <cell r="W219">
            <v>0</v>
          </cell>
          <cell r="X219">
            <v>406.56</v>
          </cell>
        </row>
        <row r="220">
          <cell r="V220">
            <v>0</v>
          </cell>
          <cell r="W220">
            <v>0</v>
          </cell>
          <cell r="X220">
            <v>2235.0784600000002</v>
          </cell>
        </row>
        <row r="221">
          <cell r="V221">
            <v>0</v>
          </cell>
          <cell r="W221">
            <v>0</v>
          </cell>
        </row>
        <row r="223">
          <cell r="V223">
            <v>1175.6226337499997</v>
          </cell>
          <cell r="W223">
            <v>1228.5256522687496</v>
          </cell>
          <cell r="X223">
            <v>1255.9100000000001</v>
          </cell>
        </row>
        <row r="224">
          <cell r="V224">
            <v>864.90490067175563</v>
          </cell>
          <cell r="W224">
            <v>903.82562120198452</v>
          </cell>
          <cell r="X224">
            <v>1384.53</v>
          </cell>
        </row>
        <row r="225">
          <cell r="V225">
            <v>911.38284999999996</v>
          </cell>
          <cell r="W225">
            <v>952.39507824999987</v>
          </cell>
          <cell r="X225">
            <v>952.39507824999987</v>
          </cell>
        </row>
        <row r="226">
          <cell r="V226">
            <v>0</v>
          </cell>
          <cell r="W226">
            <v>0</v>
          </cell>
          <cell r="X226">
            <v>1876.63</v>
          </cell>
        </row>
        <row r="227">
          <cell r="V227">
            <v>162.47048266116133</v>
          </cell>
          <cell r="W227">
            <v>169.78165438091358</v>
          </cell>
          <cell r="X227">
            <v>208.13</v>
          </cell>
        </row>
        <row r="229">
          <cell r="V229">
            <v>0</v>
          </cell>
          <cell r="W229">
            <v>0</v>
          </cell>
          <cell r="X229">
            <v>0</v>
          </cell>
        </row>
        <row r="230">
          <cell r="V230">
            <v>147355.24709999998</v>
          </cell>
          <cell r="W230">
            <v>153986.23321949996</v>
          </cell>
          <cell r="X230">
            <v>1018013</v>
          </cell>
        </row>
        <row r="231">
          <cell r="V231">
            <v>147355.24709999998</v>
          </cell>
          <cell r="W231">
            <v>153986.23321949996</v>
          </cell>
          <cell r="X231">
            <v>500000</v>
          </cell>
        </row>
        <row r="232">
          <cell r="X232">
            <v>518013</v>
          </cell>
        </row>
        <row r="233">
          <cell r="V233">
            <v>22470.107157349998</v>
          </cell>
          <cell r="W233">
            <v>23481.261979430747</v>
          </cell>
          <cell r="X233">
            <v>38592.99</v>
          </cell>
        </row>
        <row r="235">
          <cell r="V235">
            <v>305659.3041537251</v>
          </cell>
          <cell r="W235">
            <v>319413.97284064273</v>
          </cell>
          <cell r="X235">
            <v>642070.35919999983</v>
          </cell>
        </row>
        <row r="236">
          <cell r="V236">
            <v>297196.02</v>
          </cell>
          <cell r="W236">
            <v>334238.02499999997</v>
          </cell>
          <cell r="X236">
            <v>973491.73</v>
          </cell>
        </row>
        <row r="238">
          <cell r="V238">
            <v>57418.25</v>
          </cell>
          <cell r="W238">
            <v>60002.071249999994</v>
          </cell>
        </row>
        <row r="239">
          <cell r="V239">
            <v>144204.47825999997</v>
          </cell>
          <cell r="W239">
            <v>150693.67978169996</v>
          </cell>
          <cell r="X239">
            <v>320096.00685322029</v>
          </cell>
        </row>
        <row r="240">
          <cell r="V240">
            <v>88888.551999999996</v>
          </cell>
          <cell r="W240">
            <v>92888.536839999986</v>
          </cell>
          <cell r="X240">
            <v>92888.536839999986</v>
          </cell>
        </row>
        <row r="241">
          <cell r="V241">
            <v>564085.91</v>
          </cell>
          <cell r="W241">
            <v>589469.77595000004</v>
          </cell>
          <cell r="X241">
            <v>589469.77595000004</v>
          </cell>
        </row>
        <row r="242">
          <cell r="V242">
            <v>72470.539999999994</v>
          </cell>
          <cell r="W242">
            <v>75731.714299999992</v>
          </cell>
          <cell r="X242">
            <v>75731.714299999992</v>
          </cell>
        </row>
        <row r="243">
          <cell r="V243">
            <v>5120.3999999999996</v>
          </cell>
          <cell r="W243">
            <v>5350.8179999999993</v>
          </cell>
          <cell r="X243">
            <v>5508.6079430508489</v>
          </cell>
        </row>
        <row r="244">
          <cell r="V244">
            <v>12796.04</v>
          </cell>
          <cell r="W244">
            <v>13371.861800000001</v>
          </cell>
          <cell r="X244">
            <v>13371.861800000001</v>
          </cell>
        </row>
        <row r="245">
          <cell r="V245">
            <v>112419.27122059999</v>
          </cell>
          <cell r="W245">
            <v>117478.13842552698</v>
          </cell>
          <cell r="X245">
            <v>147275.99940890036</v>
          </cell>
        </row>
        <row r="246">
          <cell r="V246">
            <v>1723.1736999999998</v>
          </cell>
          <cell r="W246">
            <v>1800.7165164999997</v>
          </cell>
          <cell r="X246">
            <v>1800.7165164999997</v>
          </cell>
        </row>
        <row r="247">
          <cell r="V247">
            <v>43428.9</v>
          </cell>
          <cell r="W247">
            <v>45383.200499999999</v>
          </cell>
          <cell r="X247">
            <v>46050.558721627123</v>
          </cell>
        </row>
        <row r="248">
          <cell r="V248">
            <v>160529.34</v>
          </cell>
          <cell r="W248">
            <v>167753.16029999999</v>
          </cell>
          <cell r="X248">
            <v>167753.16029999999</v>
          </cell>
        </row>
        <row r="249">
          <cell r="V249">
            <v>0</v>
          </cell>
          <cell r="W249">
            <v>0</v>
          </cell>
          <cell r="X249">
            <v>115.76357313600002</v>
          </cell>
        </row>
        <row r="251">
          <cell r="V251">
            <v>8260.75</v>
          </cell>
          <cell r="W251">
            <v>8632.4837499999994</v>
          </cell>
          <cell r="X251">
            <v>9615.84</v>
          </cell>
        </row>
        <row r="252">
          <cell r="V252">
            <v>978.11</v>
          </cell>
          <cell r="W252">
            <v>1022.1249499999999</v>
          </cell>
          <cell r="X252">
            <v>1022.1249499999999</v>
          </cell>
        </row>
        <row r="253">
          <cell r="V253">
            <v>38611.82</v>
          </cell>
          <cell r="W253">
            <v>40349.351899999994</v>
          </cell>
          <cell r="X253">
            <v>74315.759999999995</v>
          </cell>
        </row>
        <row r="254">
          <cell r="V254">
            <v>1351.72</v>
          </cell>
          <cell r="W254">
            <v>1412.5473999999999</v>
          </cell>
          <cell r="X254">
            <v>1471.14</v>
          </cell>
        </row>
        <row r="256">
          <cell r="V256">
            <v>94894.848929852014</v>
          </cell>
          <cell r="W256">
            <v>99875.162665224314</v>
          </cell>
          <cell r="X256">
            <v>240747.37227624294</v>
          </cell>
        </row>
        <row r="257">
          <cell r="V257">
            <v>0</v>
          </cell>
          <cell r="W257">
            <v>0</v>
          </cell>
          <cell r="X257">
            <v>0</v>
          </cell>
        </row>
        <row r="258">
          <cell r="V258">
            <v>0</v>
          </cell>
          <cell r="W258">
            <v>0</v>
          </cell>
          <cell r="X258">
            <v>0</v>
          </cell>
        </row>
        <row r="259">
          <cell r="V259">
            <v>0</v>
          </cell>
          <cell r="W259">
            <v>0</v>
          </cell>
          <cell r="X259">
            <v>0</v>
          </cell>
        </row>
        <row r="260">
          <cell r="V260">
            <v>0</v>
          </cell>
          <cell r="W260">
            <v>0</v>
          </cell>
          <cell r="X260">
            <v>0</v>
          </cell>
        </row>
        <row r="261">
          <cell r="V261">
            <v>0</v>
          </cell>
          <cell r="W261">
            <v>0</v>
          </cell>
          <cell r="X261">
            <v>0</v>
          </cell>
        </row>
        <row r="262">
          <cell r="V262">
            <v>0</v>
          </cell>
          <cell r="W262">
            <v>0</v>
          </cell>
          <cell r="X262">
            <v>0</v>
          </cell>
        </row>
        <row r="263">
          <cell r="V263">
            <v>345140.29777159984</v>
          </cell>
          <cell r="W263">
            <v>333453.19945632201</v>
          </cell>
          <cell r="X263">
            <v>5341487.6500000004</v>
          </cell>
        </row>
        <row r="264">
          <cell r="V264">
            <v>336598.63571940805</v>
          </cell>
          <cell r="W264">
            <v>354585.75646089728</v>
          </cell>
          <cell r="X264">
            <v>775756.23813897197</v>
          </cell>
        </row>
        <row r="266">
          <cell r="V266">
            <v>4671.9598899999992</v>
          </cell>
          <cell r="W266">
            <v>4882.1980850499986</v>
          </cell>
          <cell r="X266">
            <v>5116.54</v>
          </cell>
        </row>
        <row r="267">
          <cell r="V267">
            <v>20800</v>
          </cell>
          <cell r="W267">
            <v>21736</v>
          </cell>
          <cell r="X267">
            <v>21736</v>
          </cell>
        </row>
        <row r="269">
          <cell r="V269">
            <v>2949.29</v>
          </cell>
          <cell r="W269">
            <v>3082.0080499999999</v>
          </cell>
          <cell r="X269">
            <v>3485.1525999999999</v>
          </cell>
        </row>
        <row r="270">
          <cell r="V270">
            <v>0</v>
          </cell>
          <cell r="W270">
            <v>0</v>
          </cell>
          <cell r="X270">
            <v>0</v>
          </cell>
        </row>
        <row r="271">
          <cell r="V271">
            <v>0</v>
          </cell>
          <cell r="W271">
            <v>1</v>
          </cell>
          <cell r="X271">
            <v>0</v>
          </cell>
        </row>
        <row r="272">
          <cell r="V272">
            <v>147.91999999999999</v>
          </cell>
          <cell r="W272">
            <v>154.57639999999998</v>
          </cell>
          <cell r="X272">
            <v>154.57639999999998</v>
          </cell>
        </row>
        <row r="274">
          <cell r="V274">
            <v>0</v>
          </cell>
          <cell r="W274">
            <v>0</v>
          </cell>
        </row>
        <row r="275">
          <cell r="V275">
            <v>0</v>
          </cell>
          <cell r="W275">
            <v>0</v>
          </cell>
        </row>
        <row r="276">
          <cell r="V276">
            <v>0</v>
          </cell>
          <cell r="W276">
            <v>0</v>
          </cell>
        </row>
        <row r="277">
          <cell r="V277">
            <v>0</v>
          </cell>
          <cell r="W277">
            <v>0</v>
          </cell>
        </row>
        <row r="278">
          <cell r="V278">
            <v>0</v>
          </cell>
          <cell r="W278">
            <v>0</v>
          </cell>
        </row>
        <row r="279">
          <cell r="V279">
            <v>0</v>
          </cell>
          <cell r="W279">
            <v>0</v>
          </cell>
        </row>
        <row r="280">
          <cell r="V280">
            <v>0</v>
          </cell>
          <cell r="W280">
            <v>0</v>
          </cell>
          <cell r="X280">
            <v>0</v>
          </cell>
        </row>
        <row r="281">
          <cell r="V281">
            <v>0</v>
          </cell>
          <cell r="W281">
            <v>0</v>
          </cell>
          <cell r="X281">
            <v>400</v>
          </cell>
        </row>
        <row r="282">
          <cell r="V282">
            <v>0</v>
          </cell>
          <cell r="W282">
            <v>0</v>
          </cell>
          <cell r="X282">
            <v>0</v>
          </cell>
        </row>
        <row r="283">
          <cell r="V283">
            <v>0</v>
          </cell>
          <cell r="W283">
            <v>0</v>
          </cell>
          <cell r="X283">
            <v>1958.3825400000001</v>
          </cell>
        </row>
        <row r="284">
          <cell r="V284">
            <v>0</v>
          </cell>
          <cell r="W284">
            <v>0</v>
          </cell>
          <cell r="X284">
            <v>0</v>
          </cell>
        </row>
        <row r="285">
          <cell r="V285">
            <v>0</v>
          </cell>
          <cell r="W285">
            <v>0</v>
          </cell>
          <cell r="X285">
            <v>0</v>
          </cell>
        </row>
        <row r="286">
          <cell r="V286">
            <v>0</v>
          </cell>
          <cell r="W286">
            <v>0</v>
          </cell>
          <cell r="X286">
            <v>0</v>
          </cell>
        </row>
        <row r="287">
          <cell r="V287">
            <v>0</v>
          </cell>
          <cell r="W287">
            <v>0</v>
          </cell>
          <cell r="X287">
            <v>0</v>
          </cell>
        </row>
        <row r="288">
          <cell r="V288">
            <v>0</v>
          </cell>
          <cell r="W288">
            <v>0</v>
          </cell>
          <cell r="X288">
            <v>5825.4</v>
          </cell>
        </row>
        <row r="289">
          <cell r="V289">
            <v>0</v>
          </cell>
          <cell r="W289">
            <v>0</v>
          </cell>
          <cell r="X289">
            <v>1821.58</v>
          </cell>
        </row>
        <row r="290">
          <cell r="V290">
            <v>0</v>
          </cell>
          <cell r="W290">
            <v>0</v>
          </cell>
          <cell r="X290">
            <v>1061.49</v>
          </cell>
        </row>
        <row r="291">
          <cell r="V291">
            <v>0</v>
          </cell>
          <cell r="W291">
            <v>0</v>
          </cell>
          <cell r="X291">
            <v>3983.35</v>
          </cell>
        </row>
        <row r="292">
          <cell r="V292">
            <v>0</v>
          </cell>
          <cell r="W292">
            <v>0</v>
          </cell>
          <cell r="X292">
            <v>13777.9</v>
          </cell>
        </row>
        <row r="293">
          <cell r="V293">
            <v>0</v>
          </cell>
          <cell r="W293">
            <v>0</v>
          </cell>
          <cell r="X293">
            <v>750</v>
          </cell>
        </row>
        <row r="295">
          <cell r="V295">
            <v>0</v>
          </cell>
          <cell r="W295">
            <v>0</v>
          </cell>
        </row>
        <row r="296">
          <cell r="V296">
            <v>0</v>
          </cell>
          <cell r="W296">
            <v>0</v>
          </cell>
        </row>
        <row r="297">
          <cell r="V297">
            <v>0</v>
          </cell>
          <cell r="W297">
            <v>0</v>
          </cell>
        </row>
        <row r="298">
          <cell r="V298">
            <v>0</v>
          </cell>
          <cell r="W298">
            <v>0</v>
          </cell>
          <cell r="X298">
            <v>0</v>
          </cell>
        </row>
        <row r="299">
          <cell r="V299">
            <v>0</v>
          </cell>
          <cell r="W299">
            <v>0</v>
          </cell>
          <cell r="X299">
            <v>4258.62</v>
          </cell>
        </row>
        <row r="300">
          <cell r="V300">
            <v>0</v>
          </cell>
          <cell r="W300">
            <v>0</v>
          </cell>
          <cell r="X300">
            <v>225.49</v>
          </cell>
        </row>
        <row r="301">
          <cell r="V301">
            <v>0</v>
          </cell>
          <cell r="W301">
            <v>0</v>
          </cell>
          <cell r="X301">
            <v>0</v>
          </cell>
        </row>
        <row r="302">
          <cell r="V302">
            <v>0</v>
          </cell>
          <cell r="W302">
            <v>0</v>
          </cell>
          <cell r="X302">
            <v>0</v>
          </cell>
        </row>
        <row r="303">
          <cell r="V303">
            <v>0</v>
          </cell>
          <cell r="W303">
            <v>0</v>
          </cell>
        </row>
        <row r="304">
          <cell r="V304">
            <v>0</v>
          </cell>
          <cell r="W304">
            <v>0</v>
          </cell>
          <cell r="X304">
            <v>211.19417600000003</v>
          </cell>
        </row>
        <row r="305">
          <cell r="V305">
            <v>0</v>
          </cell>
          <cell r="W305">
            <v>0</v>
          </cell>
          <cell r="X305">
            <v>50.954250000000002</v>
          </cell>
        </row>
        <row r="306">
          <cell r="X306">
            <v>224.24</v>
          </cell>
        </row>
        <row r="307">
          <cell r="X307">
            <v>1731.91</v>
          </cell>
        </row>
        <row r="308">
          <cell r="X30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sheetData sheetId="2" refreshError="1"/>
      <sheetData sheetId="3" refreshError="1">
        <row r="234">
          <cell r="M234">
            <v>3366322.6399237323</v>
          </cell>
          <cell r="N234">
            <v>3793845.75538</v>
          </cell>
          <cell r="O234">
            <v>3690864.4627100006</v>
          </cell>
          <cell r="P234">
            <v>3646820.4260425325</v>
          </cell>
          <cell r="Q234">
            <v>3649956.6555725327</v>
          </cell>
          <cell r="R234">
            <v>3630700.3747625328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реализационные"/>
      <sheetName val="форма -2"/>
      <sheetName val="БДР свернутый"/>
      <sheetName val="1.БДР_свернутый"/>
      <sheetName val="2.Баланс.пок.+  карта ВР 2014"/>
      <sheetName val="2.1. Бал показатели 2015"/>
      <sheetName val="3. Доходы по передаче ээ 2015"/>
      <sheetName val="4. Расходы (потери) 2015"/>
      <sheetName val="5.Тех.присоединение "/>
      <sheetName val="6. Инвест.программа"/>
      <sheetName val="ПВД скорр. 25.08.15"/>
      <sheetName val="7.ПВД"/>
      <sheetName val="8.Бюджет на 2015"/>
      <sheetName val="Бюджет на 2014г. (2)"/>
      <sheetName val="1. Тарифные источники "/>
      <sheetName val="9. Тарифные источники "/>
      <sheetName val="9.1 Тарифные источники  "/>
      <sheetName val="Гл бух"/>
      <sheetName val="Дир_по фин"/>
      <sheetName val="Дир_по корп"/>
      <sheetName val="Дир_ по реал.услуг"/>
      <sheetName val="Инвест.программа"/>
      <sheetName val="Дир_ имущ"/>
      <sheetName val="Пом_ГД"/>
      <sheetName val="Гл инж_Тех дир"/>
      <sheetName val="СБ"/>
      <sheetName val="Дир_по экон"/>
      <sheetName val="Дир_ по кап.стр."/>
      <sheetName val="Бюджет на 2015 по ЦФУ"/>
      <sheetName val="1.7 лимит расходов"/>
      <sheetName val="2.3 смета расходов"/>
      <sheetName val="7.КПЭ Лимит расходов"/>
      <sheetName val="7. смета расходов 2015"/>
      <sheetName val="8. лимит расходов 2015"/>
      <sheetName val="10. внереализ. расх 2015"/>
      <sheetName val="комп_некомп"/>
      <sheetName val="компен_не компен"/>
    </sheetNames>
    <sheetDataSet>
      <sheetData sheetId="0"/>
      <sheetData sheetId="1"/>
      <sheetData sheetId="2"/>
      <sheetData sheetId="3">
        <row r="38">
          <cell r="AI38">
            <v>345140.29777159984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AT7">
            <v>0</v>
          </cell>
          <cell r="AW7">
            <v>0</v>
          </cell>
        </row>
        <row r="8">
          <cell r="AT8">
            <v>0</v>
          </cell>
          <cell r="AW8">
            <v>0</v>
          </cell>
        </row>
        <row r="9">
          <cell r="AT9">
            <v>0</v>
          </cell>
          <cell r="AW9">
            <v>250000</v>
          </cell>
        </row>
        <row r="10">
          <cell r="AT10">
            <v>1500000</v>
          </cell>
          <cell r="AW10">
            <v>1500000</v>
          </cell>
        </row>
        <row r="11">
          <cell r="C11">
            <v>12245341.439999999</v>
          </cell>
          <cell r="D11">
            <v>1097273.3</v>
          </cell>
          <cell r="E11">
            <v>5261046</v>
          </cell>
          <cell r="F11">
            <v>107659242.14</v>
          </cell>
          <cell r="G11">
            <v>1026670.0000000001</v>
          </cell>
          <cell r="L11">
            <v>1083136.8500000001</v>
          </cell>
          <cell r="AE11">
            <v>53517540.250000007</v>
          </cell>
          <cell r="AM11">
            <v>3250000</v>
          </cell>
          <cell r="AO11">
            <v>0</v>
          </cell>
        </row>
      </sheetData>
      <sheetData sheetId="18">
        <row r="7">
          <cell r="AT7">
            <v>0</v>
          </cell>
          <cell r="AW7">
            <v>0</v>
          </cell>
        </row>
        <row r="8">
          <cell r="AT8">
            <v>0</v>
          </cell>
          <cell r="AW8">
            <v>0</v>
          </cell>
        </row>
        <row r="9">
          <cell r="AT9">
            <v>64570767.140000001</v>
          </cell>
          <cell r="AW9">
            <v>63769232.880000003</v>
          </cell>
        </row>
        <row r="10">
          <cell r="AT10">
            <v>99873057.530000001</v>
          </cell>
          <cell r="AW10">
            <v>107038219.18000001</v>
          </cell>
        </row>
        <row r="11">
          <cell r="AT11">
            <v>34532.639999999999</v>
          </cell>
          <cell r="AW11">
            <v>37332.639999999999</v>
          </cell>
        </row>
        <row r="12">
          <cell r="AT12">
            <v>940276.28</v>
          </cell>
          <cell r="AW12">
            <v>816419.44</v>
          </cell>
        </row>
        <row r="13">
          <cell r="AT13">
            <v>0</v>
          </cell>
          <cell r="AW13">
            <v>0</v>
          </cell>
        </row>
        <row r="14">
          <cell r="AT14">
            <v>0</v>
          </cell>
          <cell r="AW14">
            <v>0</v>
          </cell>
        </row>
        <row r="16">
          <cell r="C16">
            <v>679919724.98000002</v>
          </cell>
          <cell r="D16">
            <v>139322331.96000001</v>
          </cell>
          <cell r="E16">
            <v>528180451.89999998</v>
          </cell>
          <cell r="F16">
            <v>390347889.87</v>
          </cell>
          <cell r="G16">
            <v>144421959.93782499</v>
          </cell>
          <cell r="H16">
            <v>430740108.09000003</v>
          </cell>
          <cell r="J16">
            <v>2496504.6599999731</v>
          </cell>
          <cell r="K16">
            <v>107.38785434593559</v>
          </cell>
          <cell r="L16">
            <v>150452457.09999999</v>
          </cell>
        </row>
      </sheetData>
      <sheetData sheetId="19">
        <row r="7">
          <cell r="AT7">
            <v>159145.08000000002</v>
          </cell>
          <cell r="AW7">
            <v>157988.12</v>
          </cell>
        </row>
        <row r="8">
          <cell r="AT8">
            <v>304659.51</v>
          </cell>
          <cell r="AW8">
            <v>309659.46999999997</v>
          </cell>
        </row>
        <row r="9">
          <cell r="AT9">
            <v>657407.79</v>
          </cell>
          <cell r="AW9">
            <v>655423.97499999998</v>
          </cell>
        </row>
        <row r="10">
          <cell r="AT10">
            <v>17921.150000000001</v>
          </cell>
          <cell r="AW10">
            <v>18215.259999999998</v>
          </cell>
        </row>
        <row r="11">
          <cell r="AT11">
            <v>1139398</v>
          </cell>
          <cell r="AW11">
            <v>1170767.9099999999</v>
          </cell>
        </row>
        <row r="12">
          <cell r="AT12">
            <v>500000</v>
          </cell>
          <cell r="AW12">
            <v>80000</v>
          </cell>
        </row>
        <row r="13">
          <cell r="AT13">
            <v>0</v>
          </cell>
          <cell r="AW13">
            <v>567791.19999999995</v>
          </cell>
        </row>
        <row r="14">
          <cell r="AT14">
            <v>310000</v>
          </cell>
          <cell r="AW14">
            <v>0</v>
          </cell>
        </row>
        <row r="15">
          <cell r="AT15">
            <v>0</v>
          </cell>
          <cell r="AW15">
            <v>0</v>
          </cell>
        </row>
        <row r="16">
          <cell r="AT16">
            <v>475507</v>
          </cell>
          <cell r="AW16">
            <v>475507.02</v>
          </cell>
        </row>
        <row r="17">
          <cell r="AT17">
            <v>309519.5</v>
          </cell>
          <cell r="AW17">
            <v>309519.5</v>
          </cell>
        </row>
        <row r="18">
          <cell r="AT18">
            <v>0</v>
          </cell>
          <cell r="AW18">
            <v>3000</v>
          </cell>
        </row>
        <row r="19">
          <cell r="AT19">
            <v>87233</v>
          </cell>
          <cell r="AW19">
            <v>87233</v>
          </cell>
        </row>
        <row r="23">
          <cell r="AT23">
            <v>77744.27</v>
          </cell>
          <cell r="AW23">
            <v>77744.27</v>
          </cell>
        </row>
        <row r="25">
          <cell r="AT25">
            <v>70487.95</v>
          </cell>
          <cell r="AW25">
            <v>70487.94</v>
          </cell>
        </row>
        <row r="26">
          <cell r="AT26">
            <v>5788.27</v>
          </cell>
          <cell r="AW26">
            <v>320788.27</v>
          </cell>
        </row>
        <row r="30">
          <cell r="AT30">
            <v>0</v>
          </cell>
          <cell r="AW30">
            <v>0</v>
          </cell>
        </row>
        <row r="31">
          <cell r="AT31">
            <v>500000</v>
          </cell>
          <cell r="AW31">
            <v>1245000</v>
          </cell>
        </row>
        <row r="32">
          <cell r="AT32">
            <v>1597897.21</v>
          </cell>
          <cell r="AW32">
            <v>1225929.31</v>
          </cell>
        </row>
        <row r="33">
          <cell r="AT33">
            <v>6400000</v>
          </cell>
          <cell r="AW33">
            <v>5000000</v>
          </cell>
        </row>
        <row r="37">
          <cell r="AT37">
            <v>21973.38000000082</v>
          </cell>
          <cell r="AW37">
            <v>73548.870000001043</v>
          </cell>
        </row>
        <row r="38">
          <cell r="AT38">
            <v>239953.01</v>
          </cell>
          <cell r="AW38">
            <v>311241.84000000003</v>
          </cell>
        </row>
        <row r="39">
          <cell r="AT39">
            <v>30000</v>
          </cell>
          <cell r="AW39">
            <v>52241.46</v>
          </cell>
        </row>
        <row r="40">
          <cell r="AT40">
            <v>190313.98</v>
          </cell>
          <cell r="AW40">
            <v>750482.68</v>
          </cell>
        </row>
        <row r="44">
          <cell r="AT44">
            <v>0</v>
          </cell>
          <cell r="AW44">
            <v>0</v>
          </cell>
        </row>
        <row r="45">
          <cell r="AT45">
            <v>100000</v>
          </cell>
          <cell r="AW45">
            <v>20000</v>
          </cell>
        </row>
        <row r="46">
          <cell r="AT46">
            <v>130000</v>
          </cell>
          <cell r="AW46">
            <v>130000</v>
          </cell>
        </row>
        <row r="47">
          <cell r="AT47">
            <v>0</v>
          </cell>
          <cell r="AW47">
            <v>0</v>
          </cell>
        </row>
        <row r="48">
          <cell r="AT48">
            <v>135000</v>
          </cell>
          <cell r="AW48">
            <v>85000</v>
          </cell>
        </row>
        <row r="49">
          <cell r="AT49">
            <v>1343178</v>
          </cell>
          <cell r="AW49">
            <v>895452</v>
          </cell>
        </row>
        <row r="50">
          <cell r="AT50">
            <v>104049</v>
          </cell>
          <cell r="AW50">
            <v>0</v>
          </cell>
        </row>
        <row r="54">
          <cell r="AT54">
            <v>0</v>
          </cell>
          <cell r="AW54">
            <v>1013484.56</v>
          </cell>
        </row>
        <row r="55">
          <cell r="AT55">
            <v>522733.24</v>
          </cell>
          <cell r="AW55">
            <v>461317.04</v>
          </cell>
          <cell r="AY55" t="str">
            <v>Директор по корпоративному управлению</v>
          </cell>
        </row>
        <row r="58">
          <cell r="C58">
            <v>42716772.939999998</v>
          </cell>
          <cell r="D58">
            <v>25722935.0519986</v>
          </cell>
          <cell r="E58">
            <v>30563801.640000001</v>
          </cell>
          <cell r="F58">
            <v>30804686.870000005</v>
          </cell>
          <cell r="G58">
            <v>18094596.613537673</v>
          </cell>
          <cell r="H58">
            <v>226874610.94</v>
          </cell>
          <cell r="J58">
            <v>4902011.7799999993</v>
          </cell>
          <cell r="N58">
            <v>77530156.251192242</v>
          </cell>
          <cell r="P58">
            <v>-135715841.59500003</v>
          </cell>
          <cell r="R58">
            <v>74627576.61500001</v>
          </cell>
          <cell r="T58">
            <v>302.72563458171834</v>
          </cell>
          <cell r="U58">
            <v>-21433204.509999998</v>
          </cell>
          <cell r="AD58">
            <v>48101661.850000001</v>
          </cell>
          <cell r="AE58">
            <v>43629843.579999998</v>
          </cell>
          <cell r="AF58">
            <v>-4471818.2700000014</v>
          </cell>
        </row>
      </sheetData>
      <sheetData sheetId="20">
        <row r="7">
          <cell r="AT7">
            <v>1877480971.5526292</v>
          </cell>
          <cell r="AW7">
            <v>1914249621.3955956</v>
          </cell>
        </row>
        <row r="8">
          <cell r="AT8">
            <v>695740842.2927655</v>
          </cell>
          <cell r="AW8">
            <v>869130978.85349047</v>
          </cell>
        </row>
        <row r="9">
          <cell r="AT9">
            <v>5907093.3300000001</v>
          </cell>
          <cell r="AW9">
            <v>10603057.18</v>
          </cell>
        </row>
        <row r="15">
          <cell r="AT15">
            <v>747620.15</v>
          </cell>
          <cell r="AW15">
            <v>747620.15</v>
          </cell>
        </row>
        <row r="16">
          <cell r="AT16">
            <v>7333041.4299999997</v>
          </cell>
          <cell r="AW16">
            <v>7333041.4299999997</v>
          </cell>
        </row>
        <row r="17">
          <cell r="AT17">
            <v>12463733.970000001</v>
          </cell>
          <cell r="AW17">
            <v>5233183.34</v>
          </cell>
        </row>
        <row r="21">
          <cell r="AT21">
            <v>29227889.210000001</v>
          </cell>
          <cell r="AW21">
            <v>26727889.210000001</v>
          </cell>
        </row>
        <row r="22">
          <cell r="AT22">
            <v>301000</v>
          </cell>
          <cell r="AW22">
            <v>101000</v>
          </cell>
        </row>
        <row r="23">
          <cell r="AT23">
            <v>425000</v>
          </cell>
          <cell r="AW23">
            <v>198500</v>
          </cell>
        </row>
        <row r="24">
          <cell r="AT24">
            <v>3554180</v>
          </cell>
          <cell r="AW24">
            <v>2500000</v>
          </cell>
        </row>
        <row r="25">
          <cell r="AT25">
            <v>516003</v>
          </cell>
          <cell r="AW25">
            <v>743000</v>
          </cell>
        </row>
        <row r="26">
          <cell r="AT26">
            <v>2001301</v>
          </cell>
          <cell r="AW26">
            <v>2097457.63</v>
          </cell>
        </row>
        <row r="27">
          <cell r="AT27">
            <v>0</v>
          </cell>
          <cell r="AW27">
            <v>1591812.54</v>
          </cell>
        </row>
        <row r="28">
          <cell r="AT28">
            <v>250000</v>
          </cell>
          <cell r="AW28">
            <v>250000</v>
          </cell>
        </row>
        <row r="29">
          <cell r="AT29">
            <v>291700</v>
          </cell>
          <cell r="AW29">
            <v>251800</v>
          </cell>
        </row>
        <row r="30">
          <cell r="AT30">
            <v>762711.86</v>
          </cell>
          <cell r="AW30">
            <v>338983.05</v>
          </cell>
        </row>
        <row r="31">
          <cell r="AT31">
            <v>3447000</v>
          </cell>
          <cell r="AW31">
            <v>3447000</v>
          </cell>
        </row>
        <row r="37">
          <cell r="AT37">
            <v>0</v>
          </cell>
          <cell r="AW37">
            <v>0</v>
          </cell>
        </row>
        <row r="46">
          <cell r="C46">
            <v>13107078760.320002</v>
          </cell>
          <cell r="D46">
            <v>12840566767.086704</v>
          </cell>
          <cell r="E46">
            <v>13003948210.370001</v>
          </cell>
          <cell r="F46">
            <v>12787087750.089998</v>
          </cell>
          <cell r="G46">
            <v>9043316624.7603512</v>
          </cell>
          <cell r="H46">
            <v>9119566343.3937607</v>
          </cell>
          <cell r="J46">
            <v>242294379.56624025</v>
          </cell>
          <cell r="N46">
            <v>138308476.67397663</v>
          </cell>
          <cell r="P46">
            <v>1352994783.3780797</v>
          </cell>
          <cell r="R46">
            <v>10787467670.074478</v>
          </cell>
          <cell r="T46">
            <v>1.9942296840245177</v>
          </cell>
          <cell r="U46">
            <v>72612163.736400396</v>
          </cell>
          <cell r="AD46">
            <v>5256853811.0050049</v>
          </cell>
          <cell r="AE46">
            <v>5301472637.5</v>
          </cell>
          <cell r="AF46">
            <v>44618826.494994968</v>
          </cell>
        </row>
      </sheetData>
      <sheetData sheetId="21"/>
      <sheetData sheetId="22">
        <row r="7">
          <cell r="AT7">
            <v>0</v>
          </cell>
          <cell r="AW7">
            <v>0</v>
          </cell>
        </row>
        <row r="8">
          <cell r="AT8">
            <v>0</v>
          </cell>
          <cell r="AW8">
            <v>0</v>
          </cell>
        </row>
        <row r="9">
          <cell r="AT9">
            <v>12987909.26</v>
          </cell>
          <cell r="AW9">
            <v>12987909.26</v>
          </cell>
        </row>
        <row r="10">
          <cell r="AT10">
            <v>0</v>
          </cell>
          <cell r="AW10">
            <v>0</v>
          </cell>
        </row>
        <row r="11">
          <cell r="AT11">
            <v>7872740.1900000004</v>
          </cell>
          <cell r="AW11">
            <v>0</v>
          </cell>
        </row>
        <row r="12">
          <cell r="AT12">
            <v>42303129.32</v>
          </cell>
          <cell r="AW12">
            <v>40621221.719999999</v>
          </cell>
        </row>
        <row r="13">
          <cell r="AT13">
            <v>27817299.57</v>
          </cell>
          <cell r="AW13">
            <v>16986197.800000001</v>
          </cell>
        </row>
        <row r="14">
          <cell r="AT14">
            <v>145482811.05000001</v>
          </cell>
          <cell r="AW14">
            <v>142044251.72999999</v>
          </cell>
        </row>
        <row r="15">
          <cell r="AT15">
            <v>16200989.359999999</v>
          </cell>
          <cell r="AW15">
            <v>16200989.359999999</v>
          </cell>
        </row>
        <row r="16">
          <cell r="AT16">
            <v>8547171.5999999996</v>
          </cell>
          <cell r="AW16">
            <v>8547171.5999999996</v>
          </cell>
        </row>
        <row r="17">
          <cell r="AT17">
            <v>3391273.39</v>
          </cell>
          <cell r="AW17">
            <v>3391273.39</v>
          </cell>
        </row>
        <row r="18">
          <cell r="AT18">
            <v>30192565.170000002</v>
          </cell>
          <cell r="AW18">
            <v>30192565.170000002</v>
          </cell>
        </row>
        <row r="19">
          <cell r="AT19">
            <v>238271.19</v>
          </cell>
          <cell r="AW19">
            <v>238271.19</v>
          </cell>
        </row>
        <row r="20">
          <cell r="AT20">
            <v>10568732.689999999</v>
          </cell>
          <cell r="AW20">
            <v>10568732.689999999</v>
          </cell>
        </row>
        <row r="21">
          <cell r="AT21">
            <v>38711772.299999997</v>
          </cell>
          <cell r="AW21">
            <v>38711772.299999997</v>
          </cell>
        </row>
        <row r="22">
          <cell r="AT22">
            <v>42000</v>
          </cell>
          <cell r="AW22">
            <v>61000</v>
          </cell>
        </row>
        <row r="23">
          <cell r="AT23">
            <v>0</v>
          </cell>
          <cell r="AW23">
            <v>0</v>
          </cell>
        </row>
        <row r="24">
          <cell r="AT24">
            <v>0</v>
          </cell>
          <cell r="AW24">
            <v>0</v>
          </cell>
        </row>
        <row r="25">
          <cell r="AT25">
            <v>0</v>
          </cell>
          <cell r="AW25">
            <v>0</v>
          </cell>
        </row>
        <row r="26">
          <cell r="AT26">
            <v>0</v>
          </cell>
          <cell r="AW26">
            <v>0</v>
          </cell>
        </row>
        <row r="27">
          <cell r="AT27">
            <v>3461959.05</v>
          </cell>
          <cell r="AW27">
            <v>500000</v>
          </cell>
        </row>
        <row r="28">
          <cell r="AT28">
            <v>2800000</v>
          </cell>
          <cell r="AW28">
            <v>300000</v>
          </cell>
        </row>
        <row r="29">
          <cell r="AT29">
            <v>0</v>
          </cell>
          <cell r="AW29">
            <v>0</v>
          </cell>
        </row>
        <row r="30">
          <cell r="AT30">
            <v>206720.96</v>
          </cell>
          <cell r="AW30">
            <v>190000</v>
          </cell>
        </row>
        <row r="31">
          <cell r="AT31">
            <v>2753241.55</v>
          </cell>
          <cell r="AW31">
            <v>2753241.55</v>
          </cell>
        </row>
        <row r="32">
          <cell r="AT32">
            <v>0</v>
          </cell>
          <cell r="AW32">
            <v>0</v>
          </cell>
        </row>
        <row r="33">
          <cell r="AT33">
            <v>0</v>
          </cell>
          <cell r="AW33">
            <v>0</v>
          </cell>
        </row>
        <row r="34">
          <cell r="AT34">
            <v>0</v>
          </cell>
          <cell r="AW34">
            <v>0</v>
          </cell>
        </row>
        <row r="35">
          <cell r="AT35">
            <v>0</v>
          </cell>
          <cell r="AW35">
            <v>0</v>
          </cell>
        </row>
        <row r="38">
          <cell r="C38">
            <v>1971547871.3099999</v>
          </cell>
          <cell r="D38">
            <v>1147195663.0700002</v>
          </cell>
          <cell r="E38">
            <v>1726964956.96</v>
          </cell>
          <cell r="F38">
            <v>1694317484.6199999</v>
          </cell>
          <cell r="G38">
            <v>1377038698.7072806</v>
          </cell>
          <cell r="H38">
            <v>1429751852.2800002</v>
          </cell>
          <cell r="J38">
            <v>1764175.189999897</v>
          </cell>
          <cell r="N38">
            <v>93267646.999400035</v>
          </cell>
          <cell r="P38">
            <v>-73588726.789999977</v>
          </cell>
          <cell r="R38">
            <v>1376035887.7600002</v>
          </cell>
          <cell r="T38">
            <v>8.8068148418633001</v>
          </cell>
          <cell r="U38">
            <v>18108587.079999972</v>
          </cell>
        </row>
        <row r="41">
          <cell r="AT41">
            <v>650260</v>
          </cell>
          <cell r="AW41">
            <v>606660</v>
          </cell>
        </row>
        <row r="42">
          <cell r="AT42">
            <v>361889.03</v>
          </cell>
          <cell r="AW42">
            <v>388485.29</v>
          </cell>
        </row>
        <row r="43">
          <cell r="AT43">
            <v>162099.73000000001</v>
          </cell>
          <cell r="AW43">
            <v>166218.98000000001</v>
          </cell>
        </row>
        <row r="44">
          <cell r="AT44">
            <v>203259.73</v>
          </cell>
          <cell r="AW44">
            <v>203259.73</v>
          </cell>
        </row>
        <row r="45">
          <cell r="AT45">
            <v>183740</v>
          </cell>
          <cell r="AW45">
            <v>10850</v>
          </cell>
        </row>
        <row r="46">
          <cell r="AT46">
            <v>164739.81</v>
          </cell>
          <cell r="AW46">
            <v>155179.89000000001</v>
          </cell>
        </row>
        <row r="47">
          <cell r="AT47">
            <v>354150.5</v>
          </cell>
          <cell r="AW47">
            <v>320030</v>
          </cell>
        </row>
        <row r="48">
          <cell r="AT48">
            <v>841191.9</v>
          </cell>
          <cell r="AW48">
            <v>1034191.9</v>
          </cell>
        </row>
        <row r="49">
          <cell r="AT49">
            <v>233153.86</v>
          </cell>
          <cell r="AW49">
            <v>247531.61</v>
          </cell>
        </row>
        <row r="50">
          <cell r="AT50">
            <v>306708.5</v>
          </cell>
          <cell r="AW50">
            <v>256746.27</v>
          </cell>
        </row>
        <row r="51">
          <cell r="AT51">
            <v>44689.2</v>
          </cell>
          <cell r="AW51">
            <v>2432097.7000000002</v>
          </cell>
        </row>
        <row r="52">
          <cell r="AT52">
            <v>290329.51</v>
          </cell>
          <cell r="AW52">
            <v>296884.52</v>
          </cell>
        </row>
        <row r="53">
          <cell r="AT53">
            <v>326388.01</v>
          </cell>
          <cell r="AW53">
            <v>313939.33</v>
          </cell>
        </row>
        <row r="54">
          <cell r="AT54">
            <v>23100</v>
          </cell>
          <cell r="AW54">
            <v>374091.52000000002</v>
          </cell>
        </row>
        <row r="55">
          <cell r="AT55">
            <v>40000</v>
          </cell>
          <cell r="AW55">
            <v>80885.5</v>
          </cell>
        </row>
        <row r="56">
          <cell r="AT56">
            <v>10522.21</v>
          </cell>
          <cell r="AW56">
            <v>118000</v>
          </cell>
        </row>
        <row r="57">
          <cell r="AT57">
            <v>0</v>
          </cell>
          <cell r="AW57">
            <v>0</v>
          </cell>
        </row>
        <row r="58">
          <cell r="AT58">
            <v>0</v>
          </cell>
          <cell r="AW58">
            <v>0</v>
          </cell>
        </row>
        <row r="59">
          <cell r="AT59">
            <v>0</v>
          </cell>
          <cell r="AW59">
            <v>4517196.93</v>
          </cell>
        </row>
        <row r="60">
          <cell r="AT60">
            <v>90000</v>
          </cell>
          <cell r="AW60">
            <v>582953.68000000005</v>
          </cell>
        </row>
        <row r="61">
          <cell r="AT61">
            <v>27641.3</v>
          </cell>
          <cell r="AW61">
            <v>27641.3</v>
          </cell>
        </row>
        <row r="65">
          <cell r="AT65">
            <v>581550.78</v>
          </cell>
          <cell r="AW65">
            <v>0</v>
          </cell>
        </row>
        <row r="66">
          <cell r="AT66">
            <v>53471.08</v>
          </cell>
          <cell r="AW66">
            <v>0</v>
          </cell>
        </row>
        <row r="67">
          <cell r="AT67">
            <v>4579392.0999999996</v>
          </cell>
          <cell r="AW67">
            <v>8512028.2899999991</v>
          </cell>
        </row>
      </sheetData>
      <sheetData sheetId="23">
        <row r="33">
          <cell r="C33">
            <v>33807223.539999999</v>
          </cell>
          <cell r="D33">
            <v>29330671.741998594</v>
          </cell>
          <cell r="E33">
            <v>30309852.469999999</v>
          </cell>
          <cell r="F33">
            <v>37457056.960000001</v>
          </cell>
          <cell r="G33">
            <v>21330297.715960819</v>
          </cell>
          <cell r="H33">
            <v>0</v>
          </cell>
          <cell r="J33">
            <v>34121112.660000011</v>
          </cell>
          <cell r="N33">
            <v>14868725.040000003</v>
          </cell>
          <cell r="P33">
            <v>6281786.6099999985</v>
          </cell>
          <cell r="R33">
            <v>12970601.01</v>
          </cell>
          <cell r="T33">
            <v>21150511.649999995</v>
          </cell>
          <cell r="U33">
            <v>20945887.770000003</v>
          </cell>
          <cell r="Y33">
            <v>36498418.410000004</v>
          </cell>
          <cell r="Z33">
            <v>2377305.7499999995</v>
          </cell>
          <cell r="AA33">
            <v>27968018.504401542</v>
          </cell>
        </row>
      </sheetData>
      <sheetData sheetId="24">
        <row r="7">
          <cell r="AT7">
            <v>2648568.9</v>
          </cell>
          <cell r="AW7">
            <v>2708591.9</v>
          </cell>
        </row>
        <row r="8">
          <cell r="AT8">
            <v>58612.480000000003</v>
          </cell>
          <cell r="AW8">
            <v>31683.87</v>
          </cell>
        </row>
        <row r="9">
          <cell r="AT9">
            <v>950000</v>
          </cell>
          <cell r="AW9">
            <v>978000</v>
          </cell>
        </row>
        <row r="10">
          <cell r="AT10">
            <v>212389</v>
          </cell>
          <cell r="AW10">
            <v>242389</v>
          </cell>
        </row>
        <row r="11">
          <cell r="AT11">
            <v>875539.18</v>
          </cell>
          <cell r="AW11">
            <v>748586.85</v>
          </cell>
        </row>
        <row r="12">
          <cell r="AT12">
            <v>1000000</v>
          </cell>
          <cell r="AW12">
            <v>1666831.73</v>
          </cell>
        </row>
        <row r="13">
          <cell r="AT13">
            <v>38180.47</v>
          </cell>
          <cell r="AW13">
            <v>50000</v>
          </cell>
        </row>
        <row r="14">
          <cell r="AT14">
            <v>53300</v>
          </cell>
          <cell r="AW14">
            <v>53305.17</v>
          </cell>
        </row>
        <row r="15">
          <cell r="AT15">
            <v>0</v>
          </cell>
          <cell r="AW15">
            <v>0</v>
          </cell>
        </row>
        <row r="16">
          <cell r="AT16">
            <v>2427644</v>
          </cell>
          <cell r="AW16">
            <v>2427644</v>
          </cell>
        </row>
        <row r="17">
          <cell r="AT17">
            <v>46455.67</v>
          </cell>
          <cell r="AW17">
            <v>46455.67</v>
          </cell>
        </row>
        <row r="18">
          <cell r="AT18">
            <v>428702.99</v>
          </cell>
          <cell r="AW18">
            <v>415042.79</v>
          </cell>
        </row>
        <row r="19">
          <cell r="AT19">
            <v>0</v>
          </cell>
          <cell r="AW19">
            <v>0</v>
          </cell>
        </row>
        <row r="23">
          <cell r="AT23">
            <v>143050.51</v>
          </cell>
          <cell r="AW23">
            <v>197702.41</v>
          </cell>
        </row>
        <row r="24">
          <cell r="AT24">
            <v>1031085.07</v>
          </cell>
          <cell r="AW24">
            <v>1029085.09</v>
          </cell>
        </row>
        <row r="25">
          <cell r="AT25">
            <v>80179.259999999995</v>
          </cell>
          <cell r="AW25">
            <v>99929.26</v>
          </cell>
        </row>
        <row r="26">
          <cell r="AT26">
            <v>292669.67</v>
          </cell>
          <cell r="AW26">
            <v>292669.67</v>
          </cell>
        </row>
        <row r="27">
          <cell r="AT27">
            <v>1468196.42</v>
          </cell>
          <cell r="AW27">
            <v>1484317.44</v>
          </cell>
        </row>
        <row r="28">
          <cell r="AT28">
            <v>16994000</v>
          </cell>
          <cell r="AW28">
            <v>16841000</v>
          </cell>
        </row>
        <row r="29">
          <cell r="AT29">
            <v>154000</v>
          </cell>
          <cell r="AW29">
            <v>118774.83</v>
          </cell>
        </row>
        <row r="30">
          <cell r="AT30">
            <v>220431.11</v>
          </cell>
          <cell r="AW30">
            <v>220431</v>
          </cell>
        </row>
        <row r="31">
          <cell r="AT31">
            <v>4335337.08</v>
          </cell>
          <cell r="AW31">
            <v>4335337.08</v>
          </cell>
        </row>
        <row r="32">
          <cell r="AT32">
            <v>3489966.1</v>
          </cell>
          <cell r="AW32">
            <v>3489966.1</v>
          </cell>
        </row>
        <row r="33">
          <cell r="AT33">
            <v>1598774.79</v>
          </cell>
          <cell r="AW33">
            <v>2197000</v>
          </cell>
        </row>
        <row r="34">
          <cell r="AT34">
            <v>816521.91</v>
          </cell>
          <cell r="AW34">
            <v>1758378.3</v>
          </cell>
        </row>
        <row r="35">
          <cell r="AT35">
            <v>0</v>
          </cell>
          <cell r="AW35">
            <v>0</v>
          </cell>
        </row>
        <row r="36">
          <cell r="AT36">
            <v>194922.2</v>
          </cell>
          <cell r="AW36">
            <v>184400</v>
          </cell>
        </row>
        <row r="37">
          <cell r="AT37">
            <v>99354.92</v>
          </cell>
          <cell r="AW37">
            <v>165000</v>
          </cell>
        </row>
        <row r="38">
          <cell r="AT38">
            <v>10985.71</v>
          </cell>
          <cell r="AW38">
            <v>6971.42</v>
          </cell>
        </row>
        <row r="39">
          <cell r="AT39">
            <v>55000</v>
          </cell>
          <cell r="AW39">
            <v>185611.29</v>
          </cell>
        </row>
        <row r="40">
          <cell r="AT40">
            <v>300000</v>
          </cell>
          <cell r="AW40">
            <v>1870499</v>
          </cell>
        </row>
        <row r="41">
          <cell r="AT41">
            <v>306000</v>
          </cell>
          <cell r="AW41">
            <v>459000</v>
          </cell>
        </row>
        <row r="45">
          <cell r="AT45">
            <v>74064</v>
          </cell>
          <cell r="AW45">
            <v>84309.49</v>
          </cell>
        </row>
        <row r="46">
          <cell r="AT46">
            <v>286270.18</v>
          </cell>
          <cell r="AW46">
            <v>300594.73</v>
          </cell>
        </row>
        <row r="47">
          <cell r="AT47">
            <v>795979.9</v>
          </cell>
          <cell r="AW47">
            <v>905633.41</v>
          </cell>
        </row>
        <row r="48">
          <cell r="AT48">
            <v>0</v>
          </cell>
          <cell r="AW48">
            <v>0</v>
          </cell>
        </row>
        <row r="49">
          <cell r="AT49">
            <v>166142.65</v>
          </cell>
          <cell r="AW49">
            <v>0</v>
          </cell>
        </row>
        <row r="50">
          <cell r="AT50">
            <v>1171705.72</v>
          </cell>
          <cell r="AW50">
            <v>1171705.72</v>
          </cell>
        </row>
        <row r="51">
          <cell r="AT51">
            <v>1006020.08</v>
          </cell>
          <cell r="AW51">
            <v>966020.1</v>
          </cell>
        </row>
        <row r="52">
          <cell r="AT52">
            <v>23612.57</v>
          </cell>
          <cell r="AW52">
            <v>23612.57</v>
          </cell>
        </row>
        <row r="53">
          <cell r="AT53">
            <v>2776633.89</v>
          </cell>
          <cell r="AW53">
            <v>2776633.89</v>
          </cell>
        </row>
        <row r="54">
          <cell r="AT54">
            <v>186357.09</v>
          </cell>
          <cell r="AW54">
            <v>186357.09</v>
          </cell>
        </row>
        <row r="55">
          <cell r="AT55">
            <v>345359.73</v>
          </cell>
          <cell r="AW55">
            <v>345359.73</v>
          </cell>
        </row>
        <row r="56">
          <cell r="AT56">
            <v>98731.33</v>
          </cell>
          <cell r="AW56">
            <v>0</v>
          </cell>
        </row>
        <row r="57">
          <cell r="AT57">
            <v>74205.509999999995</v>
          </cell>
          <cell r="AW57">
            <v>74205.509999999995</v>
          </cell>
        </row>
        <row r="58">
          <cell r="AT58">
            <v>63695.86</v>
          </cell>
          <cell r="AW58">
            <v>0</v>
          </cell>
        </row>
        <row r="59">
          <cell r="AT59">
            <v>0</v>
          </cell>
          <cell r="AW59">
            <v>0</v>
          </cell>
        </row>
        <row r="63">
          <cell r="AT63">
            <v>0</v>
          </cell>
          <cell r="AW63">
            <v>0</v>
          </cell>
        </row>
        <row r="64">
          <cell r="AT64">
            <v>48441.264999999999</v>
          </cell>
          <cell r="AW64">
            <v>48441.264999999999</v>
          </cell>
        </row>
        <row r="65">
          <cell r="AT65">
            <v>250685.34</v>
          </cell>
          <cell r="AW65">
            <v>250685.34</v>
          </cell>
        </row>
        <row r="66">
          <cell r="AT66">
            <v>1026295.49</v>
          </cell>
          <cell r="AW66">
            <v>1026295.48</v>
          </cell>
        </row>
        <row r="67">
          <cell r="AT67">
            <v>205131.16</v>
          </cell>
          <cell r="AW67">
            <v>205131.15</v>
          </cell>
        </row>
        <row r="68">
          <cell r="AT68">
            <v>737670.98</v>
          </cell>
          <cell r="AW68">
            <v>737670.98</v>
          </cell>
        </row>
        <row r="69">
          <cell r="AT69">
            <v>395226.4</v>
          </cell>
          <cell r="AW69">
            <v>395226.41</v>
          </cell>
        </row>
        <row r="70">
          <cell r="AT70">
            <v>18886867.82</v>
          </cell>
          <cell r="AW70">
            <v>20430474.280000001</v>
          </cell>
        </row>
        <row r="74">
          <cell r="AT74">
            <v>22000</v>
          </cell>
          <cell r="AW74">
            <v>4711.1499999999996</v>
          </cell>
        </row>
        <row r="75">
          <cell r="AT75">
            <v>702000</v>
          </cell>
          <cell r="AW75">
            <v>288365.24</v>
          </cell>
        </row>
        <row r="76">
          <cell r="AT76">
            <v>91723.6</v>
          </cell>
          <cell r="AW76">
            <v>65000</v>
          </cell>
        </row>
        <row r="77">
          <cell r="AT77">
            <v>1442933.75</v>
          </cell>
          <cell r="AW77">
            <v>440000</v>
          </cell>
        </row>
        <row r="78">
          <cell r="AT78">
            <v>1391239.8</v>
          </cell>
          <cell r="AW78">
            <v>1391240.03</v>
          </cell>
        </row>
        <row r="79">
          <cell r="AT79">
            <v>817006.4</v>
          </cell>
          <cell r="AW79">
            <v>839740</v>
          </cell>
        </row>
        <row r="80">
          <cell r="AT80">
            <v>375800</v>
          </cell>
          <cell r="AW80">
            <v>375800</v>
          </cell>
        </row>
        <row r="81">
          <cell r="AT81">
            <v>46134.11</v>
          </cell>
          <cell r="AW81">
            <v>46600</v>
          </cell>
        </row>
        <row r="82">
          <cell r="AT82">
            <v>1282056.8799999999</v>
          </cell>
          <cell r="AW82">
            <v>570346.88</v>
          </cell>
        </row>
        <row r="83">
          <cell r="AT83">
            <v>794125</v>
          </cell>
          <cell r="AW83">
            <v>789025</v>
          </cell>
        </row>
        <row r="84">
          <cell r="AT84">
            <v>98224.76</v>
          </cell>
          <cell r="AW84">
            <v>118224.77</v>
          </cell>
        </row>
        <row r="85">
          <cell r="AT85">
            <v>17050</v>
          </cell>
          <cell r="AW85">
            <v>17050</v>
          </cell>
        </row>
        <row r="86">
          <cell r="AT86">
            <v>0</v>
          </cell>
          <cell r="AW86">
            <v>840</v>
          </cell>
        </row>
        <row r="87">
          <cell r="AT87">
            <v>154100</v>
          </cell>
          <cell r="AW87">
            <v>121984.33</v>
          </cell>
        </row>
        <row r="88">
          <cell r="AT88">
            <v>0</v>
          </cell>
          <cell r="AW88">
            <v>0</v>
          </cell>
        </row>
        <row r="92">
          <cell r="AT92">
            <v>1520573.4399999999</v>
          </cell>
          <cell r="AW92">
            <v>1095338.3700000001</v>
          </cell>
        </row>
        <row r="93">
          <cell r="AT93">
            <v>26594690.359999999</v>
          </cell>
          <cell r="AW93">
            <v>10672851.960000001</v>
          </cell>
        </row>
        <row r="94">
          <cell r="AT94">
            <v>11355920.32</v>
          </cell>
          <cell r="AW94">
            <v>4108583.01</v>
          </cell>
        </row>
        <row r="95">
          <cell r="AT95">
            <v>129953.76</v>
          </cell>
          <cell r="AW95">
            <v>0</v>
          </cell>
        </row>
        <row r="96">
          <cell r="AT96">
            <v>338836.4</v>
          </cell>
          <cell r="AW96">
            <v>219568.28</v>
          </cell>
        </row>
        <row r="97">
          <cell r="AT97">
            <v>73591.039999999994</v>
          </cell>
          <cell r="AW97">
            <v>0</v>
          </cell>
        </row>
        <row r="98">
          <cell r="AT98">
            <v>123497.99</v>
          </cell>
          <cell r="AW98">
            <v>87919.23</v>
          </cell>
        </row>
        <row r="99">
          <cell r="AT99">
            <v>32791148.859999999</v>
          </cell>
          <cell r="AW99">
            <v>10600845.390000001</v>
          </cell>
        </row>
        <row r="100">
          <cell r="AT100">
            <v>131134.84</v>
          </cell>
          <cell r="AW100">
            <v>4050000</v>
          </cell>
        </row>
        <row r="101">
          <cell r="AT101">
            <v>10019646.93</v>
          </cell>
          <cell r="AW101">
            <v>8402099.4800000004</v>
          </cell>
        </row>
        <row r="102">
          <cell r="AT102">
            <v>901385.66</v>
          </cell>
          <cell r="AW102">
            <v>11926.58</v>
          </cell>
        </row>
        <row r="103">
          <cell r="AT103">
            <v>366720.27</v>
          </cell>
          <cell r="AW103">
            <v>243279.73</v>
          </cell>
        </row>
        <row r="107">
          <cell r="AT107">
            <v>5259826.33</v>
          </cell>
          <cell r="AW107">
            <v>2948337.7</v>
          </cell>
        </row>
        <row r="108">
          <cell r="AT108">
            <v>30000</v>
          </cell>
          <cell r="AW108">
            <v>5482.64</v>
          </cell>
        </row>
        <row r="109">
          <cell r="AT109">
            <v>275932.14</v>
          </cell>
          <cell r="AW109">
            <v>0</v>
          </cell>
        </row>
        <row r="110">
          <cell r="AT110">
            <v>256186.23999999999</v>
          </cell>
          <cell r="AW110">
            <v>0</v>
          </cell>
        </row>
        <row r="111">
          <cell r="AT111">
            <v>332796.24</v>
          </cell>
          <cell r="AW111">
            <v>174012.38</v>
          </cell>
        </row>
        <row r="112">
          <cell r="AT112">
            <v>811283.4</v>
          </cell>
          <cell r="AW112">
            <v>0</v>
          </cell>
        </row>
        <row r="116">
          <cell r="AT116">
            <v>68042.899999999994</v>
          </cell>
          <cell r="AW116">
            <v>71426.61</v>
          </cell>
        </row>
        <row r="120">
          <cell r="AT120">
            <v>0</v>
          </cell>
          <cell r="AW120">
            <v>0</v>
          </cell>
        </row>
        <row r="123">
          <cell r="C123">
            <v>524248570.35999995</v>
          </cell>
          <cell r="D123">
            <v>551006540.28217936</v>
          </cell>
          <cell r="E123">
            <v>626623354.97628915</v>
          </cell>
          <cell r="F123">
            <v>571947351.69999993</v>
          </cell>
          <cell r="G123">
            <v>487144962.26967406</v>
          </cell>
          <cell r="H123">
            <v>615004670.36999989</v>
          </cell>
          <cell r="J123">
            <v>-12855993.799999999</v>
          </cell>
          <cell r="N123">
            <v>36107551.448285595</v>
          </cell>
          <cell r="P123">
            <v>-83741410.939999998</v>
          </cell>
          <cell r="R123">
            <v>555067656.37000012</v>
          </cell>
          <cell r="T123">
            <v>15.087701702611639</v>
          </cell>
          <cell r="U123">
            <v>36660390.739999995</v>
          </cell>
          <cell r="AD123">
            <v>260369674.79000002</v>
          </cell>
          <cell r="AE123">
            <v>265509570.76999998</v>
          </cell>
          <cell r="AF123">
            <v>5139895.979999993</v>
          </cell>
        </row>
      </sheetData>
      <sheetData sheetId="25">
        <row r="9">
          <cell r="C9">
            <v>20461641.66</v>
          </cell>
          <cell r="D9">
            <v>17314724.030000001</v>
          </cell>
          <cell r="E9">
            <v>22657000</v>
          </cell>
          <cell r="F9">
            <v>21084032.25</v>
          </cell>
          <cell r="G9">
            <v>17114927.888876371</v>
          </cell>
          <cell r="H9">
            <v>0</v>
          </cell>
          <cell r="J9">
            <v>24198538.84</v>
          </cell>
          <cell r="N9">
            <v>10752756.42</v>
          </cell>
          <cell r="P9">
            <v>6660488.5300000003</v>
          </cell>
          <cell r="R9">
            <v>6785293.8899999997</v>
          </cell>
          <cell r="T9">
            <v>17413244.949999999</v>
          </cell>
          <cell r="U9">
            <v>17646166.140000001</v>
          </cell>
          <cell r="Y9">
            <v>22480210.900000002</v>
          </cell>
          <cell r="Z9">
            <v>-1718327.9399999997</v>
          </cell>
          <cell r="AA9">
            <v>18056248.922764566</v>
          </cell>
        </row>
      </sheetData>
      <sheetData sheetId="26">
        <row r="7">
          <cell r="AT7">
            <v>9116973.8399999999</v>
          </cell>
          <cell r="AW7">
            <v>8924926.3000000007</v>
          </cell>
        </row>
        <row r="8">
          <cell r="AT8">
            <v>1606075.92</v>
          </cell>
          <cell r="AW8">
            <v>1645711.52</v>
          </cell>
        </row>
        <row r="9">
          <cell r="AT9">
            <v>17500000</v>
          </cell>
          <cell r="AW9">
            <v>22900000</v>
          </cell>
        </row>
        <row r="13">
          <cell r="AT13">
            <v>87319043.430000007</v>
          </cell>
          <cell r="AW13">
            <v>87238111.129999995</v>
          </cell>
        </row>
        <row r="14">
          <cell r="AT14">
            <v>0</v>
          </cell>
          <cell r="AW14">
            <v>0</v>
          </cell>
        </row>
        <row r="15">
          <cell r="AT15">
            <v>23610.22</v>
          </cell>
          <cell r="AW15">
            <v>23610.22</v>
          </cell>
        </row>
        <row r="18">
          <cell r="AT18">
            <v>156890.20000000001</v>
          </cell>
          <cell r="AW18">
            <v>156590.20000000001</v>
          </cell>
        </row>
        <row r="19">
          <cell r="AT19">
            <v>251540.16</v>
          </cell>
          <cell r="AW19">
            <v>240576.18</v>
          </cell>
        </row>
        <row r="20">
          <cell r="AT20">
            <v>571998.39</v>
          </cell>
          <cell r="AW20">
            <v>571998.39</v>
          </cell>
        </row>
        <row r="22">
          <cell r="AT22">
            <v>2782.7</v>
          </cell>
          <cell r="AW22">
            <v>3901.15</v>
          </cell>
        </row>
        <row r="24">
          <cell r="AT24">
            <v>0</v>
          </cell>
          <cell r="AW24">
            <v>40740.14</v>
          </cell>
        </row>
        <row r="25">
          <cell r="AT25">
            <v>91634.14</v>
          </cell>
          <cell r="AW25">
            <v>59790.029999999992</v>
          </cell>
        </row>
        <row r="27">
          <cell r="AT27">
            <v>1585597.56</v>
          </cell>
          <cell r="AW27">
            <v>1590868.77</v>
          </cell>
        </row>
        <row r="28">
          <cell r="AT28">
            <v>0</v>
          </cell>
          <cell r="AW28">
            <v>9780869.2000000011</v>
          </cell>
        </row>
        <row r="29">
          <cell r="AT29">
            <v>0</v>
          </cell>
          <cell r="AW29">
            <v>949698.04</v>
          </cell>
        </row>
        <row r="30">
          <cell r="AT30">
            <v>8793214.0991810877</v>
          </cell>
          <cell r="AW30">
            <v>8290833.9564714236</v>
          </cell>
        </row>
        <row r="32">
          <cell r="AT32">
            <v>20000000</v>
          </cell>
          <cell r="AW32">
            <v>20000000</v>
          </cell>
        </row>
        <row r="35">
          <cell r="AT35">
            <v>5782715.5051999995</v>
          </cell>
          <cell r="AW35">
            <v>4469246.2331999997</v>
          </cell>
        </row>
        <row r="37">
          <cell r="AW37">
            <v>750000</v>
          </cell>
        </row>
        <row r="38">
          <cell r="AT38">
            <v>10500000</v>
          </cell>
          <cell r="AW38">
            <v>11500000</v>
          </cell>
        </row>
        <row r="53">
          <cell r="AT53">
            <v>144215550.32999998</v>
          </cell>
          <cell r="AW53">
            <v>144381924.93000004</v>
          </cell>
        </row>
        <row r="54">
          <cell r="AT54">
            <v>123248669.15050791</v>
          </cell>
          <cell r="AW54">
            <v>85520928.108160004</v>
          </cell>
        </row>
        <row r="55">
          <cell r="AT55">
            <v>8339479.3855999997</v>
          </cell>
          <cell r="AW55">
            <v>8082353.5706000011</v>
          </cell>
        </row>
        <row r="56">
          <cell r="AT56">
            <v>1151034.8</v>
          </cell>
          <cell r="AW56">
            <v>1338193.4900000002</v>
          </cell>
        </row>
        <row r="57">
          <cell r="AT57">
            <v>330000</v>
          </cell>
          <cell r="AW57">
            <v>330000</v>
          </cell>
        </row>
        <row r="58">
          <cell r="AT58">
            <v>1781382.9999999998</v>
          </cell>
          <cell r="AW58">
            <v>2538242</v>
          </cell>
        </row>
        <row r="59">
          <cell r="AT59">
            <v>3047584.02</v>
          </cell>
          <cell r="AW59">
            <v>3027614.59</v>
          </cell>
        </row>
        <row r="60">
          <cell r="AT60">
            <v>19518670.783724003</v>
          </cell>
          <cell r="AW60">
            <v>5592144.903996001</v>
          </cell>
        </row>
        <row r="61">
          <cell r="AT61">
            <v>0</v>
          </cell>
          <cell r="AW61">
            <v>0</v>
          </cell>
        </row>
        <row r="62">
          <cell r="AT62">
            <v>87178578.708361417</v>
          </cell>
          <cell r="AW62">
            <v>72491318.413886473</v>
          </cell>
        </row>
        <row r="63">
          <cell r="AT63">
            <v>2135549.4300000002</v>
          </cell>
          <cell r="AW63">
            <v>2224693.9699999997</v>
          </cell>
        </row>
        <row r="64">
          <cell r="AT64">
            <v>1495540</v>
          </cell>
          <cell r="AW64">
            <v>252000</v>
          </cell>
        </row>
        <row r="65">
          <cell r="AT65">
            <v>0</v>
          </cell>
          <cell r="AW65">
            <v>0</v>
          </cell>
        </row>
        <row r="66">
          <cell r="AT66">
            <v>0</v>
          </cell>
          <cell r="AW66">
            <v>0</v>
          </cell>
        </row>
        <row r="67">
          <cell r="AT67">
            <v>128239.99999999999</v>
          </cell>
          <cell r="AW67">
            <v>324970</v>
          </cell>
        </row>
        <row r="68">
          <cell r="AT68">
            <v>530040</v>
          </cell>
          <cell r="AW68">
            <v>461430</v>
          </cell>
        </row>
        <row r="69">
          <cell r="AT69">
            <v>0</v>
          </cell>
          <cell r="AW69">
            <v>40420243.555469997</v>
          </cell>
        </row>
        <row r="70">
          <cell r="AT70">
            <v>0</v>
          </cell>
          <cell r="AW70">
            <v>555000</v>
          </cell>
        </row>
        <row r="71">
          <cell r="AT71">
            <v>57000</v>
          </cell>
          <cell r="AW71">
            <v>60900.000000000007</v>
          </cell>
        </row>
        <row r="72">
          <cell r="AT72">
            <v>325600</v>
          </cell>
          <cell r="AW72">
            <v>340800.00000000006</v>
          </cell>
        </row>
        <row r="73">
          <cell r="AT73">
            <v>296886.62</v>
          </cell>
          <cell r="AW73">
            <v>47721.705999999998</v>
          </cell>
        </row>
        <row r="74">
          <cell r="AT74">
            <v>109500</v>
          </cell>
          <cell r="AW74">
            <v>92500</v>
          </cell>
        </row>
        <row r="75">
          <cell r="AT75">
            <v>2050950.2194999999</v>
          </cell>
          <cell r="AW75">
            <v>13400949.522126298</v>
          </cell>
        </row>
        <row r="82">
          <cell r="C82">
            <v>2406776996.0860004</v>
          </cell>
          <cell r="D82">
            <v>1580799621.3</v>
          </cell>
          <cell r="E82">
            <v>1925791736.8848939</v>
          </cell>
          <cell r="F82">
            <v>2043264906.77</v>
          </cell>
          <cell r="G82">
            <v>1422754750.3692064</v>
          </cell>
          <cell r="H82">
            <v>2342384627.914515</v>
          </cell>
          <cell r="J82">
            <v>322446051.23548537</v>
          </cell>
          <cell r="N82">
            <v>598127006.5690093</v>
          </cell>
          <cell r="P82">
            <v>-313604353.71338391</v>
          </cell>
          <cell r="R82">
            <v>2719736459.6532812</v>
          </cell>
          <cell r="T82">
            <v>213.80948522379757</v>
          </cell>
          <cell r="U82">
            <v>368510134.21666443</v>
          </cell>
          <cell r="AD82">
            <v>1239164478.7568996</v>
          </cell>
          <cell r="AE82">
            <v>1542334915.6700001</v>
          </cell>
          <cell r="AF82">
            <v>303170436.91310018</v>
          </cell>
        </row>
      </sheetData>
      <sheetData sheetId="27">
        <row r="7">
          <cell r="AT7">
            <v>79948160.519999996</v>
          </cell>
          <cell r="AW7">
            <v>131360160.52</v>
          </cell>
        </row>
        <row r="8">
          <cell r="AT8">
            <v>0</v>
          </cell>
          <cell r="AW8">
            <v>0</v>
          </cell>
        </row>
        <row r="9">
          <cell r="AT9">
            <v>3021568.32</v>
          </cell>
          <cell r="AW9">
            <v>3588514.04</v>
          </cell>
        </row>
        <row r="10">
          <cell r="AT10">
            <v>2500000</v>
          </cell>
          <cell r="AW10">
            <v>2500000</v>
          </cell>
        </row>
        <row r="14">
          <cell r="AT14">
            <v>0</v>
          </cell>
          <cell r="AW14">
            <v>0</v>
          </cell>
        </row>
        <row r="16">
          <cell r="C16">
            <v>372764595.19000006</v>
          </cell>
          <cell r="D16">
            <v>0</v>
          </cell>
          <cell r="E16">
            <v>562525501</v>
          </cell>
          <cell r="F16">
            <v>221286840.26999998</v>
          </cell>
          <cell r="G16">
            <v>0</v>
          </cell>
          <cell r="H16">
            <v>448401188.65881407</v>
          </cell>
          <cell r="J16">
            <v>-179117881.68881404</v>
          </cell>
          <cell r="N16">
            <v>342568585.77999997</v>
          </cell>
          <cell r="P16">
            <v>73285278.810000002</v>
          </cell>
          <cell r="R16">
            <v>350508281.14000005</v>
          </cell>
          <cell r="T16">
            <v>0</v>
          </cell>
          <cell r="U16">
            <v>7939695.3600000227</v>
          </cell>
          <cell r="AD16">
            <v>137356503.41999999</v>
          </cell>
          <cell r="AE16">
            <v>127589877.74000001</v>
          </cell>
          <cell r="AF16">
            <v>-9766625.6799999978</v>
          </cell>
        </row>
      </sheetData>
      <sheetData sheetId="28"/>
      <sheetData sheetId="29"/>
      <sheetData sheetId="30"/>
      <sheetData sheetId="31"/>
      <sheetData sheetId="32"/>
      <sheetData sheetId="33"/>
      <sheetData sheetId="34"/>
      <sheetData sheetId="35"/>
      <sheetData sheetId="3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 вар."/>
      <sheetName val="на  26.01.2015"/>
      <sheetName val="на  27.02.2015"/>
      <sheetName val="Лист2"/>
      <sheetName val="Лист3"/>
    </sheetNames>
    <sheetDataSet>
      <sheetData sheetId="0" refreshError="1"/>
      <sheetData sheetId="1" refreshError="1"/>
      <sheetData sheetId="2">
        <row r="25">
          <cell r="L25">
            <v>61.199704756120752</v>
          </cell>
        </row>
        <row r="26">
          <cell r="L26">
            <v>36.851297508189226</v>
          </cell>
        </row>
        <row r="27">
          <cell r="L27">
            <v>1.948997735690031</v>
          </cell>
        </row>
      </sheetData>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реализационные"/>
      <sheetName val="форма -2"/>
      <sheetName val="Бюджет на 2014"/>
      <sheetName val="Бюджет на 2014г. (2)"/>
      <sheetName val="Гл бух"/>
      <sheetName val="Дир_по фин"/>
      <sheetName val="Дир_по корп"/>
      <sheetName val="Дир_ по реал.услуг"/>
      <sheetName val="Дир_ имущ"/>
      <sheetName val="Гл инж_Тех дир"/>
      <sheetName val="Пом_ГД"/>
      <sheetName val="СБ"/>
      <sheetName val="Дир_по экон"/>
      <sheetName val="Дир_ по кап.стр."/>
      <sheetName val="Бюджет на 2014 по ЦФУ"/>
      <sheetName val="1.7 лимит расходов"/>
      <sheetName val="2.3 смета расходов"/>
      <sheetName val="7. смета расходов 2014"/>
      <sheetName val="8. лимит расходов 2014"/>
      <sheetName val="10. внереализ. расх 2014"/>
    </sheetNames>
    <sheetDataSet>
      <sheetData sheetId="0" refreshError="1"/>
      <sheetData sheetId="1" refreshError="1"/>
      <sheetData sheetId="2" refreshError="1"/>
      <sheetData sheetId="3" refreshError="1"/>
      <sheetData sheetId="4">
        <row r="10">
          <cell r="L10">
            <v>31378651.670000002</v>
          </cell>
          <cell r="M10">
            <v>29081741.670000002</v>
          </cell>
          <cell r="O10">
            <v>31378651.670000002</v>
          </cell>
          <cell r="Q10">
            <v>0</v>
          </cell>
        </row>
      </sheetData>
      <sheetData sheetId="5">
        <row r="14">
          <cell r="L14">
            <v>97257159.379999995</v>
          </cell>
          <cell r="M14">
            <v>-108792633.24000004</v>
          </cell>
          <cell r="O14">
            <v>97257159.379999995</v>
          </cell>
          <cell r="Q14">
            <v>0</v>
          </cell>
        </row>
      </sheetData>
      <sheetData sheetId="6">
        <row r="51">
          <cell r="L51">
            <v>4478237.7799999993</v>
          </cell>
          <cell r="M51">
            <v>-172267882.61999997</v>
          </cell>
          <cell r="O51">
            <v>4478237.7799999993</v>
          </cell>
          <cell r="Q51">
            <v>0</v>
          </cell>
        </row>
      </sheetData>
      <sheetData sheetId="7">
        <row r="35">
          <cell r="L35">
            <v>2473721486.0999994</v>
          </cell>
          <cell r="M35">
            <v>-2169668830.8299999</v>
          </cell>
          <cell r="O35">
            <v>2473721486.0999994</v>
          </cell>
          <cell r="Q35">
            <v>0</v>
          </cell>
        </row>
      </sheetData>
      <sheetData sheetId="8">
        <row r="34">
          <cell r="L34">
            <v>313169089.36000007</v>
          </cell>
          <cell r="M34">
            <v>-411248037.20000005</v>
          </cell>
          <cell r="O34">
            <v>313169089.36000007</v>
          </cell>
          <cell r="Q34">
            <v>0</v>
          </cell>
        </row>
      </sheetData>
      <sheetData sheetId="9">
        <row r="122">
          <cell r="L122">
            <v>106975169.75</v>
          </cell>
          <cell r="M122">
            <v>-153455474.56999996</v>
          </cell>
          <cell r="O122">
            <v>106975169.75</v>
          </cell>
          <cell r="Q122">
            <v>0</v>
          </cell>
        </row>
      </sheetData>
      <sheetData sheetId="10">
        <row r="25">
          <cell r="L25">
            <v>7924068.7299999995</v>
          </cell>
          <cell r="M25">
            <v>-4098008.9700000007</v>
          </cell>
          <cell r="O25">
            <v>7924068.7299999995</v>
          </cell>
          <cell r="Q25">
            <v>0</v>
          </cell>
        </row>
      </sheetData>
      <sheetData sheetId="11">
        <row r="9">
          <cell r="L9">
            <v>5390346.3700000001</v>
          </cell>
          <cell r="M9">
            <v>-5885741.79</v>
          </cell>
          <cell r="O9">
            <v>5390346.3700000001</v>
          </cell>
          <cell r="Q9">
            <v>0</v>
          </cell>
        </row>
      </sheetData>
      <sheetData sheetId="12">
        <row r="79">
          <cell r="L79">
            <v>620124739.53999996</v>
          </cell>
          <cell r="M79">
            <v>-500928660.76000011</v>
          </cell>
          <cell r="O79">
            <v>620124739.53999996</v>
          </cell>
          <cell r="Q79">
            <v>0</v>
          </cell>
        </row>
      </sheetData>
      <sheetData sheetId="13">
        <row r="9">
          <cell r="L9">
            <v>32961371.970000003</v>
          </cell>
          <cell r="M9">
            <v>-110794773.58000001</v>
          </cell>
          <cell r="O9">
            <v>32961371.970000003</v>
          </cell>
          <cell r="Q9">
            <v>0</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Потери"/>
      <sheetName val="Проверка"/>
      <sheetName val="modProv"/>
      <sheetName val="TEHSHEET"/>
      <sheetName val="REESTR_ORG"/>
      <sheetName val="REESTR"/>
      <sheetName val="tech"/>
    </sheetNames>
    <sheetDataSet>
      <sheetData sheetId="0">
        <row r="2">
          <cell r="N2" t="e">
            <v>#VALUE!</v>
          </cell>
        </row>
      </sheetData>
      <sheetData sheetId="1">
        <row r="6">
          <cell r="F6" t="str">
            <v>Краснодарский край</v>
          </cell>
        </row>
        <row r="8">
          <cell r="G8" t="str">
            <v>Год</v>
          </cell>
        </row>
      </sheetData>
      <sheetData sheetId="2"/>
      <sheetData sheetId="3"/>
      <sheetData sheetId="4"/>
      <sheetData sheetId="5">
        <row r="2">
          <cell r="C2">
            <v>2008</v>
          </cell>
        </row>
      </sheetData>
      <sheetData sheetId="6">
        <row r="152">
          <cell r="H152" t="str">
            <v>ЗАО "МАРЭМ+"</v>
          </cell>
        </row>
      </sheetData>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подк.неподк."/>
      <sheetName val="2. НВВ "/>
      <sheetName val="1. инд. тарифы"/>
      <sheetName val="1.2, Балансовые показатели"/>
      <sheetName val="1.1.доходы по единым котловым"/>
      <sheetName val="2. долгоср.параметры"/>
      <sheetName val="3. П.1.1.2 баланс мощности"/>
      <sheetName val="П1.3 тех.расход потерь"/>
      <sheetName val="П1.4 баланс электроэнергии"/>
      <sheetName val="П1.5 мощность"/>
      <sheetName val="П1.6 полезный отпуск"/>
      <sheetName val="П1.30 отпсук эл_эн"/>
      <sheetName val="максим мощность"/>
      <sheetName val="максим мощность без Кр. пол."/>
      <sheetName val="4. Выпадающие 2012_2015"/>
      <sheetName val="доп_аналитика НВВ"/>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УЕ ВЛ, КЛ 2015_2019"/>
      <sheetName val="6. УЕ ВЛ,КЛ на 2016-1 вар"/>
      <sheetName val="УЕ ТП,КТП 2015_2019"/>
      <sheetName val="6. 1 УЕ ТП,КТП на 2016-1 вар"/>
      <sheetName val="5.1 отклонения"/>
      <sheetName val="6. расчет УЕ"/>
      <sheetName val="форма 1.3"/>
      <sheetName val="форма 1.6"/>
      <sheetName val="потери 2013"/>
      <sheetName val="потери 2014"/>
      <sheetName val="5.1. отклонения"/>
      <sheetName val="выпадающие по ИП 2012"/>
      <sheetName val="выпадающие по ИП 2013"/>
      <sheetName val="выпадающие по ИП 2014"/>
      <sheetName val="Лист3"/>
      <sheetName val="доп_аналитика по НВВ"/>
    </sheetNames>
    <sheetDataSet>
      <sheetData sheetId="0">
        <row r="20">
          <cell r="V20">
            <v>348.81882822116933</v>
          </cell>
        </row>
      </sheetData>
      <sheetData sheetId="1"/>
      <sheetData sheetId="2">
        <row r="91">
          <cell r="T91">
            <v>4460.0326499999992</v>
          </cell>
        </row>
        <row r="94">
          <cell r="T94">
            <v>1271.1401349999999</v>
          </cell>
        </row>
      </sheetData>
      <sheetData sheetId="3"/>
      <sheetData sheetId="4"/>
      <sheetData sheetId="5"/>
      <sheetData sheetId="6"/>
      <sheetData sheetId="7"/>
      <sheetData sheetId="8"/>
      <sheetData sheetId="9"/>
      <sheetData sheetId="10"/>
      <sheetData sheetId="11"/>
      <sheetData sheetId="12"/>
      <sheetData sheetId="13"/>
      <sheetData sheetId="14">
        <row r="94">
          <cell r="AB94">
            <v>368373.10943581146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07">
          <cell r="H107">
            <v>98245.424199999994</v>
          </cell>
        </row>
      </sheetData>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row r="19">
          <cell r="V19">
            <v>348.81882822116933</v>
          </cell>
        </row>
        <row r="31">
          <cell r="X31">
            <v>752.11</v>
          </cell>
        </row>
        <row r="32">
          <cell r="X32">
            <v>2102.98</v>
          </cell>
        </row>
        <row r="33">
          <cell r="X33">
            <v>7141.74</v>
          </cell>
        </row>
        <row r="35">
          <cell r="X35">
            <v>26.500191574999995</v>
          </cell>
        </row>
        <row r="36">
          <cell r="X36">
            <v>391.10169999999994</v>
          </cell>
        </row>
        <row r="37">
          <cell r="X37">
            <v>2648.1181891200004</v>
          </cell>
        </row>
        <row r="38">
          <cell r="X38">
            <v>4167.5502868800004</v>
          </cell>
        </row>
        <row r="39">
          <cell r="X39">
            <v>853.81099008000001</v>
          </cell>
        </row>
        <row r="41">
          <cell r="X41">
            <v>58.22</v>
          </cell>
        </row>
        <row r="42">
          <cell r="X42">
            <v>2359.31</v>
          </cell>
        </row>
        <row r="43">
          <cell r="X43">
            <v>249.38</v>
          </cell>
        </row>
        <row r="45">
          <cell r="X45">
            <v>110116.09748383379</v>
          </cell>
        </row>
        <row r="46">
          <cell r="X46">
            <v>54089.137300000002</v>
          </cell>
        </row>
        <row r="47">
          <cell r="X47">
            <v>47.856180960000003</v>
          </cell>
        </row>
        <row r="48">
          <cell r="X48">
            <v>3923.2491927474757</v>
          </cell>
        </row>
        <row r="50">
          <cell r="X50">
            <v>5604.3094556515098</v>
          </cell>
        </row>
        <row r="51">
          <cell r="X51">
            <v>435.48975999999999</v>
          </cell>
        </row>
        <row r="52">
          <cell r="X52">
            <v>1987.3</v>
          </cell>
        </row>
        <row r="54">
          <cell r="X54">
            <v>1620.9</v>
          </cell>
        </row>
        <row r="55">
          <cell r="X55">
            <v>27574</v>
          </cell>
        </row>
        <row r="56">
          <cell r="X56">
            <v>5028.3</v>
          </cell>
        </row>
        <row r="57">
          <cell r="X57">
            <v>21477.1</v>
          </cell>
        </row>
        <row r="59">
          <cell r="X59">
            <v>3443.1847370314235</v>
          </cell>
        </row>
        <row r="60">
          <cell r="X60">
            <v>682.25363512819956</v>
          </cell>
        </row>
        <row r="61">
          <cell r="X61">
            <v>1158.55</v>
          </cell>
        </row>
        <row r="62">
          <cell r="X62">
            <v>5042.1680000000006</v>
          </cell>
        </row>
        <row r="63">
          <cell r="X63">
            <v>5439.2998439999992</v>
          </cell>
        </row>
        <row r="64">
          <cell r="X64">
            <v>101.803</v>
          </cell>
        </row>
        <row r="65">
          <cell r="X65">
            <v>10791.408170000001</v>
          </cell>
        </row>
        <row r="66">
          <cell r="X66">
            <v>176.96</v>
          </cell>
        </row>
        <row r="68">
          <cell r="X68">
            <v>1127.56</v>
          </cell>
        </row>
        <row r="69">
          <cell r="X69">
            <v>1129.92</v>
          </cell>
        </row>
        <row r="70">
          <cell r="X70">
            <v>23.656956319999999</v>
          </cell>
        </row>
        <row r="71">
          <cell r="X71">
            <v>19407.099999999999</v>
          </cell>
        </row>
        <row r="76">
          <cell r="X76">
            <v>1392.1415932800003</v>
          </cell>
        </row>
        <row r="77">
          <cell r="X77">
            <v>167.30650800000001</v>
          </cell>
        </row>
        <row r="80">
          <cell r="X80">
            <v>3217.11</v>
          </cell>
        </row>
        <row r="81">
          <cell r="X81">
            <v>7731.9652857600013</v>
          </cell>
        </row>
        <row r="82">
          <cell r="X82">
            <v>80294.308680529488</v>
          </cell>
        </row>
        <row r="83">
          <cell r="W83">
            <v>1005788.9638284299</v>
          </cell>
          <cell r="X83">
            <v>1961467.5</v>
          </cell>
        </row>
        <row r="85">
          <cell r="X85">
            <v>100</v>
          </cell>
        </row>
        <row r="86">
          <cell r="X86">
            <v>215</v>
          </cell>
        </row>
        <row r="87">
          <cell r="X87">
            <v>526.22</v>
          </cell>
        </row>
        <row r="88">
          <cell r="X88">
            <v>1997.85</v>
          </cell>
        </row>
        <row r="89">
          <cell r="X89">
            <v>69231.839999999997</v>
          </cell>
        </row>
        <row r="90">
          <cell r="X90">
            <v>69231.839999999997</v>
          </cell>
        </row>
        <row r="91">
          <cell r="X91">
            <v>559</v>
          </cell>
        </row>
        <row r="92">
          <cell r="X92">
            <v>1996.8</v>
          </cell>
        </row>
        <row r="93">
          <cell r="X93">
            <v>336.2</v>
          </cell>
        </row>
        <row r="94">
          <cell r="X94">
            <v>1245.3</v>
          </cell>
        </row>
        <row r="95">
          <cell r="X95">
            <v>3.3</v>
          </cell>
        </row>
        <row r="96">
          <cell r="X96">
            <v>2350.3000000000002</v>
          </cell>
        </row>
        <row r="97">
          <cell r="X97">
            <v>1470</v>
          </cell>
        </row>
        <row r="98">
          <cell r="X98">
            <v>1120</v>
          </cell>
        </row>
        <row r="99">
          <cell r="X99">
            <v>322.39999999999998</v>
          </cell>
        </row>
        <row r="100">
          <cell r="X100">
            <v>0</v>
          </cell>
        </row>
        <row r="103">
          <cell r="X103">
            <v>109702.51</v>
          </cell>
        </row>
        <row r="104">
          <cell r="X104">
            <v>31725.15</v>
          </cell>
        </row>
        <row r="105">
          <cell r="X105">
            <v>2142.91</v>
          </cell>
        </row>
        <row r="106">
          <cell r="X106">
            <v>10806.28</v>
          </cell>
        </row>
        <row r="107">
          <cell r="X107">
            <v>55.2</v>
          </cell>
        </row>
        <row r="109">
          <cell r="X109">
            <v>1240.45</v>
          </cell>
        </row>
        <row r="110">
          <cell r="X110">
            <v>12039.995869574399</v>
          </cell>
        </row>
        <row r="111">
          <cell r="X111">
            <v>9608.237127360002</v>
          </cell>
        </row>
        <row r="112">
          <cell r="X112">
            <v>6588.2101073927042</v>
          </cell>
        </row>
        <row r="113">
          <cell r="X113">
            <v>433</v>
          </cell>
        </row>
        <row r="114">
          <cell r="X114">
            <v>1768.2932799999999</v>
          </cell>
        </row>
        <row r="115">
          <cell r="X115">
            <v>390.38</v>
          </cell>
        </row>
        <row r="116">
          <cell r="X116">
            <v>798.37</v>
          </cell>
        </row>
        <row r="120">
          <cell r="X120">
            <v>5767.3471704000003</v>
          </cell>
        </row>
        <row r="121">
          <cell r="X121">
            <v>3117.5947190400002</v>
          </cell>
        </row>
        <row r="122">
          <cell r="X122">
            <v>1534.0245065749996</v>
          </cell>
        </row>
        <row r="123">
          <cell r="X123">
            <v>209.14629999999997</v>
          </cell>
        </row>
        <row r="124">
          <cell r="X124">
            <v>3763.1256599999997</v>
          </cell>
        </row>
        <row r="125">
          <cell r="X125">
            <v>5572.2034672155232</v>
          </cell>
        </row>
        <row r="126">
          <cell r="X126">
            <v>836</v>
          </cell>
        </row>
        <row r="127">
          <cell r="X127">
            <v>73.200059888760364</v>
          </cell>
        </row>
        <row r="128">
          <cell r="X128">
            <v>0.66239999999999999</v>
          </cell>
        </row>
        <row r="130">
          <cell r="X130">
            <v>24542.5975</v>
          </cell>
        </row>
        <row r="132">
          <cell r="X132">
            <v>19559.75886768099</v>
          </cell>
        </row>
        <row r="133">
          <cell r="X133">
            <v>63552.667279069006</v>
          </cell>
        </row>
        <row r="134">
          <cell r="X134">
            <v>0</v>
          </cell>
        </row>
        <row r="135">
          <cell r="X135">
            <v>130</v>
          </cell>
        </row>
        <row r="137">
          <cell r="X137">
            <v>1131.87800825</v>
          </cell>
        </row>
        <row r="138">
          <cell r="X138">
            <v>1131.87800825</v>
          </cell>
        </row>
        <row r="140">
          <cell r="X140">
            <v>228.09</v>
          </cell>
        </row>
        <row r="143">
          <cell r="X143">
            <v>1961.1919506437498</v>
          </cell>
        </row>
        <row r="144">
          <cell r="X144">
            <v>2253.75</v>
          </cell>
        </row>
        <row r="145">
          <cell r="X145">
            <v>2475.7419199999999</v>
          </cell>
        </row>
        <row r="146">
          <cell r="X146">
            <v>1506.84509267712</v>
          </cell>
        </row>
        <row r="147">
          <cell r="X147">
            <v>3024.5778947553586</v>
          </cell>
        </row>
        <row r="149">
          <cell r="X149">
            <v>1708.7394751625</v>
          </cell>
        </row>
        <row r="150">
          <cell r="X150">
            <v>2354.6471200000005</v>
          </cell>
        </row>
        <row r="151">
          <cell r="X151">
            <v>48031.428820479996</v>
          </cell>
        </row>
        <row r="152">
          <cell r="X152">
            <v>0.79525536000000008</v>
          </cell>
        </row>
        <row r="153">
          <cell r="X153">
            <v>871.37</v>
          </cell>
        </row>
        <row r="154">
          <cell r="X154">
            <v>1273.3685527500002</v>
          </cell>
        </row>
        <row r="155">
          <cell r="X155">
            <v>5078.8</v>
          </cell>
        </row>
        <row r="157">
          <cell r="X157">
            <v>13512.59</v>
          </cell>
        </row>
        <row r="158">
          <cell r="X158">
            <v>262.75</v>
          </cell>
        </row>
        <row r="159">
          <cell r="X159">
            <v>85.472181599999999</v>
          </cell>
        </row>
        <row r="161">
          <cell r="X161">
            <v>58419.285000000003</v>
          </cell>
        </row>
        <row r="162">
          <cell r="X162">
            <v>722.52941999999996</v>
          </cell>
        </row>
        <row r="164">
          <cell r="X164">
            <v>0</v>
          </cell>
        </row>
        <row r="165">
          <cell r="X165">
            <v>4872.7468800000006</v>
          </cell>
        </row>
        <row r="166">
          <cell r="X166">
            <v>554.48400000000004</v>
          </cell>
        </row>
        <row r="167">
          <cell r="X167">
            <v>0</v>
          </cell>
        </row>
        <row r="169">
          <cell r="X169">
            <v>1536.56</v>
          </cell>
        </row>
        <row r="170">
          <cell r="X170">
            <v>0</v>
          </cell>
        </row>
        <row r="171">
          <cell r="X171">
            <v>20028.599999999999</v>
          </cell>
        </row>
        <row r="172">
          <cell r="X172">
            <v>0</v>
          </cell>
        </row>
        <row r="173">
          <cell r="X173">
            <v>351.24299999999999</v>
          </cell>
        </row>
        <row r="174">
          <cell r="X174">
            <v>3775.93</v>
          </cell>
        </row>
        <row r="175">
          <cell r="X175">
            <v>566.94491712000013</v>
          </cell>
        </row>
        <row r="176">
          <cell r="X176">
            <v>3782.08</v>
          </cell>
        </row>
        <row r="177">
          <cell r="X177">
            <v>519.4</v>
          </cell>
        </row>
        <row r="178">
          <cell r="X178">
            <v>94820.794550320003</v>
          </cell>
        </row>
        <row r="179">
          <cell r="X179">
            <v>196.46612880000001</v>
          </cell>
        </row>
        <row r="181">
          <cell r="X181">
            <v>131</v>
          </cell>
        </row>
        <row r="182">
          <cell r="X182">
            <v>10135.690736440678</v>
          </cell>
        </row>
        <row r="183">
          <cell r="X183">
            <v>30.04</v>
          </cell>
        </row>
        <row r="184">
          <cell r="X184">
            <v>724.28721275624991</v>
          </cell>
        </row>
        <row r="185">
          <cell r="X185">
            <v>212.5</v>
          </cell>
        </row>
        <row r="186">
          <cell r="X186">
            <v>1696.9915200000003</v>
          </cell>
        </row>
        <row r="187">
          <cell r="X187">
            <v>520</v>
          </cell>
        </row>
        <row r="188">
          <cell r="X188">
            <v>3440.68</v>
          </cell>
        </row>
        <row r="195">
          <cell r="X195">
            <v>673.22973279374992</v>
          </cell>
        </row>
        <row r="196">
          <cell r="X196">
            <v>2958.7661121562501</v>
          </cell>
        </row>
        <row r="197">
          <cell r="X197">
            <v>4800.6041950624995</v>
          </cell>
        </row>
        <row r="198">
          <cell r="X198">
            <v>66.52</v>
          </cell>
        </row>
        <row r="200">
          <cell r="X200">
            <v>6637.67</v>
          </cell>
        </row>
        <row r="201">
          <cell r="X201">
            <v>2199.4313302415962</v>
          </cell>
        </row>
        <row r="203">
          <cell r="X203">
            <v>3501.2715679999997</v>
          </cell>
        </row>
        <row r="204">
          <cell r="X204">
            <v>300.87273996333329</v>
          </cell>
        </row>
        <row r="205">
          <cell r="X205">
            <v>844.44932400000016</v>
          </cell>
        </row>
        <row r="206">
          <cell r="X206">
            <v>2644.5540000000005</v>
          </cell>
        </row>
        <row r="207">
          <cell r="X207">
            <v>681.78182600000002</v>
          </cell>
        </row>
        <row r="209">
          <cell r="X209">
            <v>1297.5999999999999</v>
          </cell>
        </row>
        <row r="210">
          <cell r="X210">
            <v>0</v>
          </cell>
        </row>
        <row r="211">
          <cell r="X211">
            <v>4726.3938042086411</v>
          </cell>
        </row>
        <row r="212">
          <cell r="X212">
            <v>1000</v>
          </cell>
        </row>
        <row r="213">
          <cell r="X213">
            <v>802.84445199400636</v>
          </cell>
        </row>
        <row r="214">
          <cell r="X214">
            <v>0</v>
          </cell>
        </row>
        <row r="215">
          <cell r="X215">
            <v>0</v>
          </cell>
        </row>
        <row r="217">
          <cell r="X217">
            <v>920.91</v>
          </cell>
        </row>
        <row r="218">
          <cell r="X218">
            <v>1166.4000000000001</v>
          </cell>
        </row>
        <row r="219">
          <cell r="X219">
            <v>406.56</v>
          </cell>
        </row>
        <row r="220">
          <cell r="X220">
            <v>2235.0784600000002</v>
          </cell>
        </row>
        <row r="223">
          <cell r="X223">
            <v>1255.9100000000001</v>
          </cell>
        </row>
        <row r="224">
          <cell r="X224">
            <v>1384.53</v>
          </cell>
        </row>
        <row r="225">
          <cell r="X225">
            <v>952.39507824999987</v>
          </cell>
        </row>
        <row r="226">
          <cell r="X226">
            <v>1876.63</v>
          </cell>
        </row>
        <row r="227">
          <cell r="X227">
            <v>208.13</v>
          </cell>
        </row>
        <row r="229">
          <cell r="X229">
            <v>0</v>
          </cell>
        </row>
        <row r="230">
          <cell r="V230">
            <v>147355.24709999998</v>
          </cell>
          <cell r="W230">
            <v>153986.23321949996</v>
          </cell>
          <cell r="X230">
            <v>1018013</v>
          </cell>
        </row>
        <row r="231">
          <cell r="X231">
            <v>500000</v>
          </cell>
        </row>
        <row r="232">
          <cell r="X232">
            <v>518013</v>
          </cell>
        </row>
        <row r="233">
          <cell r="X233">
            <v>38592.99</v>
          </cell>
        </row>
        <row r="235">
          <cell r="X235">
            <v>642070.35919999983</v>
          </cell>
        </row>
        <row r="236">
          <cell r="X236">
            <v>973491.73</v>
          </cell>
        </row>
        <row r="239">
          <cell r="X239">
            <v>320096.00685322029</v>
          </cell>
        </row>
        <row r="240">
          <cell r="X240">
            <v>92888.536839999986</v>
          </cell>
        </row>
        <row r="251">
          <cell r="X251">
            <v>9615.84</v>
          </cell>
        </row>
        <row r="252">
          <cell r="X252">
            <v>1022.1249499999999</v>
          </cell>
        </row>
        <row r="253">
          <cell r="X253">
            <v>74315.759999999995</v>
          </cell>
        </row>
        <row r="254">
          <cell r="X254">
            <v>1471.14</v>
          </cell>
        </row>
        <row r="256">
          <cell r="X256">
            <v>240747.37227624294</v>
          </cell>
        </row>
        <row r="257">
          <cell r="X257">
            <v>0</v>
          </cell>
        </row>
        <row r="258">
          <cell r="X258">
            <v>0</v>
          </cell>
        </row>
        <row r="259">
          <cell r="X259">
            <v>0</v>
          </cell>
        </row>
        <row r="260">
          <cell r="X260">
            <v>0</v>
          </cell>
        </row>
        <row r="261">
          <cell r="X261">
            <v>0</v>
          </cell>
        </row>
        <row r="262">
          <cell r="X262">
            <v>0</v>
          </cell>
        </row>
        <row r="263">
          <cell r="V263">
            <v>345140.29777159984</v>
          </cell>
          <cell r="W263">
            <v>333453.19945632201</v>
          </cell>
          <cell r="X263">
            <v>5341487.6500000004</v>
          </cell>
        </row>
        <row r="264">
          <cell r="V264">
            <v>336598.63571940805</v>
          </cell>
          <cell r="W264">
            <v>354585.75646089728</v>
          </cell>
          <cell r="X264">
            <v>775756.23813897197</v>
          </cell>
        </row>
        <row r="266">
          <cell r="X266">
            <v>5116.54</v>
          </cell>
        </row>
        <row r="267">
          <cell r="V267">
            <v>20800</v>
          </cell>
          <cell r="W267">
            <v>21736</v>
          </cell>
          <cell r="X267">
            <v>21736</v>
          </cell>
        </row>
        <row r="269">
          <cell r="X269">
            <v>3485.1525999999999</v>
          </cell>
        </row>
        <row r="270">
          <cell r="X270">
            <v>0</v>
          </cell>
        </row>
        <row r="271">
          <cell r="X271">
            <v>0</v>
          </cell>
        </row>
        <row r="272">
          <cell r="X272">
            <v>154.57639999999998</v>
          </cell>
        </row>
        <row r="280">
          <cell r="X280">
            <v>0</v>
          </cell>
        </row>
        <row r="281">
          <cell r="X281">
            <v>400</v>
          </cell>
        </row>
        <row r="282">
          <cell r="X282">
            <v>0</v>
          </cell>
        </row>
        <row r="283">
          <cell r="X283">
            <v>1958.3825400000001</v>
          </cell>
        </row>
        <row r="284">
          <cell r="X284">
            <v>0</v>
          </cell>
        </row>
        <row r="285">
          <cell r="X285">
            <v>0</v>
          </cell>
        </row>
        <row r="286">
          <cell r="X286">
            <v>0</v>
          </cell>
        </row>
        <row r="287">
          <cell r="X287">
            <v>0</v>
          </cell>
        </row>
        <row r="288">
          <cell r="X288">
            <v>5825.4</v>
          </cell>
        </row>
        <row r="289">
          <cell r="X289">
            <v>1821.58</v>
          </cell>
        </row>
        <row r="290">
          <cell r="X290">
            <v>1061.49</v>
          </cell>
        </row>
        <row r="291">
          <cell r="X291">
            <v>3983.35</v>
          </cell>
        </row>
        <row r="292">
          <cell r="X292">
            <v>13777.9</v>
          </cell>
        </row>
        <row r="293">
          <cell r="X293">
            <v>750</v>
          </cell>
        </row>
        <row r="298">
          <cell r="X298">
            <v>0</v>
          </cell>
        </row>
        <row r="299">
          <cell r="X299">
            <v>4258.62</v>
          </cell>
        </row>
        <row r="300">
          <cell r="X300">
            <v>225.49</v>
          </cell>
        </row>
        <row r="301">
          <cell r="X301">
            <v>0</v>
          </cell>
        </row>
        <row r="302">
          <cell r="X302">
            <v>0</v>
          </cell>
        </row>
        <row r="304">
          <cell r="X304">
            <v>211.19417600000003</v>
          </cell>
        </row>
        <row r="305">
          <cell r="X305">
            <v>50.954250000000002</v>
          </cell>
        </row>
        <row r="306">
          <cell r="X306">
            <v>224.24</v>
          </cell>
        </row>
        <row r="307">
          <cell r="X307">
            <v>1731.91</v>
          </cell>
        </row>
        <row r="308">
          <cell r="X30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ыпадающие 2014"/>
      <sheetName val="2. подк.неподк."/>
      <sheetName val="2.1. отклонения"/>
      <sheetName val="3. НВВ "/>
      <sheetName val="приобр.имущ."/>
      <sheetName val="бездоговорное"/>
      <sheetName val="приобр.обор."/>
      <sheetName val="5. Расчет для выпадающих"/>
      <sheetName val="амортизация"/>
      <sheetName val="рем.прогр."/>
      <sheetName val="автотр."/>
      <sheetName val="антитеррор"/>
      <sheetName val="тех.док."/>
      <sheetName val="аттестация ЭТЛ"/>
      <sheetName val="сертиф и инспек."/>
      <sheetName val="инспек.контроль"/>
      <sheetName val="трансп.усл."/>
      <sheetName val="НИР"/>
      <sheetName val="госпошлина"/>
      <sheetName val="налоги"/>
      <sheetName val="суд.издер."/>
      <sheetName val="штрафы"/>
      <sheetName val="проценты"/>
      <sheetName val="5. Реестр выпадающих доходов"/>
      <sheetName val="6. Расчет выпадающих по потерям"/>
      <sheetName val="7.1 Выпадающие ИП 2012"/>
      <sheetName val="Расчет процентов"/>
      <sheetName val="7.2 Выпадающие ИП 2013"/>
      <sheetName val="расшиф."/>
      <sheetName val="Досуд. спор"/>
      <sheetName val="форма 1.3"/>
      <sheetName val="форма 1.6"/>
      <sheetName val="БДР по видам деятельности 2013"/>
      <sheetName val="БДР по видам деятельности 2014"/>
      <sheetName val="потери 2013"/>
      <sheetName val="потери 2014"/>
      <sheetName val="выпадающие по ИП 2012"/>
      <sheetName val="выпадающие по ИП 2013"/>
      <sheetName val="выпадающие по ИП 2014"/>
      <sheetName val="Лист3"/>
    </sheetNames>
    <sheetDataSet>
      <sheetData sheetId="0" refreshError="1"/>
      <sheetData sheetId="1" refreshError="1"/>
      <sheetData sheetId="2" refreshError="1"/>
      <sheetData sheetId="3" refreshError="1">
        <row r="234">
          <cell r="M234">
            <v>3366322.6399237323</v>
          </cell>
          <cell r="N234">
            <v>3793845.75538</v>
          </cell>
          <cell r="O234">
            <v>3690864.4627100006</v>
          </cell>
          <cell r="P234">
            <v>3646820.4260425325</v>
          </cell>
          <cell r="Q234">
            <v>3649956.6555725327</v>
          </cell>
          <cell r="R234">
            <v>3630700.3747625328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
  <sheetViews>
    <sheetView tabSelected="1" view="pageBreakPreview" topLeftCell="A4" zoomScaleNormal="100" zoomScaleSheetLayoutView="100" workbookViewId="0">
      <selection activeCell="B14" sqref="B14"/>
    </sheetView>
  </sheetViews>
  <sheetFormatPr defaultColWidth="9.109375" defaultRowHeight="15.6"/>
  <cols>
    <col min="1" max="1" width="45.5546875" style="16" customWidth="1"/>
    <col min="2" max="2" width="71.44140625" style="16" customWidth="1"/>
    <col min="3" max="16384" width="9.109375" style="16"/>
  </cols>
  <sheetData>
    <row r="1" spans="1:3" ht="78">
      <c r="B1" s="1070" t="s">
        <v>2214</v>
      </c>
    </row>
    <row r="2" spans="1:3">
      <c r="B2" s="1070"/>
    </row>
    <row r="3" spans="1:3">
      <c r="B3" s="1070"/>
    </row>
    <row r="4" spans="1:3" ht="21">
      <c r="A4" s="1108" t="s">
        <v>2237</v>
      </c>
      <c r="B4" s="1109"/>
      <c r="C4"/>
    </row>
    <row r="5" spans="1:3" ht="21">
      <c r="A5" s="1108" t="s">
        <v>2215</v>
      </c>
      <c r="B5" s="1109"/>
      <c r="C5"/>
    </row>
    <row r="6" spans="1:3" ht="21">
      <c r="A6" s="1110" t="s">
        <v>2220</v>
      </c>
      <c r="B6" s="1111"/>
      <c r="C6" s="1071"/>
    </row>
    <row r="7" spans="1:3">
      <c r="A7" s="1071"/>
      <c r="B7" s="1072" t="s">
        <v>2216</v>
      </c>
      <c r="C7"/>
    </row>
    <row r="8" spans="1:3" ht="19.8">
      <c r="A8" s="1112" t="s">
        <v>2218</v>
      </c>
      <c r="B8" s="1113"/>
      <c r="C8"/>
    </row>
    <row r="9" spans="1:3">
      <c r="A9" s="1114" t="s">
        <v>2217</v>
      </c>
      <c r="B9" s="1115"/>
      <c r="C9"/>
    </row>
    <row r="14" spans="1:3" s="27" customFormat="1" ht="20.25" customHeight="1">
      <c r="A14" s="26"/>
      <c r="B14" s="1065" t="s">
        <v>2208</v>
      </c>
    </row>
    <row r="15" spans="1:3" s="27" customFormat="1" ht="30" customHeight="1">
      <c r="A15" s="26"/>
      <c r="B15" s="1066" t="s">
        <v>2209</v>
      </c>
    </row>
    <row r="16" spans="1:3" ht="39" customHeight="1">
      <c r="A16" s="1107" t="s">
        <v>2219</v>
      </c>
      <c r="B16" s="1107"/>
    </row>
    <row r="17" spans="1:2">
      <c r="A17" s="17"/>
      <c r="B17" s="17"/>
    </row>
    <row r="18" spans="1:2" ht="30" customHeight="1">
      <c r="A18" s="1073" t="s">
        <v>96</v>
      </c>
      <c r="B18" s="1073" t="s">
        <v>97</v>
      </c>
    </row>
    <row r="19" spans="1:2" ht="30" customHeight="1">
      <c r="A19" s="1074" t="s">
        <v>84</v>
      </c>
      <c r="B19" s="1075" t="s">
        <v>220</v>
      </c>
    </row>
    <row r="20" spans="1:2" ht="30" customHeight="1">
      <c r="A20" s="1074" t="s">
        <v>85</v>
      </c>
      <c r="B20" s="1075" t="s">
        <v>221</v>
      </c>
    </row>
    <row r="21" spans="1:2" ht="30" customHeight="1">
      <c r="A21" s="1074" t="s">
        <v>86</v>
      </c>
      <c r="B21" s="1075" t="s">
        <v>222</v>
      </c>
    </row>
    <row r="22" spans="1:2" ht="39" customHeight="1">
      <c r="A22" s="1074" t="s">
        <v>87</v>
      </c>
      <c r="B22" s="1075" t="s">
        <v>2229</v>
      </c>
    </row>
    <row r="23" spans="1:2" ht="30" customHeight="1">
      <c r="A23" s="1074" t="s">
        <v>88</v>
      </c>
      <c r="B23" s="1074">
        <v>2308139496</v>
      </c>
    </row>
    <row r="24" spans="1:2" ht="30" customHeight="1">
      <c r="A24" s="1074" t="s">
        <v>89</v>
      </c>
      <c r="B24" s="1074" t="s">
        <v>2230</v>
      </c>
    </row>
    <row r="25" spans="1:2" ht="30" customHeight="1">
      <c r="A25" s="1074" t="s">
        <v>90</v>
      </c>
      <c r="B25" s="1074" t="s">
        <v>2231</v>
      </c>
    </row>
    <row r="26" spans="1:2" ht="30" customHeight="1">
      <c r="A26" s="1074" t="s">
        <v>91</v>
      </c>
      <c r="B26" s="1076" t="s">
        <v>223</v>
      </c>
    </row>
    <row r="27" spans="1:2" ht="30" customHeight="1">
      <c r="A27" s="1074" t="s">
        <v>92</v>
      </c>
      <c r="B27" s="1077" t="s">
        <v>2232</v>
      </c>
    </row>
    <row r="28" spans="1:2" ht="30" customHeight="1">
      <c r="A28" s="1074" t="s">
        <v>93</v>
      </c>
      <c r="B28" s="1074" t="s">
        <v>2233</v>
      </c>
    </row>
    <row r="29" spans="1:2">
      <c r="A29" s="15"/>
      <c r="B29" s="15"/>
    </row>
    <row r="30" spans="1:2" ht="18">
      <c r="A30" s="7"/>
      <c r="B30" s="7"/>
    </row>
  </sheetData>
  <mergeCells count="6">
    <mergeCell ref="A16:B16"/>
    <mergeCell ref="A4:B4"/>
    <mergeCell ref="A5:B5"/>
    <mergeCell ref="A6:B6"/>
    <mergeCell ref="A8:B8"/>
    <mergeCell ref="A9:B9"/>
  </mergeCells>
  <printOptions horizontalCentered="1"/>
  <pageMargins left="1.1811023622047245" right="0.59055118110236227" top="0.39370078740157483" bottom="0.78740157480314965"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87"/>
  <sheetViews>
    <sheetView view="pageBreakPreview" topLeftCell="B1" zoomScale="60" workbookViewId="0">
      <pane xSplit="6" ySplit="28" topLeftCell="N239" activePane="bottomRight" state="frozen"/>
      <selection activeCell="A14" sqref="A14:L14"/>
      <selection pane="topRight" activeCell="A14" sqref="A14:L14"/>
      <selection pane="bottomLeft" activeCell="A14" sqref="A14:L14"/>
      <selection pane="bottomRight" activeCell="Z112" sqref="Z112"/>
    </sheetView>
  </sheetViews>
  <sheetFormatPr defaultColWidth="9.109375" defaultRowHeight="16.8" outlineLevelRow="3" outlineLevelCol="1"/>
  <cols>
    <col min="1" max="1" width="12.109375" style="105" hidden="1" customWidth="1"/>
    <col min="2" max="2" width="14.6640625" style="106" customWidth="1"/>
    <col min="3" max="3" width="13.5546875" style="107" customWidth="1"/>
    <col min="4" max="4" width="13.5546875" style="107" hidden="1" customWidth="1"/>
    <col min="5" max="5" width="50.88671875" style="214" customWidth="1"/>
    <col min="6" max="6" width="52.5546875" style="52" hidden="1" customWidth="1" outlineLevel="1"/>
    <col min="7" max="7" width="14" style="52" customWidth="1" collapsed="1"/>
    <col min="8" max="8" width="22.5546875" style="52" hidden="1" customWidth="1" outlineLevel="1"/>
    <col min="9" max="10" width="22.109375" style="52" hidden="1" customWidth="1" outlineLevel="1"/>
    <col min="11" max="11" width="21.6640625" style="52" hidden="1" customWidth="1" outlineLevel="1"/>
    <col min="12" max="12" width="21.44140625" style="52" hidden="1" customWidth="1" outlineLevel="1"/>
    <col min="13" max="13" width="23.44140625" style="52" hidden="1" customWidth="1" outlineLevel="1"/>
    <col min="14" max="14" width="22.6640625" style="52" customWidth="1" outlineLevel="1"/>
    <col min="15" max="15" width="20.33203125" style="52" hidden="1" customWidth="1" outlineLevel="1"/>
    <col min="16" max="16" width="24.5546875" style="52" customWidth="1" outlineLevel="1"/>
    <col min="17" max="18" width="20.33203125" style="52" hidden="1" customWidth="1" outlineLevel="1"/>
    <col min="19" max="19" width="24.109375" style="52" hidden="1" customWidth="1" outlineLevel="1"/>
    <col min="20" max="20" width="25.5546875" style="52" hidden="1" customWidth="1" outlineLevel="1"/>
    <col min="21" max="21" width="25.6640625" style="52" hidden="1" customWidth="1" outlineLevel="1"/>
    <col min="22" max="22" width="23.44140625" style="52" customWidth="1" collapsed="1"/>
    <col min="23" max="23" width="24" style="52" hidden="1" customWidth="1"/>
    <col min="24" max="24" width="18.44140625" style="52" hidden="1" customWidth="1"/>
    <col min="25" max="25" width="21.44140625" style="52" hidden="1" customWidth="1"/>
    <col min="26" max="26" width="21.33203125" style="52" customWidth="1"/>
    <col min="27" max="28" width="21.33203125" style="52" hidden="1" customWidth="1"/>
    <col min="29" max="29" width="20.33203125" style="52" hidden="1" customWidth="1"/>
    <col min="30" max="30" width="22" style="52" hidden="1" customWidth="1"/>
    <col min="31" max="31" width="21.33203125" style="52" hidden="1" customWidth="1"/>
    <col min="32" max="32" width="22.109375" style="52" hidden="1" customWidth="1"/>
    <col min="33" max="33" width="22.6640625" style="52" hidden="1" customWidth="1"/>
    <col min="34" max="36" width="21.109375" style="52" hidden="1" customWidth="1"/>
    <col min="37" max="37" width="19.6640625" style="52" hidden="1" customWidth="1"/>
    <col min="38" max="38" width="69" style="52" hidden="1" customWidth="1"/>
    <col min="39" max="39" width="18.33203125" style="52" customWidth="1"/>
    <col min="40" max="40" width="16.6640625" style="52" customWidth="1"/>
    <col min="41" max="41" width="9.109375" style="52"/>
    <col min="42" max="42" width="9.33203125" style="52" customWidth="1"/>
    <col min="43" max="16384" width="9.109375" style="52"/>
  </cols>
  <sheetData>
    <row r="1" spans="5:37" hidden="1">
      <c r="E1" s="52"/>
    </row>
    <row r="2" spans="5:37" ht="21" hidden="1" thickBot="1">
      <c r="E2" s="52"/>
      <c r="H2" s="53" t="s">
        <v>228</v>
      </c>
      <c r="I2" s="53"/>
      <c r="J2" s="53"/>
      <c r="K2" s="53"/>
      <c r="L2" s="53"/>
      <c r="M2" s="53"/>
      <c r="N2" s="53"/>
      <c r="O2" s="53"/>
      <c r="P2" s="1370" t="s">
        <v>228</v>
      </c>
      <c r="Q2" s="1370"/>
      <c r="R2" s="1370"/>
      <c r="S2" s="1370"/>
      <c r="T2" s="1370"/>
      <c r="U2" s="1370"/>
      <c r="V2" s="1370"/>
      <c r="W2" s="1370"/>
      <c r="X2" s="1370"/>
      <c r="Y2" s="1370"/>
      <c r="Z2" s="1370"/>
      <c r="AA2" s="1370"/>
      <c r="AB2" s="1370"/>
      <c r="AC2" s="1370"/>
      <c r="AD2" s="1370"/>
      <c r="AE2" s="54"/>
      <c r="AF2" s="54"/>
      <c r="AG2" s="53"/>
      <c r="AH2" s="53"/>
      <c r="AI2" s="53"/>
      <c r="AJ2" s="53"/>
      <c r="AK2" s="53"/>
    </row>
    <row r="3" spans="5:37" ht="33" hidden="1" customHeight="1">
      <c r="E3" s="52"/>
      <c r="H3" s="1371" t="s">
        <v>229</v>
      </c>
      <c r="I3" s="1373" t="s">
        <v>230</v>
      </c>
      <c r="J3" s="1374" t="s">
        <v>231</v>
      </c>
      <c r="K3" s="1374" t="s">
        <v>232</v>
      </c>
      <c r="L3" s="1374" t="s">
        <v>233</v>
      </c>
      <c r="M3" s="1374" t="s">
        <v>234</v>
      </c>
      <c r="N3" s="1374"/>
      <c r="O3" s="1374" t="s">
        <v>235</v>
      </c>
      <c r="P3" s="1375" t="s">
        <v>229</v>
      </c>
      <c r="Q3" s="1377" t="s">
        <v>230</v>
      </c>
      <c r="R3" s="1363" t="s">
        <v>231</v>
      </c>
      <c r="S3" s="1363" t="s">
        <v>232</v>
      </c>
      <c r="T3" s="1363" t="s">
        <v>233</v>
      </c>
      <c r="U3" s="1365" t="s">
        <v>236</v>
      </c>
      <c r="V3" s="1367"/>
      <c r="W3" s="414"/>
      <c r="X3" s="414"/>
      <c r="Y3" s="414"/>
      <c r="Z3" s="414"/>
      <c r="AA3" s="414"/>
      <c r="AB3" s="414"/>
      <c r="AC3" s="1363" t="s">
        <v>235</v>
      </c>
      <c r="AD3" s="1368" t="s">
        <v>237</v>
      </c>
      <c r="AE3" s="55"/>
      <c r="AF3" s="55"/>
    </row>
    <row r="4" spans="5:37" ht="49.5" hidden="1" customHeight="1" thickBot="1">
      <c r="E4" s="52"/>
      <c r="H4" s="1372"/>
      <c r="I4" s="1373"/>
      <c r="J4" s="1374"/>
      <c r="K4" s="1374"/>
      <c r="L4" s="1374"/>
      <c r="M4" s="415" t="s">
        <v>240</v>
      </c>
      <c r="N4" s="415" t="s">
        <v>241</v>
      </c>
      <c r="O4" s="1374"/>
      <c r="P4" s="1376"/>
      <c r="Q4" s="1378"/>
      <c r="R4" s="1364"/>
      <c r="S4" s="1364"/>
      <c r="T4" s="1364"/>
      <c r="U4" s="413" t="s">
        <v>240</v>
      </c>
      <c r="V4" s="413" t="s">
        <v>241</v>
      </c>
      <c r="W4" s="413"/>
      <c r="X4" s="413"/>
      <c r="Y4" s="413"/>
      <c r="Z4" s="413"/>
      <c r="AA4" s="413"/>
      <c r="AB4" s="413"/>
      <c r="AC4" s="1364"/>
      <c r="AD4" s="1369"/>
      <c r="AE4" s="55"/>
      <c r="AF4" s="55"/>
      <c r="AG4" s="415"/>
      <c r="AH4" s="415"/>
      <c r="AI4" s="415"/>
      <c r="AJ4" s="415"/>
      <c r="AK4" s="415"/>
    </row>
    <row r="5" spans="5:37" ht="15.75" hidden="1" customHeight="1" outlineLevel="1">
      <c r="E5" s="52"/>
      <c r="H5" s="60" t="s">
        <v>242</v>
      </c>
      <c r="I5" s="61" t="s">
        <v>243</v>
      </c>
      <c r="J5" s="62">
        <v>1</v>
      </c>
      <c r="K5" s="62">
        <v>2</v>
      </c>
      <c r="L5" s="62">
        <v>3</v>
      </c>
      <c r="M5" s="62">
        <v>5</v>
      </c>
      <c r="N5" s="62">
        <v>6</v>
      </c>
      <c r="O5" s="62">
        <v>7</v>
      </c>
      <c r="P5" s="63" t="s">
        <v>242</v>
      </c>
      <c r="Q5" s="64" t="s">
        <v>243</v>
      </c>
      <c r="R5" s="65">
        <v>1</v>
      </c>
      <c r="S5" s="65">
        <v>2</v>
      </c>
      <c r="T5" s="65">
        <v>3</v>
      </c>
      <c r="U5" s="65">
        <v>4</v>
      </c>
      <c r="V5" s="65">
        <v>5</v>
      </c>
      <c r="W5" s="65"/>
      <c r="X5" s="65"/>
      <c r="Y5" s="65"/>
      <c r="Z5" s="65"/>
      <c r="AA5" s="65"/>
      <c r="AB5" s="65"/>
      <c r="AC5" s="65">
        <v>6</v>
      </c>
      <c r="AD5" s="66">
        <v>7</v>
      </c>
      <c r="AE5" s="67"/>
      <c r="AF5" s="67"/>
      <c r="AG5" s="62"/>
      <c r="AH5" s="62"/>
      <c r="AI5" s="62"/>
      <c r="AJ5" s="62"/>
      <c r="AK5" s="62"/>
    </row>
    <row r="6" spans="5:37" hidden="1" outlineLevel="1">
      <c r="E6" s="52"/>
      <c r="H6" s="69" t="s">
        <v>244</v>
      </c>
      <c r="I6" s="60" t="s">
        <v>202</v>
      </c>
      <c r="J6" s="70">
        <v>5.7000000000000002E-2</v>
      </c>
      <c r="K6" s="70">
        <v>5.8999999999999997E-2</v>
      </c>
      <c r="L6" s="70">
        <v>5.1999999999999998E-2</v>
      </c>
      <c r="M6" s="70">
        <v>4.7E-2</v>
      </c>
      <c r="N6" s="70">
        <v>4.8000000000000001E-2</v>
      </c>
      <c r="O6" s="70">
        <v>5.0999999999999997E-2</v>
      </c>
      <c r="P6" s="71" t="s">
        <v>244</v>
      </c>
      <c r="Q6" s="72" t="s">
        <v>202</v>
      </c>
      <c r="R6" s="73">
        <v>5.7000000000000002E-2</v>
      </c>
      <c r="S6" s="73">
        <v>5.8999999999999997E-2</v>
      </c>
      <c r="T6" s="73">
        <v>5.1999999999999998E-2</v>
      </c>
      <c r="U6" s="73">
        <v>1.0549999999999999</v>
      </c>
      <c r="V6" s="73">
        <v>1.0449999999999999</v>
      </c>
      <c r="W6" s="73"/>
      <c r="X6" s="73"/>
      <c r="Y6" s="73"/>
      <c r="Z6" s="73"/>
      <c r="AA6" s="73"/>
      <c r="AB6" s="73"/>
      <c r="AC6" s="73">
        <v>1.0780000000000001</v>
      </c>
      <c r="AD6" s="73">
        <v>1.0740000000000001</v>
      </c>
      <c r="AE6" s="75"/>
      <c r="AF6" s="75"/>
      <c r="AG6" s="70"/>
      <c r="AH6" s="70"/>
      <c r="AI6" s="70"/>
      <c r="AJ6" s="70"/>
      <c r="AK6" s="70"/>
    </row>
    <row r="7" spans="5:37" ht="53.25" hidden="1" customHeight="1" outlineLevel="1">
      <c r="E7" s="52"/>
      <c r="H7" s="69" t="s">
        <v>245</v>
      </c>
      <c r="I7" s="60" t="s">
        <v>202</v>
      </c>
      <c r="J7" s="70">
        <v>0.01</v>
      </c>
      <c r="K7" s="76">
        <v>1.2500000000000001E-2</v>
      </c>
      <c r="L7" s="70">
        <v>1.4999999999999999E-2</v>
      </c>
      <c r="M7" s="76">
        <v>7.4999999999999997E-3</v>
      </c>
      <c r="N7" s="76">
        <v>7.4999999999999997E-3</v>
      </c>
      <c r="O7" s="70">
        <v>1.4999999999999999E-2</v>
      </c>
      <c r="P7" s="71" t="s">
        <v>245</v>
      </c>
      <c r="Q7" s="72" t="s">
        <v>202</v>
      </c>
      <c r="R7" s="73">
        <v>0.01</v>
      </c>
      <c r="S7" s="77">
        <v>1.2500000000000001E-2</v>
      </c>
      <c r="T7" s="73">
        <v>1.4999999999999999E-2</v>
      </c>
      <c r="U7" s="78">
        <v>1.4999999999999999E-2</v>
      </c>
      <c r="V7" s="78">
        <v>1.4999999999999999E-2</v>
      </c>
      <c r="W7" s="78"/>
      <c r="X7" s="78"/>
      <c r="Y7" s="78"/>
      <c r="Z7" s="78"/>
      <c r="AA7" s="78"/>
      <c r="AB7" s="78"/>
      <c r="AC7" s="78">
        <v>1.4999999999999999E-2</v>
      </c>
      <c r="AD7" s="78">
        <v>1.4999999999999999E-2</v>
      </c>
      <c r="AE7" s="75"/>
      <c r="AF7" s="75"/>
      <c r="AG7" s="76"/>
      <c r="AH7" s="76"/>
      <c r="AI7" s="76"/>
      <c r="AJ7" s="76"/>
      <c r="AK7" s="76"/>
    </row>
    <row r="8" spans="5:37" ht="20.25" hidden="1" customHeight="1" outlineLevel="1">
      <c r="E8" s="52"/>
      <c r="H8" s="69" t="s">
        <v>246</v>
      </c>
      <c r="I8" s="60" t="s">
        <v>43</v>
      </c>
      <c r="J8" s="80">
        <v>88178.861000000004</v>
      </c>
      <c r="K8" s="80">
        <v>91207.98</v>
      </c>
      <c r="L8" s="80">
        <v>91207.98</v>
      </c>
      <c r="M8" s="80">
        <v>98255.76</v>
      </c>
      <c r="N8" s="80">
        <v>98394.84</v>
      </c>
      <c r="O8" s="80">
        <v>98255.76</v>
      </c>
      <c r="P8" s="71" t="s">
        <v>246</v>
      </c>
      <c r="Q8" s="72" t="s">
        <v>43</v>
      </c>
      <c r="R8" s="81">
        <v>88178.861000000004</v>
      </c>
      <c r="S8" s="81">
        <v>91207.98</v>
      </c>
      <c r="T8" s="81">
        <v>91207.98</v>
      </c>
      <c r="U8" s="81">
        <v>97763.19</v>
      </c>
      <c r="V8" s="81">
        <v>97763.19</v>
      </c>
      <c r="W8" s="81"/>
      <c r="X8" s="81"/>
      <c r="Y8" s="81"/>
      <c r="Z8" s="81"/>
      <c r="AA8" s="81"/>
      <c r="AB8" s="81"/>
      <c r="AC8" s="81">
        <f>'[70]6. расчет УЕ'!H107</f>
        <v>98245.424199999994</v>
      </c>
      <c r="AD8" s="82">
        <f>AC8</f>
        <v>98245.424199999994</v>
      </c>
      <c r="AE8" s="83"/>
      <c r="AF8" s="83"/>
      <c r="AG8" s="80"/>
      <c r="AH8" s="80"/>
      <c r="AI8" s="80"/>
      <c r="AJ8" s="80"/>
      <c r="AK8" s="80"/>
    </row>
    <row r="9" spans="5:37" ht="40.5" hidden="1" customHeight="1" outlineLevel="1">
      <c r="E9" s="52"/>
      <c r="H9" s="69" t="s">
        <v>247</v>
      </c>
      <c r="I9" s="60" t="s">
        <v>202</v>
      </c>
      <c r="J9" s="76">
        <v>0</v>
      </c>
      <c r="K9" s="76">
        <v>6.5699999999999995E-2</v>
      </c>
      <c r="L9" s="76">
        <v>0</v>
      </c>
      <c r="M9" s="76">
        <v>7.7299999999999994E-2</v>
      </c>
      <c r="N9" s="76">
        <f>IF(M8=0,0,(N8-M8)/M8)</f>
        <v>1.41548953465936E-3</v>
      </c>
      <c r="O9" s="76">
        <v>7.7299999999999994E-2</v>
      </c>
      <c r="P9" s="71" t="s">
        <v>247</v>
      </c>
      <c r="Q9" s="72" t="s">
        <v>202</v>
      </c>
      <c r="R9" s="77">
        <v>0</v>
      </c>
      <c r="S9" s="77">
        <v>6.5699999999999995E-2</v>
      </c>
      <c r="T9" s="77">
        <v>0</v>
      </c>
      <c r="U9" s="84">
        <f>IF(U8=0,0,(U8-T8)/T8)+100%</f>
        <v>1.0718710139178611</v>
      </c>
      <c r="V9" s="84">
        <f>IF(U8=0,0,(V8-U8)/U8)+100%</f>
        <v>1</v>
      </c>
      <c r="W9" s="84"/>
      <c r="X9" s="84"/>
      <c r="Y9" s="84"/>
      <c r="Z9" s="84"/>
      <c r="AA9" s="84"/>
      <c r="AB9" s="84"/>
      <c r="AC9" s="84">
        <f>IF(T8=0,0,(U8-T8)/T8)+100%</f>
        <v>1.0718710139178611</v>
      </c>
      <c r="AD9" s="85">
        <f>IF(T8=0,0,(U8-T8)/T8)+100%</f>
        <v>1.0718710139178611</v>
      </c>
      <c r="AE9" s="86"/>
      <c r="AF9" s="86"/>
      <c r="AG9" s="76"/>
      <c r="AH9" s="76"/>
      <c r="AI9" s="76"/>
      <c r="AJ9" s="76"/>
      <c r="AK9" s="76"/>
    </row>
    <row r="10" spans="5:37" ht="53.25" hidden="1" customHeight="1" outlineLevel="1">
      <c r="E10" s="52"/>
      <c r="H10" s="87" t="s">
        <v>248</v>
      </c>
      <c r="I10" s="61"/>
      <c r="J10" s="70"/>
      <c r="K10" s="60">
        <v>0.75</v>
      </c>
      <c r="L10" s="60">
        <v>0.75</v>
      </c>
      <c r="M10" s="60">
        <v>1.5</v>
      </c>
      <c r="N10" s="60">
        <v>1.5</v>
      </c>
      <c r="O10" s="60">
        <v>0.75</v>
      </c>
      <c r="P10" s="88" t="s">
        <v>248</v>
      </c>
      <c r="Q10" s="89"/>
      <c r="R10" s="73"/>
      <c r="S10" s="72">
        <v>0.75</v>
      </c>
      <c r="T10" s="72">
        <v>0.75</v>
      </c>
      <c r="U10" s="90">
        <v>0.75</v>
      </c>
      <c r="V10" s="90">
        <v>0.75</v>
      </c>
      <c r="W10" s="90"/>
      <c r="X10" s="90"/>
      <c r="Y10" s="90"/>
      <c r="Z10" s="90"/>
      <c r="AA10" s="90"/>
      <c r="AB10" s="90"/>
      <c r="AC10" s="90">
        <v>0.75</v>
      </c>
      <c r="AD10" s="90">
        <v>0.75</v>
      </c>
      <c r="AE10" s="91"/>
      <c r="AF10" s="91"/>
      <c r="AG10" s="60"/>
      <c r="AH10" s="60"/>
      <c r="AI10" s="60"/>
      <c r="AJ10" s="60"/>
      <c r="AK10" s="60"/>
    </row>
    <row r="11" spans="5:37" ht="32.4" hidden="1" customHeight="1" collapsed="1" thickBot="1">
      <c r="E11" s="52"/>
      <c r="H11" s="93" t="s">
        <v>249</v>
      </c>
      <c r="I11" s="61"/>
      <c r="J11" s="70">
        <v>1.04643</v>
      </c>
      <c r="K11" s="94">
        <f>(1+K6)*(1-K7)*(1+K9*K10)</f>
        <v>1.0972924471874999</v>
      </c>
      <c r="L11" s="94">
        <v>1.036</v>
      </c>
      <c r="M11" s="95">
        <v>1.0367999999999999</v>
      </c>
      <c r="N11" s="94">
        <v>1.0353000000000001</v>
      </c>
      <c r="O11" s="95">
        <v>1.0365</v>
      </c>
      <c r="P11" s="96" t="s">
        <v>249</v>
      </c>
      <c r="Q11" s="97"/>
      <c r="R11" s="98">
        <v>1.04643</v>
      </c>
      <c r="S11" s="99">
        <f>(1+S6)*(1-S7)*(1+S9*S10)</f>
        <v>1.0972924471874999</v>
      </c>
      <c r="T11" s="99">
        <v>1.036</v>
      </c>
      <c r="U11" s="100">
        <f>(1+U6)*(1-U7)*(1+U9*U10)/100+1</f>
        <v>1.0365141588219788</v>
      </c>
      <c r="V11" s="100">
        <f>(1+V6)*(1-V7)*(1+V9*V10)/100+1</f>
        <v>1.0352506875</v>
      </c>
      <c r="W11" s="100"/>
      <c r="X11" s="100"/>
      <c r="Y11" s="100"/>
      <c r="Z11" s="100"/>
      <c r="AA11" s="100"/>
      <c r="AB11" s="100"/>
      <c r="AC11" s="100">
        <f>(1+AC6)*(1-AC7)*(1+AC9*AC10)/100+1</f>
        <v>1.0369228331056313</v>
      </c>
      <c r="AD11" s="100">
        <f>(1+AD6)*(1-AD7)*(1+AD9*AD10)/100+1</f>
        <v>1.03685175931717</v>
      </c>
      <c r="AE11" s="102"/>
      <c r="AF11" s="102"/>
      <c r="AG11" s="94"/>
      <c r="AH11" s="94"/>
      <c r="AI11" s="94"/>
      <c r="AJ11" s="94"/>
      <c r="AK11" s="94"/>
    </row>
    <row r="12" spans="5:37" hidden="1">
      <c r="E12" s="52"/>
      <c r="U12" s="103"/>
      <c r="V12" s="103"/>
      <c r="W12" s="103"/>
      <c r="X12" s="103"/>
      <c r="Y12" s="103"/>
      <c r="Z12" s="103"/>
      <c r="AA12" s="103"/>
      <c r="AB12" s="103"/>
      <c r="AC12" s="103"/>
      <c r="AE12" s="67"/>
      <c r="AF12" s="67"/>
    </row>
    <row r="13" spans="5:37" hidden="1">
      <c r="E13" s="52"/>
      <c r="U13" s="104"/>
    </row>
    <row r="14" spans="5:37" hidden="1">
      <c r="E14" s="52"/>
    </row>
    <row r="15" spans="5:37" hidden="1">
      <c r="E15" s="52"/>
    </row>
    <row r="16" spans="5:37" hidden="1">
      <c r="E16" s="52"/>
    </row>
    <row r="17" spans="1:40" hidden="1">
      <c r="E17" s="52"/>
    </row>
    <row r="18" spans="1:40" hidden="1">
      <c r="E18" s="52"/>
    </row>
    <row r="19" spans="1:40" hidden="1">
      <c r="E19" s="52"/>
    </row>
    <row r="20" spans="1:40" hidden="1">
      <c r="E20" s="52"/>
    </row>
    <row r="21" spans="1:40" hidden="1">
      <c r="E21" s="52"/>
    </row>
    <row r="22" spans="1:40" hidden="1">
      <c r="E22" s="52"/>
    </row>
    <row r="23" spans="1:40" ht="28.5" hidden="1" customHeight="1">
      <c r="A23" s="108"/>
      <c r="B23" s="109"/>
      <c r="C23" s="110"/>
      <c r="D23" s="110"/>
      <c r="E23" s="111"/>
      <c r="F23" s="1355"/>
      <c r="G23" s="1355"/>
      <c r="H23" s="112"/>
      <c r="I23" s="112"/>
      <c r="J23" s="112"/>
      <c r="K23" s="111"/>
      <c r="L23" s="111"/>
      <c r="M23" s="111"/>
      <c r="N23" s="111"/>
      <c r="O23" s="111"/>
      <c r="P23" s="111"/>
      <c r="Q23" s="111"/>
      <c r="R23" s="111"/>
      <c r="S23" s="111"/>
      <c r="T23" s="113" t="s">
        <v>250</v>
      </c>
      <c r="U23" s="114">
        <v>1.0364536789698664</v>
      </c>
      <c r="V23" s="114">
        <v>1.0353238157904636</v>
      </c>
      <c r="W23" s="114"/>
      <c r="X23" s="114"/>
      <c r="Y23" s="114"/>
      <c r="Z23" s="114"/>
      <c r="AA23" s="114"/>
      <c r="AB23" s="114"/>
      <c r="AC23" s="114">
        <v>1.0370057376157218</v>
      </c>
      <c r="AD23" s="114">
        <v>1.0370057376157218</v>
      </c>
      <c r="AG23" s="111"/>
      <c r="AH23" s="111"/>
      <c r="AI23" s="111"/>
      <c r="AJ23" s="111"/>
      <c r="AK23" s="111"/>
    </row>
    <row r="24" spans="1:40" s="116" customFormat="1" ht="25.5" customHeight="1">
      <c r="A24" s="115"/>
      <c r="B24" s="1356" t="s">
        <v>251</v>
      </c>
      <c r="C24" s="1839"/>
      <c r="D24" s="1839"/>
      <c r="E24" s="1839"/>
      <c r="F24" s="1839"/>
      <c r="G24" s="1839"/>
      <c r="H24" s="1839"/>
      <c r="I24" s="1839"/>
      <c r="J24" s="1839"/>
      <c r="K24" s="1839"/>
      <c r="L24" s="1839"/>
      <c r="M24" s="1839"/>
      <c r="N24" s="1839"/>
      <c r="O24" s="1839"/>
      <c r="P24" s="1839"/>
      <c r="Q24" s="1839"/>
      <c r="R24" s="1839"/>
      <c r="S24" s="1839"/>
      <c r="T24" s="1839"/>
      <c r="U24" s="1839"/>
      <c r="V24" s="1839"/>
      <c r="W24" s="1840"/>
      <c r="X24" s="1840"/>
      <c r="Y24" s="1840"/>
      <c r="Z24" s="1840"/>
      <c r="AA24" s="1840"/>
      <c r="AB24" s="1840"/>
      <c r="AC24" s="1840"/>
      <c r="AD24" s="1841"/>
      <c r="AL24" s="949"/>
    </row>
    <row r="25" spans="1:40" ht="25.5" customHeight="1">
      <c r="A25" s="1360" t="s">
        <v>110</v>
      </c>
      <c r="B25" s="1350" t="s">
        <v>110</v>
      </c>
      <c r="C25" s="1361" t="s">
        <v>252</v>
      </c>
      <c r="D25" s="1842" t="s">
        <v>2122</v>
      </c>
      <c r="E25" s="1362" t="s">
        <v>253</v>
      </c>
      <c r="F25" s="1362" t="s">
        <v>254</v>
      </c>
      <c r="G25" s="1350" t="s">
        <v>255</v>
      </c>
      <c r="H25" s="1340" t="s">
        <v>256</v>
      </c>
      <c r="I25" s="1341"/>
      <c r="J25" s="1342"/>
      <c r="K25" s="1343" t="s">
        <v>257</v>
      </c>
      <c r="L25" s="1343"/>
      <c r="M25" s="1343"/>
      <c r="N25" s="1344" t="s">
        <v>258</v>
      </c>
      <c r="O25" s="1344"/>
      <c r="P25" s="1344"/>
      <c r="Q25" s="1344"/>
      <c r="R25" s="1344"/>
      <c r="S25" s="1344"/>
      <c r="T25" s="1344"/>
      <c r="U25" s="1344"/>
      <c r="V25" s="1830" t="s">
        <v>259</v>
      </c>
      <c r="W25" s="1831"/>
      <c r="X25" s="1831"/>
      <c r="Y25" s="1831"/>
      <c r="Z25" s="1831"/>
      <c r="AA25" s="1845"/>
      <c r="AB25" s="1846"/>
      <c r="AC25" s="1830" t="s">
        <v>260</v>
      </c>
      <c r="AD25" s="1831"/>
      <c r="AE25" s="1831"/>
      <c r="AF25" s="1831"/>
      <c r="AG25" s="1830" t="s">
        <v>2123</v>
      </c>
      <c r="AH25" s="1831"/>
      <c r="AI25" s="1831"/>
      <c r="AJ25" s="1831"/>
      <c r="AK25" s="1831"/>
      <c r="AL25" s="1832" t="s">
        <v>2124</v>
      </c>
    </row>
    <row r="26" spans="1:40" ht="120.75" customHeight="1">
      <c r="A26" s="1360"/>
      <c r="B26" s="1350"/>
      <c r="C26" s="1361"/>
      <c r="D26" s="1843"/>
      <c r="E26" s="1362"/>
      <c r="F26" s="1362"/>
      <c r="G26" s="1350"/>
      <c r="H26" s="1350" t="s">
        <v>261</v>
      </c>
      <c r="I26" s="1350" t="s">
        <v>273</v>
      </c>
      <c r="J26" s="1350" t="s">
        <v>264</v>
      </c>
      <c r="K26" s="1829" t="s">
        <v>261</v>
      </c>
      <c r="L26" s="1829" t="s">
        <v>273</v>
      </c>
      <c r="M26" s="1829" t="s">
        <v>264</v>
      </c>
      <c r="N26" s="1349" t="s">
        <v>261</v>
      </c>
      <c r="O26" s="1350" t="s">
        <v>262</v>
      </c>
      <c r="P26" s="1350" t="s">
        <v>263</v>
      </c>
      <c r="Q26" s="1835" t="s">
        <v>274</v>
      </c>
      <c r="R26" s="1838" t="s">
        <v>275</v>
      </c>
      <c r="S26" s="1351" t="s">
        <v>264</v>
      </c>
      <c r="T26" s="1352" t="s">
        <v>265</v>
      </c>
      <c r="U26" s="1352" t="s">
        <v>266</v>
      </c>
      <c r="V26" s="1825" t="s">
        <v>261</v>
      </c>
      <c r="W26" s="950" t="s">
        <v>2125</v>
      </c>
      <c r="X26" s="950" t="s">
        <v>2125</v>
      </c>
      <c r="Y26" s="1826" t="s">
        <v>2126</v>
      </c>
      <c r="Z26" s="1826" t="s">
        <v>2127</v>
      </c>
      <c r="AA26" s="1826" t="s">
        <v>1765</v>
      </c>
      <c r="AB26" s="1826" t="s">
        <v>1766</v>
      </c>
      <c r="AC26" s="1825" t="s">
        <v>2128</v>
      </c>
      <c r="AD26" s="1825" t="s">
        <v>2129</v>
      </c>
      <c r="AE26" s="1824" t="s">
        <v>268</v>
      </c>
      <c r="AF26" s="1824" t="s">
        <v>2130</v>
      </c>
      <c r="AG26" s="1825" t="s">
        <v>2131</v>
      </c>
      <c r="AH26" s="1825" t="s">
        <v>2132</v>
      </c>
      <c r="AI26" s="1826" t="s">
        <v>2133</v>
      </c>
      <c r="AJ26" s="1826" t="s">
        <v>2134</v>
      </c>
      <c r="AK26" s="1836" t="s">
        <v>2135</v>
      </c>
      <c r="AL26" s="1833"/>
    </row>
    <row r="27" spans="1:40" ht="21.75" customHeight="1">
      <c r="A27" s="1360"/>
      <c r="B27" s="1350"/>
      <c r="C27" s="1361"/>
      <c r="D27" s="1844"/>
      <c r="E27" s="1362"/>
      <c r="F27" s="1362"/>
      <c r="G27" s="1350"/>
      <c r="H27" s="1828"/>
      <c r="I27" s="1828"/>
      <c r="J27" s="1828"/>
      <c r="K27" s="1827"/>
      <c r="L27" s="1827"/>
      <c r="M27" s="1827"/>
      <c r="N27" s="1349"/>
      <c r="O27" s="1350"/>
      <c r="P27" s="1350"/>
      <c r="Q27" s="1827"/>
      <c r="R27" s="1827"/>
      <c r="S27" s="1351"/>
      <c r="T27" s="1352"/>
      <c r="U27" s="1352"/>
      <c r="V27" s="1825"/>
      <c r="W27" s="951"/>
      <c r="X27" s="951"/>
      <c r="Y27" s="1837"/>
      <c r="Z27" s="1837"/>
      <c r="AA27" s="1837"/>
      <c r="AB27" s="1837"/>
      <c r="AC27" s="1825"/>
      <c r="AD27" s="1825"/>
      <c r="AE27" s="1824"/>
      <c r="AF27" s="1824"/>
      <c r="AG27" s="1825"/>
      <c r="AH27" s="1825"/>
      <c r="AI27" s="1827"/>
      <c r="AJ27" s="1827"/>
      <c r="AK27" s="1836"/>
      <c r="AL27" s="1834"/>
    </row>
    <row r="28" spans="1:40" ht="15.6" customHeight="1">
      <c r="A28" s="412"/>
      <c r="B28" s="130">
        <v>1</v>
      </c>
      <c r="C28" s="131"/>
      <c r="D28" s="131"/>
      <c r="E28" s="132">
        <v>2</v>
      </c>
      <c r="F28" s="133"/>
      <c r="G28" s="130">
        <v>3</v>
      </c>
      <c r="H28" s="130"/>
      <c r="I28" s="130"/>
      <c r="J28" s="130"/>
      <c r="K28" s="130"/>
      <c r="L28" s="130"/>
      <c r="M28" s="130"/>
      <c r="N28" s="134"/>
      <c r="O28" s="134"/>
      <c r="P28" s="134"/>
      <c r="Q28" s="135"/>
      <c r="R28" s="134"/>
      <c r="S28" s="136"/>
      <c r="T28" s="136"/>
      <c r="U28" s="136"/>
      <c r="V28" s="138">
        <v>4</v>
      </c>
      <c r="W28" s="138"/>
      <c r="X28" s="138">
        <v>5</v>
      </c>
      <c r="Y28" s="138">
        <v>6</v>
      </c>
      <c r="Z28" s="138">
        <v>7</v>
      </c>
      <c r="AA28" s="138"/>
      <c r="AB28" s="138"/>
      <c r="AC28" s="138">
        <v>8</v>
      </c>
      <c r="AD28" s="138">
        <v>9</v>
      </c>
      <c r="AE28" s="138"/>
      <c r="AF28" s="138">
        <v>10</v>
      </c>
      <c r="AG28" s="134">
        <v>11</v>
      </c>
      <c r="AH28" s="134">
        <v>12</v>
      </c>
      <c r="AI28" s="952" t="s">
        <v>2136</v>
      </c>
      <c r="AJ28" s="952" t="s">
        <v>2137</v>
      </c>
      <c r="AK28" s="952">
        <v>15</v>
      </c>
      <c r="AL28" s="74"/>
    </row>
    <row r="29" spans="1:40" ht="33" customHeight="1">
      <c r="A29" s="139"/>
      <c r="B29" s="409" t="s">
        <v>294</v>
      </c>
      <c r="C29" s="141"/>
      <c r="D29" s="141"/>
      <c r="E29" s="142" t="s">
        <v>295</v>
      </c>
      <c r="F29" s="142" t="s">
        <v>295</v>
      </c>
      <c r="G29" s="406" t="s">
        <v>121</v>
      </c>
      <c r="H29" s="402">
        <f t="shared" ref="H29:AK29" si="0">H30+H91</f>
        <v>309350.688156844</v>
      </c>
      <c r="I29" s="402">
        <f t="shared" si="0"/>
        <v>281134.99747999996</v>
      </c>
      <c r="J29" s="402">
        <f t="shared" si="0"/>
        <v>268183.54100000003</v>
      </c>
      <c r="K29" s="402">
        <f t="shared" si="0"/>
        <v>339442.26575850789</v>
      </c>
      <c r="L29" s="402">
        <f t="shared" si="0"/>
        <v>240103.97205999997</v>
      </c>
      <c r="M29" s="402">
        <f t="shared" si="0"/>
        <v>228441.34996999998</v>
      </c>
      <c r="N29" s="402">
        <f t="shared" si="0"/>
        <v>283152.32154194725</v>
      </c>
      <c r="O29" s="402">
        <f t="shared" si="0"/>
        <v>305115.74258999998</v>
      </c>
      <c r="P29" s="402">
        <f t="shared" si="0"/>
        <v>297781.96194000001</v>
      </c>
      <c r="Q29" s="145">
        <f t="shared" si="0"/>
        <v>296780.96320253209</v>
      </c>
      <c r="R29" s="402">
        <f t="shared" si="0"/>
        <v>296780.96320253209</v>
      </c>
      <c r="S29" s="402">
        <f t="shared" si="0"/>
        <v>280661.4856325321</v>
      </c>
      <c r="T29" s="402">
        <f>S29-N29</f>
        <v>-2490.8359094151529</v>
      </c>
      <c r="U29" s="402">
        <f>S29-P29</f>
        <v>-17120.476307467907</v>
      </c>
      <c r="V29" s="402">
        <f t="shared" si="0"/>
        <v>243877.70857893719</v>
      </c>
      <c r="W29" s="953">
        <f t="shared" si="0"/>
        <v>315396655.56</v>
      </c>
      <c r="X29" s="953">
        <f t="shared" si="0"/>
        <v>315396.65555999993</v>
      </c>
      <c r="Y29" s="953">
        <f t="shared" si="0"/>
        <v>315396.65555999993</v>
      </c>
      <c r="Z29" s="168">
        <f t="shared" si="0"/>
        <v>305661.52798000001</v>
      </c>
      <c r="AA29" s="953">
        <f t="shared" si="0"/>
        <v>4206.45514</v>
      </c>
      <c r="AB29" s="953">
        <f t="shared" si="0"/>
        <v>5528.6724400000003</v>
      </c>
      <c r="AC29" s="953">
        <f t="shared" si="0"/>
        <v>255576.48924877457</v>
      </c>
      <c r="AD29" s="402">
        <f t="shared" si="0"/>
        <v>423519.77948830312</v>
      </c>
      <c r="AE29" s="402">
        <f t="shared" si="0"/>
        <v>252865.03119831113</v>
      </c>
      <c r="AF29" s="402">
        <f t="shared" si="0"/>
        <v>252865.03119831113</v>
      </c>
      <c r="AG29" s="402">
        <f t="shared" si="0"/>
        <v>265799.55238485546</v>
      </c>
      <c r="AH29" s="402">
        <f t="shared" si="0"/>
        <v>412646.55458482541</v>
      </c>
      <c r="AI29" s="954">
        <f>AH29/X29</f>
        <v>1.3083415670725937</v>
      </c>
      <c r="AJ29" s="259">
        <f t="shared" ref="AJ29" si="1">AJ30+AJ91</f>
        <v>146847.00219996989</v>
      </c>
      <c r="AK29" s="259">
        <f t="shared" si="0"/>
        <v>365219.81123134686</v>
      </c>
      <c r="AL29" s="406"/>
    </row>
    <row r="30" spans="1:40" ht="33" hidden="1" customHeight="1" outlineLevel="1">
      <c r="A30" s="139"/>
      <c r="B30" s="409" t="s">
        <v>296</v>
      </c>
      <c r="C30" s="955"/>
      <c r="D30" s="955"/>
      <c r="E30" s="142" t="s">
        <v>297</v>
      </c>
      <c r="F30" s="142" t="s">
        <v>297</v>
      </c>
      <c r="G30" s="406" t="s">
        <v>121</v>
      </c>
      <c r="H30" s="402">
        <f t="shared" ref="H30:AB30" si="2">H34+H42+H46+H52+H56+H61+H65+H70+H79+H87+H90</f>
        <v>242340.01013794073</v>
      </c>
      <c r="I30" s="402">
        <f t="shared" si="2"/>
        <v>230759.85590999995</v>
      </c>
      <c r="J30" s="402">
        <f t="shared" si="2"/>
        <v>217808.40100000001</v>
      </c>
      <c r="K30" s="402">
        <f t="shared" si="2"/>
        <v>265913.2358133911</v>
      </c>
      <c r="L30" s="402">
        <f t="shared" si="2"/>
        <v>185754.21470999997</v>
      </c>
      <c r="M30" s="402">
        <f t="shared" si="2"/>
        <v>174091.58879999997</v>
      </c>
      <c r="N30" s="402">
        <f t="shared" si="2"/>
        <v>232420.03955532395</v>
      </c>
      <c r="O30" s="402">
        <f t="shared" si="2"/>
        <v>241865.25547999996</v>
      </c>
      <c r="P30" s="402">
        <f t="shared" si="2"/>
        <v>236239.99015</v>
      </c>
      <c r="Q30" s="145">
        <f t="shared" si="2"/>
        <v>235238.99141253211</v>
      </c>
      <c r="R30" s="402">
        <f t="shared" si="2"/>
        <v>235238.99141253211</v>
      </c>
      <c r="S30" s="402">
        <f t="shared" si="2"/>
        <v>219119.51384253212</v>
      </c>
      <c r="T30" s="402">
        <f t="shared" ref="T30:T93" si="3">S30-N30</f>
        <v>-13300.52571279183</v>
      </c>
      <c r="U30" s="402">
        <f t="shared" ref="U30:U93" si="4">S30-P30</f>
        <v>-17120.476307467878</v>
      </c>
      <c r="V30" s="402">
        <f t="shared" si="2"/>
        <v>182238.28569201095</v>
      </c>
      <c r="W30" s="953">
        <f t="shared" si="2"/>
        <v>242445394.13</v>
      </c>
      <c r="X30" s="953">
        <f t="shared" si="2"/>
        <v>242445.39412999994</v>
      </c>
      <c r="Y30" s="953">
        <f t="shared" si="2"/>
        <v>242445.39412999994</v>
      </c>
      <c r="Z30" s="953">
        <f t="shared" si="2"/>
        <v>234598.75743</v>
      </c>
      <c r="AA30" s="953">
        <f t="shared" si="2"/>
        <v>3655.9045100000003</v>
      </c>
      <c r="AB30" s="953">
        <f t="shared" si="2"/>
        <v>4190.7321899999997</v>
      </c>
      <c r="AC30" s="402">
        <f>AC34+AC42+AC46+AC52+AC56+AC61+AC65+AC70+AC79+AC87+AC90</f>
        <v>191163.29233193659</v>
      </c>
      <c r="AD30" s="402">
        <f t="shared" ref="AD30:AK30" si="5">AD34+AD42+AD46+AD52+AD56+AD61+AD65+AD70+AD79+AD87+AD90</f>
        <v>332276.39552201366</v>
      </c>
      <c r="AE30" s="402">
        <f t="shared" si="5"/>
        <v>188954.08713470661</v>
      </c>
      <c r="AF30" s="402">
        <f t="shared" si="5"/>
        <v>188954.08713470661</v>
      </c>
      <c r="AG30" s="402">
        <f t="shared" si="5"/>
        <v>198809.82759134399</v>
      </c>
      <c r="AH30" s="402">
        <f t="shared" si="5"/>
        <v>323347.45378704014</v>
      </c>
      <c r="AI30" s="954">
        <f t="shared" ref="AI30:AI93" si="6">AH30/X30</f>
        <v>1.3336918812062903</v>
      </c>
      <c r="AJ30" s="259">
        <f t="shared" ref="AJ30" si="7">AJ34+AJ42+AJ46+AJ52+AJ56+AJ61+AJ65+AJ70+AJ79+AJ87+AJ90</f>
        <v>124537.62619569611</v>
      </c>
      <c r="AK30" s="259">
        <f t="shared" si="5"/>
        <v>275920.71043356159</v>
      </c>
      <c r="AL30" s="74"/>
    </row>
    <row r="31" spans="1:40" ht="33" hidden="1" customHeight="1" outlineLevel="3">
      <c r="A31" s="139">
        <v>1</v>
      </c>
      <c r="B31" s="406" t="s">
        <v>126</v>
      </c>
      <c r="C31" s="198" t="s">
        <v>298</v>
      </c>
      <c r="D31" s="956" t="s">
        <v>119</v>
      </c>
      <c r="E31" s="148" t="s">
        <v>299</v>
      </c>
      <c r="F31" s="149" t="s">
        <v>300</v>
      </c>
      <c r="G31" s="406" t="s">
        <v>121</v>
      </c>
      <c r="H31" s="406">
        <v>324.51180348142424</v>
      </c>
      <c r="I31" s="406">
        <v>183.71635000000001</v>
      </c>
      <c r="J31" s="406">
        <v>183.72</v>
      </c>
      <c r="K31" s="406">
        <v>356.07814785874052</v>
      </c>
      <c r="L31" s="406">
        <v>401.94812999999999</v>
      </c>
      <c r="M31" s="406">
        <v>401.95</v>
      </c>
      <c r="N31" s="406">
        <v>330.63396039921264</v>
      </c>
      <c r="O31" s="406">
        <v>502.42376999999993</v>
      </c>
      <c r="P31" s="406">
        <v>502.42376999999993</v>
      </c>
      <c r="Q31" s="150">
        <v>502.42376999999993</v>
      </c>
      <c r="R31" s="406">
        <v>502.42376999999993</v>
      </c>
      <c r="S31" s="406">
        <v>502.42376999999993</v>
      </c>
      <c r="T31" s="406">
        <f t="shared" si="3"/>
        <v>171.78980960078729</v>
      </c>
      <c r="U31" s="406">
        <f t="shared" si="4"/>
        <v>0</v>
      </c>
      <c r="V31" s="406">
        <v>348.81882822116933</v>
      </c>
      <c r="W31" s="167">
        <v>375525.06</v>
      </c>
      <c r="X31" s="167">
        <v>375.52506</v>
      </c>
      <c r="Y31" s="406">
        <v>375.52506</v>
      </c>
      <c r="Z31" s="406">
        <v>374.45143999999999</v>
      </c>
      <c r="AA31" s="406">
        <v>0.93091000000000013</v>
      </c>
      <c r="AB31" s="406">
        <v>0.14271</v>
      </c>
      <c r="AC31" s="406">
        <v>364.5156754911219</v>
      </c>
      <c r="AD31" s="167">
        <v>969.85746178841623</v>
      </c>
      <c r="AE31" s="406">
        <f>V31*$AD$11</f>
        <v>361.6734157240731</v>
      </c>
      <c r="AF31" s="402">
        <f t="shared" ref="AF31:AF94" si="8">AE31</f>
        <v>361.6734157240731</v>
      </c>
      <c r="AG31" s="167">
        <v>379.0963025107668</v>
      </c>
      <c r="AH31" s="406">
        <v>873.5704321020437</v>
      </c>
      <c r="AI31" s="957">
        <f t="shared" si="6"/>
        <v>2.3262640104552377</v>
      </c>
      <c r="AJ31" s="957">
        <f t="shared" ref="AJ31:AJ94" si="9">AH31-AG31</f>
        <v>494.47412959127689</v>
      </c>
      <c r="AK31" s="958">
        <f>AH31</f>
        <v>873.5704321020437</v>
      </c>
      <c r="AL31" s="74"/>
      <c r="AM31" s="52">
        <f>AH31-AG31</f>
        <v>494.47412959127689</v>
      </c>
      <c r="AN31" s="191">
        <f>SUM(AM31:AM94)</f>
        <v>146847.00219996995</v>
      </c>
    </row>
    <row r="32" spans="1:40" ht="33" hidden="1" customHeight="1" outlineLevel="3">
      <c r="A32" s="407">
        <v>2</v>
      </c>
      <c r="B32" s="406" t="s">
        <v>128</v>
      </c>
      <c r="C32" s="198" t="s">
        <v>301</v>
      </c>
      <c r="D32" s="956" t="s">
        <v>189</v>
      </c>
      <c r="E32" s="148" t="s">
        <v>302</v>
      </c>
      <c r="F32" s="149" t="s">
        <v>303</v>
      </c>
      <c r="G32" s="406" t="s">
        <v>121</v>
      </c>
      <c r="H32" s="406">
        <v>957.54981027277597</v>
      </c>
      <c r="I32" s="406">
        <v>430.84805999999998</v>
      </c>
      <c r="J32" s="406">
        <v>83.198059999999998</v>
      </c>
      <c r="K32" s="406">
        <v>1050.693870813041</v>
      </c>
      <c r="L32" s="406">
        <v>342.46424000000002</v>
      </c>
      <c r="M32" s="406">
        <v>342.46</v>
      </c>
      <c r="N32" s="406">
        <v>87.069880378300709</v>
      </c>
      <c r="O32" s="406">
        <v>156.28928000000002</v>
      </c>
      <c r="P32" s="406">
        <v>151.01801</v>
      </c>
      <c r="Q32" s="150">
        <v>151.01801</v>
      </c>
      <c r="R32" s="406">
        <v>151.01801</v>
      </c>
      <c r="S32" s="406">
        <v>151.01801</v>
      </c>
      <c r="T32" s="406">
        <f t="shared" si="3"/>
        <v>63.948129621699294</v>
      </c>
      <c r="U32" s="406">
        <f t="shared" si="4"/>
        <v>0</v>
      </c>
      <c r="V32" s="406">
        <v>388.39244749999989</v>
      </c>
      <c r="W32" s="167">
        <v>526843.13</v>
      </c>
      <c r="X32" s="167">
        <v>526.84312999999997</v>
      </c>
      <c r="Y32" s="406">
        <v>526.84312999999986</v>
      </c>
      <c r="Z32" s="406">
        <v>525.78730999999993</v>
      </c>
      <c r="AA32" s="406">
        <v>0.90312000000000003</v>
      </c>
      <c r="AB32" s="406">
        <v>0.1527</v>
      </c>
      <c r="AC32" s="406">
        <v>405.87010763749987</v>
      </c>
      <c r="AD32" s="167">
        <v>1945.5006796043717</v>
      </c>
      <c r="AE32" s="406">
        <f>V32*$AD$11</f>
        <v>402.70539249587648</v>
      </c>
      <c r="AF32" s="402">
        <f t="shared" si="8"/>
        <v>402.70539249587648</v>
      </c>
      <c r="AG32" s="167">
        <v>422.10491194299988</v>
      </c>
      <c r="AH32" s="406">
        <v>2003.4425411104999</v>
      </c>
      <c r="AI32" s="957">
        <f t="shared" si="6"/>
        <v>3.80273069349979</v>
      </c>
      <c r="AJ32" s="957">
        <f t="shared" si="9"/>
        <v>1581.3376291674999</v>
      </c>
      <c r="AK32" s="958">
        <f t="shared" ref="AK32:AK39" si="10">AH32</f>
        <v>2003.4425411104999</v>
      </c>
      <c r="AL32" s="74"/>
      <c r="AM32" s="52">
        <f>AH32-AG32</f>
        <v>1581.3376291674999</v>
      </c>
    </row>
    <row r="33" spans="1:39" ht="33" hidden="1" customHeight="1" outlineLevel="3">
      <c r="A33" s="139">
        <v>3</v>
      </c>
      <c r="B33" s="406" t="s">
        <v>130</v>
      </c>
      <c r="C33" s="198" t="s">
        <v>304</v>
      </c>
      <c r="D33" s="956" t="s">
        <v>193</v>
      </c>
      <c r="E33" s="148" t="s">
        <v>305</v>
      </c>
      <c r="F33" s="149" t="s">
        <v>306</v>
      </c>
      <c r="G33" s="406" t="s">
        <v>121</v>
      </c>
      <c r="H33" s="406">
        <v>8597.0598922308891</v>
      </c>
      <c r="I33" s="406">
        <v>13706.690549999999</v>
      </c>
      <c r="J33" s="406">
        <v>13706.69</v>
      </c>
      <c r="K33" s="406">
        <v>9433.3245528046555</v>
      </c>
      <c r="L33" s="406">
        <v>12209.585720000001</v>
      </c>
      <c r="M33" s="406">
        <v>12209.59</v>
      </c>
      <c r="N33" s="406">
        <v>11508.547144853132</v>
      </c>
      <c r="O33" s="406">
        <v>14368.167649999999</v>
      </c>
      <c r="P33" s="406">
        <v>14251.2431</v>
      </c>
      <c r="Q33" s="150">
        <v>14251.2431</v>
      </c>
      <c r="R33" s="406">
        <v>14251.2431</v>
      </c>
      <c r="S33" s="406">
        <v>14251.2431</v>
      </c>
      <c r="T33" s="406">
        <f t="shared" si="3"/>
        <v>2742.6959551468681</v>
      </c>
      <c r="U33" s="406">
        <f t="shared" si="4"/>
        <v>0</v>
      </c>
      <c r="V33" s="406">
        <v>12141.517237820053</v>
      </c>
      <c r="W33" s="167">
        <v>15893385.189999999</v>
      </c>
      <c r="X33" s="167">
        <v>15893.385189999999</v>
      </c>
      <c r="Y33" s="406">
        <v>15893.385189999999</v>
      </c>
      <c r="Z33" s="406">
        <v>15837.52577</v>
      </c>
      <c r="AA33" s="406">
        <v>0.92859999999999987</v>
      </c>
      <c r="AB33" s="406">
        <v>54.930819999999997</v>
      </c>
      <c r="AC33" s="406">
        <v>12687.885513521955</v>
      </c>
      <c r="AD33" s="167">
        <v>19441.68</v>
      </c>
      <c r="AE33" s="406">
        <f>V33*$AD$11</f>
        <v>12588.953508813469</v>
      </c>
      <c r="AF33" s="402">
        <f t="shared" si="8"/>
        <v>12588.953508813469</v>
      </c>
      <c r="AG33" s="167">
        <v>13195.400934062833</v>
      </c>
      <c r="AH33" s="406">
        <v>17989.8</v>
      </c>
      <c r="AI33" s="957">
        <f t="shared" si="6"/>
        <v>1.1319048638750069</v>
      </c>
      <c r="AJ33" s="957">
        <f t="shared" si="9"/>
        <v>4794.3990659371666</v>
      </c>
      <c r="AK33" s="958">
        <f t="shared" si="10"/>
        <v>17989.8</v>
      </c>
      <c r="AL33" s="74"/>
      <c r="AM33" s="52">
        <f>AH33-AG33</f>
        <v>4794.3990659371666</v>
      </c>
    </row>
    <row r="34" spans="1:39" s="161" customFormat="1" ht="33" hidden="1" customHeight="1" outlineLevel="2">
      <c r="A34" s="153"/>
      <c r="B34" s="154"/>
      <c r="C34" s="959"/>
      <c r="D34" s="960"/>
      <c r="E34" s="156" t="s">
        <v>307</v>
      </c>
      <c r="F34" s="157"/>
      <c r="G34" s="158"/>
      <c r="H34" s="154">
        <f t="shared" ref="H34:J34" si="11">H31+H32+H33</f>
        <v>9879.1215059850892</v>
      </c>
      <c r="I34" s="154">
        <f t="shared" si="11"/>
        <v>14321.254959999998</v>
      </c>
      <c r="J34" s="154">
        <f t="shared" si="11"/>
        <v>13973.60806</v>
      </c>
      <c r="K34" s="154">
        <f>K31+K32+K33</f>
        <v>10840.096571476437</v>
      </c>
      <c r="L34" s="154">
        <f t="shared" ref="L34:W34" si="12">L31+L32+L33</f>
        <v>12953.998090000001</v>
      </c>
      <c r="M34" s="154">
        <f t="shared" si="12"/>
        <v>12954</v>
      </c>
      <c r="N34" s="154">
        <f t="shared" si="12"/>
        <v>11926.250985630644</v>
      </c>
      <c r="O34" s="154">
        <f t="shared" si="12"/>
        <v>15026.8807</v>
      </c>
      <c r="P34" s="154">
        <f t="shared" si="12"/>
        <v>14904.684879999999</v>
      </c>
      <c r="Q34" s="159">
        <f t="shared" si="12"/>
        <v>14904.684879999999</v>
      </c>
      <c r="R34" s="154">
        <f t="shared" si="12"/>
        <v>14904.684879999999</v>
      </c>
      <c r="S34" s="154">
        <f t="shared" si="12"/>
        <v>14904.684879999999</v>
      </c>
      <c r="T34" s="402">
        <f t="shared" si="3"/>
        <v>2978.4338943693547</v>
      </c>
      <c r="U34" s="402">
        <f t="shared" si="4"/>
        <v>0</v>
      </c>
      <c r="V34" s="154">
        <f t="shared" si="12"/>
        <v>12878.728513541222</v>
      </c>
      <c r="W34" s="961">
        <f t="shared" si="12"/>
        <v>16795753.379999999</v>
      </c>
      <c r="X34" s="961">
        <f>X31+X32+X33</f>
        <v>16795.753379999998</v>
      </c>
      <c r="Y34" s="961">
        <f t="shared" ref="Y34:AK34" si="13">Y31+Y32+Y33</f>
        <v>16795.753379999998</v>
      </c>
      <c r="Z34" s="961">
        <f t="shared" si="13"/>
        <v>16737.764520000001</v>
      </c>
      <c r="AA34" s="961">
        <f t="shared" si="13"/>
        <v>2.7626300000000001</v>
      </c>
      <c r="AB34" s="961">
        <f t="shared" si="13"/>
        <v>55.226229999999994</v>
      </c>
      <c r="AC34" s="154">
        <f t="shared" si="13"/>
        <v>13458.271296650577</v>
      </c>
      <c r="AD34" s="154">
        <f t="shared" si="13"/>
        <v>22357.03814139279</v>
      </c>
      <c r="AE34" s="154">
        <f t="shared" si="13"/>
        <v>13353.332317033419</v>
      </c>
      <c r="AF34" s="154">
        <f t="shared" si="13"/>
        <v>13353.332317033419</v>
      </c>
      <c r="AG34" s="961">
        <f t="shared" si="13"/>
        <v>13996.602148516598</v>
      </c>
      <c r="AH34" s="154">
        <f t="shared" si="13"/>
        <v>20866.812973212542</v>
      </c>
      <c r="AI34" s="962">
        <f t="shared" si="6"/>
        <v>1.2423862449695331</v>
      </c>
      <c r="AJ34" s="963">
        <f t="shared" si="13"/>
        <v>6870.2108246959433</v>
      </c>
      <c r="AK34" s="963">
        <f t="shared" si="13"/>
        <v>20866.812973212542</v>
      </c>
      <c r="AL34" s="964"/>
      <c r="AM34" s="52"/>
    </row>
    <row r="35" spans="1:39" ht="33" hidden="1" customHeight="1" outlineLevel="3">
      <c r="A35" s="139" t="s">
        <v>195</v>
      </c>
      <c r="B35" s="406" t="s">
        <v>308</v>
      </c>
      <c r="C35" s="198" t="s">
        <v>309</v>
      </c>
      <c r="D35" s="956" t="s">
        <v>195</v>
      </c>
      <c r="E35" s="148" t="s">
        <v>310</v>
      </c>
      <c r="F35" s="149" t="s">
        <v>311</v>
      </c>
      <c r="G35" s="406" t="s">
        <v>121</v>
      </c>
      <c r="H35" s="406">
        <v>964.01821034217039</v>
      </c>
      <c r="I35" s="406">
        <v>1613.7833900000001</v>
      </c>
      <c r="J35" s="406">
        <v>1613.78</v>
      </c>
      <c r="K35" s="406">
        <v>1057.7914737094827</v>
      </c>
      <c r="L35" s="406">
        <v>1971.7940000000001</v>
      </c>
      <c r="M35" s="406">
        <v>1971.79</v>
      </c>
      <c r="N35" s="406">
        <v>1939.03</v>
      </c>
      <c r="O35" s="406">
        <v>2393.2037599999999</v>
      </c>
      <c r="P35" s="406">
        <v>1981.9687799999997</v>
      </c>
      <c r="Q35" s="150">
        <v>1981.9687799999997</v>
      </c>
      <c r="R35" s="406">
        <v>1981.9687799999997</v>
      </c>
      <c r="S35" s="406">
        <v>1981.9687799999997</v>
      </c>
      <c r="T35" s="406">
        <f>S35-N35</f>
        <v>42.938779999999724</v>
      </c>
      <c r="U35" s="406">
        <f>S35-P35</f>
        <v>0</v>
      </c>
      <c r="V35" s="406">
        <v>2045.6766499999999</v>
      </c>
      <c r="W35" s="167">
        <v>2812923.45</v>
      </c>
      <c r="X35" s="167">
        <v>2812.9234500000002</v>
      </c>
      <c r="Y35" s="406">
        <v>2812.9234499999998</v>
      </c>
      <c r="Z35" s="406">
        <v>2270.7102300000001</v>
      </c>
      <c r="AA35" s="406">
        <v>381.49137999999999</v>
      </c>
      <c r="AB35" s="406">
        <v>160.72183999999999</v>
      </c>
      <c r="AC35" s="406">
        <v>2137.7320992499999</v>
      </c>
      <c r="AD35" s="167">
        <v>2858.98</v>
      </c>
      <c r="AE35" s="406">
        <f t="shared" ref="AE35:AE41" si="14">V35*$AD$11</f>
        <v>2121.0634335465543</v>
      </c>
      <c r="AF35" s="402">
        <f t="shared" si="8"/>
        <v>2121.0634335465543</v>
      </c>
      <c r="AG35" s="167">
        <v>2223.24138322</v>
      </c>
      <c r="AH35" s="406">
        <v>3780.2646149046868</v>
      </c>
      <c r="AI35" s="957">
        <f t="shared" si="6"/>
        <v>1.3438917489577211</v>
      </c>
      <c r="AJ35" s="957">
        <f t="shared" si="9"/>
        <v>1557.0232316846868</v>
      </c>
      <c r="AK35" s="958">
        <f t="shared" si="10"/>
        <v>3780.2646149046868</v>
      </c>
      <c r="AL35" s="74"/>
      <c r="AM35" s="52">
        <f t="shared" ref="AM35:AM41" si="15">AH35-AG35</f>
        <v>1557.0232316846868</v>
      </c>
    </row>
    <row r="36" spans="1:39" ht="33" hidden="1" customHeight="1" outlineLevel="3">
      <c r="A36" s="139" t="s">
        <v>197</v>
      </c>
      <c r="B36" s="406" t="s">
        <v>312</v>
      </c>
      <c r="C36" s="198" t="s">
        <v>313</v>
      </c>
      <c r="D36" s="956" t="s">
        <v>197</v>
      </c>
      <c r="E36" s="148" t="s">
        <v>314</v>
      </c>
      <c r="F36" s="149" t="s">
        <v>315</v>
      </c>
      <c r="G36" s="406" t="s">
        <v>121</v>
      </c>
      <c r="H36" s="406">
        <v>1106.1170118666332</v>
      </c>
      <c r="I36" s="406">
        <v>239.94213999999999</v>
      </c>
      <c r="J36" s="406">
        <v>239.94</v>
      </c>
      <c r="K36" s="406">
        <v>1213.712699122394</v>
      </c>
      <c r="L36" s="406">
        <v>228.50139999999999</v>
      </c>
      <c r="M36" s="406">
        <v>228.5</v>
      </c>
      <c r="N36" s="406">
        <v>216.28047451465258</v>
      </c>
      <c r="O36" s="406">
        <v>333.86768999999993</v>
      </c>
      <c r="P36" s="406">
        <v>259.60739000000001</v>
      </c>
      <c r="Q36" s="150">
        <v>259.60739000000001</v>
      </c>
      <c r="R36" s="406">
        <v>259.60739000000001</v>
      </c>
      <c r="S36" s="406">
        <v>259.60739000000001</v>
      </c>
      <c r="T36" s="406">
        <f t="shared" si="3"/>
        <v>43.326915485347428</v>
      </c>
      <c r="U36" s="406">
        <f t="shared" si="4"/>
        <v>0</v>
      </c>
      <c r="V36" s="406">
        <v>259.14756249999999</v>
      </c>
      <c r="W36" s="167">
        <v>235210.77</v>
      </c>
      <c r="X36" s="167">
        <v>235.21077</v>
      </c>
      <c r="Y36" s="406">
        <v>235.21077</v>
      </c>
      <c r="Z36" s="406">
        <v>181.51391999999998</v>
      </c>
      <c r="AA36" s="406">
        <v>51.556319999999999</v>
      </c>
      <c r="AB36" s="406">
        <v>2.14053</v>
      </c>
      <c r="AC36" s="406">
        <v>270.80920281249996</v>
      </c>
      <c r="AD36" s="167">
        <v>357.37099999999998</v>
      </c>
      <c r="AE36" s="406">
        <f t="shared" si="14"/>
        <v>268.69760610088127</v>
      </c>
      <c r="AF36" s="402">
        <f>AE36</f>
        <v>268.69760610088127</v>
      </c>
      <c r="AG36" s="167">
        <v>281.641570925</v>
      </c>
      <c r="AH36" s="406">
        <v>344.92884881016215</v>
      </c>
      <c r="AI36" s="957">
        <f t="shared" si="6"/>
        <v>1.4664670704073719</v>
      </c>
      <c r="AJ36" s="957">
        <f t="shared" si="9"/>
        <v>63.287277885162155</v>
      </c>
      <c r="AK36" s="958">
        <f t="shared" si="10"/>
        <v>344.92884881016215</v>
      </c>
      <c r="AL36" s="74"/>
      <c r="AM36" s="52">
        <f t="shared" si="15"/>
        <v>63.287277885162155</v>
      </c>
    </row>
    <row r="37" spans="1:39" ht="33" hidden="1" customHeight="1" outlineLevel="3">
      <c r="A37" s="139" t="s">
        <v>200</v>
      </c>
      <c r="B37" s="406" t="s">
        <v>316</v>
      </c>
      <c r="C37" s="198" t="s">
        <v>317</v>
      </c>
      <c r="D37" s="956" t="s">
        <v>200</v>
      </c>
      <c r="E37" s="148" t="s">
        <v>318</v>
      </c>
      <c r="F37" s="149" t="s">
        <v>319</v>
      </c>
      <c r="G37" s="406" t="s">
        <v>121</v>
      </c>
      <c r="H37" s="406">
        <v>1912.977820522789</v>
      </c>
      <c r="I37" s="406">
        <v>1363.45228</v>
      </c>
      <c r="J37" s="406">
        <v>1363.45</v>
      </c>
      <c r="K37" s="406">
        <v>2099.0595470454023</v>
      </c>
      <c r="L37" s="406">
        <v>1606.0888</v>
      </c>
      <c r="M37" s="406">
        <v>1606.0888</v>
      </c>
      <c r="N37" s="406">
        <v>1315.1554948213659</v>
      </c>
      <c r="O37" s="406">
        <v>1611.47596</v>
      </c>
      <c r="P37" s="406">
        <v>1429.86446</v>
      </c>
      <c r="Q37" s="150">
        <v>1429.86446</v>
      </c>
      <c r="R37" s="406">
        <v>1429.86446</v>
      </c>
      <c r="S37" s="406">
        <v>1429.86446</v>
      </c>
      <c r="T37" s="406">
        <f t="shared" si="3"/>
        <v>114.70896517863412</v>
      </c>
      <c r="U37" s="406">
        <f t="shared" si="4"/>
        <v>0</v>
      </c>
      <c r="V37" s="406">
        <v>1821.5054602999996</v>
      </c>
      <c r="W37" s="167">
        <v>1872527.93</v>
      </c>
      <c r="X37" s="167">
        <v>1872.52793</v>
      </c>
      <c r="Y37" s="406">
        <v>1872.52793</v>
      </c>
      <c r="Z37" s="406">
        <v>1668.45469</v>
      </c>
      <c r="AA37" s="406">
        <v>164.7663</v>
      </c>
      <c r="AB37" s="406">
        <v>39.306940000000004</v>
      </c>
      <c r="AC37" s="406">
        <v>1903.4732060134995</v>
      </c>
      <c r="AD37" s="167">
        <v>1903.4732060134995</v>
      </c>
      <c r="AE37" s="406">
        <f t="shared" si="14"/>
        <v>1888.6311411178863</v>
      </c>
      <c r="AF37" s="402">
        <f t="shared" si="8"/>
        <v>1888.6311411178863</v>
      </c>
      <c r="AG37" s="167">
        <v>1979.6121342540396</v>
      </c>
      <c r="AH37" s="406">
        <v>2212.8193441481117</v>
      </c>
      <c r="AI37" s="957">
        <f t="shared" si="6"/>
        <v>1.1817283516556742</v>
      </c>
      <c r="AJ37" s="957">
        <f t="shared" si="9"/>
        <v>233.20720989407209</v>
      </c>
      <c r="AK37" s="958">
        <f t="shared" si="10"/>
        <v>2212.8193441481117</v>
      </c>
      <c r="AL37" s="74"/>
      <c r="AM37" s="52">
        <f t="shared" si="15"/>
        <v>233.20720989407209</v>
      </c>
    </row>
    <row r="38" spans="1:39" ht="33" hidden="1" customHeight="1" outlineLevel="3">
      <c r="A38" s="139" t="s">
        <v>203</v>
      </c>
      <c r="B38" s="406" t="s">
        <v>320</v>
      </c>
      <c r="C38" s="198" t="s">
        <v>321</v>
      </c>
      <c r="D38" s="956" t="s">
        <v>203</v>
      </c>
      <c r="E38" s="148" t="s">
        <v>322</v>
      </c>
      <c r="F38" s="149" t="s">
        <v>323</v>
      </c>
      <c r="G38" s="406" t="s">
        <v>121</v>
      </c>
      <c r="H38" s="406">
        <v>325.64480349357927</v>
      </c>
      <c r="I38" s="406">
        <v>604.36022000000003</v>
      </c>
      <c r="J38" s="406">
        <v>604.36</v>
      </c>
      <c r="K38" s="406">
        <v>357.32135855716183</v>
      </c>
      <c r="L38" s="406">
        <v>741.08637999999996</v>
      </c>
      <c r="M38" s="406">
        <v>741.09</v>
      </c>
      <c r="N38" s="406">
        <v>664.82934533809566</v>
      </c>
      <c r="O38" s="406">
        <v>720.21055999999999</v>
      </c>
      <c r="P38" s="406">
        <v>637.74403999999993</v>
      </c>
      <c r="Q38" s="150">
        <v>637.74403999999993</v>
      </c>
      <c r="R38" s="406">
        <v>637.74403999999993</v>
      </c>
      <c r="S38" s="406">
        <v>637.74403999999993</v>
      </c>
      <c r="T38" s="406">
        <f t="shared" si="3"/>
        <v>-27.085305338095736</v>
      </c>
      <c r="U38" s="406">
        <f t="shared" si="4"/>
        <v>0</v>
      </c>
      <c r="V38" s="406">
        <v>701.39495933169087</v>
      </c>
      <c r="W38" s="167">
        <v>847701.76</v>
      </c>
      <c r="X38" s="167">
        <v>847.70176000000004</v>
      </c>
      <c r="Y38" s="406">
        <v>847.70176000000015</v>
      </c>
      <c r="Z38" s="406">
        <v>756.95103000000006</v>
      </c>
      <c r="AA38" s="406">
        <v>78.803550000000001</v>
      </c>
      <c r="AB38" s="406">
        <v>11.947179999999999</v>
      </c>
      <c r="AC38" s="406">
        <v>732.95773250161687</v>
      </c>
      <c r="AD38" s="167">
        <v>796.94</v>
      </c>
      <c r="AE38" s="406">
        <f t="shared" si="14"/>
        <v>727.24259755925857</v>
      </c>
      <c r="AF38" s="402">
        <f t="shared" si="8"/>
        <v>727.24259755925857</v>
      </c>
      <c r="AG38" s="167">
        <v>762.27604180168157</v>
      </c>
      <c r="AH38" s="406">
        <v>995.51603304384889</v>
      </c>
      <c r="AI38" s="957">
        <f t="shared" si="6"/>
        <v>1.1743706100643803</v>
      </c>
      <c r="AJ38" s="957">
        <f t="shared" si="9"/>
        <v>233.23999124216732</v>
      </c>
      <c r="AK38" s="958">
        <f t="shared" si="10"/>
        <v>995.51603304384889</v>
      </c>
      <c r="AL38" s="74"/>
      <c r="AM38" s="52">
        <f t="shared" si="15"/>
        <v>233.23999124216732</v>
      </c>
    </row>
    <row r="39" spans="1:39" ht="33" hidden="1" customHeight="1" outlineLevel="3">
      <c r="A39" s="139" t="s">
        <v>208</v>
      </c>
      <c r="B39" s="406" t="s">
        <v>324</v>
      </c>
      <c r="C39" s="198" t="s">
        <v>325</v>
      </c>
      <c r="D39" s="956" t="s">
        <v>208</v>
      </c>
      <c r="E39" s="148" t="s">
        <v>326</v>
      </c>
      <c r="F39" s="149" t="s">
        <v>327</v>
      </c>
      <c r="G39" s="406" t="s">
        <v>121</v>
      </c>
      <c r="H39" s="406">
        <v>77.97100083648769</v>
      </c>
      <c r="I39" s="406">
        <v>597.54999999999995</v>
      </c>
      <c r="J39" s="406">
        <v>0</v>
      </c>
      <c r="K39" s="406">
        <v>85.56</v>
      </c>
      <c r="L39" s="406">
        <v>624.18822</v>
      </c>
      <c r="M39" s="406">
        <v>624.19000000000005</v>
      </c>
      <c r="N39" s="406">
        <v>0</v>
      </c>
      <c r="O39" s="406">
        <v>764.88661000000002</v>
      </c>
      <c r="P39" s="406">
        <v>727.73423000000003</v>
      </c>
      <c r="Q39" s="150">
        <v>727.73423000000003</v>
      </c>
      <c r="R39" s="406">
        <v>727.73423000000003</v>
      </c>
      <c r="S39" s="406">
        <v>727.73423000000003</v>
      </c>
      <c r="T39" s="406">
        <f t="shared" si="3"/>
        <v>727.73423000000003</v>
      </c>
      <c r="U39" s="406">
        <f t="shared" si="4"/>
        <v>0</v>
      </c>
      <c r="V39" s="406">
        <v>0</v>
      </c>
      <c r="W39" s="167">
        <v>795943.2</v>
      </c>
      <c r="X39" s="167">
        <v>795.94319999999993</v>
      </c>
      <c r="Y39" s="406">
        <v>795.94319999999993</v>
      </c>
      <c r="Z39" s="406">
        <v>757.57717999999988</v>
      </c>
      <c r="AA39" s="406">
        <v>33.70496</v>
      </c>
      <c r="AB39" s="406">
        <v>4.66106</v>
      </c>
      <c r="AC39" s="406">
        <v>0</v>
      </c>
      <c r="AD39" s="167">
        <v>1169.28</v>
      </c>
      <c r="AE39" s="406">
        <f t="shared" si="14"/>
        <v>0</v>
      </c>
      <c r="AF39" s="402">
        <f t="shared" si="8"/>
        <v>0</v>
      </c>
      <c r="AG39" s="167">
        <v>0</v>
      </c>
      <c r="AH39" s="406">
        <v>1083.9677601880001</v>
      </c>
      <c r="AI39" s="957">
        <f t="shared" si="6"/>
        <v>1.3618657213077519</v>
      </c>
      <c r="AJ39" s="957">
        <f t="shared" si="9"/>
        <v>1083.9677601880001</v>
      </c>
      <c r="AK39" s="958">
        <f t="shared" si="10"/>
        <v>1083.9677601880001</v>
      </c>
      <c r="AL39" s="74"/>
      <c r="AM39" s="52">
        <f t="shared" si="15"/>
        <v>1083.9677601880001</v>
      </c>
    </row>
    <row r="40" spans="1:39" ht="33" hidden="1" customHeight="1" outlineLevel="3">
      <c r="A40" s="139" t="s">
        <v>328</v>
      </c>
      <c r="B40" s="406" t="s">
        <v>329</v>
      </c>
      <c r="C40" s="198" t="s">
        <v>330</v>
      </c>
      <c r="D40" s="956" t="s">
        <v>328</v>
      </c>
      <c r="E40" s="148" t="s">
        <v>331</v>
      </c>
      <c r="F40" s="149" t="s">
        <v>332</v>
      </c>
      <c r="G40" s="406" t="s">
        <v>121</v>
      </c>
      <c r="H40" s="406">
        <v>54.796000587861897</v>
      </c>
      <c r="I40" s="406">
        <v>40.915550000000003</v>
      </c>
      <c r="J40" s="406">
        <v>40.92</v>
      </c>
      <c r="K40" s="406">
        <v>60.126190141830115</v>
      </c>
      <c r="L40" s="406">
        <v>40.9666</v>
      </c>
      <c r="M40" s="406">
        <v>40.97</v>
      </c>
      <c r="N40" s="406">
        <v>43.174625614235943</v>
      </c>
      <c r="O40" s="406">
        <v>70.158109999999994</v>
      </c>
      <c r="P40" s="406">
        <v>61.447839999999999</v>
      </c>
      <c r="Q40" s="150">
        <v>61.447839999999999</v>
      </c>
      <c r="R40" s="406">
        <v>61.447839999999999</v>
      </c>
      <c r="S40" s="406">
        <v>61.447839999999999</v>
      </c>
      <c r="T40" s="406">
        <f t="shared" si="3"/>
        <v>18.273214385764057</v>
      </c>
      <c r="U40" s="406">
        <f t="shared" si="4"/>
        <v>0</v>
      </c>
      <c r="V40" s="406">
        <v>46.465101249999996</v>
      </c>
      <c r="W40" s="167">
        <v>50665.120000000003</v>
      </c>
      <c r="X40" s="167">
        <v>50.665120000000002</v>
      </c>
      <c r="Y40" s="406">
        <v>50.665119999999995</v>
      </c>
      <c r="Z40" s="406">
        <v>47.940280000000001</v>
      </c>
      <c r="AA40" s="406">
        <v>2.3563200000000002</v>
      </c>
      <c r="AB40" s="406">
        <v>0.36851999999999996</v>
      </c>
      <c r="AC40" s="406">
        <v>48.556030806249993</v>
      </c>
      <c r="AD40" s="167">
        <v>95.44</v>
      </c>
      <c r="AE40" s="406">
        <f t="shared" si="14"/>
        <v>48.177421977912928</v>
      </c>
      <c r="AF40" s="402">
        <f t="shared" si="8"/>
        <v>48.177421977912928</v>
      </c>
      <c r="AG40" s="167">
        <v>50.498272038499991</v>
      </c>
      <c r="AH40" s="406">
        <v>6.0814500000000002</v>
      </c>
      <c r="AI40" s="957">
        <f t="shared" si="6"/>
        <v>0.12003228256441513</v>
      </c>
      <c r="AJ40" s="957">
        <f t="shared" si="9"/>
        <v>-44.416822038499987</v>
      </c>
      <c r="AK40" s="965"/>
      <c r="AL40" s="74"/>
      <c r="AM40" s="52">
        <f t="shared" si="15"/>
        <v>-44.416822038499987</v>
      </c>
    </row>
    <row r="41" spans="1:39" ht="33" hidden="1" customHeight="1" outlineLevel="3">
      <c r="A41" s="139" t="s">
        <v>333</v>
      </c>
      <c r="B41" s="406" t="s">
        <v>334</v>
      </c>
      <c r="C41" s="198" t="s">
        <v>335</v>
      </c>
      <c r="D41" s="956" t="s">
        <v>333</v>
      </c>
      <c r="E41" s="162" t="s">
        <v>336</v>
      </c>
      <c r="F41" s="163" t="s">
        <v>337</v>
      </c>
      <c r="G41" s="406" t="s">
        <v>121</v>
      </c>
      <c r="H41" s="406">
        <v>778.59814999999992</v>
      </c>
      <c r="I41" s="406">
        <v>913.96294</v>
      </c>
      <c r="J41" s="406">
        <v>913.96294</v>
      </c>
      <c r="K41" s="406">
        <v>854.33498478233935</v>
      </c>
      <c r="L41" s="406">
        <v>611.12572</v>
      </c>
      <c r="M41" s="406">
        <v>611.13</v>
      </c>
      <c r="N41" s="406">
        <v>799.36314205110443</v>
      </c>
      <c r="O41" s="406">
        <v>375.67715000000004</v>
      </c>
      <c r="P41" s="406">
        <v>362.58231999999998</v>
      </c>
      <c r="Q41" s="150">
        <v>362.58231999999998</v>
      </c>
      <c r="R41" s="406">
        <v>362.58231999999998</v>
      </c>
      <c r="S41" s="406">
        <v>362.58231999999998</v>
      </c>
      <c r="T41" s="406">
        <f t="shared" si="3"/>
        <v>-436.78082205110445</v>
      </c>
      <c r="U41" s="406">
        <f t="shared" si="4"/>
        <v>0</v>
      </c>
      <c r="V41" s="406">
        <v>0</v>
      </c>
      <c r="W41" s="406">
        <v>0</v>
      </c>
      <c r="X41" s="406">
        <v>0</v>
      </c>
      <c r="Y41" s="406">
        <v>0</v>
      </c>
      <c r="Z41" s="406">
        <v>0</v>
      </c>
      <c r="AA41" s="406">
        <v>0</v>
      </c>
      <c r="AB41" s="406">
        <v>0</v>
      </c>
      <c r="AC41" s="406">
        <v>724.28721275624991</v>
      </c>
      <c r="AD41" s="167">
        <v>0</v>
      </c>
      <c r="AE41" s="406">
        <f t="shared" si="14"/>
        <v>0</v>
      </c>
      <c r="AF41" s="402">
        <f>AE41</f>
        <v>0</v>
      </c>
      <c r="AG41" s="167">
        <v>753.25870126649988</v>
      </c>
      <c r="AH41" s="406">
        <v>0</v>
      </c>
      <c r="AI41" s="957" t="e">
        <f t="shared" si="6"/>
        <v>#DIV/0!</v>
      </c>
      <c r="AJ41" s="957">
        <f t="shared" si="9"/>
        <v>-753.25870126649988</v>
      </c>
      <c r="AK41" s="958">
        <f>AH41</f>
        <v>0</v>
      </c>
      <c r="AL41" s="74"/>
      <c r="AM41" s="52">
        <f t="shared" si="15"/>
        <v>-753.25870126649988</v>
      </c>
    </row>
    <row r="42" spans="1:39" s="161" customFormat="1" ht="33" hidden="1" customHeight="1" outlineLevel="2">
      <c r="A42" s="153"/>
      <c r="B42" s="154"/>
      <c r="C42" s="155"/>
      <c r="D42" s="966"/>
      <c r="E42" s="156" t="s">
        <v>338</v>
      </c>
      <c r="F42" s="157"/>
      <c r="G42" s="158"/>
      <c r="H42" s="154">
        <f t="shared" ref="H42:J42" si="16">H35+H36+H37+H38+H39+H40+H41</f>
        <v>5220.1229976495206</v>
      </c>
      <c r="I42" s="154">
        <f t="shared" si="16"/>
        <v>5373.9665199999999</v>
      </c>
      <c r="J42" s="154">
        <f t="shared" si="16"/>
        <v>4776.4129400000002</v>
      </c>
      <c r="K42" s="154">
        <f>K35+K36+K37+K38+K39+K40+K41</f>
        <v>5727.9062533586102</v>
      </c>
      <c r="L42" s="154">
        <f t="shared" ref="L42:S42" si="17">L35+L36+L37+L38+L39+L40+L41</f>
        <v>5823.7511199999999</v>
      </c>
      <c r="M42" s="154">
        <f t="shared" si="17"/>
        <v>5823.7587999999996</v>
      </c>
      <c r="N42" s="154">
        <f t="shared" si="17"/>
        <v>4977.8330823394544</v>
      </c>
      <c r="O42" s="154">
        <f t="shared" si="17"/>
        <v>6269.4798400000009</v>
      </c>
      <c r="P42" s="154">
        <f t="shared" si="17"/>
        <v>5460.949059999999</v>
      </c>
      <c r="Q42" s="159">
        <f t="shared" si="17"/>
        <v>5460.949059999999</v>
      </c>
      <c r="R42" s="154">
        <f t="shared" si="17"/>
        <v>5460.949059999999</v>
      </c>
      <c r="S42" s="154">
        <f t="shared" si="17"/>
        <v>5460.949059999999</v>
      </c>
      <c r="T42" s="402">
        <f t="shared" si="3"/>
        <v>483.11597766054456</v>
      </c>
      <c r="U42" s="402">
        <f t="shared" si="4"/>
        <v>0</v>
      </c>
      <c r="V42" s="154">
        <f>V35+V36+V37+V38+V39+V40+V41</f>
        <v>4874.1897333816905</v>
      </c>
      <c r="W42" s="154">
        <f>W35+W36+W37+W38+W39+W40+W41</f>
        <v>6614972.2300000004</v>
      </c>
      <c r="X42" s="154">
        <f>X35+X36+X37+X38+X39+X40+X41</f>
        <v>6614.9722299999994</v>
      </c>
      <c r="Y42" s="154">
        <f t="shared" ref="Y42:AK42" si="18">Y35+Y36+Y37+Y38+Y39+Y40+Y41</f>
        <v>6614.9722299999994</v>
      </c>
      <c r="Z42" s="154">
        <f t="shared" si="18"/>
        <v>5683.1473300000007</v>
      </c>
      <c r="AA42" s="154">
        <f t="shared" si="18"/>
        <v>712.67882999999995</v>
      </c>
      <c r="AB42" s="154">
        <f t="shared" si="18"/>
        <v>219.14606999999998</v>
      </c>
      <c r="AC42" s="154">
        <f t="shared" si="18"/>
        <v>5817.8154841401165</v>
      </c>
      <c r="AD42" s="154">
        <f t="shared" si="18"/>
        <v>7181.4842060134997</v>
      </c>
      <c r="AE42" s="154">
        <f t="shared" si="18"/>
        <v>5053.8122003024937</v>
      </c>
      <c r="AF42" s="154">
        <f t="shared" si="18"/>
        <v>5053.8122003024937</v>
      </c>
      <c r="AG42" s="961">
        <f t="shared" si="18"/>
        <v>6050.5281035057205</v>
      </c>
      <c r="AH42" s="154">
        <f t="shared" si="18"/>
        <v>8423.578051094808</v>
      </c>
      <c r="AI42" s="962">
        <f t="shared" si="6"/>
        <v>1.2734109468959642</v>
      </c>
      <c r="AJ42" s="963">
        <f t="shared" si="18"/>
        <v>2373.0499475890883</v>
      </c>
      <c r="AK42" s="963">
        <f t="shared" si="18"/>
        <v>8417.4966010948083</v>
      </c>
      <c r="AL42" s="964"/>
      <c r="AM42" s="52"/>
    </row>
    <row r="43" spans="1:39" ht="33" hidden="1" customHeight="1" outlineLevel="3">
      <c r="A43" s="139" t="s">
        <v>339</v>
      </c>
      <c r="B43" s="406" t="s">
        <v>340</v>
      </c>
      <c r="C43" s="198" t="s">
        <v>341</v>
      </c>
      <c r="D43" s="956" t="s">
        <v>339</v>
      </c>
      <c r="E43" s="148" t="s">
        <v>342</v>
      </c>
      <c r="F43" s="149" t="s">
        <v>343</v>
      </c>
      <c r="G43" s="406" t="s">
        <v>121</v>
      </c>
      <c r="H43" s="406">
        <v>344.02000369071186</v>
      </c>
      <c r="I43" s="406">
        <v>578.1635</v>
      </c>
      <c r="J43" s="406">
        <v>578.16</v>
      </c>
      <c r="K43" s="406">
        <v>377.48397570246721</v>
      </c>
      <c r="L43" s="406">
        <v>677.82369999999992</v>
      </c>
      <c r="M43" s="406">
        <v>677.82</v>
      </c>
      <c r="N43" s="406">
        <v>591.7069573662651</v>
      </c>
      <c r="O43" s="406">
        <v>673.96092999999996</v>
      </c>
      <c r="P43" s="406">
        <v>619.20961</v>
      </c>
      <c r="Q43" s="150">
        <v>619.20961</v>
      </c>
      <c r="R43" s="406">
        <v>619.20961</v>
      </c>
      <c r="S43" s="406">
        <v>619.20961</v>
      </c>
      <c r="T43" s="406">
        <f t="shared" si="3"/>
        <v>27.502652633734897</v>
      </c>
      <c r="U43" s="406">
        <f t="shared" si="4"/>
        <v>0</v>
      </c>
      <c r="V43" s="406">
        <v>624.25084002140966</v>
      </c>
      <c r="W43" s="167">
        <v>745162.26</v>
      </c>
      <c r="X43" s="167">
        <v>745.16226000000006</v>
      </c>
      <c r="Y43" s="406">
        <v>745.16226000000006</v>
      </c>
      <c r="Z43" s="406">
        <v>684.45513000000005</v>
      </c>
      <c r="AA43" s="406">
        <v>52.752949999999998</v>
      </c>
      <c r="AB43" s="406">
        <v>7.95418</v>
      </c>
      <c r="AC43" s="406">
        <v>652.34212782237307</v>
      </c>
      <c r="AD43" s="167">
        <f>'[71]2. подк.неподк.'!X31</f>
        <v>752.11</v>
      </c>
      <c r="AE43" s="406">
        <f>V43*$AD$11</f>
        <v>647.25558173141985</v>
      </c>
      <c r="AF43" s="402">
        <f t="shared" si="8"/>
        <v>647.25558173141985</v>
      </c>
      <c r="AG43" s="167">
        <v>678.43581293526802</v>
      </c>
      <c r="AH43" s="406">
        <v>854.23168556225005</v>
      </c>
      <c r="AI43" s="957">
        <f t="shared" si="6"/>
        <v>1.146370034309373</v>
      </c>
      <c r="AJ43" s="957">
        <f t="shared" si="9"/>
        <v>175.79587262698203</v>
      </c>
      <c r="AK43" s="958">
        <f t="shared" ref="AK43:AK45" si="19">AH43</f>
        <v>854.23168556225005</v>
      </c>
      <c r="AL43" s="74"/>
      <c r="AM43" s="52">
        <f>AH43-AG43</f>
        <v>175.79587262698203</v>
      </c>
    </row>
    <row r="44" spans="1:39" ht="33" hidden="1" customHeight="1" outlineLevel="3">
      <c r="A44" s="139" t="s">
        <v>344</v>
      </c>
      <c r="B44" s="406" t="s">
        <v>345</v>
      </c>
      <c r="C44" s="198" t="s">
        <v>346</v>
      </c>
      <c r="D44" s="956" t="s">
        <v>344</v>
      </c>
      <c r="E44" s="148" t="s">
        <v>347</v>
      </c>
      <c r="F44" s="149" t="s">
        <v>348</v>
      </c>
      <c r="G44" s="406" t="s">
        <v>121</v>
      </c>
      <c r="H44" s="406">
        <v>768.26670824211101</v>
      </c>
      <c r="I44" s="406">
        <v>1638.60491</v>
      </c>
      <c r="J44" s="406">
        <v>1638.6</v>
      </c>
      <c r="K44" s="406">
        <v>842.99857076860269</v>
      </c>
      <c r="L44" s="406">
        <v>2054.4054900000001</v>
      </c>
      <c r="M44" s="406">
        <v>2054.41</v>
      </c>
      <c r="N44" s="406">
        <v>1697.8101135423638</v>
      </c>
      <c r="O44" s="406">
        <v>2230.4424000000004</v>
      </c>
      <c r="P44" s="406">
        <v>2103.3283600000004</v>
      </c>
      <c r="Q44" s="150">
        <v>2103.3283600000004</v>
      </c>
      <c r="R44" s="406">
        <v>2103.3283600000004</v>
      </c>
      <c r="S44" s="406">
        <v>2103.3283600000004</v>
      </c>
      <c r="T44" s="406">
        <f t="shared" si="3"/>
        <v>405.51824645763668</v>
      </c>
      <c r="U44" s="406">
        <f t="shared" si="4"/>
        <v>0</v>
      </c>
      <c r="V44" s="406">
        <v>1791.1896697871937</v>
      </c>
      <c r="W44" s="167">
        <v>1943115.2799999998</v>
      </c>
      <c r="X44" s="167">
        <v>1943.1152799999998</v>
      </c>
      <c r="Y44" s="406">
        <v>1943.1152799999998</v>
      </c>
      <c r="Z44" s="406">
        <v>1806.95568</v>
      </c>
      <c r="AA44" s="406">
        <v>117.18438999999999</v>
      </c>
      <c r="AB44" s="406">
        <v>18.975210000000001</v>
      </c>
      <c r="AC44" s="406">
        <v>1871.7932049276174</v>
      </c>
      <c r="AD44" s="167">
        <f>'[71]2. подк.неподк.'!X32</f>
        <v>2102.98</v>
      </c>
      <c r="AE44" s="406">
        <f>V44*$AD$11</f>
        <v>1857.1981603895924</v>
      </c>
      <c r="AF44" s="402">
        <f t="shared" si="8"/>
        <v>1857.1981603895924</v>
      </c>
      <c r="AG44" s="167">
        <v>1946.6649331247222</v>
      </c>
      <c r="AH44" s="406">
        <v>2258.5684647461035</v>
      </c>
      <c r="AI44" s="957">
        <f t="shared" si="6"/>
        <v>1.1623440400026619</v>
      </c>
      <c r="AJ44" s="957">
        <f t="shared" si="9"/>
        <v>311.90353162138126</v>
      </c>
      <c r="AK44" s="958">
        <f t="shared" si="19"/>
        <v>2258.5684647461035</v>
      </c>
      <c r="AL44" s="74"/>
      <c r="AM44" s="52">
        <f>AH44-AG44</f>
        <v>311.90353162138126</v>
      </c>
    </row>
    <row r="45" spans="1:39" ht="33" hidden="1" customHeight="1" outlineLevel="3">
      <c r="A45" s="139" t="s">
        <v>349</v>
      </c>
      <c r="B45" s="406" t="s">
        <v>350</v>
      </c>
      <c r="C45" s="198" t="s">
        <v>351</v>
      </c>
      <c r="D45" s="956" t="s">
        <v>349</v>
      </c>
      <c r="E45" s="148" t="s">
        <v>352</v>
      </c>
      <c r="F45" s="149" t="s">
        <v>353</v>
      </c>
      <c r="G45" s="406" t="s">
        <v>121</v>
      </c>
      <c r="H45" s="406">
        <v>2843.2635305030703</v>
      </c>
      <c r="I45" s="406">
        <v>5106.8639400000002</v>
      </c>
      <c r="J45" s="406">
        <v>5106.8599999999997</v>
      </c>
      <c r="K45" s="406">
        <v>3119.83724768825</v>
      </c>
      <c r="L45" s="406">
        <v>4459.9827400000004</v>
      </c>
      <c r="M45" s="406">
        <v>4459.9799999999996</v>
      </c>
      <c r="N45" s="406">
        <v>3294.2456328120661</v>
      </c>
      <c r="O45" s="406">
        <v>5264.9426800000001</v>
      </c>
      <c r="P45" s="406">
        <v>4959.6820800000005</v>
      </c>
      <c r="Q45" s="150">
        <v>4959.6820800000005</v>
      </c>
      <c r="R45" s="406">
        <v>4959.6820800000005</v>
      </c>
      <c r="S45" s="406">
        <v>4959.6820800000005</v>
      </c>
      <c r="T45" s="406">
        <f t="shared" si="3"/>
        <v>1665.4364471879344</v>
      </c>
      <c r="U45" s="406">
        <f t="shared" si="4"/>
        <v>0</v>
      </c>
      <c r="V45" s="406">
        <v>3475.4291426167297</v>
      </c>
      <c r="W45" s="167">
        <v>5033189.2700000005</v>
      </c>
      <c r="X45" s="167">
        <v>5033.1892700000008</v>
      </c>
      <c r="Y45" s="406">
        <v>5033.1892700000008</v>
      </c>
      <c r="Z45" s="406">
        <v>4657.7515400000002</v>
      </c>
      <c r="AA45" s="406">
        <v>331.21541000000002</v>
      </c>
      <c r="AB45" s="406">
        <v>44.222319999999996</v>
      </c>
      <c r="AC45" s="406">
        <v>3631.8234540344824</v>
      </c>
      <c r="AD45" s="167">
        <f>'[71]2. подк.неподк.'!X33</f>
        <v>7141.74</v>
      </c>
      <c r="AE45" s="406">
        <f>V45*$AD$11</f>
        <v>3603.5048209043198</v>
      </c>
      <c r="AF45" s="402">
        <f t="shared" si="8"/>
        <v>3603.5048209043198</v>
      </c>
      <c r="AG45" s="167">
        <v>3777.0963921958619</v>
      </c>
      <c r="AH45" s="406">
        <v>6036.373716043001</v>
      </c>
      <c r="AI45" s="957">
        <f t="shared" si="6"/>
        <v>1.1993138728206421</v>
      </c>
      <c r="AJ45" s="957">
        <f t="shared" si="9"/>
        <v>2259.2773238471391</v>
      </c>
      <c r="AK45" s="958">
        <f t="shared" si="19"/>
        <v>6036.373716043001</v>
      </c>
      <c r="AL45" s="74"/>
      <c r="AM45" s="52">
        <f>AH45-AG45</f>
        <v>2259.2773238471391</v>
      </c>
    </row>
    <row r="46" spans="1:39" s="161" customFormat="1" ht="33" hidden="1" customHeight="1" outlineLevel="2">
      <c r="A46" s="153"/>
      <c r="B46" s="154"/>
      <c r="C46" s="155"/>
      <c r="D46" s="966"/>
      <c r="E46" s="156" t="s">
        <v>354</v>
      </c>
      <c r="F46" s="157"/>
      <c r="G46" s="158"/>
      <c r="H46" s="154">
        <f t="shared" ref="H46:J46" si="20">H43+H44+H45</f>
        <v>3955.5502424358933</v>
      </c>
      <c r="I46" s="154">
        <f t="shared" si="20"/>
        <v>7323.6323499999999</v>
      </c>
      <c r="J46" s="154">
        <f t="shared" si="20"/>
        <v>7323.619999999999</v>
      </c>
      <c r="K46" s="154">
        <f>K43+K44+K45</f>
        <v>4340.3197941593198</v>
      </c>
      <c r="L46" s="154">
        <f t="shared" ref="L46:W46" si="21">L43+L44+L45</f>
        <v>7192.2119300000004</v>
      </c>
      <c r="M46" s="154">
        <f t="shared" si="21"/>
        <v>7192.2099999999991</v>
      </c>
      <c r="N46" s="154">
        <f t="shared" si="21"/>
        <v>5583.7627037206948</v>
      </c>
      <c r="O46" s="154">
        <f t="shared" si="21"/>
        <v>8169.3460100000002</v>
      </c>
      <c r="P46" s="154">
        <f t="shared" si="21"/>
        <v>7682.2200500000008</v>
      </c>
      <c r="Q46" s="159">
        <f t="shared" si="21"/>
        <v>7682.2200500000008</v>
      </c>
      <c r="R46" s="154">
        <f t="shared" si="21"/>
        <v>7682.2200500000008</v>
      </c>
      <c r="S46" s="154">
        <f t="shared" si="21"/>
        <v>7682.2200500000008</v>
      </c>
      <c r="T46" s="402">
        <f t="shared" si="3"/>
        <v>2098.457346279306</v>
      </c>
      <c r="U46" s="402">
        <f t="shared" si="4"/>
        <v>0</v>
      </c>
      <c r="V46" s="154">
        <f t="shared" si="21"/>
        <v>5890.8696524253337</v>
      </c>
      <c r="W46" s="961">
        <f t="shared" si="21"/>
        <v>7721466.8100000005</v>
      </c>
      <c r="X46" s="961">
        <f>X43+X44+X45</f>
        <v>7721.4668100000008</v>
      </c>
      <c r="Y46" s="961">
        <f t="shared" ref="Y46:AK46" si="22">Y43+Y44+Y45</f>
        <v>7721.4668100000008</v>
      </c>
      <c r="Z46" s="961">
        <f t="shared" si="22"/>
        <v>7149.1623500000005</v>
      </c>
      <c r="AA46" s="961">
        <f t="shared" si="22"/>
        <v>501.15275000000003</v>
      </c>
      <c r="AB46" s="961">
        <f t="shared" si="22"/>
        <v>71.151709999999994</v>
      </c>
      <c r="AC46" s="154">
        <f t="shared" si="22"/>
        <v>6155.958786784473</v>
      </c>
      <c r="AD46" s="154">
        <f t="shared" si="22"/>
        <v>9996.83</v>
      </c>
      <c r="AE46" s="154">
        <f t="shared" si="22"/>
        <v>6107.9585630253323</v>
      </c>
      <c r="AF46" s="154">
        <f t="shared" si="22"/>
        <v>6107.9585630253323</v>
      </c>
      <c r="AG46" s="961">
        <f t="shared" si="22"/>
        <v>6402.1971382558522</v>
      </c>
      <c r="AH46" s="154">
        <f t="shared" si="22"/>
        <v>9149.1738663513534</v>
      </c>
      <c r="AI46" s="962">
        <f t="shared" si="6"/>
        <v>1.1849010157632669</v>
      </c>
      <c r="AJ46" s="963">
        <f t="shared" si="22"/>
        <v>2746.9767280955025</v>
      </c>
      <c r="AK46" s="963">
        <f t="shared" si="22"/>
        <v>9149.1738663513534</v>
      </c>
      <c r="AL46" s="964"/>
      <c r="AM46" s="52"/>
    </row>
    <row r="47" spans="1:39" ht="33" hidden="1" customHeight="1" outlineLevel="3">
      <c r="A47" s="139" t="s">
        <v>355</v>
      </c>
      <c r="B47" s="406" t="s">
        <v>494</v>
      </c>
      <c r="C47" s="198" t="s">
        <v>357</v>
      </c>
      <c r="D47" s="956" t="s">
        <v>493</v>
      </c>
      <c r="E47" s="148" t="s">
        <v>358</v>
      </c>
      <c r="F47" s="149" t="s">
        <v>359</v>
      </c>
      <c r="G47" s="406" t="s">
        <v>121</v>
      </c>
      <c r="H47" s="406">
        <v>216.49570232260697</v>
      </c>
      <c r="I47" s="406">
        <v>4.6591899999999997</v>
      </c>
      <c r="J47" s="406">
        <v>4.66</v>
      </c>
      <c r="K47" s="406">
        <v>237.5549606374299</v>
      </c>
      <c r="L47" s="406">
        <v>22.356490000000001</v>
      </c>
      <c r="M47" s="406">
        <v>22.36</v>
      </c>
      <c r="N47" s="406">
        <v>25.630903210188759</v>
      </c>
      <c r="O47" s="406">
        <v>7.2084700000000002</v>
      </c>
      <c r="P47" s="406">
        <v>6.0077499999999997</v>
      </c>
      <c r="Q47" s="150">
        <v>6.0077499999999997</v>
      </c>
      <c r="R47" s="406">
        <v>6.0077499999999997</v>
      </c>
      <c r="S47" s="406">
        <v>6.0077499999999997</v>
      </c>
      <c r="T47" s="406">
        <f t="shared" si="3"/>
        <v>-19.623153210188761</v>
      </c>
      <c r="U47" s="406">
        <f t="shared" si="4"/>
        <v>0</v>
      </c>
      <c r="V47" s="406">
        <v>25.359034999999999</v>
      </c>
      <c r="W47" s="167">
        <v>5076.2700000000004</v>
      </c>
      <c r="X47" s="167">
        <v>5.0762700000000001</v>
      </c>
      <c r="Y47" s="406">
        <v>5.0762699999999992</v>
      </c>
      <c r="Z47" s="406">
        <v>5.0149499999999998</v>
      </c>
      <c r="AA47" s="406">
        <v>5.3190000000000001E-2</v>
      </c>
      <c r="AB47" s="406">
        <v>8.1300000000000001E-3</v>
      </c>
      <c r="AC47" s="406">
        <v>26.500191574999995</v>
      </c>
      <c r="AD47" s="167">
        <f>'[71]2. подк.неподк.'!X35</f>
        <v>26.500191574999995</v>
      </c>
      <c r="AE47" s="406">
        <f>V47*$AD$11</f>
        <v>26.293560054335689</v>
      </c>
      <c r="AF47" s="402">
        <f t="shared" si="8"/>
        <v>26.293560054335689</v>
      </c>
      <c r="AG47" s="167">
        <v>27.560199237999996</v>
      </c>
      <c r="AH47" s="406">
        <v>64.650000000000006</v>
      </c>
      <c r="AI47" s="957">
        <f t="shared" si="6"/>
        <v>12.73572918698178</v>
      </c>
      <c r="AJ47" s="957">
        <f t="shared" si="9"/>
        <v>37.08980076200001</v>
      </c>
      <c r="AK47" s="958">
        <f t="shared" ref="AK47:AK51" si="23">AH47</f>
        <v>64.650000000000006</v>
      </c>
      <c r="AL47" s="74"/>
      <c r="AM47" s="52">
        <f>AH47-AG47</f>
        <v>37.08980076200001</v>
      </c>
    </row>
    <row r="48" spans="1:39" ht="33" hidden="1" customHeight="1" outlineLevel="3">
      <c r="A48" s="139" t="s">
        <v>360</v>
      </c>
      <c r="B48" s="406" t="s">
        <v>499</v>
      </c>
      <c r="C48" s="198" t="s">
        <v>362</v>
      </c>
      <c r="D48" s="956" t="s">
        <v>498</v>
      </c>
      <c r="E48" s="148" t="s">
        <v>363</v>
      </c>
      <c r="F48" s="149" t="s">
        <v>364</v>
      </c>
      <c r="G48" s="406" t="s">
        <v>121</v>
      </c>
      <c r="H48" s="406">
        <v>406.30410435890758</v>
      </c>
      <c r="I48" s="406">
        <v>339.25193000000002</v>
      </c>
      <c r="J48" s="406">
        <v>339.25</v>
      </c>
      <c r="K48" s="406">
        <v>445.82665836931818</v>
      </c>
      <c r="L48" s="406">
        <v>391.63926000000004</v>
      </c>
      <c r="M48" s="406">
        <v>391.64</v>
      </c>
      <c r="N48" s="406">
        <v>334.16433542537249</v>
      </c>
      <c r="O48" s="406">
        <v>299.43599000000006</v>
      </c>
      <c r="P48" s="406">
        <v>273.61684000000002</v>
      </c>
      <c r="Q48" s="150">
        <v>273.61684000000002</v>
      </c>
      <c r="R48" s="406">
        <v>273.61684000000002</v>
      </c>
      <c r="S48" s="406">
        <v>273.61684000000002</v>
      </c>
      <c r="T48" s="406">
        <f t="shared" si="3"/>
        <v>-60.54749542537246</v>
      </c>
      <c r="U48" s="406">
        <f t="shared" si="4"/>
        <v>0</v>
      </c>
      <c r="V48" s="406">
        <v>374.26</v>
      </c>
      <c r="W48" s="167">
        <v>309975.12</v>
      </c>
      <c r="X48" s="167">
        <v>309.97512</v>
      </c>
      <c r="Y48" s="406">
        <v>309.97512</v>
      </c>
      <c r="Z48" s="406">
        <v>280.66409000000004</v>
      </c>
      <c r="AA48" s="406">
        <v>26.37031</v>
      </c>
      <c r="AB48" s="406">
        <v>2.9407199999999998</v>
      </c>
      <c r="AC48" s="406">
        <v>391.10169999999994</v>
      </c>
      <c r="AD48" s="167">
        <f>'[71]2. подк.неподк.'!X36</f>
        <v>391.10169999999994</v>
      </c>
      <c r="AE48" s="406">
        <f>V48*$AD$11</f>
        <v>388.05213944204405</v>
      </c>
      <c r="AF48" s="402">
        <f t="shared" si="8"/>
        <v>388.05213944204405</v>
      </c>
      <c r="AG48" s="167">
        <v>406.74576799999994</v>
      </c>
      <c r="AH48" s="406">
        <v>625.24999999999977</v>
      </c>
      <c r="AI48" s="957">
        <f t="shared" si="6"/>
        <v>2.0170973722020005</v>
      </c>
      <c r="AJ48" s="957">
        <f t="shared" si="9"/>
        <v>218.50423199999983</v>
      </c>
      <c r="AK48" s="958">
        <f t="shared" si="23"/>
        <v>625.24999999999977</v>
      </c>
      <c r="AL48" s="74"/>
      <c r="AM48" s="52">
        <f>AH48-AG48</f>
        <v>218.50423199999983</v>
      </c>
    </row>
    <row r="49" spans="1:39" ht="33" hidden="1" customHeight="1" outlineLevel="3">
      <c r="A49" s="139" t="s">
        <v>365</v>
      </c>
      <c r="B49" s="406" t="s">
        <v>356</v>
      </c>
      <c r="C49" s="198" t="s">
        <v>367</v>
      </c>
      <c r="D49" s="956" t="s">
        <v>355</v>
      </c>
      <c r="E49" s="148" t="s">
        <v>368</v>
      </c>
      <c r="F49" s="149" t="s">
        <v>369</v>
      </c>
      <c r="G49" s="406" t="s">
        <v>121</v>
      </c>
      <c r="H49" s="406">
        <v>1886.1566202350461</v>
      </c>
      <c r="I49" s="406">
        <v>817.12908000000004</v>
      </c>
      <c r="J49" s="406">
        <v>817.13</v>
      </c>
      <c r="K49" s="406">
        <v>2069.629359239138</v>
      </c>
      <c r="L49" s="406">
        <v>612.67552999999998</v>
      </c>
      <c r="M49" s="406">
        <v>612.67999999999995</v>
      </c>
      <c r="N49" s="406">
        <v>686.08600349633389</v>
      </c>
      <c r="O49" s="406">
        <v>2398.65778</v>
      </c>
      <c r="P49" s="406">
        <v>2270.2747599999998</v>
      </c>
      <c r="Q49" s="150">
        <v>2270.2747599999998</v>
      </c>
      <c r="R49" s="406">
        <v>2270.2747599999998</v>
      </c>
      <c r="S49" s="406">
        <v>2270.2747599999998</v>
      </c>
      <c r="T49" s="406">
        <f t="shared" si="3"/>
        <v>1584.1887565036659</v>
      </c>
      <c r="U49" s="406">
        <f t="shared" si="4"/>
        <v>0</v>
      </c>
      <c r="V49" s="406">
        <v>694.85570499999994</v>
      </c>
      <c r="W49" s="167">
        <v>3084426.13</v>
      </c>
      <c r="X49" s="167">
        <v>3084.4261299999998</v>
      </c>
      <c r="Y49" s="406">
        <v>3084.4261300000003</v>
      </c>
      <c r="Z49" s="406">
        <v>2601.7416699999999</v>
      </c>
      <c r="AA49" s="406">
        <v>461.54348999999996</v>
      </c>
      <c r="AB49" s="406">
        <v>21.140970000000003</v>
      </c>
      <c r="AC49" s="406">
        <v>726.1242117249999</v>
      </c>
      <c r="AD49" s="167">
        <f>'[71]2. подк.неподк.'!X37</f>
        <v>2648.1181891200004</v>
      </c>
      <c r="AE49" s="406">
        <f>V49*$AD$11</f>
        <v>720.46236020082245</v>
      </c>
      <c r="AF49" s="402">
        <f t="shared" si="8"/>
        <v>720.46236020082245</v>
      </c>
      <c r="AG49" s="167">
        <v>755.16918019399986</v>
      </c>
      <c r="AH49" s="406">
        <v>12011.400000000005</v>
      </c>
      <c r="AI49" s="957">
        <f t="shared" si="6"/>
        <v>3.8942090015298909</v>
      </c>
      <c r="AJ49" s="957">
        <f t="shared" si="9"/>
        <v>11256.230819806005</v>
      </c>
      <c r="AK49" s="958">
        <f t="shared" si="23"/>
        <v>12011.400000000005</v>
      </c>
      <c r="AL49" s="74"/>
      <c r="AM49" s="52">
        <f>AH49-AG49</f>
        <v>11256.230819806005</v>
      </c>
    </row>
    <row r="50" spans="1:39" ht="33" hidden="1" customHeight="1" outlineLevel="3">
      <c r="A50" s="139" t="s">
        <v>370</v>
      </c>
      <c r="B50" s="406" t="s">
        <v>361</v>
      </c>
      <c r="C50" s="198" t="s">
        <v>372</v>
      </c>
      <c r="D50" s="956" t="s">
        <v>360</v>
      </c>
      <c r="E50" s="148" t="s">
        <v>373</v>
      </c>
      <c r="F50" s="149" t="s">
        <v>374</v>
      </c>
      <c r="G50" s="406" t="s">
        <v>121</v>
      </c>
      <c r="H50" s="406">
        <v>1860.1491199560328</v>
      </c>
      <c r="I50" s="406">
        <v>3184.78422</v>
      </c>
      <c r="J50" s="406">
        <v>3184.78</v>
      </c>
      <c r="K50" s="406">
        <v>2041.092022752649</v>
      </c>
      <c r="L50" s="406">
        <v>3903.74224</v>
      </c>
      <c r="M50" s="406">
        <v>3903.74</v>
      </c>
      <c r="N50" s="406">
        <v>3768.6395106192499</v>
      </c>
      <c r="O50" s="406">
        <v>3774.9549699999998</v>
      </c>
      <c r="P50" s="406">
        <v>3321.1256899999998</v>
      </c>
      <c r="Q50" s="150">
        <v>3321.1256899999998</v>
      </c>
      <c r="R50" s="406">
        <v>3321.1256899999998</v>
      </c>
      <c r="S50" s="406">
        <v>3321.1256899999998</v>
      </c>
      <c r="T50" s="406">
        <f t="shared" si="3"/>
        <v>-447.51382061925005</v>
      </c>
      <c r="U50" s="406">
        <f t="shared" si="4"/>
        <v>0</v>
      </c>
      <c r="V50" s="406">
        <v>3975.9146837033086</v>
      </c>
      <c r="W50" s="167">
        <v>3663829.12</v>
      </c>
      <c r="X50" s="167">
        <v>3663.8291200000003</v>
      </c>
      <c r="Y50" s="406">
        <v>3663.8291200000003</v>
      </c>
      <c r="Z50" s="406">
        <v>3168.57863</v>
      </c>
      <c r="AA50" s="406">
        <v>458.37314000000003</v>
      </c>
      <c r="AB50" s="406">
        <v>36.87735</v>
      </c>
      <c r="AC50" s="406">
        <v>4154.8308444699569</v>
      </c>
      <c r="AD50" s="167">
        <f>'[71]2. подк.неподк.'!X38</f>
        <v>4167.5502868800004</v>
      </c>
      <c r="AE50" s="406">
        <f>V50*$AD$11</f>
        <v>4122.4341346927449</v>
      </c>
      <c r="AF50" s="402">
        <f t="shared" si="8"/>
        <v>4122.4341346927449</v>
      </c>
      <c r="AG50" s="167">
        <v>4321.0240782487554</v>
      </c>
      <c r="AH50" s="406">
        <v>5118.1600000000008</v>
      </c>
      <c r="AI50" s="957">
        <f t="shared" si="6"/>
        <v>1.3969428792574257</v>
      </c>
      <c r="AJ50" s="957">
        <f t="shared" si="9"/>
        <v>797.13592175124541</v>
      </c>
      <c r="AK50" s="958">
        <f t="shared" si="23"/>
        <v>5118.1600000000008</v>
      </c>
      <c r="AL50" s="74"/>
      <c r="AM50" s="52">
        <f>AH50-AG50</f>
        <v>797.13592175124541</v>
      </c>
    </row>
    <row r="51" spans="1:39" ht="33" hidden="1" customHeight="1" outlineLevel="3">
      <c r="A51" s="139" t="s">
        <v>375</v>
      </c>
      <c r="B51" s="406" t="s">
        <v>366</v>
      </c>
      <c r="C51" s="198" t="s">
        <v>377</v>
      </c>
      <c r="D51" s="956" t="s">
        <v>365</v>
      </c>
      <c r="E51" s="148" t="s">
        <v>378</v>
      </c>
      <c r="F51" s="149" t="s">
        <v>379</v>
      </c>
      <c r="G51" s="406" t="s">
        <v>121</v>
      </c>
      <c r="H51" s="406">
        <v>1003.4672107653867</v>
      </c>
      <c r="I51" s="406">
        <v>763.01793999999995</v>
      </c>
      <c r="J51" s="406">
        <v>763.02</v>
      </c>
      <c r="K51" s="406">
        <v>1101.0778098454243</v>
      </c>
      <c r="L51" s="406">
        <v>667.05373999999995</v>
      </c>
      <c r="M51" s="406">
        <v>667.05</v>
      </c>
      <c r="N51" s="406">
        <v>646.59543876420594</v>
      </c>
      <c r="O51" s="406">
        <v>773.37952000000007</v>
      </c>
      <c r="P51" s="406">
        <v>671.92167000000006</v>
      </c>
      <c r="Q51" s="150">
        <v>671.92167000000006</v>
      </c>
      <c r="R51" s="406">
        <v>671.92167000000006</v>
      </c>
      <c r="S51" s="406">
        <v>671.92167000000006</v>
      </c>
      <c r="T51" s="406">
        <f t="shared" si="3"/>
        <v>25.326231235794125</v>
      </c>
      <c r="U51" s="406">
        <f t="shared" si="4"/>
        <v>0</v>
      </c>
      <c r="V51" s="406">
        <v>724.19</v>
      </c>
      <c r="W51" s="167">
        <v>1131900.8600000001</v>
      </c>
      <c r="X51" s="167">
        <v>1131.9008600000002</v>
      </c>
      <c r="Y51" s="406">
        <v>1131.90086</v>
      </c>
      <c r="Z51" s="406">
        <v>966.63542000000007</v>
      </c>
      <c r="AA51" s="406">
        <v>155.07477</v>
      </c>
      <c r="AB51" s="406">
        <v>10.190670000000001</v>
      </c>
      <c r="AC51" s="406">
        <v>756.77855</v>
      </c>
      <c r="AD51" s="167">
        <f>'[71]2. подк.неподк.'!X39</f>
        <v>853.81099008000001</v>
      </c>
      <c r="AE51" s="406">
        <f>V51*$AD$11</f>
        <v>750.87767557990139</v>
      </c>
      <c r="AF51" s="402">
        <f t="shared" si="8"/>
        <v>750.87767557990139</v>
      </c>
      <c r="AG51" s="167">
        <v>787.04969200000005</v>
      </c>
      <c r="AH51" s="406">
        <v>2950</v>
      </c>
      <c r="AI51" s="957">
        <f t="shared" si="6"/>
        <v>2.6062353199378254</v>
      </c>
      <c r="AJ51" s="957">
        <f t="shared" si="9"/>
        <v>2162.9503079999999</v>
      </c>
      <c r="AK51" s="958">
        <f t="shared" si="23"/>
        <v>2950</v>
      </c>
      <c r="AL51" s="74"/>
      <c r="AM51" s="52">
        <f>AH51-AG51</f>
        <v>2162.9503079999999</v>
      </c>
    </row>
    <row r="52" spans="1:39" s="161" customFormat="1" ht="33" hidden="1" customHeight="1" outlineLevel="2">
      <c r="A52" s="153"/>
      <c r="B52" s="154"/>
      <c r="C52" s="155"/>
      <c r="D52" s="966"/>
      <c r="E52" s="156" t="s">
        <v>380</v>
      </c>
      <c r="F52" s="157"/>
      <c r="G52" s="158"/>
      <c r="H52" s="154">
        <f t="shared" ref="H52:J52" si="24">H47+H48+H49+H50+H51</f>
        <v>5372.5727576379804</v>
      </c>
      <c r="I52" s="154">
        <f t="shared" si="24"/>
        <v>5108.8423599999996</v>
      </c>
      <c r="J52" s="154">
        <f t="shared" si="24"/>
        <v>5108.84</v>
      </c>
      <c r="K52" s="154">
        <f>K47+K48+K49+K50+K51</f>
        <v>5895.18081084396</v>
      </c>
      <c r="L52" s="154">
        <f t="shared" ref="L52:Z52" si="25">L47+L48+L49+L50+L51</f>
        <v>5597.4672600000004</v>
      </c>
      <c r="M52" s="154">
        <f t="shared" si="25"/>
        <v>5597.47</v>
      </c>
      <c r="N52" s="154">
        <f t="shared" si="25"/>
        <v>5461.1161915153507</v>
      </c>
      <c r="O52" s="154">
        <f t="shared" si="25"/>
        <v>7253.6367300000002</v>
      </c>
      <c r="P52" s="154">
        <f t="shared" si="25"/>
        <v>6542.9467099999993</v>
      </c>
      <c r="Q52" s="159">
        <f t="shared" si="25"/>
        <v>6542.9467099999993</v>
      </c>
      <c r="R52" s="154">
        <f t="shared" si="25"/>
        <v>6542.9467099999993</v>
      </c>
      <c r="S52" s="154">
        <f t="shared" si="25"/>
        <v>6542.9467099999993</v>
      </c>
      <c r="T52" s="402">
        <f t="shared" si="3"/>
        <v>1081.8305184846486</v>
      </c>
      <c r="U52" s="402">
        <f t="shared" si="4"/>
        <v>0</v>
      </c>
      <c r="V52" s="154">
        <f t="shared" si="25"/>
        <v>5794.5794237033078</v>
      </c>
      <c r="W52" s="154">
        <f t="shared" si="25"/>
        <v>8195207.5000000009</v>
      </c>
      <c r="X52" s="154">
        <f t="shared" si="25"/>
        <v>8195.2075000000004</v>
      </c>
      <c r="Y52" s="154">
        <f t="shared" si="25"/>
        <v>8195.2075000000004</v>
      </c>
      <c r="Z52" s="154">
        <f t="shared" si="25"/>
        <v>7022.6347600000008</v>
      </c>
      <c r="AA52" s="154">
        <f>AA47+AA48+AA49+AA50+AA51</f>
        <v>1101.4149</v>
      </c>
      <c r="AB52" s="154">
        <f>AB47+AB48+AB49+AB50+AB51</f>
        <v>71.157840000000007</v>
      </c>
      <c r="AC52" s="154">
        <f t="shared" ref="AC52:AK52" si="26">AC47+AC48+AC49+AC50+AC51</f>
        <v>6055.3354977699564</v>
      </c>
      <c r="AD52" s="154">
        <f t="shared" si="26"/>
        <v>8087.0813576550008</v>
      </c>
      <c r="AE52" s="154">
        <f t="shared" si="26"/>
        <v>6008.1198699698489</v>
      </c>
      <c r="AF52" s="154">
        <f t="shared" si="26"/>
        <v>6008.1198699698489</v>
      </c>
      <c r="AG52" s="961">
        <f t="shared" si="26"/>
        <v>6297.548917680755</v>
      </c>
      <c r="AH52" s="154">
        <f t="shared" si="26"/>
        <v>20769.460000000006</v>
      </c>
      <c r="AI52" s="962">
        <f t="shared" si="6"/>
        <v>2.5343421749845878</v>
      </c>
      <c r="AJ52" s="963">
        <f t="shared" si="26"/>
        <v>14471.91108231925</v>
      </c>
      <c r="AK52" s="963">
        <f t="shared" si="26"/>
        <v>20769.460000000006</v>
      </c>
      <c r="AL52" s="964"/>
      <c r="AM52" s="52"/>
    </row>
    <row r="53" spans="1:39" ht="33" hidden="1" customHeight="1" outlineLevel="3">
      <c r="A53" s="139" t="s">
        <v>381</v>
      </c>
      <c r="B53" s="406" t="s">
        <v>371</v>
      </c>
      <c r="C53" s="198" t="s">
        <v>383</v>
      </c>
      <c r="D53" s="956" t="s">
        <v>370</v>
      </c>
      <c r="E53" s="148" t="s">
        <v>384</v>
      </c>
      <c r="F53" s="149" t="s">
        <v>385</v>
      </c>
      <c r="G53" s="406" t="s">
        <v>121</v>
      </c>
      <c r="H53" s="406">
        <v>57.968400621896002</v>
      </c>
      <c r="I53" s="406">
        <v>14.937290000000001</v>
      </c>
      <c r="J53" s="406">
        <v>14.94</v>
      </c>
      <c r="K53" s="406">
        <v>63.607180097409753</v>
      </c>
      <c r="L53" s="406">
        <v>26.650449999999999</v>
      </c>
      <c r="M53" s="406">
        <v>26.65</v>
      </c>
      <c r="N53" s="406">
        <v>66.672978043463331</v>
      </c>
      <c r="O53" s="406">
        <v>37.232039999999998</v>
      </c>
      <c r="P53" s="406">
        <v>33.242350000000002</v>
      </c>
      <c r="Q53" s="150">
        <v>33.242350000000002</v>
      </c>
      <c r="R53" s="406">
        <v>33.242350000000002</v>
      </c>
      <c r="S53" s="406">
        <v>33.242350000000002</v>
      </c>
      <c r="T53" s="406">
        <f t="shared" si="3"/>
        <v>-33.430628043463329</v>
      </c>
      <c r="U53" s="406">
        <f t="shared" si="4"/>
        <v>0</v>
      </c>
      <c r="V53" s="406">
        <v>30.224431249999995</v>
      </c>
      <c r="W53" s="167">
        <v>48458.97</v>
      </c>
      <c r="X53" s="167">
        <v>48.458970000000001</v>
      </c>
      <c r="Y53" s="406">
        <v>48.458970000000001</v>
      </c>
      <c r="Z53" s="406">
        <v>45.41733</v>
      </c>
      <c r="AA53" s="406">
        <v>2.6572600000000004</v>
      </c>
      <c r="AB53" s="406">
        <v>0.38438</v>
      </c>
      <c r="AC53" s="406">
        <v>31.584530656249992</v>
      </c>
      <c r="AD53" s="167">
        <f>'[71]2. подк.неподк.'!X41</f>
        <v>58.22</v>
      </c>
      <c r="AE53" s="406">
        <f>V53*$AD$11</f>
        <v>31.338254715923345</v>
      </c>
      <c r="AF53" s="402">
        <f t="shared" si="8"/>
        <v>31.338254715923345</v>
      </c>
      <c r="AG53" s="167">
        <v>32.847911882499993</v>
      </c>
      <c r="AH53" s="406">
        <v>68.849999999999994</v>
      </c>
      <c r="AI53" s="957">
        <f t="shared" si="6"/>
        <v>1.4207895875624263</v>
      </c>
      <c r="AJ53" s="957">
        <f t="shared" si="9"/>
        <v>36.002088117500001</v>
      </c>
      <c r="AK53" s="958">
        <f t="shared" ref="AK53:AK55" si="27">AH53</f>
        <v>68.849999999999994</v>
      </c>
      <c r="AL53" s="74"/>
      <c r="AM53" s="52">
        <f>AH53-AG53</f>
        <v>36.002088117500001</v>
      </c>
    </row>
    <row r="54" spans="1:39" ht="33" hidden="1" customHeight="1" outlineLevel="3">
      <c r="A54" s="139" t="s">
        <v>386</v>
      </c>
      <c r="B54" s="406" t="s">
        <v>376</v>
      </c>
      <c r="C54" s="198" t="s">
        <v>388</v>
      </c>
      <c r="D54" s="956" t="s">
        <v>375</v>
      </c>
      <c r="E54" s="148" t="s">
        <v>389</v>
      </c>
      <c r="F54" s="149" t="s">
        <v>390</v>
      </c>
      <c r="G54" s="406" t="s">
        <v>121</v>
      </c>
      <c r="H54" s="406">
        <v>769.32760825349249</v>
      </c>
      <c r="I54" s="406">
        <v>1327.9440300000001</v>
      </c>
      <c r="J54" s="406">
        <v>1327.94</v>
      </c>
      <c r="K54" s="406">
        <v>844.16266805894259</v>
      </c>
      <c r="L54" s="406">
        <v>963.25</v>
      </c>
      <c r="M54" s="406">
        <v>963.25</v>
      </c>
      <c r="N54" s="406">
        <v>891.35150623829929</v>
      </c>
      <c r="O54" s="406">
        <v>1393.3944799999999</v>
      </c>
      <c r="P54" s="406">
        <v>1295.5137099999999</v>
      </c>
      <c r="Q54" s="150">
        <v>1295.5137099999999</v>
      </c>
      <c r="R54" s="406">
        <v>1295.5137099999999</v>
      </c>
      <c r="S54" s="406">
        <v>1295.5137099999999</v>
      </c>
      <c r="T54" s="406">
        <f t="shared" si="3"/>
        <v>404.16220376170065</v>
      </c>
      <c r="U54" s="406">
        <f t="shared" si="4"/>
        <v>0</v>
      </c>
      <c r="V54" s="406">
        <v>940.37583908140573</v>
      </c>
      <c r="W54" s="167">
        <v>1968087.46</v>
      </c>
      <c r="X54" s="167">
        <v>1968.08746</v>
      </c>
      <c r="Y54" s="406">
        <v>1968.08746</v>
      </c>
      <c r="Z54" s="406">
        <v>1853.5668000000001</v>
      </c>
      <c r="AA54" s="406">
        <v>100.72816999999999</v>
      </c>
      <c r="AB54" s="406">
        <v>13.792489999999999</v>
      </c>
      <c r="AC54" s="406">
        <v>982.69275184006892</v>
      </c>
      <c r="AD54" s="167">
        <f>'[71]2. подк.неподк.'!X42</f>
        <v>2359.31</v>
      </c>
      <c r="AE54" s="406">
        <f>V54*$AD$11</f>
        <v>975.03034317091544</v>
      </c>
      <c r="AF54" s="402">
        <f t="shared" si="8"/>
        <v>975.03034317091544</v>
      </c>
      <c r="AG54" s="167">
        <v>1022.0004619136718</v>
      </c>
      <c r="AH54" s="406">
        <v>2172.0600000000004</v>
      </c>
      <c r="AI54" s="957">
        <f t="shared" si="6"/>
        <v>1.1036399774631969</v>
      </c>
      <c r="AJ54" s="957">
        <f t="shared" si="9"/>
        <v>1150.0595380863288</v>
      </c>
      <c r="AK54" s="958">
        <f t="shared" si="27"/>
        <v>2172.0600000000004</v>
      </c>
      <c r="AL54" s="74"/>
      <c r="AM54" s="52">
        <f>AH54-AG54</f>
        <v>1150.0595380863288</v>
      </c>
    </row>
    <row r="55" spans="1:39" ht="33" hidden="1" customHeight="1" outlineLevel="3">
      <c r="A55" s="139" t="s">
        <v>391</v>
      </c>
      <c r="B55" s="406" t="s">
        <v>382</v>
      </c>
      <c r="C55" s="198" t="s">
        <v>393</v>
      </c>
      <c r="D55" s="956" t="s">
        <v>381</v>
      </c>
      <c r="E55" s="148" t="s">
        <v>394</v>
      </c>
      <c r="F55" s="149" t="s">
        <v>395</v>
      </c>
      <c r="G55" s="406" t="s">
        <v>121</v>
      </c>
      <c r="H55" s="406">
        <v>320.40210343733457</v>
      </c>
      <c r="I55" s="406">
        <v>0</v>
      </c>
      <c r="J55" s="406">
        <v>0</v>
      </c>
      <c r="K55" s="406">
        <v>351.56868359810329</v>
      </c>
      <c r="L55" s="406">
        <v>142.41</v>
      </c>
      <c r="M55" s="406">
        <v>142.41</v>
      </c>
      <c r="N55" s="406">
        <v>212.86056119745552</v>
      </c>
      <c r="O55" s="406">
        <v>233.98337000000004</v>
      </c>
      <c r="P55" s="406">
        <v>221.73196999999999</v>
      </c>
      <c r="Q55" s="150">
        <v>221.73196999999999</v>
      </c>
      <c r="R55" s="406">
        <v>221.73196999999999</v>
      </c>
      <c r="S55" s="406">
        <v>221.73196999999999</v>
      </c>
      <c r="T55" s="406">
        <f t="shared" si="3"/>
        <v>8.8714088025444653</v>
      </c>
      <c r="U55" s="406">
        <f t="shared" si="4"/>
        <v>0</v>
      </c>
      <c r="V55" s="406">
        <v>161.51074124999997</v>
      </c>
      <c r="W55" s="167">
        <v>331741.40999999997</v>
      </c>
      <c r="X55" s="167">
        <v>331.74140999999997</v>
      </c>
      <c r="Y55" s="406">
        <v>331.74140999999997</v>
      </c>
      <c r="Z55" s="406">
        <v>311.08809000000002</v>
      </c>
      <c r="AA55" s="406">
        <v>17.493599999999997</v>
      </c>
      <c r="AB55" s="406">
        <v>3.1597199999999996</v>
      </c>
      <c r="AC55" s="406">
        <v>168.77872460624997</v>
      </c>
      <c r="AD55" s="167">
        <f>'[71]2. подк.неподк.'!X43</f>
        <v>249.38</v>
      </c>
      <c r="AE55" s="406">
        <f>V55*$AD$11</f>
        <v>167.46269621368268</v>
      </c>
      <c r="AF55" s="402">
        <f t="shared" si="8"/>
        <v>167.46269621368268</v>
      </c>
      <c r="AG55" s="167">
        <v>175.52987359049996</v>
      </c>
      <c r="AH55" s="406">
        <v>366.62400000000002</v>
      </c>
      <c r="AI55" s="957">
        <f t="shared" si="6"/>
        <v>1.1051499419382105</v>
      </c>
      <c r="AJ55" s="957">
        <f t="shared" si="9"/>
        <v>191.09412640950006</v>
      </c>
      <c r="AK55" s="958">
        <f t="shared" si="27"/>
        <v>366.62400000000002</v>
      </c>
      <c r="AL55" s="74"/>
      <c r="AM55" s="52">
        <f>AH55-AG55</f>
        <v>191.09412640950006</v>
      </c>
    </row>
    <row r="56" spans="1:39" s="161" customFormat="1" ht="33" hidden="1" customHeight="1" outlineLevel="2">
      <c r="A56" s="153"/>
      <c r="B56" s="154"/>
      <c r="C56" s="155"/>
      <c r="D56" s="966"/>
      <c r="E56" s="156" t="s">
        <v>396</v>
      </c>
      <c r="F56" s="157"/>
      <c r="G56" s="158"/>
      <c r="H56" s="154">
        <f t="shared" ref="H56:J56" si="28">H53+H54+H55</f>
        <v>1147.698112312723</v>
      </c>
      <c r="I56" s="154">
        <f t="shared" si="28"/>
        <v>1342.8813200000002</v>
      </c>
      <c r="J56" s="154">
        <f t="shared" si="28"/>
        <v>1342.88</v>
      </c>
      <c r="K56" s="154">
        <f>K53+K54+K55</f>
        <v>1259.3385317544555</v>
      </c>
      <c r="L56" s="154">
        <f t="shared" ref="L56:AK56" si="29">L53+L54+L55</f>
        <v>1132.3104499999999</v>
      </c>
      <c r="M56" s="154">
        <f t="shared" si="29"/>
        <v>1132.31</v>
      </c>
      <c r="N56" s="154">
        <f t="shared" si="29"/>
        <v>1170.8850454792182</v>
      </c>
      <c r="O56" s="154">
        <f t="shared" si="29"/>
        <v>1664.6098900000002</v>
      </c>
      <c r="P56" s="154">
        <f t="shared" si="29"/>
        <v>1550.48803</v>
      </c>
      <c r="Q56" s="159">
        <f>Q53+Q54+Q55</f>
        <v>1550.48803</v>
      </c>
      <c r="R56" s="154">
        <f>R53+R54+R55</f>
        <v>1550.48803</v>
      </c>
      <c r="S56" s="154">
        <f>S53+S54+S55</f>
        <v>1550.48803</v>
      </c>
      <c r="T56" s="402">
        <f t="shared" si="3"/>
        <v>379.60298452078177</v>
      </c>
      <c r="U56" s="402">
        <f t="shared" si="4"/>
        <v>0</v>
      </c>
      <c r="V56" s="154">
        <f t="shared" si="29"/>
        <v>1132.1110115814056</v>
      </c>
      <c r="W56" s="154">
        <f t="shared" si="29"/>
        <v>2348287.84</v>
      </c>
      <c r="X56" s="154">
        <f t="shared" si="29"/>
        <v>2348.28784</v>
      </c>
      <c r="Y56" s="154">
        <f t="shared" si="29"/>
        <v>2348.28784</v>
      </c>
      <c r="Z56" s="154">
        <f t="shared" si="29"/>
        <v>2210.07222</v>
      </c>
      <c r="AA56" s="154">
        <f t="shared" si="29"/>
        <v>120.87902999999999</v>
      </c>
      <c r="AB56" s="154">
        <f t="shared" si="29"/>
        <v>17.336589999999998</v>
      </c>
      <c r="AC56" s="154">
        <f t="shared" si="29"/>
        <v>1183.0560071025689</v>
      </c>
      <c r="AD56" s="154">
        <f t="shared" si="29"/>
        <v>2666.91</v>
      </c>
      <c r="AE56" s="154">
        <f t="shared" si="29"/>
        <v>1173.8312941005215</v>
      </c>
      <c r="AF56" s="154">
        <f t="shared" si="29"/>
        <v>1173.8312941005215</v>
      </c>
      <c r="AG56" s="961">
        <f t="shared" si="29"/>
        <v>1230.3782473866718</v>
      </c>
      <c r="AH56" s="154">
        <f t="shared" si="29"/>
        <v>2607.5340000000006</v>
      </c>
      <c r="AI56" s="962">
        <f t="shared" si="6"/>
        <v>1.1103979484899946</v>
      </c>
      <c r="AJ56" s="963">
        <f t="shared" si="29"/>
        <v>1377.1557526133288</v>
      </c>
      <c r="AK56" s="963">
        <f t="shared" si="29"/>
        <v>2607.5340000000006</v>
      </c>
      <c r="AL56" s="964"/>
      <c r="AM56" s="52"/>
    </row>
    <row r="57" spans="1:39" ht="33" hidden="1" customHeight="1" outlineLevel="3">
      <c r="A57" s="407" t="s">
        <v>397</v>
      </c>
      <c r="B57" s="406" t="s">
        <v>387</v>
      </c>
      <c r="C57" s="198" t="s">
        <v>399</v>
      </c>
      <c r="D57" s="956" t="s">
        <v>386</v>
      </c>
      <c r="E57" s="164" t="s">
        <v>400</v>
      </c>
      <c r="F57" s="149" t="s">
        <v>401</v>
      </c>
      <c r="G57" s="406" t="s">
        <v>121</v>
      </c>
      <c r="H57" s="406">
        <v>131744.08918119152</v>
      </c>
      <c r="I57" s="406">
        <v>47587.672529999996</v>
      </c>
      <c r="J57" s="406">
        <v>47587.670000000006</v>
      </c>
      <c r="K57" s="406">
        <v>144559.27569876733</v>
      </c>
      <c r="L57" s="406">
        <v>67117.61</v>
      </c>
      <c r="M57" s="406">
        <v>67117.61</v>
      </c>
      <c r="N57" s="406">
        <v>128449.59655761342</v>
      </c>
      <c r="O57" s="406">
        <v>99735.868009999991</v>
      </c>
      <c r="P57" s="406">
        <v>99719.943629999994</v>
      </c>
      <c r="Q57" s="150">
        <v>99719.943629999994</v>
      </c>
      <c r="R57" s="406">
        <v>99719.943629999994</v>
      </c>
      <c r="S57" s="406">
        <v>99719.943629999994</v>
      </c>
      <c r="T57" s="406">
        <f t="shared" si="3"/>
        <v>-28729.652927613424</v>
      </c>
      <c r="U57" s="406">
        <f t="shared" si="4"/>
        <v>0</v>
      </c>
      <c r="V57" s="406">
        <v>76119.759441249989</v>
      </c>
      <c r="W57" s="167">
        <v>85221706.519999996</v>
      </c>
      <c r="X57" s="167">
        <v>85221.706519999992</v>
      </c>
      <c r="Y57" s="406">
        <v>85221.706519999992</v>
      </c>
      <c r="Z57" s="406">
        <v>85221.471819999992</v>
      </c>
      <c r="AA57" s="406">
        <v>0.15003999999999998</v>
      </c>
      <c r="AB57" s="406">
        <v>8.4659999999999999E-2</v>
      </c>
      <c r="AC57" s="406">
        <v>79545.148616106235</v>
      </c>
      <c r="AD57" s="167">
        <f>'[71]2. подк.неподк.'!X45</f>
        <v>110116.09748383379</v>
      </c>
      <c r="AE57" s="406">
        <f>V57*$AD$11</f>
        <v>78924.906495459814</v>
      </c>
      <c r="AF57" s="402">
        <f t="shared" si="8"/>
        <v>78924.906495459814</v>
      </c>
      <c r="AG57" s="167">
        <v>82726.954560750484</v>
      </c>
      <c r="AH57" s="406">
        <v>94084.76</v>
      </c>
      <c r="AI57" s="957">
        <f t="shared" si="6"/>
        <v>1.1039999530861309</v>
      </c>
      <c r="AJ57" s="957">
        <f t="shared" si="9"/>
        <v>11357.805439249511</v>
      </c>
      <c r="AK57" s="958">
        <f t="shared" ref="AK57:AK64" si="30">AH57</f>
        <v>94084.76</v>
      </c>
      <c r="AL57" s="74"/>
      <c r="AM57" s="52">
        <f>AH57-AG57</f>
        <v>11357.805439249511</v>
      </c>
    </row>
    <row r="58" spans="1:39" ht="33" hidden="1" customHeight="1" outlineLevel="3">
      <c r="A58" s="139" t="s">
        <v>402</v>
      </c>
      <c r="B58" s="406" t="s">
        <v>392</v>
      </c>
      <c r="C58" s="198" t="s">
        <v>404</v>
      </c>
      <c r="D58" s="956" t="s">
        <v>391</v>
      </c>
      <c r="E58" s="148" t="s">
        <v>405</v>
      </c>
      <c r="F58" s="149" t="s">
        <v>406</v>
      </c>
      <c r="G58" s="406" t="s">
        <v>121</v>
      </c>
      <c r="H58" s="406">
        <v>44297.292875229767</v>
      </c>
      <c r="I58" s="406">
        <v>40122.397279999997</v>
      </c>
      <c r="J58" s="406">
        <v>40122.400000000001</v>
      </c>
      <c r="K58" s="406">
        <v>48606.238148964272</v>
      </c>
      <c r="L58" s="406">
        <v>45955.583989999999</v>
      </c>
      <c r="M58" s="406">
        <v>45955.58</v>
      </c>
      <c r="N58" s="406">
        <v>36908.663801943112</v>
      </c>
      <c r="O58" s="406">
        <v>44506.512329999998</v>
      </c>
      <c r="P58" s="406">
        <v>44506.613969999999</v>
      </c>
      <c r="Q58" s="150">
        <v>44506.613969999999</v>
      </c>
      <c r="R58" s="406">
        <v>44506.613969999999</v>
      </c>
      <c r="S58" s="406">
        <v>44506.613969999999</v>
      </c>
      <c r="T58" s="406">
        <f t="shared" si="3"/>
        <v>7597.9501680568865</v>
      </c>
      <c r="U58" s="406">
        <f t="shared" si="4"/>
        <v>0</v>
      </c>
      <c r="V58" s="406">
        <v>51759.94</v>
      </c>
      <c r="W58" s="167">
        <v>42949097.960000001</v>
      </c>
      <c r="X58" s="167">
        <v>42949.097959999999</v>
      </c>
      <c r="Y58" s="406">
        <v>42949.097959999999</v>
      </c>
      <c r="Z58" s="406">
        <v>42917.599179999997</v>
      </c>
      <c r="AA58" s="406">
        <v>11.83981</v>
      </c>
      <c r="AB58" s="406">
        <v>19.65897</v>
      </c>
      <c r="AC58" s="406">
        <v>54089.137300000002</v>
      </c>
      <c r="AD58" s="167">
        <f>'[71]2. подк.неподк.'!X46</f>
        <v>54089.137300000002</v>
      </c>
      <c r="AE58" s="406">
        <f>V58*$AD$11</f>
        <v>53667.384851151161</v>
      </c>
      <c r="AF58" s="402">
        <f t="shared" si="8"/>
        <v>53667.384851151161</v>
      </c>
      <c r="AG58" s="167">
        <v>56252.702792000004</v>
      </c>
      <c r="AH58" s="406">
        <v>47415.81</v>
      </c>
      <c r="AI58" s="957">
        <f t="shared" si="6"/>
        <v>1.1040001362580421</v>
      </c>
      <c r="AJ58" s="957">
        <f t="shared" si="9"/>
        <v>-8836.892792000006</v>
      </c>
      <c r="AK58" s="965"/>
      <c r="AL58" s="74"/>
      <c r="AM58" s="52">
        <f>AH58-AG58</f>
        <v>-8836.892792000006</v>
      </c>
    </row>
    <row r="59" spans="1:39" ht="33" hidden="1" customHeight="1" outlineLevel="3">
      <c r="A59" s="139" t="s">
        <v>407</v>
      </c>
      <c r="B59" s="406" t="s">
        <v>504</v>
      </c>
      <c r="C59" s="198" t="s">
        <v>409</v>
      </c>
      <c r="D59" s="956" t="s">
        <v>503</v>
      </c>
      <c r="E59" s="148" t="s">
        <v>410</v>
      </c>
      <c r="F59" s="405" t="s">
        <v>410</v>
      </c>
      <c r="G59" s="1307" t="s">
        <v>121</v>
      </c>
      <c r="H59" s="406">
        <v>0</v>
      </c>
      <c r="I59" s="406">
        <v>0</v>
      </c>
      <c r="J59" s="406">
        <v>0</v>
      </c>
      <c r="K59" s="406">
        <v>218.01</v>
      </c>
      <c r="L59" s="406">
        <v>0</v>
      </c>
      <c r="M59" s="406">
        <v>0</v>
      </c>
      <c r="N59" s="406">
        <v>230.2</v>
      </c>
      <c r="O59" s="406">
        <v>42.935679999999998</v>
      </c>
      <c r="P59" s="406">
        <v>41.414439999999999</v>
      </c>
      <c r="Q59" s="150">
        <v>41.414439999999999</v>
      </c>
      <c r="R59" s="406">
        <v>41.414439999999999</v>
      </c>
      <c r="S59" s="406">
        <v>41.414439999999999</v>
      </c>
      <c r="T59" s="406">
        <f t="shared" si="3"/>
        <v>-188.78555999999998</v>
      </c>
      <c r="U59" s="406">
        <f t="shared" si="4"/>
        <v>0</v>
      </c>
      <c r="V59" s="406">
        <v>0</v>
      </c>
      <c r="W59" s="167">
        <v>25400</v>
      </c>
      <c r="X59" s="167">
        <v>25.4</v>
      </c>
      <c r="Y59" s="406">
        <v>25.4</v>
      </c>
      <c r="Z59" s="406">
        <v>25.4</v>
      </c>
      <c r="AA59" s="406">
        <v>0</v>
      </c>
      <c r="AB59" s="406">
        <v>0</v>
      </c>
      <c r="AC59" s="406">
        <v>0</v>
      </c>
      <c r="AD59" s="167">
        <f>'[71]2. подк.неподк.'!X47</f>
        <v>47.856180960000003</v>
      </c>
      <c r="AE59" s="406">
        <f>V59*$AD$11</f>
        <v>0</v>
      </c>
      <c r="AF59" s="402">
        <f t="shared" si="8"/>
        <v>0</v>
      </c>
      <c r="AG59" s="167">
        <v>0</v>
      </c>
      <c r="AH59" s="406">
        <v>28.04</v>
      </c>
      <c r="AI59" s="957">
        <f t="shared" si="6"/>
        <v>1.1039370078740158</v>
      </c>
      <c r="AJ59" s="957">
        <f t="shared" si="9"/>
        <v>28.04</v>
      </c>
      <c r="AK59" s="958">
        <f t="shared" si="30"/>
        <v>28.04</v>
      </c>
      <c r="AL59" s="74"/>
      <c r="AM59" s="52">
        <f>AH59-AG59</f>
        <v>28.04</v>
      </c>
    </row>
    <row r="60" spans="1:39" ht="33" hidden="1" customHeight="1" outlineLevel="3">
      <c r="A60" s="139" t="s">
        <v>411</v>
      </c>
      <c r="B60" s="406" t="s">
        <v>416</v>
      </c>
      <c r="C60" s="198" t="s">
        <v>413</v>
      </c>
      <c r="D60" s="956" t="s">
        <v>397</v>
      </c>
      <c r="E60" s="148" t="s">
        <v>414</v>
      </c>
      <c r="F60" s="405" t="s">
        <v>414</v>
      </c>
      <c r="G60" s="1327"/>
      <c r="H60" s="406">
        <v>3981.7019427164541</v>
      </c>
      <c r="I60" s="406">
        <v>2652.4466600000001</v>
      </c>
      <c r="J60" s="406">
        <v>2652.45</v>
      </c>
      <c r="K60" s="406">
        <v>4151.01</v>
      </c>
      <c r="L60" s="406">
        <v>0</v>
      </c>
      <c r="M60" s="406">
        <v>0</v>
      </c>
      <c r="N60" s="406">
        <v>4383.07</v>
      </c>
      <c r="O60" s="406">
        <v>3553.7575400000001</v>
      </c>
      <c r="P60" s="406">
        <v>3229.8822099999998</v>
      </c>
      <c r="Q60" s="150">
        <v>3229.8822099999998</v>
      </c>
      <c r="R60" s="406">
        <v>3229.8822099999998</v>
      </c>
      <c r="S60" s="406">
        <v>3229.8822099999998</v>
      </c>
      <c r="T60" s="406">
        <f t="shared" si="3"/>
        <v>-1153.1877899999999</v>
      </c>
      <c r="U60" s="406">
        <f t="shared" si="4"/>
        <v>0</v>
      </c>
      <c r="V60" s="406">
        <v>0</v>
      </c>
      <c r="W60" s="167">
        <v>2002871.97</v>
      </c>
      <c r="X60" s="167">
        <v>2002.8719699999999</v>
      </c>
      <c r="Y60" s="406">
        <v>2002.8719699999999</v>
      </c>
      <c r="Z60" s="406">
        <v>1841.8642299999999</v>
      </c>
      <c r="AA60" s="406">
        <v>138.51054000000002</v>
      </c>
      <c r="AB60" s="406">
        <v>22.497199999999999</v>
      </c>
      <c r="AC60" s="406">
        <v>0</v>
      </c>
      <c r="AD60" s="167">
        <f>'[71]2. подк.неподк.'!X48</f>
        <v>3923.2491927474757</v>
      </c>
      <c r="AE60" s="406">
        <f>V60*$AD$11</f>
        <v>0</v>
      </c>
      <c r="AF60" s="402">
        <f t="shared" si="8"/>
        <v>0</v>
      </c>
      <c r="AG60" s="167">
        <v>0</v>
      </c>
      <c r="AH60" s="406">
        <v>2211.17</v>
      </c>
      <c r="AI60" s="957">
        <f t="shared" si="6"/>
        <v>1.1039996730295247</v>
      </c>
      <c r="AJ60" s="957">
        <f t="shared" si="9"/>
        <v>2211.17</v>
      </c>
      <c r="AK60" s="958">
        <f t="shared" si="30"/>
        <v>2211.17</v>
      </c>
      <c r="AL60" s="74"/>
      <c r="AM60" s="52">
        <f>AH60-AG60</f>
        <v>2211.17</v>
      </c>
    </row>
    <row r="61" spans="1:39" s="161" customFormat="1" ht="33" hidden="1" customHeight="1" outlineLevel="2">
      <c r="A61" s="153"/>
      <c r="B61" s="154"/>
      <c r="C61" s="155"/>
      <c r="D61" s="966"/>
      <c r="E61" s="156" t="s">
        <v>415</v>
      </c>
      <c r="F61" s="157"/>
      <c r="G61" s="158"/>
      <c r="H61" s="154">
        <f t="shared" ref="H61:J61" si="31">H57+H58+H59+H60</f>
        <v>180023.08399913774</v>
      </c>
      <c r="I61" s="154">
        <f t="shared" si="31"/>
        <v>90362.516469999988</v>
      </c>
      <c r="J61" s="154">
        <f t="shared" si="31"/>
        <v>90362.52</v>
      </c>
      <c r="K61" s="154">
        <f>K57+K58+K59+K60</f>
        <v>197534.53384773163</v>
      </c>
      <c r="L61" s="154">
        <f t="shared" ref="L61:AK61" si="32">L57+L58+L59+L60</f>
        <v>113073.19399</v>
      </c>
      <c r="M61" s="154">
        <f t="shared" si="32"/>
        <v>113073.19</v>
      </c>
      <c r="N61" s="154">
        <f t="shared" si="32"/>
        <v>169971.53035955655</v>
      </c>
      <c r="O61" s="154">
        <f t="shared" si="32"/>
        <v>147839.07355999996</v>
      </c>
      <c r="P61" s="154">
        <f t="shared" si="32"/>
        <v>147497.85425</v>
      </c>
      <c r="Q61" s="159">
        <f t="shared" si="32"/>
        <v>147497.85425</v>
      </c>
      <c r="R61" s="154">
        <f t="shared" si="32"/>
        <v>147497.85425</v>
      </c>
      <c r="S61" s="154">
        <f t="shared" si="32"/>
        <v>147497.85425</v>
      </c>
      <c r="T61" s="402">
        <f t="shared" si="3"/>
        <v>-22473.676109556545</v>
      </c>
      <c r="U61" s="402">
        <f t="shared" si="4"/>
        <v>0</v>
      </c>
      <c r="V61" s="154">
        <f t="shared" si="32"/>
        <v>127879.69944124999</v>
      </c>
      <c r="W61" s="154">
        <f t="shared" si="32"/>
        <v>130199076.44999999</v>
      </c>
      <c r="X61" s="154">
        <f t="shared" si="32"/>
        <v>130199.07644999998</v>
      </c>
      <c r="Y61" s="154">
        <f t="shared" si="32"/>
        <v>130199.07644999998</v>
      </c>
      <c r="Z61" s="154">
        <f t="shared" si="32"/>
        <v>130006.33523</v>
      </c>
      <c r="AA61" s="154">
        <f t="shared" si="32"/>
        <v>150.50039000000001</v>
      </c>
      <c r="AB61" s="154">
        <f t="shared" si="32"/>
        <v>42.240830000000003</v>
      </c>
      <c r="AC61" s="154">
        <f t="shared" si="32"/>
        <v>133634.28591610625</v>
      </c>
      <c r="AD61" s="154">
        <f t="shared" si="32"/>
        <v>168176.34015754124</v>
      </c>
      <c r="AE61" s="154">
        <f t="shared" si="32"/>
        <v>132592.29134661099</v>
      </c>
      <c r="AF61" s="154">
        <f t="shared" si="32"/>
        <v>132592.29134661099</v>
      </c>
      <c r="AG61" s="961">
        <f t="shared" si="32"/>
        <v>138979.65735275048</v>
      </c>
      <c r="AH61" s="154">
        <f t="shared" si="32"/>
        <v>143739.78000000003</v>
      </c>
      <c r="AI61" s="962">
        <f t="shared" si="6"/>
        <v>1.1039999969216376</v>
      </c>
      <c r="AJ61" s="963">
        <f t="shared" si="32"/>
        <v>4760.1226472495046</v>
      </c>
      <c r="AK61" s="963">
        <f t="shared" si="32"/>
        <v>96323.969999999987</v>
      </c>
      <c r="AL61" s="964"/>
      <c r="AM61" s="52"/>
    </row>
    <row r="62" spans="1:39" ht="33" hidden="1" customHeight="1" outlineLevel="3">
      <c r="A62" s="407" t="s">
        <v>397</v>
      </c>
      <c r="B62" s="406" t="s">
        <v>398</v>
      </c>
      <c r="C62" s="198" t="s">
        <v>417</v>
      </c>
      <c r="D62" s="956" t="s">
        <v>2138</v>
      </c>
      <c r="E62" s="164" t="s">
        <v>418</v>
      </c>
      <c r="F62" s="149" t="s">
        <v>419</v>
      </c>
      <c r="G62" s="406" t="s">
        <v>121</v>
      </c>
      <c r="H62" s="406">
        <v>3185.9754341797488</v>
      </c>
      <c r="I62" s="406">
        <v>2472.1181499999998</v>
      </c>
      <c r="J62" s="406">
        <v>1805.58</v>
      </c>
      <c r="K62" s="406">
        <v>3495.8858801298129</v>
      </c>
      <c r="L62" s="406">
        <v>5059.33</v>
      </c>
      <c r="M62" s="406">
        <v>5059.33</v>
      </c>
      <c r="N62" s="406">
        <v>2261.6327195872987</v>
      </c>
      <c r="O62" s="406">
        <v>4878.2737500000003</v>
      </c>
      <c r="P62" s="406">
        <v>4878.2987400000002</v>
      </c>
      <c r="Q62" s="150">
        <v>4878.2987400000002</v>
      </c>
      <c r="R62" s="406">
        <v>4878.2987400000002</v>
      </c>
      <c r="S62" s="406">
        <v>4878.2987400000002</v>
      </c>
      <c r="T62" s="406">
        <f t="shared" si="3"/>
        <v>2616.6660204127015</v>
      </c>
      <c r="U62" s="406">
        <f t="shared" si="4"/>
        <v>0</v>
      </c>
      <c r="V62" s="406">
        <v>3488.2100781781592</v>
      </c>
      <c r="W62" s="167">
        <v>3810538.02</v>
      </c>
      <c r="X62" s="167">
        <v>3810.53802</v>
      </c>
      <c r="Y62" s="406">
        <v>3810.53802</v>
      </c>
      <c r="Z62" s="406">
        <v>3810.53802</v>
      </c>
      <c r="AA62" s="406">
        <v>0</v>
      </c>
      <c r="AB62" s="406">
        <v>0</v>
      </c>
      <c r="AC62" s="406">
        <v>3645.1795316961761</v>
      </c>
      <c r="AD62" s="167">
        <f>'[71]2. подк.неподк.'!X50</f>
        <v>5604.3094556515098</v>
      </c>
      <c r="AE62" s="406">
        <f>V62*$AD$11</f>
        <v>3616.7567564269075</v>
      </c>
      <c r="AF62" s="402">
        <f t="shared" si="8"/>
        <v>3616.7567564269075</v>
      </c>
      <c r="AG62" s="167">
        <v>3790.9867129640234</v>
      </c>
      <c r="AH62" s="967">
        <v>4206.84</v>
      </c>
      <c r="AI62" s="968">
        <f t="shared" si="6"/>
        <v>1.104001581382988</v>
      </c>
      <c r="AJ62" s="968">
        <f t="shared" si="9"/>
        <v>415.85328703597679</v>
      </c>
      <c r="AK62" s="958">
        <f t="shared" si="30"/>
        <v>4206.84</v>
      </c>
      <c r="AL62" s="74"/>
      <c r="AM62" s="52">
        <f>AH62-AG62</f>
        <v>415.85328703597679</v>
      </c>
    </row>
    <row r="63" spans="1:39" ht="33" hidden="1" customHeight="1" outlineLevel="3">
      <c r="A63" s="139" t="s">
        <v>420</v>
      </c>
      <c r="B63" s="406" t="s">
        <v>403</v>
      </c>
      <c r="C63" s="198" t="s">
        <v>422</v>
      </c>
      <c r="D63" s="956" t="s">
        <v>402</v>
      </c>
      <c r="E63" s="148" t="s">
        <v>423</v>
      </c>
      <c r="F63" s="149" t="s">
        <v>424</v>
      </c>
      <c r="G63" s="406" t="s">
        <v>121</v>
      </c>
      <c r="H63" s="406">
        <v>10645.2444463888</v>
      </c>
      <c r="I63" s="406">
        <v>50529.511449999998</v>
      </c>
      <c r="J63" s="406">
        <v>50150</v>
      </c>
      <c r="K63" s="406">
        <v>11680.742842966101</v>
      </c>
      <c r="L63" s="406">
        <v>300.25</v>
      </c>
      <c r="M63" s="406">
        <v>300.25</v>
      </c>
      <c r="N63" s="406">
        <v>12333.7483841666</v>
      </c>
      <c r="O63" s="406">
        <v>394.71163000000001</v>
      </c>
      <c r="P63" s="406">
        <v>394.71163000000001</v>
      </c>
      <c r="Q63" s="150">
        <v>394.71163000000001</v>
      </c>
      <c r="R63" s="406">
        <v>394.71163000000001</v>
      </c>
      <c r="S63" s="406">
        <v>394.71163000000001</v>
      </c>
      <c r="T63" s="406">
        <f t="shared" si="3"/>
        <v>-11939.0367541666</v>
      </c>
      <c r="U63" s="406">
        <f t="shared" si="4"/>
        <v>0</v>
      </c>
      <c r="V63" s="406">
        <v>334.28</v>
      </c>
      <c r="W63" s="167">
        <v>11700155.110000001</v>
      </c>
      <c r="X63" s="167">
        <v>11700.155110000002</v>
      </c>
      <c r="Y63" s="406">
        <v>11700.15511</v>
      </c>
      <c r="Z63" s="406">
        <v>11698.99317</v>
      </c>
      <c r="AA63" s="406">
        <v>0.72726999999999997</v>
      </c>
      <c r="AB63" s="406">
        <v>0.43467</v>
      </c>
      <c r="AC63" s="406">
        <v>349.32259999999997</v>
      </c>
      <c r="AD63" s="167">
        <f>'[71]2. подк.неподк.'!X51</f>
        <v>435.48975999999999</v>
      </c>
      <c r="AE63" s="406">
        <f>V63*$AD$11</f>
        <v>346.59880610454354</v>
      </c>
      <c r="AF63" s="402">
        <f t="shared" si="8"/>
        <v>346.59880610454354</v>
      </c>
      <c r="AG63" s="167">
        <v>363.29550399999999</v>
      </c>
      <c r="AH63" s="406">
        <v>0</v>
      </c>
      <c r="AI63" s="957">
        <f t="shared" si="6"/>
        <v>0</v>
      </c>
      <c r="AJ63" s="957">
        <f t="shared" si="9"/>
        <v>-363.29550399999999</v>
      </c>
      <c r="AK63" s="965"/>
      <c r="AL63" s="74"/>
      <c r="AM63" s="52">
        <f>AH63-AG63</f>
        <v>-363.29550399999999</v>
      </c>
    </row>
    <row r="64" spans="1:39" ht="33" hidden="1" customHeight="1" outlineLevel="3">
      <c r="A64" s="139" t="s">
        <v>425</v>
      </c>
      <c r="B64" s="406" t="s">
        <v>408</v>
      </c>
      <c r="C64" s="198" t="s">
        <v>427</v>
      </c>
      <c r="D64" s="969" t="s">
        <v>407</v>
      </c>
      <c r="E64" s="148" t="s">
        <v>428</v>
      </c>
      <c r="F64" s="149" t="s">
        <v>429</v>
      </c>
      <c r="G64" s="406" t="s">
        <v>121</v>
      </c>
      <c r="H64" s="406">
        <v>612.33500656924616</v>
      </c>
      <c r="I64" s="406">
        <v>728.63499999999999</v>
      </c>
      <c r="J64" s="406">
        <v>728.64</v>
      </c>
      <c r="K64" s="406">
        <v>671.89887291951129</v>
      </c>
      <c r="L64" s="406">
        <v>715.44</v>
      </c>
      <c r="M64" s="406">
        <v>715.44</v>
      </c>
      <c r="N64" s="406">
        <v>709.46475791660816</v>
      </c>
      <c r="O64" s="406">
        <v>1521.69469</v>
      </c>
      <c r="P64" s="406">
        <v>1496.8344099999999</v>
      </c>
      <c r="Q64" s="150">
        <v>1496.8344099999999</v>
      </c>
      <c r="R64" s="406">
        <v>1496.8344099999999</v>
      </c>
      <c r="S64" s="406">
        <v>1496.8344099999999</v>
      </c>
      <c r="T64" s="406">
        <f t="shared" si="3"/>
        <v>787.36965208339177</v>
      </c>
      <c r="U64" s="406">
        <f t="shared" si="4"/>
        <v>0</v>
      </c>
      <c r="V64" s="406">
        <v>748.4853196020216</v>
      </c>
      <c r="W64" s="167">
        <v>1465756.6700000002</v>
      </c>
      <c r="X64" s="167">
        <v>1465.7566700000002</v>
      </c>
      <c r="Y64" s="406">
        <v>1465.7566700000002</v>
      </c>
      <c r="Z64" s="406">
        <v>1449.15832</v>
      </c>
      <c r="AA64" s="406">
        <v>15.026260000000001</v>
      </c>
      <c r="AB64" s="406">
        <v>1.57209</v>
      </c>
      <c r="AC64" s="406">
        <v>782.16715898411258</v>
      </c>
      <c r="AD64" s="167">
        <f>'[71]2. подк.неподк.'!X52</f>
        <v>1987.3</v>
      </c>
      <c r="AE64" s="406">
        <f>V64*$AD$11</f>
        <v>776.06832045243038</v>
      </c>
      <c r="AF64" s="402">
        <f t="shared" si="8"/>
        <v>776.06832045243038</v>
      </c>
      <c r="AG64" s="167">
        <v>813.45384534347716</v>
      </c>
      <c r="AH64" s="406">
        <v>2011.7</v>
      </c>
      <c r="AI64" s="957">
        <f t="shared" si="6"/>
        <v>1.3724651855072232</v>
      </c>
      <c r="AJ64" s="957">
        <f t="shared" si="9"/>
        <v>1198.2461546565228</v>
      </c>
      <c r="AK64" s="958">
        <f t="shared" si="30"/>
        <v>2011.7</v>
      </c>
      <c r="AL64" s="74"/>
      <c r="AM64" s="52">
        <f>AH64-AG64</f>
        <v>1198.2461546565228</v>
      </c>
    </row>
    <row r="65" spans="1:39" s="161" customFormat="1" ht="33" hidden="1" customHeight="1" outlineLevel="2">
      <c r="A65" s="153"/>
      <c r="B65" s="154"/>
      <c r="C65" s="155"/>
      <c r="D65" s="966"/>
      <c r="E65" s="156" t="s">
        <v>430</v>
      </c>
      <c r="F65" s="157"/>
      <c r="G65" s="158"/>
      <c r="H65" s="154">
        <f t="shared" ref="H65:J65" si="33">H62+H63+H64</f>
        <v>14443.554887137796</v>
      </c>
      <c r="I65" s="154">
        <f t="shared" si="33"/>
        <v>53730.264600000002</v>
      </c>
      <c r="J65" s="154">
        <f t="shared" si="33"/>
        <v>52684.22</v>
      </c>
      <c r="K65" s="154">
        <f>K62+K63+K64</f>
        <v>15848.527596015425</v>
      </c>
      <c r="L65" s="154">
        <f t="shared" ref="L65:AK65" si="34">L62+L63+L64</f>
        <v>6075.02</v>
      </c>
      <c r="M65" s="154">
        <f t="shared" si="34"/>
        <v>6075.02</v>
      </c>
      <c r="N65" s="154">
        <f t="shared" si="34"/>
        <v>15304.845861670507</v>
      </c>
      <c r="O65" s="154">
        <f t="shared" si="34"/>
        <v>6794.6800700000003</v>
      </c>
      <c r="P65" s="154">
        <f t="shared" si="34"/>
        <v>6769.8447799999994</v>
      </c>
      <c r="Q65" s="159">
        <f t="shared" si="34"/>
        <v>6769.8447799999994</v>
      </c>
      <c r="R65" s="154">
        <f t="shared" si="34"/>
        <v>6769.8447799999994</v>
      </c>
      <c r="S65" s="154">
        <f t="shared" si="34"/>
        <v>6769.8447799999994</v>
      </c>
      <c r="T65" s="402">
        <f t="shared" si="3"/>
        <v>-8535.0010816705071</v>
      </c>
      <c r="U65" s="402">
        <f t="shared" si="4"/>
        <v>0</v>
      </c>
      <c r="V65" s="154">
        <f t="shared" si="34"/>
        <v>4570.9753977801802</v>
      </c>
      <c r="W65" s="154">
        <f t="shared" si="34"/>
        <v>16976449.800000001</v>
      </c>
      <c r="X65" s="154">
        <f t="shared" si="34"/>
        <v>16976.449800000002</v>
      </c>
      <c r="Y65" s="154">
        <f t="shared" si="34"/>
        <v>16976.449799999999</v>
      </c>
      <c r="Z65" s="154">
        <f t="shared" si="34"/>
        <v>16958.68951</v>
      </c>
      <c r="AA65" s="154">
        <f t="shared" si="34"/>
        <v>15.753530000000001</v>
      </c>
      <c r="AB65" s="154">
        <f t="shared" si="34"/>
        <v>2.0067599999999999</v>
      </c>
      <c r="AC65" s="154">
        <f t="shared" si="34"/>
        <v>4776.6692906802891</v>
      </c>
      <c r="AD65" s="154">
        <f t="shared" si="34"/>
        <v>8027.0992156515103</v>
      </c>
      <c r="AE65" s="154">
        <f t="shared" si="34"/>
        <v>4739.4238829838814</v>
      </c>
      <c r="AF65" s="154">
        <f t="shared" si="34"/>
        <v>4739.4238829838814</v>
      </c>
      <c r="AG65" s="961">
        <f t="shared" si="34"/>
        <v>4967.7360623075001</v>
      </c>
      <c r="AH65" s="154">
        <f t="shared" si="34"/>
        <v>6218.54</v>
      </c>
      <c r="AI65" s="962">
        <f t="shared" si="6"/>
        <v>0.36630391355441105</v>
      </c>
      <c r="AJ65" s="963">
        <f t="shared" si="34"/>
        <v>1250.8039376924996</v>
      </c>
      <c r="AK65" s="963">
        <f t="shared" si="34"/>
        <v>6218.54</v>
      </c>
      <c r="AL65" s="964"/>
      <c r="AM65" s="52"/>
    </row>
    <row r="66" spans="1:39" ht="49.95" hidden="1" customHeight="1" outlineLevel="3">
      <c r="A66" s="139" t="s">
        <v>431</v>
      </c>
      <c r="B66" s="406" t="s">
        <v>432</v>
      </c>
      <c r="C66" s="198" t="s">
        <v>433</v>
      </c>
      <c r="D66" s="969" t="s">
        <v>411</v>
      </c>
      <c r="E66" s="148" t="s">
        <v>434</v>
      </c>
      <c r="F66" s="149" t="s">
        <v>435</v>
      </c>
      <c r="G66" s="406" t="s">
        <v>121</v>
      </c>
      <c r="H66" s="406">
        <v>670.06650718860055</v>
      </c>
      <c r="I66" s="406">
        <v>545.61377000000005</v>
      </c>
      <c r="J66" s="406">
        <v>545.61</v>
      </c>
      <c r="K66" s="406">
        <v>735.24610896179649</v>
      </c>
      <c r="L66" s="406">
        <v>842.7</v>
      </c>
      <c r="M66" s="406">
        <v>842.7</v>
      </c>
      <c r="N66" s="406">
        <v>776.34788549480345</v>
      </c>
      <c r="O66" s="406">
        <v>1399.41193</v>
      </c>
      <c r="P66" s="406">
        <v>1377.5456799999999</v>
      </c>
      <c r="Q66" s="150">
        <v>1377.5456799999999</v>
      </c>
      <c r="R66" s="406">
        <v>1377.5456799999999</v>
      </c>
      <c r="S66" s="166">
        <v>1377.5456799999999</v>
      </c>
      <c r="T66" s="406">
        <f t="shared" si="3"/>
        <v>601.1977945051965</v>
      </c>
      <c r="U66" s="406">
        <f t="shared" si="4"/>
        <v>0</v>
      </c>
      <c r="V66" s="406">
        <v>819.04701919701756</v>
      </c>
      <c r="W66" s="167">
        <v>1250866.08</v>
      </c>
      <c r="X66" s="167">
        <v>1250.86608</v>
      </c>
      <c r="Y66" s="406">
        <v>1250.86608</v>
      </c>
      <c r="Z66" s="406">
        <v>1244.2238200000002</v>
      </c>
      <c r="AA66" s="406">
        <v>0</v>
      </c>
      <c r="AB66" s="406">
        <v>6.6422600000000003</v>
      </c>
      <c r="AC66" s="406">
        <v>855.90413506088328</v>
      </c>
      <c r="AD66" s="167">
        <f>'[71]2. подк.неподк.'!X54</f>
        <v>1620.9</v>
      </c>
      <c r="AE66" s="406">
        <f>V66*$AD$11</f>
        <v>849.23034281791161</v>
      </c>
      <c r="AF66" s="402">
        <f t="shared" si="8"/>
        <v>849.23034281791161</v>
      </c>
      <c r="AG66" s="167">
        <v>890.14030046331868</v>
      </c>
      <c r="AH66" s="406">
        <v>1655.6</v>
      </c>
      <c r="AI66" s="957">
        <f t="shared" si="6"/>
        <v>1.3235629508796016</v>
      </c>
      <c r="AJ66" s="957">
        <f t="shared" si="9"/>
        <v>765.45969953668123</v>
      </c>
      <c r="AK66" s="958">
        <f>AH66</f>
        <v>1655.6</v>
      </c>
      <c r="AL66" s="74"/>
      <c r="AM66" s="52">
        <f>AH66-AG66</f>
        <v>765.45969953668123</v>
      </c>
    </row>
    <row r="67" spans="1:39" ht="35.4" hidden="1" customHeight="1" outlineLevel="3">
      <c r="A67" s="139" t="s">
        <v>436</v>
      </c>
      <c r="B67" s="406" t="s">
        <v>437</v>
      </c>
      <c r="C67" s="198" t="s">
        <v>438</v>
      </c>
      <c r="D67" s="969" t="s">
        <v>420</v>
      </c>
      <c r="E67" s="148" t="s">
        <v>439</v>
      </c>
      <c r="F67" s="149" t="s">
        <v>440</v>
      </c>
      <c r="G67" s="406" t="s">
        <v>121</v>
      </c>
      <c r="H67" s="406">
        <v>0</v>
      </c>
      <c r="I67" s="406">
        <v>9046.3977099999993</v>
      </c>
      <c r="J67" s="406">
        <v>0</v>
      </c>
      <c r="K67" s="406">
        <v>0</v>
      </c>
      <c r="L67" s="406">
        <v>9989.85</v>
      </c>
      <c r="M67" s="406">
        <v>0</v>
      </c>
      <c r="N67" s="406">
        <v>0</v>
      </c>
      <c r="O67" s="406">
        <v>16119.477570000001</v>
      </c>
      <c r="P67" s="406">
        <v>16025.3755</v>
      </c>
      <c r="Q67" s="150">
        <v>16119.477570000001</v>
      </c>
      <c r="R67" s="167">
        <v>16119.477570000001</v>
      </c>
      <c r="S67" s="167">
        <v>0</v>
      </c>
      <c r="T67" s="406">
        <f t="shared" si="3"/>
        <v>0</v>
      </c>
      <c r="U67" s="406">
        <f t="shared" si="4"/>
        <v>-16025.3755</v>
      </c>
      <c r="V67" s="406">
        <v>0</v>
      </c>
      <c r="W67" s="167">
        <v>11902544.73</v>
      </c>
      <c r="X67" s="167">
        <v>11902.54473</v>
      </c>
      <c r="Y67" s="406">
        <v>11902.54473</v>
      </c>
      <c r="Z67" s="406">
        <v>11896.866769999999</v>
      </c>
      <c r="AA67" s="406">
        <v>0</v>
      </c>
      <c r="AB67" s="406">
        <v>5.6779599999999997</v>
      </c>
      <c r="AC67" s="406">
        <v>0</v>
      </c>
      <c r="AD67" s="167">
        <f>'[71]2. подк.неподк.'!X55</f>
        <v>27574</v>
      </c>
      <c r="AE67" s="406">
        <f>V67*$AD$11</f>
        <v>0</v>
      </c>
      <c r="AF67" s="402">
        <f t="shared" si="8"/>
        <v>0</v>
      </c>
      <c r="AG67" s="167">
        <v>0</v>
      </c>
      <c r="AH67" s="406">
        <v>27360</v>
      </c>
      <c r="AI67" s="957">
        <f t="shared" si="6"/>
        <v>2.2986681101092574</v>
      </c>
      <c r="AJ67" s="957">
        <f t="shared" si="9"/>
        <v>27360</v>
      </c>
      <c r="AK67" s="958">
        <f>AH67</f>
        <v>27360</v>
      </c>
      <c r="AL67" s="970" t="s">
        <v>2139</v>
      </c>
      <c r="AM67" s="52">
        <f>AH67-AG67</f>
        <v>27360</v>
      </c>
    </row>
    <row r="68" spans="1:39" ht="61.95" hidden="1" customHeight="1" outlineLevel="3">
      <c r="A68" s="139" t="s">
        <v>441</v>
      </c>
      <c r="B68" s="406" t="s">
        <v>442</v>
      </c>
      <c r="C68" s="198" t="s">
        <v>443</v>
      </c>
      <c r="D68" s="969" t="s">
        <v>425</v>
      </c>
      <c r="E68" s="148" t="s">
        <v>444</v>
      </c>
      <c r="F68" s="149" t="s">
        <v>445</v>
      </c>
      <c r="G68" s="406" t="s">
        <v>121</v>
      </c>
      <c r="H68" s="406">
        <v>3131.4884335952024</v>
      </c>
      <c r="I68" s="406">
        <v>1246.28593</v>
      </c>
      <c r="J68" s="406">
        <v>1246.29</v>
      </c>
      <c r="K68" s="406">
        <v>3436.0987474511894</v>
      </c>
      <c r="L68" s="406">
        <v>1363.22</v>
      </c>
      <c r="M68" s="406">
        <v>1363.22</v>
      </c>
      <c r="N68" s="406">
        <v>1236.6572868874159</v>
      </c>
      <c r="O68" s="406">
        <v>3145.5927600000005</v>
      </c>
      <c r="P68" s="406">
        <v>3089.74424</v>
      </c>
      <c r="Q68" s="150">
        <v>3089.74424</v>
      </c>
      <c r="R68" s="406">
        <v>3089.74424</v>
      </c>
      <c r="S68" s="166">
        <v>3089.74424</v>
      </c>
      <c r="T68" s="406">
        <f t="shared" si="3"/>
        <v>1853.0869531125841</v>
      </c>
      <c r="U68" s="406">
        <f t="shared" si="4"/>
        <v>0</v>
      </c>
      <c r="V68" s="406">
        <v>1546.0618824999997</v>
      </c>
      <c r="W68" s="167">
        <v>3046460.49</v>
      </c>
      <c r="X68" s="167">
        <v>3046.4604900000004</v>
      </c>
      <c r="Y68" s="406">
        <v>3046.4604899999999</v>
      </c>
      <c r="Z68" s="406">
        <v>3006.0060099999996</v>
      </c>
      <c r="AA68" s="406">
        <v>6.1777499999999996</v>
      </c>
      <c r="AB68" s="406">
        <v>34.276730000000001</v>
      </c>
      <c r="AC68" s="406">
        <v>1615.6346672124996</v>
      </c>
      <c r="AD68" s="167">
        <f>'[71]2. подк.неподк.'!X56</f>
        <v>5028.3</v>
      </c>
      <c r="AE68" s="406">
        <f>V68*$AD$11</f>
        <v>1603.0369828833404</v>
      </c>
      <c r="AF68" s="402">
        <f t="shared" si="8"/>
        <v>1603.0369828833404</v>
      </c>
      <c r="AG68" s="167">
        <v>1680.2600539009995</v>
      </c>
      <c r="AH68" s="406">
        <v>5318.3</v>
      </c>
      <c r="AI68" s="957">
        <f t="shared" si="6"/>
        <v>1.7457308300755279</v>
      </c>
      <c r="AJ68" s="957">
        <f t="shared" si="9"/>
        <v>3638.0399460990006</v>
      </c>
      <c r="AK68" s="958">
        <f t="shared" ref="AK68:AK89" si="35">AH68</f>
        <v>5318.3</v>
      </c>
      <c r="AL68" s="74"/>
      <c r="AM68" s="52">
        <f>AH68-AG68</f>
        <v>3638.0399460990006</v>
      </c>
    </row>
    <row r="69" spans="1:39" ht="62.4" hidden="1" customHeight="1" outlineLevel="3">
      <c r="A69" s="139" t="s">
        <v>446</v>
      </c>
      <c r="B69" s="406" t="s">
        <v>447</v>
      </c>
      <c r="C69" s="198" t="s">
        <v>448</v>
      </c>
      <c r="D69" s="969" t="s">
        <v>431</v>
      </c>
      <c r="E69" s="148" t="s">
        <v>449</v>
      </c>
      <c r="F69" s="149" t="s">
        <v>450</v>
      </c>
      <c r="G69" s="406" t="s">
        <v>121</v>
      </c>
      <c r="H69" s="406">
        <v>3167.404533980517</v>
      </c>
      <c r="I69" s="406">
        <v>2873.0864000000001</v>
      </c>
      <c r="J69" s="406">
        <v>2873.09</v>
      </c>
      <c r="K69" s="406">
        <v>3475.5085265911443</v>
      </c>
      <c r="L69" s="406">
        <v>6002.97</v>
      </c>
      <c r="M69" s="406">
        <v>6002.97</v>
      </c>
      <c r="N69" s="406">
        <v>3669.8070547562265</v>
      </c>
      <c r="O69" s="406">
        <v>7848.81988</v>
      </c>
      <c r="P69" s="406">
        <v>7737.6023299999997</v>
      </c>
      <c r="Q69" s="150">
        <v>7737.6023299999997</v>
      </c>
      <c r="R69" s="406">
        <v>7737.6023299999997</v>
      </c>
      <c r="S69" s="166">
        <v>7737.6023299999997</v>
      </c>
      <c r="T69" s="406">
        <f t="shared" si="3"/>
        <v>4067.7952752437732</v>
      </c>
      <c r="U69" s="406">
        <f t="shared" si="4"/>
        <v>0</v>
      </c>
      <c r="V69" s="406">
        <v>3871.6464427678188</v>
      </c>
      <c r="W69" s="167">
        <v>9150545.2799999993</v>
      </c>
      <c r="X69" s="167">
        <v>9150.5452799999985</v>
      </c>
      <c r="Y69" s="406">
        <v>9150.5452800000021</v>
      </c>
      <c r="Z69" s="406">
        <v>9073.1215499999998</v>
      </c>
      <c r="AA69" s="406">
        <v>0</v>
      </c>
      <c r="AB69" s="406">
        <v>77.423729999999992</v>
      </c>
      <c r="AC69" s="406">
        <v>4045.8705326923705</v>
      </c>
      <c r="AD69" s="167">
        <f>'[71]2. подк.неподк.'!X57</f>
        <v>21477.1</v>
      </c>
      <c r="AE69" s="406">
        <f>V69*$AD$11</f>
        <v>4014.323425637876</v>
      </c>
      <c r="AF69" s="402">
        <f t="shared" si="8"/>
        <v>4014.323425637876</v>
      </c>
      <c r="AG69" s="167">
        <v>4207.7053540000652</v>
      </c>
      <c r="AH69" s="406">
        <v>21580</v>
      </c>
      <c r="AI69" s="957">
        <f t="shared" si="6"/>
        <v>2.3583294043871454</v>
      </c>
      <c r="AJ69" s="957">
        <f t="shared" si="9"/>
        <v>17372.294645999937</v>
      </c>
      <c r="AK69" s="958">
        <f t="shared" si="35"/>
        <v>21580</v>
      </c>
      <c r="AL69" s="971" t="s">
        <v>2140</v>
      </c>
      <c r="AM69" s="52">
        <f>AH69-AG69</f>
        <v>17372.294645999937</v>
      </c>
    </row>
    <row r="70" spans="1:39" s="161" customFormat="1" ht="33" hidden="1" customHeight="1" outlineLevel="2">
      <c r="A70" s="153"/>
      <c r="B70" s="154"/>
      <c r="C70" s="155"/>
      <c r="D70" s="966"/>
      <c r="E70" s="156" t="s">
        <v>451</v>
      </c>
      <c r="F70" s="157"/>
      <c r="G70" s="158"/>
      <c r="H70" s="154">
        <f t="shared" ref="H70:J70" si="36">H66+H67+H68+H69</f>
        <v>6968.9594747643205</v>
      </c>
      <c r="I70" s="154">
        <f t="shared" si="36"/>
        <v>13711.383809999999</v>
      </c>
      <c r="J70" s="154">
        <f t="shared" si="36"/>
        <v>4664.99</v>
      </c>
      <c r="K70" s="154">
        <f>K66+K67+K68+K69</f>
        <v>7646.8533830041306</v>
      </c>
      <c r="L70" s="154">
        <f t="shared" ref="L70:S70" si="37">L66+L67+L68+L69</f>
        <v>18198.740000000002</v>
      </c>
      <c r="M70" s="154">
        <f t="shared" si="37"/>
        <v>8208.89</v>
      </c>
      <c r="N70" s="154">
        <f t="shared" si="37"/>
        <v>5682.8122271384455</v>
      </c>
      <c r="O70" s="154">
        <f t="shared" si="37"/>
        <v>28513.30214</v>
      </c>
      <c r="P70" s="154">
        <f t="shared" si="37"/>
        <v>28230.267749999999</v>
      </c>
      <c r="Q70" s="159">
        <f t="shared" si="37"/>
        <v>28324.36982</v>
      </c>
      <c r="R70" s="154">
        <f t="shared" si="37"/>
        <v>28324.36982</v>
      </c>
      <c r="S70" s="154">
        <f t="shared" si="37"/>
        <v>12204.892250000001</v>
      </c>
      <c r="T70" s="402">
        <f t="shared" si="3"/>
        <v>6522.0800228615553</v>
      </c>
      <c r="U70" s="402">
        <f t="shared" si="4"/>
        <v>-16025.375499999998</v>
      </c>
      <c r="V70" s="154">
        <f>V66+V67+V68+V69</f>
        <v>6236.7553444648365</v>
      </c>
      <c r="W70" s="154">
        <f>W66+W67+W68+W69</f>
        <v>25350416.579999998</v>
      </c>
      <c r="X70" s="154">
        <f>X66+X67+X68+X69</f>
        <v>25350.416579999997</v>
      </c>
      <c r="Y70" s="154">
        <f t="shared" ref="Y70:AB70" si="38">Y66+Y67+Y68+Y69</f>
        <v>25350.416580000001</v>
      </c>
      <c r="Z70" s="154">
        <f t="shared" si="38"/>
        <v>25220.218150000001</v>
      </c>
      <c r="AA70" s="154">
        <f t="shared" si="38"/>
        <v>6.1777499999999996</v>
      </c>
      <c r="AB70" s="154">
        <f t="shared" si="38"/>
        <v>124.02068</v>
      </c>
      <c r="AC70" s="154">
        <f>AC66+AC67+AC68+AC69</f>
        <v>6517.4093349657533</v>
      </c>
      <c r="AD70" s="154">
        <f t="shared" ref="AD70:AK70" si="39">AD66+AD67+AD68+AD69</f>
        <v>55700.3</v>
      </c>
      <c r="AE70" s="154">
        <f t="shared" si="39"/>
        <v>6466.5907513391285</v>
      </c>
      <c r="AF70" s="154">
        <f t="shared" si="39"/>
        <v>6466.5907513391285</v>
      </c>
      <c r="AG70" s="961">
        <f t="shared" si="39"/>
        <v>6778.1057083643836</v>
      </c>
      <c r="AH70" s="154">
        <f t="shared" si="39"/>
        <v>55913.9</v>
      </c>
      <c r="AI70" s="962">
        <f t="shared" si="6"/>
        <v>2.2056402830126594</v>
      </c>
      <c r="AJ70" s="963">
        <f t="shared" si="39"/>
        <v>49135.794291635619</v>
      </c>
      <c r="AK70" s="963">
        <f t="shared" si="39"/>
        <v>55913.9</v>
      </c>
      <c r="AL70" s="964"/>
      <c r="AM70" s="52"/>
    </row>
    <row r="71" spans="1:39" ht="33" hidden="1" customHeight="1" outlineLevel="3">
      <c r="A71" s="139" t="s">
        <v>452</v>
      </c>
      <c r="B71" s="406" t="s">
        <v>453</v>
      </c>
      <c r="C71" s="198" t="s">
        <v>454</v>
      </c>
      <c r="D71" s="956" t="s">
        <v>436</v>
      </c>
      <c r="E71" s="148" t="s">
        <v>455</v>
      </c>
      <c r="F71" s="149" t="s">
        <v>456</v>
      </c>
      <c r="G71" s="406" t="s">
        <v>121</v>
      </c>
      <c r="H71" s="406">
        <v>1601.062917176507</v>
      </c>
      <c r="I71" s="406">
        <v>5.8973100000000001</v>
      </c>
      <c r="J71" s="406">
        <v>5.9</v>
      </c>
      <c r="K71" s="406">
        <v>1756.8036417700187</v>
      </c>
      <c r="L71" s="406">
        <v>391.31400000000002</v>
      </c>
      <c r="M71" s="406">
        <v>391.31</v>
      </c>
      <c r="N71" s="406">
        <v>424.86400021061365</v>
      </c>
      <c r="O71" s="406">
        <v>449.61603000000002</v>
      </c>
      <c r="P71" s="406">
        <v>398.68016</v>
      </c>
      <c r="Q71" s="150">
        <v>398.68016</v>
      </c>
      <c r="R71" s="406">
        <v>398.68016</v>
      </c>
      <c r="S71" s="406">
        <v>398.68016</v>
      </c>
      <c r="T71" s="406">
        <f t="shared" si="3"/>
        <v>-26.183840210613653</v>
      </c>
      <c r="U71" s="406">
        <f t="shared" si="4"/>
        <v>0</v>
      </c>
      <c r="V71" s="406">
        <v>443.79445375</v>
      </c>
      <c r="W71" s="167">
        <v>546883.31999999995</v>
      </c>
      <c r="X71" s="167">
        <v>546.88331999999991</v>
      </c>
      <c r="Y71" s="406">
        <v>546.88332000000003</v>
      </c>
      <c r="Z71" s="406">
        <v>480.91689000000002</v>
      </c>
      <c r="AA71" s="406">
        <v>60.939620000000005</v>
      </c>
      <c r="AB71" s="406">
        <v>5.0268100000000002</v>
      </c>
      <c r="AC71" s="406">
        <v>463.76520416874996</v>
      </c>
      <c r="AD71" s="167">
        <f>'[71]2. подк.неподк.'!X59</f>
        <v>3443.1847370314235</v>
      </c>
      <c r="AE71" s="406">
        <f t="shared" ref="AE71:AE78" si="40">V71*$AD$11</f>
        <v>460.14906014588996</v>
      </c>
      <c r="AF71" s="402">
        <f t="shared" si="8"/>
        <v>460.14906014588996</v>
      </c>
      <c r="AG71" s="167">
        <v>482.31581233549997</v>
      </c>
      <c r="AH71" s="406">
        <v>2105.8530000000001</v>
      </c>
      <c r="AI71" s="957">
        <f t="shared" si="6"/>
        <v>3.8506440459730977</v>
      </c>
      <c r="AJ71" s="957">
        <f t="shared" si="9"/>
        <v>1623.5371876645002</v>
      </c>
      <c r="AK71" s="958">
        <f t="shared" si="35"/>
        <v>2105.8530000000001</v>
      </c>
      <c r="AL71" s="74"/>
      <c r="AM71" s="52">
        <f t="shared" ref="AM71:AM78" si="41">AH71-AG71</f>
        <v>1623.5371876645002</v>
      </c>
    </row>
    <row r="72" spans="1:39" ht="33" hidden="1" customHeight="1" outlineLevel="3">
      <c r="A72" s="139" t="s">
        <v>457</v>
      </c>
      <c r="B72" s="406" t="s">
        <v>458</v>
      </c>
      <c r="C72" s="198" t="s">
        <v>459</v>
      </c>
      <c r="D72" s="956" t="s">
        <v>441</v>
      </c>
      <c r="E72" s="148" t="s">
        <v>460</v>
      </c>
      <c r="F72" s="149" t="s">
        <v>461</v>
      </c>
      <c r="G72" s="406" t="s">
        <v>121</v>
      </c>
      <c r="H72" s="406">
        <v>166.70550178844826</v>
      </c>
      <c r="I72" s="406">
        <v>374.87126000000001</v>
      </c>
      <c r="J72" s="406">
        <v>374.87</v>
      </c>
      <c r="K72" s="406">
        <v>182.92150139953389</v>
      </c>
      <c r="L72" s="406">
        <v>783.02</v>
      </c>
      <c r="M72" s="406">
        <v>783.02</v>
      </c>
      <c r="N72" s="406">
        <v>618.83819145849088</v>
      </c>
      <c r="O72" s="406">
        <v>491.43229000000002</v>
      </c>
      <c r="P72" s="406">
        <v>459.30734000000001</v>
      </c>
      <c r="Q72" s="150">
        <v>459.30734000000001</v>
      </c>
      <c r="R72" s="406">
        <v>459.30734000000001</v>
      </c>
      <c r="S72" s="406">
        <v>459.30734000000001</v>
      </c>
      <c r="T72" s="406">
        <f t="shared" si="3"/>
        <v>-159.53085145849087</v>
      </c>
      <c r="U72" s="406">
        <f t="shared" si="4"/>
        <v>0</v>
      </c>
      <c r="V72" s="406">
        <v>652.8742919887078</v>
      </c>
      <c r="W72" s="167">
        <v>720521.56</v>
      </c>
      <c r="X72" s="167">
        <v>720.52156000000002</v>
      </c>
      <c r="Y72" s="406">
        <v>720.52155999999991</v>
      </c>
      <c r="Z72" s="406">
        <v>654.70582999999999</v>
      </c>
      <c r="AA72" s="406">
        <v>58.595210000000002</v>
      </c>
      <c r="AB72" s="406">
        <v>7.2205200000000005</v>
      </c>
      <c r="AC72" s="406">
        <v>682.25363512819956</v>
      </c>
      <c r="AD72" s="167">
        <f>'[71]2. подк.неподк.'!X60</f>
        <v>682.25363512819956</v>
      </c>
      <c r="AE72" s="406">
        <f t="shared" si="40"/>
        <v>676.93385826144345</v>
      </c>
      <c r="AF72" s="402">
        <f t="shared" si="8"/>
        <v>676.93385826144345</v>
      </c>
      <c r="AG72" s="167">
        <v>709.54378053332755</v>
      </c>
      <c r="AH72" s="406">
        <v>1436.64</v>
      </c>
      <c r="AI72" s="957">
        <f t="shared" si="6"/>
        <v>1.9938889823088708</v>
      </c>
      <c r="AJ72" s="957">
        <f t="shared" si="9"/>
        <v>727.09621946667255</v>
      </c>
      <c r="AK72" s="958">
        <f t="shared" si="35"/>
        <v>1436.64</v>
      </c>
      <c r="AL72" s="74"/>
      <c r="AM72" s="52">
        <f t="shared" si="41"/>
        <v>727.09621946667255</v>
      </c>
    </row>
    <row r="73" spans="1:39" ht="33" hidden="1" customHeight="1" outlineLevel="3">
      <c r="A73" s="139" t="s">
        <v>462</v>
      </c>
      <c r="B73" s="406" t="s">
        <v>463</v>
      </c>
      <c r="C73" s="198" t="s">
        <v>464</v>
      </c>
      <c r="D73" s="956" t="s">
        <v>446</v>
      </c>
      <c r="E73" s="148" t="s">
        <v>465</v>
      </c>
      <c r="F73" s="149" t="s">
        <v>466</v>
      </c>
      <c r="G73" s="406" t="s">
        <v>121</v>
      </c>
      <c r="H73" s="406">
        <v>346.39930371623745</v>
      </c>
      <c r="I73" s="406">
        <v>133.18384</v>
      </c>
      <c r="J73" s="406">
        <v>133.18</v>
      </c>
      <c r="K73" s="406">
        <v>380.09471816915197</v>
      </c>
      <c r="L73" s="406">
        <v>502.16780999999997</v>
      </c>
      <c r="M73" s="406">
        <v>502.17</v>
      </c>
      <c r="N73" s="406">
        <v>314.96235797288369</v>
      </c>
      <c r="O73" s="406">
        <v>723.36785999999995</v>
      </c>
      <c r="P73" s="406">
        <v>651.99960999999996</v>
      </c>
      <c r="Q73" s="150">
        <v>651.99960999999996</v>
      </c>
      <c r="R73" s="406">
        <v>651.99960999999996</v>
      </c>
      <c r="S73" s="406">
        <v>651.99960999999996</v>
      </c>
      <c r="T73" s="406">
        <f t="shared" si="3"/>
        <v>337.03725202711627</v>
      </c>
      <c r="U73" s="406">
        <f t="shared" si="4"/>
        <v>0</v>
      </c>
      <c r="V73" s="406">
        <v>332.28528766139226</v>
      </c>
      <c r="W73" s="167">
        <v>641733.46</v>
      </c>
      <c r="X73" s="167">
        <v>641.73345999999992</v>
      </c>
      <c r="Y73" s="406">
        <v>641.73345999999992</v>
      </c>
      <c r="Z73" s="406">
        <v>585.56912999999997</v>
      </c>
      <c r="AA73" s="406">
        <v>48.662970000000001</v>
      </c>
      <c r="AB73" s="406">
        <v>7.50136</v>
      </c>
      <c r="AC73" s="406">
        <v>347.23812560615488</v>
      </c>
      <c r="AD73" s="167">
        <f>'[71]2. подк.неподк.'!X61</f>
        <v>1158.55</v>
      </c>
      <c r="AE73" s="406">
        <f t="shared" si="40"/>
        <v>344.53058510692648</v>
      </c>
      <c r="AF73" s="402">
        <f t="shared" si="8"/>
        <v>344.53058510692648</v>
      </c>
      <c r="AG73" s="167">
        <v>361.12765063040109</v>
      </c>
      <c r="AH73" s="406">
        <v>1042.24</v>
      </c>
      <c r="AI73" s="957">
        <f t="shared" si="6"/>
        <v>1.6241010714946984</v>
      </c>
      <c r="AJ73" s="957">
        <f t="shared" si="9"/>
        <v>681.11234936959886</v>
      </c>
      <c r="AK73" s="958">
        <f t="shared" si="35"/>
        <v>1042.24</v>
      </c>
      <c r="AL73" s="74"/>
      <c r="AM73" s="52">
        <f t="shared" si="41"/>
        <v>681.11234936959886</v>
      </c>
    </row>
    <row r="74" spans="1:39" ht="33" hidden="1" customHeight="1" outlineLevel="3">
      <c r="A74" s="139" t="s">
        <v>467</v>
      </c>
      <c r="B74" s="406" t="s">
        <v>468</v>
      </c>
      <c r="C74" s="198" t="s">
        <v>469</v>
      </c>
      <c r="D74" s="956" t="s">
        <v>508</v>
      </c>
      <c r="E74" s="148" t="s">
        <v>470</v>
      </c>
      <c r="F74" s="149" t="s">
        <v>471</v>
      </c>
      <c r="G74" s="406" t="s">
        <v>121</v>
      </c>
      <c r="H74" s="406">
        <v>3844.5368412449207</v>
      </c>
      <c r="I74" s="406">
        <v>3450.0393399999998</v>
      </c>
      <c r="J74" s="406">
        <v>3450.04</v>
      </c>
      <c r="K74" s="406">
        <v>4218.5077495449132</v>
      </c>
      <c r="L74" s="406">
        <v>4554.4943500000008</v>
      </c>
      <c r="M74" s="406">
        <v>4554.49</v>
      </c>
      <c r="N74" s="406">
        <v>3682.5754984586474</v>
      </c>
      <c r="O74" s="406">
        <v>4226.3413700000001</v>
      </c>
      <c r="P74" s="406">
        <v>4003.7498000000005</v>
      </c>
      <c r="Q74" s="150">
        <v>4003.7498000000005</v>
      </c>
      <c r="R74" s="406">
        <v>4003.7498000000005</v>
      </c>
      <c r="S74" s="406">
        <v>4003.7498000000005</v>
      </c>
      <c r="T74" s="406">
        <f t="shared" si="3"/>
        <v>321.17430154135309</v>
      </c>
      <c r="U74" s="406">
        <f t="shared" si="4"/>
        <v>0</v>
      </c>
      <c r="V74" s="406">
        <v>3885.117150873873</v>
      </c>
      <c r="W74" s="167">
        <v>4708827.79</v>
      </c>
      <c r="X74" s="167">
        <v>4708.8277900000003</v>
      </c>
      <c r="Y74" s="406">
        <v>4708.8277900000003</v>
      </c>
      <c r="Z74" s="406">
        <v>4358.6329999999998</v>
      </c>
      <c r="AA74" s="406">
        <v>301.23725000000002</v>
      </c>
      <c r="AB74" s="406">
        <v>48.957540000000002</v>
      </c>
      <c r="AC74" s="406">
        <v>4059.9474226631969</v>
      </c>
      <c r="AD74" s="167">
        <f>'[71]2. подк.неподк.'!X62</f>
        <v>5042.1680000000006</v>
      </c>
      <c r="AE74" s="406">
        <f t="shared" si="40"/>
        <v>4028.2905530368862</v>
      </c>
      <c r="AF74" s="402">
        <f t="shared" si="8"/>
        <v>4028.2905530368862</v>
      </c>
      <c r="AG74" s="167">
        <v>4222.3453195697248</v>
      </c>
      <c r="AH74" s="406">
        <v>6448.4543252384019</v>
      </c>
      <c r="AI74" s="957">
        <f t="shared" si="6"/>
        <v>1.3694394046290661</v>
      </c>
      <c r="AJ74" s="957">
        <f t="shared" si="9"/>
        <v>2226.1090056686771</v>
      </c>
      <c r="AK74" s="958">
        <f t="shared" si="35"/>
        <v>6448.4543252384019</v>
      </c>
      <c r="AL74" s="74"/>
      <c r="AM74" s="52">
        <f t="shared" si="41"/>
        <v>2226.1090056686771</v>
      </c>
    </row>
    <row r="75" spans="1:39" ht="33" hidden="1" customHeight="1" outlineLevel="3">
      <c r="A75" s="139" t="s">
        <v>472</v>
      </c>
      <c r="B75" s="406" t="s">
        <v>473</v>
      </c>
      <c r="C75" s="198" t="s">
        <v>474</v>
      </c>
      <c r="D75" s="956" t="s">
        <v>452</v>
      </c>
      <c r="E75" s="148" t="s">
        <v>475</v>
      </c>
      <c r="F75" s="149" t="s">
        <v>476</v>
      </c>
      <c r="G75" s="406" t="s">
        <v>121</v>
      </c>
      <c r="H75" s="406">
        <v>2088.7164224081462</v>
      </c>
      <c r="I75" s="406">
        <v>3753.8494900000001</v>
      </c>
      <c r="J75" s="406">
        <v>3753.85</v>
      </c>
      <c r="K75" s="406">
        <v>2291.8928282859861</v>
      </c>
      <c r="L75" s="406">
        <v>5219.4122700000007</v>
      </c>
      <c r="M75" s="406">
        <v>5219.41</v>
      </c>
      <c r="N75" s="406">
        <v>4218.9866027946018</v>
      </c>
      <c r="O75" s="406">
        <v>4148.9754400000002</v>
      </c>
      <c r="P75" s="406">
        <v>3880.2299600000001</v>
      </c>
      <c r="Q75" s="150">
        <v>3880.2299600000001</v>
      </c>
      <c r="R75" s="406">
        <v>3880.2299600000001</v>
      </c>
      <c r="S75" s="406">
        <v>3880.2299600000001</v>
      </c>
      <c r="T75" s="406">
        <f t="shared" si="3"/>
        <v>-338.7566427946017</v>
      </c>
      <c r="U75" s="406">
        <f t="shared" si="4"/>
        <v>0</v>
      </c>
      <c r="V75" s="406">
        <v>4451.0308659483044</v>
      </c>
      <c r="W75" s="167">
        <v>4087203.8299999996</v>
      </c>
      <c r="X75" s="167">
        <v>4087.2038299999995</v>
      </c>
      <c r="Y75" s="406">
        <v>4087.2038299999995</v>
      </c>
      <c r="Z75" s="406">
        <v>3808.8894599999999</v>
      </c>
      <c r="AA75" s="406">
        <v>235.27377999999999</v>
      </c>
      <c r="AB75" s="406">
        <v>43.040590000000002</v>
      </c>
      <c r="AC75" s="406">
        <v>4651.3272549159774</v>
      </c>
      <c r="AD75" s="167">
        <f>'[71]2. подк.неподк.'!X63</f>
        <v>5439.2998439999992</v>
      </c>
      <c r="AE75" s="406">
        <f t="shared" si="40"/>
        <v>4615.0591841335263</v>
      </c>
      <c r="AF75" s="402">
        <f t="shared" si="8"/>
        <v>4615.0591841335263</v>
      </c>
      <c r="AG75" s="167">
        <v>4837.3803451126169</v>
      </c>
      <c r="AH75" s="406">
        <v>6304.8357999999998</v>
      </c>
      <c r="AI75" s="957">
        <f t="shared" si="6"/>
        <v>1.5425792454299987</v>
      </c>
      <c r="AJ75" s="957">
        <f t="shared" si="9"/>
        <v>1467.455454887383</v>
      </c>
      <c r="AK75" s="958">
        <f t="shared" si="35"/>
        <v>6304.8357999999998</v>
      </c>
      <c r="AL75" s="74"/>
      <c r="AM75" s="52">
        <f t="shared" si="41"/>
        <v>1467.455454887383</v>
      </c>
    </row>
    <row r="76" spans="1:39" ht="33" hidden="1" customHeight="1" outlineLevel="3">
      <c r="A76" s="139" t="s">
        <v>477</v>
      </c>
      <c r="B76" s="406" t="s">
        <v>478</v>
      </c>
      <c r="C76" s="198" t="s">
        <v>479</v>
      </c>
      <c r="D76" s="956" t="s">
        <v>457</v>
      </c>
      <c r="E76" s="148" t="s">
        <v>480</v>
      </c>
      <c r="F76" s="149" t="s">
        <v>481</v>
      </c>
      <c r="G76" s="406" t="s">
        <v>121</v>
      </c>
      <c r="H76" s="406">
        <v>120.14950128898666</v>
      </c>
      <c r="I76" s="406">
        <v>301.75083999999998</v>
      </c>
      <c r="J76" s="406">
        <v>301.75</v>
      </c>
      <c r="K76" s="406">
        <v>131.8368436098587</v>
      </c>
      <c r="L76" s="406">
        <v>396.08582000000001</v>
      </c>
      <c r="M76" s="406">
        <v>131.84</v>
      </c>
      <c r="N76" s="406">
        <v>429.89</v>
      </c>
      <c r="O76" s="406">
        <v>94.819499999999991</v>
      </c>
      <c r="P76" s="406">
        <v>88.546869999999998</v>
      </c>
      <c r="Q76" s="150">
        <v>88.546869999999998</v>
      </c>
      <c r="R76" s="406">
        <v>88.546869999999998</v>
      </c>
      <c r="S76" s="406">
        <v>88.546869999999998</v>
      </c>
      <c r="T76" s="406">
        <f t="shared" si="3"/>
        <v>-341.34312999999997</v>
      </c>
      <c r="U76" s="406">
        <f t="shared" si="4"/>
        <v>0</v>
      </c>
      <c r="V76" s="406">
        <v>62.34</v>
      </c>
      <c r="W76" s="167">
        <v>106626.89</v>
      </c>
      <c r="X76" s="167">
        <v>106.62689</v>
      </c>
      <c r="Y76" s="406">
        <v>106.62689000000002</v>
      </c>
      <c r="Z76" s="406">
        <v>99.438800000000001</v>
      </c>
      <c r="AA76" s="406">
        <v>6.0347100000000005</v>
      </c>
      <c r="AB76" s="406">
        <v>1.1533800000000001</v>
      </c>
      <c r="AC76" s="406">
        <v>65.145300000000006</v>
      </c>
      <c r="AD76" s="167">
        <f>'[71]2. подк.неподк.'!X64</f>
        <v>101.803</v>
      </c>
      <c r="AE76" s="406">
        <f t="shared" si="40"/>
        <v>64.637338675832382</v>
      </c>
      <c r="AF76" s="402">
        <f t="shared" si="8"/>
        <v>64.637338675832382</v>
      </c>
      <c r="AG76" s="167">
        <v>67.751112000000006</v>
      </c>
      <c r="AH76" s="406">
        <v>117.78</v>
      </c>
      <c r="AI76" s="957">
        <f t="shared" si="6"/>
        <v>1.1045994120244902</v>
      </c>
      <c r="AJ76" s="957">
        <f t="shared" si="9"/>
        <v>50.028887999999995</v>
      </c>
      <c r="AK76" s="958">
        <f t="shared" si="35"/>
        <v>117.78</v>
      </c>
      <c r="AL76" s="74"/>
      <c r="AM76" s="52">
        <f t="shared" si="41"/>
        <v>50.028887999999995</v>
      </c>
    </row>
    <row r="77" spans="1:39" ht="55.5" hidden="1" customHeight="1" outlineLevel="3">
      <c r="A77" s="139" t="s">
        <v>482</v>
      </c>
      <c r="B77" s="406" t="s">
        <v>483</v>
      </c>
      <c r="C77" s="198" t="s">
        <v>484</v>
      </c>
      <c r="D77" s="956" t="s">
        <v>462</v>
      </c>
      <c r="E77" s="164" t="s">
        <v>485</v>
      </c>
      <c r="F77" s="149" t="s">
        <v>486</v>
      </c>
      <c r="G77" s="406" t="s">
        <v>121</v>
      </c>
      <c r="H77" s="406">
        <v>6777.5957727113328</v>
      </c>
      <c r="I77" s="406">
        <v>2118.4034299999998</v>
      </c>
      <c r="J77" s="406">
        <v>2118.4</v>
      </c>
      <c r="K77" s="406">
        <v>7436.8750960407715</v>
      </c>
      <c r="L77" s="406">
        <v>1960.84422</v>
      </c>
      <c r="M77" s="406">
        <v>1960.84</v>
      </c>
      <c r="N77" s="406">
        <v>1778.6748491212984</v>
      </c>
      <c r="O77" s="406">
        <v>4979.6228500000007</v>
      </c>
      <c r="P77" s="406">
        <v>4979.6229499999999</v>
      </c>
      <c r="Q77" s="150">
        <v>4979.6229499999999</v>
      </c>
      <c r="R77" s="406">
        <v>4979.6229499999999</v>
      </c>
      <c r="S77" s="406">
        <v>4979.6229499999999</v>
      </c>
      <c r="T77" s="406">
        <f t="shared" si="3"/>
        <v>3200.9481008787016</v>
      </c>
      <c r="U77" s="406">
        <f t="shared" si="4"/>
        <v>0</v>
      </c>
      <c r="V77" s="406">
        <v>2223.8376649999996</v>
      </c>
      <c r="W77" s="167">
        <v>6487305.54</v>
      </c>
      <c r="X77" s="167">
        <v>6487.3055400000003</v>
      </c>
      <c r="Y77" s="406">
        <v>6487.3055400000003</v>
      </c>
      <c r="Z77" s="406">
        <v>6487.3055400000003</v>
      </c>
      <c r="AA77" s="406">
        <v>0</v>
      </c>
      <c r="AB77" s="406">
        <v>0</v>
      </c>
      <c r="AC77" s="406">
        <v>2323.9103599249993</v>
      </c>
      <c r="AD77" s="167">
        <f>'[71]2. подк.неподк.'!X65</f>
        <v>10791.408170000001</v>
      </c>
      <c r="AE77" s="406">
        <f t="shared" si="40"/>
        <v>2305.7899953910369</v>
      </c>
      <c r="AF77" s="402">
        <f t="shared" si="8"/>
        <v>2305.7899953910369</v>
      </c>
      <c r="AG77" s="167">
        <v>2416.8667743219994</v>
      </c>
      <c r="AH77" s="406">
        <v>12282.006420000002</v>
      </c>
      <c r="AI77" s="957">
        <f t="shared" si="6"/>
        <v>1.8932369293030094</v>
      </c>
      <c r="AJ77" s="957">
        <f t="shared" si="9"/>
        <v>9865.1396456780021</v>
      </c>
      <c r="AK77" s="958">
        <f t="shared" si="35"/>
        <v>12282.006420000002</v>
      </c>
      <c r="AL77" s="74"/>
      <c r="AM77" s="52">
        <f t="shared" si="41"/>
        <v>9865.1396456780021</v>
      </c>
    </row>
    <row r="78" spans="1:39" ht="33" hidden="1" customHeight="1" outlineLevel="3">
      <c r="A78" s="139" t="s">
        <v>487</v>
      </c>
      <c r="B78" s="406" t="s">
        <v>488</v>
      </c>
      <c r="C78" s="198" t="s">
        <v>489</v>
      </c>
      <c r="D78" s="956" t="s">
        <v>467</v>
      </c>
      <c r="E78" s="148" t="s">
        <v>490</v>
      </c>
      <c r="F78" s="149" t="s">
        <v>491</v>
      </c>
      <c r="G78" s="406" t="s">
        <v>121</v>
      </c>
      <c r="H78" s="406">
        <v>19.477300208956173</v>
      </c>
      <c r="I78" s="406">
        <v>99.324190000000002</v>
      </c>
      <c r="J78" s="406">
        <v>99.32</v>
      </c>
      <c r="K78" s="406">
        <v>21.371922097406156</v>
      </c>
      <c r="L78" s="406">
        <v>116.21565</v>
      </c>
      <c r="M78" s="406">
        <v>116.22</v>
      </c>
      <c r="N78" s="406">
        <v>105.69677572446184</v>
      </c>
      <c r="O78" s="406">
        <v>226.14131000000003</v>
      </c>
      <c r="P78" s="406">
        <v>212.09079</v>
      </c>
      <c r="Q78" s="150">
        <v>212.09079</v>
      </c>
      <c r="R78" s="406">
        <v>212.09079</v>
      </c>
      <c r="S78" s="406">
        <v>212.09079</v>
      </c>
      <c r="T78" s="406">
        <f t="shared" si="3"/>
        <v>106.39401427553815</v>
      </c>
      <c r="U78" s="406">
        <f t="shared" si="4"/>
        <v>0</v>
      </c>
      <c r="V78" s="406">
        <v>111.51009838930725</v>
      </c>
      <c r="W78" s="167">
        <v>135989.1</v>
      </c>
      <c r="X78" s="167">
        <v>135.98910000000001</v>
      </c>
      <c r="Y78" s="406">
        <v>135.98910000000001</v>
      </c>
      <c r="Z78" s="406">
        <v>122.40161999999999</v>
      </c>
      <c r="AA78" s="406">
        <v>12.12256</v>
      </c>
      <c r="AB78" s="406">
        <v>1.46492</v>
      </c>
      <c r="AC78" s="406">
        <v>116.52805281682606</v>
      </c>
      <c r="AD78" s="167">
        <f>'[71]2. подк.неподк.'!X66</f>
        <v>176.96</v>
      </c>
      <c r="AE78" s="406">
        <f t="shared" si="40"/>
        <v>115.61944169658395</v>
      </c>
      <c r="AF78" s="402">
        <f t="shared" si="8"/>
        <v>115.61944169658395</v>
      </c>
      <c r="AG78" s="167">
        <v>121.1891749294991</v>
      </c>
      <c r="AH78" s="406">
        <f>159.87</f>
        <v>159.87</v>
      </c>
      <c r="AI78" s="957">
        <f t="shared" si="6"/>
        <v>1.1756089274802171</v>
      </c>
      <c r="AJ78" s="957">
        <f t="shared" si="9"/>
        <v>38.680825070500902</v>
      </c>
      <c r="AK78" s="958">
        <f t="shared" si="35"/>
        <v>159.87</v>
      </c>
      <c r="AL78" s="74"/>
      <c r="AM78" s="52">
        <f t="shared" si="41"/>
        <v>38.680825070500902</v>
      </c>
    </row>
    <row r="79" spans="1:39" s="161" customFormat="1" ht="33" hidden="1" customHeight="1" outlineLevel="2">
      <c r="A79" s="153"/>
      <c r="B79" s="154"/>
      <c r="C79" s="155"/>
      <c r="D79" s="966"/>
      <c r="E79" s="156" t="s">
        <v>492</v>
      </c>
      <c r="F79" s="157"/>
      <c r="G79" s="158"/>
      <c r="H79" s="154">
        <f t="shared" ref="H79:J79" si="42">H71+H72+H73+H74+H78+H75+H76+H77</f>
        <v>14964.643560543534</v>
      </c>
      <c r="I79" s="154">
        <f t="shared" si="42"/>
        <v>10237.319699999998</v>
      </c>
      <c r="J79" s="154">
        <f t="shared" si="42"/>
        <v>10237.31</v>
      </c>
      <c r="K79" s="154">
        <f>K71+K72+K73+K74+K78+K75+K76+K77</f>
        <v>16420.30430091764</v>
      </c>
      <c r="L79" s="154">
        <f t="shared" ref="L79:AK79" si="43">L71+L72+L73+L74+L78+L75+L76+L77</f>
        <v>13923.554120000001</v>
      </c>
      <c r="M79" s="154">
        <f t="shared" si="43"/>
        <v>13659.3</v>
      </c>
      <c r="N79" s="154">
        <f t="shared" si="43"/>
        <v>11574.488275740996</v>
      </c>
      <c r="O79" s="154">
        <f t="shared" si="43"/>
        <v>15340.316650000001</v>
      </c>
      <c r="P79" s="154">
        <f t="shared" si="43"/>
        <v>14674.227480000001</v>
      </c>
      <c r="Q79" s="159">
        <f t="shared" si="43"/>
        <v>14674.227480000001</v>
      </c>
      <c r="R79" s="154">
        <f t="shared" si="43"/>
        <v>14674.227480000001</v>
      </c>
      <c r="S79" s="154">
        <f t="shared" si="43"/>
        <v>14674.227480000001</v>
      </c>
      <c r="T79" s="402">
        <f t="shared" si="3"/>
        <v>3099.7392042590054</v>
      </c>
      <c r="U79" s="402">
        <f t="shared" si="4"/>
        <v>0</v>
      </c>
      <c r="V79" s="154">
        <f t="shared" si="43"/>
        <v>12162.789813611584</v>
      </c>
      <c r="W79" s="154">
        <f t="shared" si="43"/>
        <v>17435091.489999998</v>
      </c>
      <c r="X79" s="154">
        <f t="shared" si="43"/>
        <v>17435.091489999999</v>
      </c>
      <c r="Y79" s="154">
        <f t="shared" si="43"/>
        <v>17435.091489999999</v>
      </c>
      <c r="Z79" s="154">
        <f t="shared" si="43"/>
        <v>16597.860270000001</v>
      </c>
      <c r="AA79" s="154">
        <f t="shared" si="43"/>
        <v>722.86610000000007</v>
      </c>
      <c r="AB79" s="154">
        <f t="shared" si="43"/>
        <v>114.36512000000002</v>
      </c>
      <c r="AC79" s="154">
        <f t="shared" si="43"/>
        <v>12710.115355224103</v>
      </c>
      <c r="AD79" s="154">
        <f t="shared" si="43"/>
        <v>26835.627386159624</v>
      </c>
      <c r="AE79" s="154">
        <f t="shared" si="43"/>
        <v>12611.010016448126</v>
      </c>
      <c r="AF79" s="154">
        <f t="shared" si="43"/>
        <v>12611.010016448126</v>
      </c>
      <c r="AG79" s="961">
        <f t="shared" si="43"/>
        <v>13218.519969433068</v>
      </c>
      <c r="AH79" s="154">
        <f t="shared" si="43"/>
        <v>29897.679545238403</v>
      </c>
      <c r="AI79" s="962">
        <f t="shared" si="6"/>
        <v>1.7147991200611936</v>
      </c>
      <c r="AJ79" s="963">
        <f t="shared" si="43"/>
        <v>16679.159575805334</v>
      </c>
      <c r="AK79" s="963">
        <f t="shared" si="43"/>
        <v>29897.679545238403</v>
      </c>
      <c r="AL79" s="964"/>
      <c r="AM79" s="52"/>
    </row>
    <row r="80" spans="1:39" ht="33" hidden="1" customHeight="1" outlineLevel="3">
      <c r="A80" s="407" t="s">
        <v>493</v>
      </c>
      <c r="B80" s="406" t="s">
        <v>494</v>
      </c>
      <c r="C80" s="198" t="s">
        <v>495</v>
      </c>
      <c r="D80" s="956" t="s">
        <v>472</v>
      </c>
      <c r="E80" s="164" t="s">
        <v>496</v>
      </c>
      <c r="F80" s="149" t="s">
        <v>497</v>
      </c>
      <c r="G80" s="406" t="s">
        <v>121</v>
      </c>
      <c r="H80" s="406">
        <v>334.99260033614212</v>
      </c>
      <c r="I80" s="406">
        <v>28481.502539999998</v>
      </c>
      <c r="J80" s="406">
        <v>27334</v>
      </c>
      <c r="K80" s="406">
        <v>367.58</v>
      </c>
      <c r="L80" s="406">
        <v>826.79</v>
      </c>
      <c r="M80" s="406">
        <v>367.58</v>
      </c>
      <c r="N80" s="406">
        <v>766.51482253211725</v>
      </c>
      <c r="O80" s="406">
        <v>965.08214999999996</v>
      </c>
      <c r="P80" s="406">
        <v>911.82749999999987</v>
      </c>
      <c r="Q80" s="150">
        <v>766.51482253211725</v>
      </c>
      <c r="R80" s="406">
        <v>766.51482253211725</v>
      </c>
      <c r="S80" s="406">
        <v>766.51482253211725</v>
      </c>
      <c r="T80" s="406">
        <f t="shared" si="3"/>
        <v>0</v>
      </c>
      <c r="U80" s="406">
        <f t="shared" si="4"/>
        <v>-145.31267746788262</v>
      </c>
      <c r="V80" s="406">
        <v>808.67313777138361</v>
      </c>
      <c r="W80" s="167">
        <v>1125635.95</v>
      </c>
      <c r="X80" s="167">
        <v>1125.6359499999999</v>
      </c>
      <c r="Y80" s="406">
        <v>1125.6359499999999</v>
      </c>
      <c r="Z80" s="406">
        <v>1040.54205</v>
      </c>
      <c r="AA80" s="406">
        <v>74.28922</v>
      </c>
      <c r="AB80" s="406">
        <v>10.804680000000001</v>
      </c>
      <c r="AC80" s="406">
        <v>845.06</v>
      </c>
      <c r="AD80" s="167">
        <f>'[71]2. подк.неподк.'!X68</f>
        <v>1127.56</v>
      </c>
      <c r="AE80" s="406">
        <f t="shared" ref="AE80:AE86" si="44">V80*$AD$11</f>
        <v>838.47416561079524</v>
      </c>
      <c r="AF80" s="402">
        <f t="shared" si="8"/>
        <v>838.47416561079524</v>
      </c>
      <c r="AG80" s="167">
        <v>878.86596612993969</v>
      </c>
      <c r="AH80" s="406">
        <v>1066.5618643455</v>
      </c>
      <c r="AI80" s="957">
        <f t="shared" si="6"/>
        <v>0.94751936835839345</v>
      </c>
      <c r="AJ80" s="957">
        <f t="shared" si="9"/>
        <v>187.69589821556031</v>
      </c>
      <c r="AK80" s="958">
        <f t="shared" si="35"/>
        <v>1066.5618643455</v>
      </c>
      <c r="AL80" s="74"/>
      <c r="AM80" s="52">
        <f t="shared" ref="AM80:AM86" si="45">AH80-AG80</f>
        <v>187.69589821556031</v>
      </c>
    </row>
    <row r="81" spans="1:40" ht="33" hidden="1" customHeight="1" outlineLevel="3">
      <c r="A81" s="139" t="s">
        <v>498</v>
      </c>
      <c r="B81" s="406" t="s">
        <v>499</v>
      </c>
      <c r="C81" s="198" t="s">
        <v>500</v>
      </c>
      <c r="D81" s="956" t="s">
        <v>477</v>
      </c>
      <c r="E81" s="148" t="s">
        <v>501</v>
      </c>
      <c r="F81" s="149" t="s">
        <v>502</v>
      </c>
      <c r="G81" s="406" t="s">
        <v>121</v>
      </c>
      <c r="H81" s="406">
        <v>0</v>
      </c>
      <c r="I81" s="406">
        <v>766.29128000000003</v>
      </c>
      <c r="J81" s="406">
        <v>0</v>
      </c>
      <c r="K81" s="406">
        <v>0</v>
      </c>
      <c r="L81" s="406">
        <v>949.31412999999998</v>
      </c>
      <c r="M81" s="406">
        <v>0</v>
      </c>
      <c r="N81" s="406">
        <v>0</v>
      </c>
      <c r="O81" s="406">
        <v>997.32306000000005</v>
      </c>
      <c r="P81" s="406">
        <v>949.78813000000002</v>
      </c>
      <c r="Q81" s="150">
        <v>0</v>
      </c>
      <c r="R81" s="406">
        <v>0</v>
      </c>
      <c r="S81" s="406">
        <v>0</v>
      </c>
      <c r="T81" s="406">
        <f t="shared" si="3"/>
        <v>0</v>
      </c>
      <c r="U81" s="406">
        <f t="shared" si="4"/>
        <v>-949.78813000000002</v>
      </c>
      <c r="V81" s="406">
        <v>0</v>
      </c>
      <c r="W81" s="167">
        <v>1027553.09</v>
      </c>
      <c r="X81" s="167">
        <v>1027.5530899999999</v>
      </c>
      <c r="Y81" s="406">
        <v>1027.5530900000001</v>
      </c>
      <c r="Z81" s="406">
        <v>971.92326000000003</v>
      </c>
      <c r="AA81" s="406">
        <v>47.15352</v>
      </c>
      <c r="AB81" s="406">
        <v>8.4763099999999998</v>
      </c>
      <c r="AC81" s="406">
        <v>0</v>
      </c>
      <c r="AD81" s="167">
        <f>'[71]2. подк.неподк.'!X69</f>
        <v>1129.92</v>
      </c>
      <c r="AE81" s="406">
        <f t="shared" si="44"/>
        <v>0</v>
      </c>
      <c r="AF81" s="402">
        <f t="shared" si="8"/>
        <v>0</v>
      </c>
      <c r="AG81" s="167">
        <v>0</v>
      </c>
      <c r="AH81" s="406">
        <v>1195.8515833190002</v>
      </c>
      <c r="AI81" s="957">
        <f t="shared" si="6"/>
        <v>1.1637856914225233</v>
      </c>
      <c r="AJ81" s="957">
        <f t="shared" si="9"/>
        <v>1195.8515833190002</v>
      </c>
      <c r="AK81" s="958">
        <f t="shared" si="35"/>
        <v>1195.8515833190002</v>
      </c>
      <c r="AL81" s="74"/>
      <c r="AM81" s="52">
        <f t="shared" si="45"/>
        <v>1195.8515833190002</v>
      </c>
    </row>
    <row r="82" spans="1:40" ht="33" hidden="1" customHeight="1" outlineLevel="3">
      <c r="A82" s="139" t="s">
        <v>503</v>
      </c>
      <c r="B82" s="406" t="s">
        <v>504</v>
      </c>
      <c r="C82" s="198" t="s">
        <v>505</v>
      </c>
      <c r="D82" s="956" t="s">
        <v>482</v>
      </c>
      <c r="E82" s="164" t="s">
        <v>506</v>
      </c>
      <c r="F82" s="149" t="s">
        <v>507</v>
      </c>
      <c r="G82" s="406" t="s">
        <v>121</v>
      </c>
      <c r="H82" s="406">
        <v>29.71</v>
      </c>
      <c r="I82" s="406">
        <v>0</v>
      </c>
      <c r="J82" s="406">
        <v>0</v>
      </c>
      <c r="K82" s="406">
        <v>32.594724129518433</v>
      </c>
      <c r="L82" s="406">
        <v>7.8636200000000001</v>
      </c>
      <c r="M82" s="406">
        <v>7.86</v>
      </c>
      <c r="N82" s="406">
        <v>0</v>
      </c>
      <c r="O82" s="406">
        <v>21.191680000000002</v>
      </c>
      <c r="P82" s="406">
        <v>1.51722</v>
      </c>
      <c r="Q82" s="150">
        <v>1.51722</v>
      </c>
      <c r="R82" s="406">
        <v>1.51722</v>
      </c>
      <c r="S82" s="406">
        <v>1.51722</v>
      </c>
      <c r="T82" s="406">
        <f t="shared" si="3"/>
        <v>1.51722</v>
      </c>
      <c r="U82" s="406">
        <f t="shared" si="4"/>
        <v>0</v>
      </c>
      <c r="V82" s="406">
        <v>8.9142224999999993</v>
      </c>
      <c r="W82" s="167">
        <v>12212.93</v>
      </c>
      <c r="X82" s="167">
        <v>12.21293</v>
      </c>
      <c r="Y82" s="406">
        <v>12.21293</v>
      </c>
      <c r="Z82" s="406">
        <v>9.9569999999999992E-2</v>
      </c>
      <c r="AA82" s="406">
        <v>3.3562099999999999</v>
      </c>
      <c r="AB82" s="406">
        <v>8.7571499999999993</v>
      </c>
      <c r="AC82" s="406">
        <v>9.3153625124999984</v>
      </c>
      <c r="AD82" s="167">
        <f>'[71]2. подк.неподк.'!X70</f>
        <v>23.656956319999999</v>
      </c>
      <c r="AE82" s="406">
        <f t="shared" si="44"/>
        <v>9.2427272820697013</v>
      </c>
      <c r="AF82" s="402">
        <f t="shared" si="8"/>
        <v>9.2427272820697013</v>
      </c>
      <c r="AG82" s="167">
        <v>9.6879770129999994</v>
      </c>
      <c r="AH82" s="406">
        <v>4.8519034784999997</v>
      </c>
      <c r="AI82" s="957">
        <f t="shared" si="6"/>
        <v>0.39727595904504487</v>
      </c>
      <c r="AJ82" s="957">
        <f t="shared" si="9"/>
        <v>-4.8360735344999997</v>
      </c>
      <c r="AK82" s="965"/>
      <c r="AL82" s="74"/>
      <c r="AM82" s="52">
        <f t="shared" si="45"/>
        <v>-4.8360735344999997</v>
      </c>
    </row>
    <row r="83" spans="1:40" ht="51" hidden="1" customHeight="1" outlineLevel="3">
      <c r="A83" s="139" t="s">
        <v>508</v>
      </c>
      <c r="B83" s="406" t="s">
        <v>509</v>
      </c>
      <c r="C83" s="198" t="s">
        <v>510</v>
      </c>
      <c r="D83" s="969" t="s">
        <v>487</v>
      </c>
      <c r="E83" s="148" t="s">
        <v>511</v>
      </c>
      <c r="F83" s="149" t="s">
        <v>512</v>
      </c>
      <c r="G83" s="406" t="s">
        <v>121</v>
      </c>
      <c r="H83" s="406">
        <v>0</v>
      </c>
      <c r="I83" s="406">
        <v>0</v>
      </c>
      <c r="J83" s="406">
        <v>0</v>
      </c>
      <c r="K83" s="406">
        <v>0</v>
      </c>
      <c r="L83" s="406">
        <v>0</v>
      </c>
      <c r="M83" s="406">
        <v>0</v>
      </c>
      <c r="N83" s="406">
        <v>0</v>
      </c>
      <c r="O83" s="406">
        <v>7.45831</v>
      </c>
      <c r="P83" s="406">
        <v>7.45831</v>
      </c>
      <c r="Q83" s="150">
        <v>7.45831</v>
      </c>
      <c r="R83" s="406">
        <v>7.45831</v>
      </c>
      <c r="S83" s="406">
        <v>7.45831</v>
      </c>
      <c r="T83" s="406">
        <f t="shared" si="3"/>
        <v>7.45831</v>
      </c>
      <c r="U83" s="406">
        <f t="shared" si="4"/>
        <v>0</v>
      </c>
      <c r="V83" s="406">
        <v>0</v>
      </c>
      <c r="W83" s="167">
        <v>4101233.23</v>
      </c>
      <c r="X83" s="167">
        <v>4101.2332299999998</v>
      </c>
      <c r="Y83" s="406">
        <v>4101.2332299999998</v>
      </c>
      <c r="Z83" s="406">
        <v>4101.2332299999998</v>
      </c>
      <c r="AA83" s="406">
        <v>0</v>
      </c>
      <c r="AB83" s="406">
        <v>0</v>
      </c>
      <c r="AC83" s="406">
        <v>0</v>
      </c>
      <c r="AD83" s="167">
        <f>'[71]2. подк.неподк.'!X71</f>
        <v>19407.099999999999</v>
      </c>
      <c r="AE83" s="406">
        <f t="shared" si="44"/>
        <v>0</v>
      </c>
      <c r="AF83" s="402">
        <f t="shared" si="8"/>
        <v>0</v>
      </c>
      <c r="AG83" s="167">
        <v>0</v>
      </c>
      <c r="AH83" s="406">
        <v>13552.5</v>
      </c>
      <c r="AI83" s="957">
        <f t="shared" si="6"/>
        <v>3.3044938534256438</v>
      </c>
      <c r="AJ83" s="957">
        <f t="shared" si="9"/>
        <v>13552.5</v>
      </c>
      <c r="AK83" s="958">
        <f t="shared" si="35"/>
        <v>13552.5</v>
      </c>
      <c r="AL83" s="357" t="s">
        <v>2141</v>
      </c>
      <c r="AM83" s="52">
        <f t="shared" si="45"/>
        <v>13552.5</v>
      </c>
    </row>
    <row r="84" spans="1:40" ht="33" hidden="1" customHeight="1" outlineLevel="3">
      <c r="A84" s="139"/>
      <c r="B84" s="406" t="s">
        <v>513</v>
      </c>
      <c r="C84" s="198" t="s">
        <v>1918</v>
      </c>
      <c r="D84" s="956" t="s">
        <v>2142</v>
      </c>
      <c r="E84" s="148" t="s">
        <v>514</v>
      </c>
      <c r="F84" s="149"/>
      <c r="G84" s="406" t="s">
        <v>121</v>
      </c>
      <c r="H84" s="406">
        <v>0</v>
      </c>
      <c r="I84" s="406">
        <v>0</v>
      </c>
      <c r="J84" s="406">
        <v>0</v>
      </c>
      <c r="K84" s="406"/>
      <c r="L84" s="406"/>
      <c r="M84" s="406"/>
      <c r="N84" s="406"/>
      <c r="O84" s="406">
        <v>501.14762000000002</v>
      </c>
      <c r="P84" s="406"/>
      <c r="Q84" s="150">
        <v>0</v>
      </c>
      <c r="R84" s="406"/>
      <c r="S84" s="406"/>
      <c r="T84" s="406">
        <f t="shared" si="3"/>
        <v>0</v>
      </c>
      <c r="U84" s="406">
        <f t="shared" si="4"/>
        <v>0</v>
      </c>
      <c r="V84" s="406">
        <v>0</v>
      </c>
      <c r="W84" s="167">
        <v>368850.59</v>
      </c>
      <c r="X84" s="167">
        <v>368.85059000000001</v>
      </c>
      <c r="Y84" s="406">
        <v>368.85058999999995</v>
      </c>
      <c r="Z84" s="406">
        <v>40.294539999999998</v>
      </c>
      <c r="AA84" s="406">
        <v>0</v>
      </c>
      <c r="AB84" s="406">
        <v>328.55604999999997</v>
      </c>
      <c r="AC84" s="406">
        <v>0</v>
      </c>
      <c r="AD84" s="167">
        <v>0</v>
      </c>
      <c r="AE84" s="406">
        <f t="shared" si="44"/>
        <v>0</v>
      </c>
      <c r="AF84" s="402">
        <f t="shared" si="8"/>
        <v>0</v>
      </c>
      <c r="AG84" s="167">
        <v>0</v>
      </c>
      <c r="AH84" s="406">
        <v>407.21</v>
      </c>
      <c r="AI84" s="957">
        <f t="shared" si="6"/>
        <v>1.1039971496317791</v>
      </c>
      <c r="AJ84" s="957">
        <f t="shared" si="9"/>
        <v>407.21</v>
      </c>
      <c r="AK84" s="958">
        <f t="shared" si="35"/>
        <v>407.21</v>
      </c>
      <c r="AL84" s="74"/>
      <c r="AM84" s="52">
        <f t="shared" si="45"/>
        <v>407.21</v>
      </c>
    </row>
    <row r="85" spans="1:40" ht="33" hidden="1" customHeight="1" outlineLevel="3">
      <c r="A85" s="139"/>
      <c r="B85" s="406" t="s">
        <v>515</v>
      </c>
      <c r="C85" s="198" t="s">
        <v>1919</v>
      </c>
      <c r="D85" s="956" t="s">
        <v>2143</v>
      </c>
      <c r="E85" s="148" t="s">
        <v>516</v>
      </c>
      <c r="F85" s="149"/>
      <c r="G85" s="406" t="s">
        <v>121</v>
      </c>
      <c r="H85" s="406">
        <v>0</v>
      </c>
      <c r="I85" s="406">
        <v>0</v>
      </c>
      <c r="J85" s="406">
        <v>0</v>
      </c>
      <c r="K85" s="406"/>
      <c r="L85" s="406"/>
      <c r="M85" s="406"/>
      <c r="N85" s="406"/>
      <c r="O85" s="406">
        <v>1015.4797900000001</v>
      </c>
      <c r="P85" s="406"/>
      <c r="Q85" s="150">
        <v>0</v>
      </c>
      <c r="R85" s="406"/>
      <c r="S85" s="406"/>
      <c r="T85" s="406">
        <f t="shared" si="3"/>
        <v>0</v>
      </c>
      <c r="U85" s="406">
        <f t="shared" si="4"/>
        <v>0</v>
      </c>
      <c r="V85" s="406">
        <v>0</v>
      </c>
      <c r="W85" s="167">
        <v>3109888.67</v>
      </c>
      <c r="X85" s="167">
        <v>3109.8886699999998</v>
      </c>
      <c r="Y85" s="406">
        <v>3109.8886699999998</v>
      </c>
      <c r="Z85" s="406">
        <v>0</v>
      </c>
      <c r="AA85" s="406">
        <v>0</v>
      </c>
      <c r="AB85" s="406">
        <v>3109.8886699999998</v>
      </c>
      <c r="AC85" s="406">
        <v>0</v>
      </c>
      <c r="AD85" s="167">
        <v>0</v>
      </c>
      <c r="AE85" s="406">
        <f t="shared" si="44"/>
        <v>0</v>
      </c>
      <c r="AF85" s="402">
        <f t="shared" si="8"/>
        <v>0</v>
      </c>
      <c r="AG85" s="167">
        <v>0</v>
      </c>
      <c r="AH85" s="406">
        <v>3320.1</v>
      </c>
      <c r="AI85" s="957">
        <f t="shared" si="6"/>
        <v>1.0675944872328822</v>
      </c>
      <c r="AJ85" s="957">
        <f t="shared" si="9"/>
        <v>3320.1</v>
      </c>
      <c r="AK85" s="958">
        <f t="shared" si="35"/>
        <v>3320.1</v>
      </c>
      <c r="AL85" s="74"/>
      <c r="AM85" s="52">
        <f t="shared" si="45"/>
        <v>3320.1</v>
      </c>
    </row>
    <row r="86" spans="1:40" ht="33" hidden="1" customHeight="1" outlineLevel="3">
      <c r="A86" s="139"/>
      <c r="B86" s="406" t="s">
        <v>517</v>
      </c>
      <c r="C86" s="198" t="s">
        <v>1920</v>
      </c>
      <c r="D86" s="151" t="s">
        <v>2144</v>
      </c>
      <c r="E86" s="148" t="s">
        <v>518</v>
      </c>
      <c r="F86" s="149"/>
      <c r="G86" s="406" t="s">
        <v>121</v>
      </c>
      <c r="H86" s="406">
        <v>0</v>
      </c>
      <c r="I86" s="406">
        <v>0</v>
      </c>
      <c r="J86" s="406">
        <v>0</v>
      </c>
      <c r="K86" s="406"/>
      <c r="L86" s="406"/>
      <c r="M86" s="406"/>
      <c r="N86" s="406"/>
      <c r="O86" s="406">
        <v>202.4358</v>
      </c>
      <c r="P86" s="406"/>
      <c r="Q86" s="150">
        <v>0</v>
      </c>
      <c r="R86" s="406"/>
      <c r="S86" s="406"/>
      <c r="T86" s="406">
        <f t="shared" si="3"/>
        <v>0</v>
      </c>
      <c r="U86" s="406">
        <f t="shared" si="4"/>
        <v>0</v>
      </c>
      <c r="V86" s="406">
        <v>0</v>
      </c>
      <c r="W86" s="167">
        <v>223701.56</v>
      </c>
      <c r="X86" s="167">
        <v>223.70156</v>
      </c>
      <c r="Y86" s="406">
        <v>223.70156</v>
      </c>
      <c r="Z86" s="406">
        <v>44.95805</v>
      </c>
      <c r="AA86" s="406">
        <v>178.74351000000001</v>
      </c>
      <c r="AB86" s="406">
        <v>0</v>
      </c>
      <c r="AC86" s="406">
        <v>0</v>
      </c>
      <c r="AD86" s="167">
        <v>0</v>
      </c>
      <c r="AE86" s="406">
        <f t="shared" si="44"/>
        <v>0</v>
      </c>
      <c r="AF86" s="402">
        <f t="shared" si="8"/>
        <v>0</v>
      </c>
      <c r="AG86" s="403">
        <v>0</v>
      </c>
      <c r="AH86" s="406">
        <v>0</v>
      </c>
      <c r="AI86" s="957">
        <f t="shared" si="6"/>
        <v>0</v>
      </c>
      <c r="AJ86" s="957">
        <f t="shared" si="9"/>
        <v>0</v>
      </c>
      <c r="AK86" s="958">
        <f t="shared" si="35"/>
        <v>0</v>
      </c>
      <c r="AL86" s="74"/>
      <c r="AM86" s="52">
        <f t="shared" si="45"/>
        <v>0</v>
      </c>
    </row>
    <row r="87" spans="1:40" s="161" customFormat="1" ht="33" hidden="1" customHeight="1" outlineLevel="2">
      <c r="A87" s="153"/>
      <c r="B87" s="154"/>
      <c r="C87" s="155"/>
      <c r="D87" s="966"/>
      <c r="E87" s="156" t="s">
        <v>519</v>
      </c>
      <c r="F87" s="157"/>
      <c r="G87" s="158"/>
      <c r="H87" s="154">
        <f t="shared" ref="H87:J87" si="46">H80+H81+H82+H83+H84+H85+H86</f>
        <v>364.7026003361421</v>
      </c>
      <c r="I87" s="154">
        <f t="shared" si="46"/>
        <v>29247.793819999999</v>
      </c>
      <c r="J87" s="154">
        <f t="shared" si="46"/>
        <v>27334</v>
      </c>
      <c r="K87" s="154">
        <f>K80+K81+K82+K83+K84+K85+K86</f>
        <v>400.17472412951844</v>
      </c>
      <c r="L87" s="154">
        <f t="shared" ref="L87:V87" si="47">L80+L81+L82+L83+L84+L85+L86</f>
        <v>1783.96775</v>
      </c>
      <c r="M87" s="154">
        <f t="shared" si="47"/>
        <v>375.44</v>
      </c>
      <c r="N87" s="154">
        <f t="shared" si="47"/>
        <v>766.51482253211725</v>
      </c>
      <c r="O87" s="154">
        <f t="shared" si="47"/>
        <v>3710.11841</v>
      </c>
      <c r="P87" s="154">
        <f t="shared" si="47"/>
        <v>1870.5911599999997</v>
      </c>
      <c r="Q87" s="159">
        <f t="shared" si="47"/>
        <v>775.49035253211719</v>
      </c>
      <c r="R87" s="154">
        <f t="shared" si="47"/>
        <v>775.49035253211719</v>
      </c>
      <c r="S87" s="154">
        <f t="shared" si="47"/>
        <v>775.49035253211719</v>
      </c>
      <c r="T87" s="402">
        <f t="shared" si="3"/>
        <v>8.9755299999999352</v>
      </c>
      <c r="U87" s="402">
        <f t="shared" si="4"/>
        <v>-1095.1008074678825</v>
      </c>
      <c r="V87" s="154">
        <f t="shared" si="47"/>
        <v>817.58736027138366</v>
      </c>
      <c r="W87" s="154">
        <f>W80+W81+W82+W83+W84+W85+W86</f>
        <v>9969076.0200000014</v>
      </c>
      <c r="X87" s="154">
        <f>X80+X81+X82+X83+X84+X85+X86</f>
        <v>9969.0760199999986</v>
      </c>
      <c r="Y87" s="154">
        <f t="shared" ref="Y87:AK87" si="48">Y80+Y81+Y82+Y83+Y84+Y85+Y86</f>
        <v>9969.0760200000004</v>
      </c>
      <c r="Z87" s="154">
        <f t="shared" si="48"/>
        <v>6199.0506999999998</v>
      </c>
      <c r="AA87" s="154">
        <f t="shared" si="48"/>
        <v>303.54246000000001</v>
      </c>
      <c r="AB87" s="154">
        <f t="shared" si="48"/>
        <v>3466.4828599999996</v>
      </c>
      <c r="AC87" s="154">
        <f t="shared" si="48"/>
        <v>854.37536251249992</v>
      </c>
      <c r="AD87" s="154">
        <f t="shared" si="48"/>
        <v>21688.236956319997</v>
      </c>
      <c r="AE87" s="154">
        <f t="shared" si="48"/>
        <v>847.71689289286496</v>
      </c>
      <c r="AF87" s="154">
        <f t="shared" si="48"/>
        <v>847.71689289286496</v>
      </c>
      <c r="AG87" s="961">
        <f>AG80+AG81+AG82+AG83+AG84+AG85+AG86</f>
        <v>888.55394314293972</v>
      </c>
      <c r="AH87" s="154">
        <f>AH80+AH81+AH82+AH83+AH84+AH85+AH86</f>
        <v>19547.075351142998</v>
      </c>
      <c r="AI87" s="962">
        <f t="shared" si="6"/>
        <v>1.9607710194934396</v>
      </c>
      <c r="AJ87" s="963">
        <f t="shared" si="48"/>
        <v>18658.521408000059</v>
      </c>
      <c r="AK87" s="963">
        <f t="shared" si="48"/>
        <v>19542.223447664499</v>
      </c>
      <c r="AL87" s="964"/>
      <c r="AM87" s="52"/>
    </row>
    <row r="88" spans="1:40" ht="54.6" hidden="1" customHeight="1" outlineLevel="3">
      <c r="A88" s="139"/>
      <c r="B88" s="406" t="s">
        <v>520</v>
      </c>
      <c r="C88" s="198" t="s">
        <v>521</v>
      </c>
      <c r="D88" s="956" t="s">
        <v>2145</v>
      </c>
      <c r="E88" s="148" t="s">
        <v>522</v>
      </c>
      <c r="F88" s="149" t="s">
        <v>522</v>
      </c>
      <c r="G88" s="406" t="s">
        <v>121</v>
      </c>
      <c r="H88" s="406">
        <v>0</v>
      </c>
      <c r="I88" s="406">
        <v>0</v>
      </c>
      <c r="J88" s="406">
        <v>0</v>
      </c>
      <c r="K88" s="406">
        <v>0</v>
      </c>
      <c r="L88" s="406">
        <v>0</v>
      </c>
      <c r="M88" s="406">
        <v>0</v>
      </c>
      <c r="N88" s="406">
        <v>0</v>
      </c>
      <c r="O88" s="406">
        <v>1169.65302</v>
      </c>
      <c r="P88" s="406">
        <v>956.74681999999996</v>
      </c>
      <c r="Q88" s="150">
        <v>956.74681999999996</v>
      </c>
      <c r="R88" s="406">
        <v>956.74681999999996</v>
      </c>
      <c r="S88" s="166">
        <v>956.74681999999996</v>
      </c>
      <c r="T88" s="406">
        <f t="shared" si="3"/>
        <v>956.74681999999996</v>
      </c>
      <c r="U88" s="406">
        <f t="shared" si="4"/>
        <v>0</v>
      </c>
      <c r="V88" s="406">
        <v>0</v>
      </c>
      <c r="W88" s="167">
        <v>722264.59</v>
      </c>
      <c r="X88" s="167">
        <v>722.26459</v>
      </c>
      <c r="Y88" s="406">
        <v>722.26459</v>
      </c>
      <c r="Z88" s="406">
        <v>703.07146</v>
      </c>
      <c r="AA88" s="406">
        <v>12.823549999999999</v>
      </c>
      <c r="AB88" s="406">
        <v>6.36958</v>
      </c>
      <c r="AC88" s="406">
        <v>0</v>
      </c>
      <c r="AD88" s="167">
        <f>'[71]2. подк.неподк.'!X76</f>
        <v>1392.1415932800003</v>
      </c>
      <c r="AE88" s="406">
        <f>V88*$AD$11</f>
        <v>0</v>
      </c>
      <c r="AF88" s="402">
        <f t="shared" si="8"/>
        <v>0</v>
      </c>
      <c r="AG88" s="167">
        <v>0</v>
      </c>
      <c r="AH88" s="406">
        <v>5471.96</v>
      </c>
      <c r="AI88" s="957">
        <f t="shared" si="6"/>
        <v>7.5761155617500231</v>
      </c>
      <c r="AJ88" s="957">
        <f t="shared" si="9"/>
        <v>5471.96</v>
      </c>
      <c r="AK88" s="958">
        <f t="shared" si="35"/>
        <v>5471.96</v>
      </c>
      <c r="AL88" s="74"/>
      <c r="AM88" s="52">
        <f>AH88-AG88</f>
        <v>5471.96</v>
      </c>
    </row>
    <row r="89" spans="1:40" ht="45" hidden="1" customHeight="1" outlineLevel="3">
      <c r="A89" s="139"/>
      <c r="B89" s="406" t="s">
        <v>523</v>
      </c>
      <c r="C89" s="198" t="s">
        <v>524</v>
      </c>
      <c r="D89" s="956" t="s">
        <v>2146</v>
      </c>
      <c r="E89" s="148" t="s">
        <v>525</v>
      </c>
      <c r="F89" s="149" t="s">
        <v>525</v>
      </c>
      <c r="G89" s="406" t="s">
        <v>121</v>
      </c>
      <c r="H89" s="406">
        <v>0</v>
      </c>
      <c r="I89" s="406">
        <v>0</v>
      </c>
      <c r="J89" s="406">
        <v>0</v>
      </c>
      <c r="K89" s="406">
        <v>0</v>
      </c>
      <c r="L89" s="406">
        <v>0</v>
      </c>
      <c r="M89" s="406">
        <v>0</v>
      </c>
      <c r="N89" s="406">
        <v>0</v>
      </c>
      <c r="O89" s="406">
        <v>114.15845999999999</v>
      </c>
      <c r="P89" s="406">
        <v>99.169179999999997</v>
      </c>
      <c r="Q89" s="150">
        <v>99.169179999999997</v>
      </c>
      <c r="R89" s="406">
        <v>99.169179999999997</v>
      </c>
      <c r="S89" s="166">
        <v>99.169179999999997</v>
      </c>
      <c r="T89" s="406">
        <f t="shared" si="3"/>
        <v>99.169179999999997</v>
      </c>
      <c r="U89" s="406">
        <f t="shared" si="4"/>
        <v>0</v>
      </c>
      <c r="V89" s="406">
        <v>0</v>
      </c>
      <c r="W89" s="167">
        <v>117331.44</v>
      </c>
      <c r="X89" s="167">
        <v>117.33144</v>
      </c>
      <c r="Y89" s="406">
        <v>117.33143999999999</v>
      </c>
      <c r="Z89" s="406">
        <v>110.75093</v>
      </c>
      <c r="AA89" s="406">
        <v>5.3525900000000002</v>
      </c>
      <c r="AB89" s="406">
        <v>1.2279200000000001</v>
      </c>
      <c r="AC89" s="406">
        <v>0</v>
      </c>
      <c r="AD89" s="167">
        <f>'[71]2. подк.неподк.'!X77</f>
        <v>167.30650800000001</v>
      </c>
      <c r="AE89" s="406">
        <f>V89*$AD$11</f>
        <v>0</v>
      </c>
      <c r="AF89" s="402">
        <f t="shared" si="8"/>
        <v>0</v>
      </c>
      <c r="AG89" s="167">
        <v>0</v>
      </c>
      <c r="AH89" s="406">
        <v>741.96</v>
      </c>
      <c r="AI89" s="957">
        <f t="shared" si="6"/>
        <v>6.3236247675814772</v>
      </c>
      <c r="AJ89" s="957">
        <f t="shared" si="9"/>
        <v>741.96</v>
      </c>
      <c r="AK89" s="958">
        <f t="shared" si="35"/>
        <v>741.96</v>
      </c>
      <c r="AL89" s="74"/>
      <c r="AM89" s="52">
        <f>AH89-AG89</f>
        <v>741.96</v>
      </c>
    </row>
    <row r="90" spans="1:40" s="161" customFormat="1" ht="33" hidden="1" customHeight="1" outlineLevel="2">
      <c r="A90" s="153"/>
      <c r="B90" s="154"/>
      <c r="C90" s="155"/>
      <c r="D90" s="966"/>
      <c r="E90" s="156" t="s">
        <v>526</v>
      </c>
      <c r="F90" s="157"/>
      <c r="G90" s="158"/>
      <c r="H90" s="154">
        <f t="shared" ref="H90:J90" si="49">H88+H89</f>
        <v>0</v>
      </c>
      <c r="I90" s="154">
        <f t="shared" si="49"/>
        <v>0</v>
      </c>
      <c r="J90" s="154">
        <f t="shared" si="49"/>
        <v>0</v>
      </c>
      <c r="K90" s="154">
        <f>K88+K89</f>
        <v>0</v>
      </c>
      <c r="L90" s="154">
        <f t="shared" ref="L90:AK90" si="50">L88+L89</f>
        <v>0</v>
      </c>
      <c r="M90" s="154">
        <f t="shared" si="50"/>
        <v>0</v>
      </c>
      <c r="N90" s="154">
        <f t="shared" si="50"/>
        <v>0</v>
      </c>
      <c r="O90" s="154">
        <f t="shared" si="50"/>
        <v>1283.8114799999998</v>
      </c>
      <c r="P90" s="154">
        <f t="shared" si="50"/>
        <v>1055.9159999999999</v>
      </c>
      <c r="Q90" s="159">
        <f t="shared" si="50"/>
        <v>1055.9159999999999</v>
      </c>
      <c r="R90" s="154">
        <f t="shared" si="50"/>
        <v>1055.9159999999999</v>
      </c>
      <c r="S90" s="154">
        <f t="shared" si="50"/>
        <v>1055.9159999999999</v>
      </c>
      <c r="T90" s="402">
        <f t="shared" si="3"/>
        <v>1055.9159999999999</v>
      </c>
      <c r="U90" s="402">
        <f t="shared" si="4"/>
        <v>0</v>
      </c>
      <c r="V90" s="154">
        <f t="shared" si="50"/>
        <v>0</v>
      </c>
      <c r="W90" s="154">
        <f t="shared" si="50"/>
        <v>839596.03</v>
      </c>
      <c r="X90" s="154">
        <f t="shared" si="50"/>
        <v>839.59603000000004</v>
      </c>
      <c r="Y90" s="154">
        <f t="shared" si="50"/>
        <v>839.59602999999993</v>
      </c>
      <c r="Z90" s="154">
        <f t="shared" si="50"/>
        <v>813.82239000000004</v>
      </c>
      <c r="AA90" s="154">
        <f>AA88+AA89</f>
        <v>18.17614</v>
      </c>
      <c r="AB90" s="154">
        <f t="shared" si="50"/>
        <v>7.5975000000000001</v>
      </c>
      <c r="AC90" s="154">
        <f t="shared" si="50"/>
        <v>0</v>
      </c>
      <c r="AD90" s="154">
        <f t="shared" si="50"/>
        <v>1559.4481012800002</v>
      </c>
      <c r="AE90" s="154">
        <f t="shared" si="50"/>
        <v>0</v>
      </c>
      <c r="AF90" s="154">
        <f t="shared" si="50"/>
        <v>0</v>
      </c>
      <c r="AG90" s="961">
        <f t="shared" si="50"/>
        <v>0</v>
      </c>
      <c r="AH90" s="154">
        <f t="shared" si="50"/>
        <v>6213.92</v>
      </c>
      <c r="AI90" s="962">
        <f t="shared" si="6"/>
        <v>7.401083113744594</v>
      </c>
      <c r="AJ90" s="963">
        <f t="shared" si="50"/>
        <v>6213.92</v>
      </c>
      <c r="AK90" s="963">
        <f t="shared" si="50"/>
        <v>6213.92</v>
      </c>
      <c r="AL90" s="964"/>
      <c r="AM90" s="52"/>
    </row>
    <row r="91" spans="1:40" ht="33" hidden="1" customHeight="1" outlineLevel="1">
      <c r="A91" s="139"/>
      <c r="B91" s="409" t="s">
        <v>527</v>
      </c>
      <c r="C91" s="141"/>
      <c r="D91" s="406"/>
      <c r="E91" s="142" t="s">
        <v>528</v>
      </c>
      <c r="F91" s="142" t="s">
        <v>528</v>
      </c>
      <c r="G91" s="406" t="s">
        <v>121</v>
      </c>
      <c r="H91" s="402">
        <f t="shared" ref="H91:J91" si="51">SUM(H92:H94)</f>
        <v>67010.678018903272</v>
      </c>
      <c r="I91" s="402">
        <f t="shared" si="51"/>
        <v>50375.14157</v>
      </c>
      <c r="J91" s="402">
        <f t="shared" si="51"/>
        <v>50375.14</v>
      </c>
      <c r="K91" s="402">
        <f t="shared" ref="K91:N91" si="52">SUM(K92:K94)</f>
        <v>73529.029945116781</v>
      </c>
      <c r="L91" s="402">
        <f t="shared" si="52"/>
        <v>54349.757350000007</v>
      </c>
      <c r="M91" s="402">
        <f t="shared" si="52"/>
        <v>54349.761170000005</v>
      </c>
      <c r="N91" s="402">
        <f t="shared" si="52"/>
        <v>50732.281986623311</v>
      </c>
      <c r="O91" s="402">
        <f>SUM(O92:O94)</f>
        <v>63250.487110000002</v>
      </c>
      <c r="P91" s="402">
        <f t="shared" ref="P91:S91" si="53">SUM(P92:P94)</f>
        <v>61541.971790000003</v>
      </c>
      <c r="Q91" s="145">
        <f t="shared" si="53"/>
        <v>61541.971790000003</v>
      </c>
      <c r="R91" s="402">
        <f t="shared" si="53"/>
        <v>61541.971790000003</v>
      </c>
      <c r="S91" s="402">
        <f t="shared" si="53"/>
        <v>61541.971790000003</v>
      </c>
      <c r="T91" s="402">
        <f t="shared" si="3"/>
        <v>10809.689803376692</v>
      </c>
      <c r="U91" s="402">
        <f t="shared" si="4"/>
        <v>0</v>
      </c>
      <c r="V91" s="402">
        <f>SUM(V92:V94)</f>
        <v>61639.422886926252</v>
      </c>
      <c r="W91" s="402">
        <f>SUM(W92:W94)</f>
        <v>72951261.429999992</v>
      </c>
      <c r="X91" s="402">
        <f>SUM(X92:X94)</f>
        <v>72951.261429999999</v>
      </c>
      <c r="Y91" s="402">
        <f t="shared" ref="Y91:AK91" si="54">SUM(Y92:Y94)</f>
        <v>72951.261429999999</v>
      </c>
      <c r="Z91" s="402">
        <f t="shared" si="54"/>
        <v>71062.770550000016</v>
      </c>
      <c r="AA91" s="402">
        <f t="shared" si="54"/>
        <v>550.55062999999984</v>
      </c>
      <c r="AB91" s="402">
        <f t="shared" si="54"/>
        <v>1337.9402500000001</v>
      </c>
      <c r="AC91" s="953">
        <f t="shared" si="54"/>
        <v>64413.19691683798</v>
      </c>
      <c r="AD91" s="953">
        <f t="shared" si="54"/>
        <v>91243.38396628949</v>
      </c>
      <c r="AE91" s="953">
        <f t="shared" si="54"/>
        <v>63910.944063604518</v>
      </c>
      <c r="AF91" s="953">
        <f t="shared" si="54"/>
        <v>63910.944063604518</v>
      </c>
      <c r="AG91" s="953">
        <f t="shared" si="54"/>
        <v>66989.724793511501</v>
      </c>
      <c r="AH91" s="402">
        <f t="shared" si="54"/>
        <v>89299.100797785286</v>
      </c>
      <c r="AI91" s="954">
        <f t="shared" si="6"/>
        <v>1.2240926208448331</v>
      </c>
      <c r="AJ91" s="972">
        <f t="shared" si="54"/>
        <v>22309.376004273778</v>
      </c>
      <c r="AK91" s="972">
        <f t="shared" si="54"/>
        <v>89299.100797785286</v>
      </c>
      <c r="AL91" s="74"/>
    </row>
    <row r="92" spans="1:40" ht="33" hidden="1" customHeight="1" outlineLevel="2">
      <c r="A92" s="407" t="s">
        <v>529</v>
      </c>
      <c r="B92" s="406" t="s">
        <v>135</v>
      </c>
      <c r="C92" s="198" t="s">
        <v>530</v>
      </c>
      <c r="D92" s="956" t="s">
        <v>2147</v>
      </c>
      <c r="E92" s="405" t="s">
        <v>531</v>
      </c>
      <c r="F92" s="149" t="s">
        <v>532</v>
      </c>
      <c r="G92" s="406" t="s">
        <v>121</v>
      </c>
      <c r="H92" s="406">
        <v>539.8333057914341</v>
      </c>
      <c r="I92" s="406">
        <v>173.34924000000001</v>
      </c>
      <c r="J92" s="406">
        <v>173.35</v>
      </c>
      <c r="K92" s="406">
        <v>592.34469013598834</v>
      </c>
      <c r="L92" s="406">
        <v>0</v>
      </c>
      <c r="M92" s="406">
        <v>0</v>
      </c>
      <c r="N92" s="406">
        <v>148.55209008969703</v>
      </c>
      <c r="O92" s="406">
        <v>564.68034000000011</v>
      </c>
      <c r="P92" s="406">
        <v>561.99014999999997</v>
      </c>
      <c r="Q92" s="150">
        <v>561.99014999999997</v>
      </c>
      <c r="R92" s="406">
        <v>561.99014999999997</v>
      </c>
      <c r="S92" s="406">
        <v>561.99014999999997</v>
      </c>
      <c r="T92" s="406">
        <f t="shared" si="3"/>
        <v>413.43805991030297</v>
      </c>
      <c r="U92" s="406">
        <f t="shared" si="4"/>
        <v>0</v>
      </c>
      <c r="V92" s="406">
        <v>0</v>
      </c>
      <c r="W92" s="167">
        <v>1140697.45</v>
      </c>
      <c r="X92" s="167">
        <v>1140.6974499999999</v>
      </c>
      <c r="Y92" s="406">
        <v>1140.6974499999999</v>
      </c>
      <c r="Z92" s="406">
        <v>1138.68795</v>
      </c>
      <c r="AA92" s="406">
        <v>0.15946000000000002</v>
      </c>
      <c r="AB92" s="406">
        <v>1.8500399999999999</v>
      </c>
      <c r="AC92" s="406">
        <v>0</v>
      </c>
      <c r="AD92" s="167">
        <f>'[71]2. подк.неподк.'!X80</f>
        <v>3217.11</v>
      </c>
      <c r="AE92" s="406">
        <f t="shared" ref="AE92:AE112" si="55">V92*$AD$11</f>
        <v>0</v>
      </c>
      <c r="AF92" s="402">
        <f t="shared" si="8"/>
        <v>0</v>
      </c>
      <c r="AG92" s="167">
        <v>0</v>
      </c>
      <c r="AH92" s="406">
        <v>2413.0788542943501</v>
      </c>
      <c r="AI92" s="957">
        <f t="shared" si="6"/>
        <v>2.1154416136323881</v>
      </c>
      <c r="AJ92" s="957">
        <f t="shared" si="9"/>
        <v>2413.0788542943501</v>
      </c>
      <c r="AK92" s="958">
        <f t="shared" ref="AK92:AK95" si="56">AH92</f>
        <v>2413.0788542943501</v>
      </c>
      <c r="AL92" s="74"/>
      <c r="AM92" s="52">
        <f>AH92-AG92</f>
        <v>2413.0788542943501</v>
      </c>
    </row>
    <row r="93" spans="1:40" ht="33" hidden="1" customHeight="1" outlineLevel="2">
      <c r="A93" s="139" t="s">
        <v>533</v>
      </c>
      <c r="B93" s="406" t="s">
        <v>534</v>
      </c>
      <c r="C93" s="198" t="s">
        <v>535</v>
      </c>
      <c r="D93" s="956" t="s">
        <v>529</v>
      </c>
      <c r="E93" s="149" t="s">
        <v>536</v>
      </c>
      <c r="F93" s="149" t="s">
        <v>537</v>
      </c>
      <c r="G93" s="406" t="s">
        <v>121</v>
      </c>
      <c r="H93" s="406">
        <v>7037.2175754966056</v>
      </c>
      <c r="I93" s="406">
        <v>2604.4683399999999</v>
      </c>
      <c r="J93" s="406">
        <v>2604.4699999999998</v>
      </c>
      <c r="K93" s="406">
        <v>7721.7511766262933</v>
      </c>
      <c r="L93" s="406">
        <v>2841.1061800000002</v>
      </c>
      <c r="M93" s="406">
        <v>2841.11</v>
      </c>
      <c r="N93" s="406">
        <v>2586.0156887463022</v>
      </c>
      <c r="O93" s="406">
        <v>3745.5622500000004</v>
      </c>
      <c r="P93" s="406">
        <v>3727.24541</v>
      </c>
      <c r="Q93" s="150">
        <v>3727.24541</v>
      </c>
      <c r="R93" s="406">
        <v>3727.24541</v>
      </c>
      <c r="S93" s="406">
        <v>3727.24541</v>
      </c>
      <c r="T93" s="406">
        <f t="shared" si="3"/>
        <v>1141.2297212536978</v>
      </c>
      <c r="U93" s="406">
        <f t="shared" si="4"/>
        <v>0</v>
      </c>
      <c r="V93" s="406">
        <v>3222.1738787499994</v>
      </c>
      <c r="W93" s="167">
        <v>3906735.54</v>
      </c>
      <c r="X93" s="167">
        <v>3906.7355400000001</v>
      </c>
      <c r="Y93" s="406">
        <v>3906.7355400000006</v>
      </c>
      <c r="Z93" s="406">
        <v>3897.0290100000002</v>
      </c>
      <c r="AA93" s="406">
        <v>0.63436999999999999</v>
      </c>
      <c r="AB93" s="406">
        <v>9.0721600000000002</v>
      </c>
      <c r="AC93" s="406">
        <v>3273.0590032937498</v>
      </c>
      <c r="AD93" s="167">
        <f>'[71]2. подк.неподк.'!X81</f>
        <v>7731.9652857600013</v>
      </c>
      <c r="AE93" s="406">
        <f t="shared" si="55"/>
        <v>3340.9166550077666</v>
      </c>
      <c r="AF93" s="402">
        <f t="shared" si="8"/>
        <v>3340.9166550077666</v>
      </c>
      <c r="AG93" s="167">
        <v>3403.9813634254997</v>
      </c>
      <c r="AH93" s="406">
        <v>5488.7591373345012</v>
      </c>
      <c r="AI93" s="957">
        <f t="shared" si="6"/>
        <v>1.4049477066304061</v>
      </c>
      <c r="AJ93" s="957">
        <f t="shared" si="9"/>
        <v>2084.7777739090016</v>
      </c>
      <c r="AK93" s="958">
        <f t="shared" si="56"/>
        <v>5488.7591373345012</v>
      </c>
      <c r="AL93" s="74"/>
      <c r="AM93" s="52">
        <f>AH93-AG93</f>
        <v>2084.7777739090016</v>
      </c>
    </row>
    <row r="94" spans="1:40" ht="33" hidden="1" customHeight="1" outlineLevel="2">
      <c r="A94" s="139" t="s">
        <v>538</v>
      </c>
      <c r="B94" s="406" t="s">
        <v>539</v>
      </c>
      <c r="C94" s="198" t="s">
        <v>540</v>
      </c>
      <c r="D94" s="956" t="s">
        <v>533</v>
      </c>
      <c r="E94" s="149" t="s">
        <v>541</v>
      </c>
      <c r="F94" s="149" t="s">
        <v>542</v>
      </c>
      <c r="G94" s="406" t="s">
        <v>121</v>
      </c>
      <c r="H94" s="406">
        <v>59433.627137615236</v>
      </c>
      <c r="I94" s="406">
        <v>47597.323989999997</v>
      </c>
      <c r="J94" s="406">
        <v>47597.32</v>
      </c>
      <c r="K94" s="406">
        <v>65214.934078354505</v>
      </c>
      <c r="L94" s="406">
        <v>51508.651170000005</v>
      </c>
      <c r="M94" s="406">
        <v>51508.651170000005</v>
      </c>
      <c r="N94" s="406">
        <v>47997.714207787314</v>
      </c>
      <c r="O94" s="406">
        <v>58940.24452</v>
      </c>
      <c r="P94" s="406">
        <v>57252.736230000002</v>
      </c>
      <c r="Q94" s="150">
        <v>57252.736230000002</v>
      </c>
      <c r="R94" s="406">
        <v>57252.736230000002</v>
      </c>
      <c r="S94" s="406">
        <v>57252.736230000002</v>
      </c>
      <c r="T94" s="406">
        <f t="shared" ref="T94:T157" si="57">S94-N94</f>
        <v>9255.0220222126882</v>
      </c>
      <c r="U94" s="406">
        <f t="shared" ref="U94:U157" si="58">S94-P94</f>
        <v>0</v>
      </c>
      <c r="V94" s="406">
        <v>58417.249008176252</v>
      </c>
      <c r="W94" s="167">
        <v>67903828.439999998</v>
      </c>
      <c r="X94" s="167">
        <v>67903.828439999997</v>
      </c>
      <c r="Y94" s="406">
        <v>67903.828439999997</v>
      </c>
      <c r="Z94" s="406">
        <v>66027.05359000001</v>
      </c>
      <c r="AA94" s="406">
        <v>549.75679999999988</v>
      </c>
      <c r="AB94" s="406">
        <v>1327.0180500000001</v>
      </c>
      <c r="AC94" s="406">
        <v>61140.137913544233</v>
      </c>
      <c r="AD94" s="167">
        <f>'[71]2. подк.неподк.'!X82</f>
        <v>80294.308680529488</v>
      </c>
      <c r="AE94" s="406">
        <f t="shared" si="55"/>
        <v>60570.027408596754</v>
      </c>
      <c r="AF94" s="402">
        <f t="shared" si="8"/>
        <v>60570.027408596754</v>
      </c>
      <c r="AG94" s="167">
        <v>63585.743430086004</v>
      </c>
      <c r="AH94" s="406">
        <v>81397.262806156432</v>
      </c>
      <c r="AI94" s="957">
        <f t="shared" ref="AI94:AI157" si="59">AH94/X94</f>
        <v>1.1987138969355648</v>
      </c>
      <c r="AJ94" s="957">
        <f t="shared" si="9"/>
        <v>17811.519376070428</v>
      </c>
      <c r="AK94" s="958">
        <f t="shared" si="56"/>
        <v>81397.262806156432</v>
      </c>
      <c r="AL94" s="74"/>
      <c r="AM94" s="52">
        <f>AH94-AG94</f>
        <v>17811.519376070428</v>
      </c>
    </row>
    <row r="95" spans="1:40" ht="33" customHeight="1" collapsed="1">
      <c r="A95" s="139" t="s">
        <v>543</v>
      </c>
      <c r="B95" s="169" t="s">
        <v>75</v>
      </c>
      <c r="C95" s="141"/>
      <c r="D95" s="406"/>
      <c r="E95" s="142" t="s">
        <v>544</v>
      </c>
      <c r="F95" s="142" t="s">
        <v>544</v>
      </c>
      <c r="G95" s="406" t="s">
        <v>121</v>
      </c>
      <c r="H95" s="402">
        <v>761740.30943159445</v>
      </c>
      <c r="I95" s="402">
        <v>774397.05044999998</v>
      </c>
      <c r="J95" s="402">
        <v>736548.06677771546</v>
      </c>
      <c r="K95" s="402">
        <v>835837.32</v>
      </c>
      <c r="L95" s="402">
        <v>858232.29200000002</v>
      </c>
      <c r="M95" s="402">
        <v>858232.29200000002</v>
      </c>
      <c r="N95" s="402">
        <v>837905.09790543455</v>
      </c>
      <c r="O95" s="402">
        <v>928422.44139000005</v>
      </c>
      <c r="P95" s="402">
        <v>872360.68993000023</v>
      </c>
      <c r="Q95" s="145">
        <v>872360.68993000023</v>
      </c>
      <c r="R95" s="402">
        <v>872360.68993000023</v>
      </c>
      <c r="S95" s="402">
        <v>872360.68993000023</v>
      </c>
      <c r="T95" s="402">
        <f t="shared" si="57"/>
        <v>34455.592024565674</v>
      </c>
      <c r="U95" s="402">
        <f t="shared" si="58"/>
        <v>0</v>
      </c>
      <c r="V95" s="402">
        <v>962477.4773477799</v>
      </c>
      <c r="W95" s="953">
        <v>996568792.51300001</v>
      </c>
      <c r="X95" s="953">
        <v>996568.79251299996</v>
      </c>
      <c r="Y95" s="402">
        <v>996568.79250999982</v>
      </c>
      <c r="Z95" s="168">
        <v>938966.88</v>
      </c>
      <c r="AA95" s="402">
        <v>37543.58</v>
      </c>
      <c r="AB95" s="402">
        <v>20058.34</v>
      </c>
      <c r="AC95" s="170">
        <f>'[71]2. подк.неподк.'!W83</f>
        <v>1005788.9638284299</v>
      </c>
      <c r="AD95" s="402">
        <f>'[71]2. подк.неподк.'!X83</f>
        <v>1961467.5</v>
      </c>
      <c r="AE95" s="402">
        <f t="shared" si="55"/>
        <v>997946.4656911972</v>
      </c>
      <c r="AF95" s="402">
        <f t="shared" ref="AF95:AF158" si="60">AE95</f>
        <v>997946.4656911972</v>
      </c>
      <c r="AG95" s="953">
        <v>1046020.5223815672</v>
      </c>
      <c r="AH95" s="402">
        <v>2243154.1</v>
      </c>
      <c r="AI95" s="954">
        <f t="shared" si="59"/>
        <v>2.250877327137192</v>
      </c>
      <c r="AJ95" s="954">
        <f t="shared" ref="AJ95:AJ158" si="61">AH95-AG95</f>
        <v>1197133.5776184329</v>
      </c>
      <c r="AK95" s="259">
        <f t="shared" si="56"/>
        <v>2243154.1</v>
      </c>
      <c r="AL95" s="74"/>
      <c r="AM95" s="191">
        <f>AH95-AG95</f>
        <v>1197133.5776184329</v>
      </c>
      <c r="AN95" s="191">
        <f>AM95</f>
        <v>1197133.5776184329</v>
      </c>
    </row>
    <row r="96" spans="1:40" ht="33" customHeight="1">
      <c r="A96" s="139" t="s">
        <v>545</v>
      </c>
      <c r="B96" s="169" t="s">
        <v>546</v>
      </c>
      <c r="C96" s="171"/>
      <c r="D96" s="973"/>
      <c r="E96" s="172" t="s">
        <v>547</v>
      </c>
      <c r="F96" s="172" t="s">
        <v>547</v>
      </c>
      <c r="G96" s="406" t="s">
        <v>121</v>
      </c>
      <c r="H96" s="173">
        <v>37128.449999999997</v>
      </c>
      <c r="I96" s="173">
        <v>56320</v>
      </c>
      <c r="J96" s="173">
        <v>37128.449999999997</v>
      </c>
      <c r="K96" s="173">
        <f t="shared" ref="K96:AK96" si="62">SUM(K97:K112)</f>
        <v>40740.04</v>
      </c>
      <c r="L96" s="173">
        <f t="shared" si="62"/>
        <v>43854.198228999994</v>
      </c>
      <c r="M96" s="173">
        <f t="shared" si="62"/>
        <v>43659.197769999992</v>
      </c>
      <c r="N96" s="173">
        <f t="shared" si="62"/>
        <v>40740.04</v>
      </c>
      <c r="O96" s="173">
        <f t="shared" si="62"/>
        <v>46173.379379999998</v>
      </c>
      <c r="P96" s="173">
        <f t="shared" si="62"/>
        <v>39724.693220000008</v>
      </c>
      <c r="Q96" s="174">
        <f t="shared" si="62"/>
        <v>39724.693220000008</v>
      </c>
      <c r="R96" s="173">
        <f t="shared" si="62"/>
        <v>39724.693220000008</v>
      </c>
      <c r="S96" s="402">
        <f t="shared" si="62"/>
        <v>39724.693220000008</v>
      </c>
      <c r="T96" s="173">
        <f t="shared" si="57"/>
        <v>-1015.3467799999926</v>
      </c>
      <c r="U96" s="173">
        <f t="shared" si="58"/>
        <v>0</v>
      </c>
      <c r="V96" s="173">
        <f t="shared" si="62"/>
        <v>42980.76</v>
      </c>
      <c r="W96" s="173">
        <f t="shared" si="62"/>
        <v>67768310.329999983</v>
      </c>
      <c r="X96" s="173">
        <f t="shared" si="62"/>
        <v>67768.310330000008</v>
      </c>
      <c r="Y96" s="173">
        <f t="shared" si="62"/>
        <v>67768.310330000008</v>
      </c>
      <c r="Z96" s="1019">
        <f t="shared" si="62"/>
        <v>40251.151279999998</v>
      </c>
      <c r="AA96" s="173">
        <f t="shared" si="62"/>
        <v>11210.357260000002</v>
      </c>
      <c r="AB96" s="173">
        <f t="shared" si="62"/>
        <v>639.05013000000008</v>
      </c>
      <c r="AC96" s="170">
        <f t="shared" si="62"/>
        <v>44914.894200000002</v>
      </c>
      <c r="AD96" s="170">
        <f t="shared" si="62"/>
        <v>150706.04999999996</v>
      </c>
      <c r="AE96" s="170">
        <f t="shared" si="62"/>
        <v>44564.676622789062</v>
      </c>
      <c r="AF96" s="170">
        <f t="shared" si="62"/>
        <v>44564.676622789062</v>
      </c>
      <c r="AG96" s="170">
        <f t="shared" si="62"/>
        <v>46711.489967999994</v>
      </c>
      <c r="AH96" s="173">
        <f t="shared" si="62"/>
        <v>171143.47</v>
      </c>
      <c r="AI96" s="974">
        <f t="shared" si="59"/>
        <v>2.525420350110712</v>
      </c>
      <c r="AJ96" s="975">
        <f t="shared" si="62"/>
        <v>124431.98003199998</v>
      </c>
      <c r="AK96" s="975">
        <f t="shared" si="62"/>
        <v>169673.47</v>
      </c>
      <c r="AL96" s="74"/>
      <c r="AN96" s="191">
        <f>SUM(AM97:AM112)</f>
        <v>124431.98003199998</v>
      </c>
    </row>
    <row r="97" spans="1:39" ht="33" customHeight="1" outlineLevel="1">
      <c r="A97" s="139" t="s">
        <v>548</v>
      </c>
      <c r="B97" s="176" t="s">
        <v>549</v>
      </c>
      <c r="C97" s="198" t="s">
        <v>550</v>
      </c>
      <c r="D97" s="956" t="s">
        <v>538</v>
      </c>
      <c r="E97" s="148" t="s">
        <v>551</v>
      </c>
      <c r="F97" s="177"/>
      <c r="G97" s="404" t="s">
        <v>552</v>
      </c>
      <c r="H97" s="179">
        <v>0</v>
      </c>
      <c r="I97" s="179">
        <v>0</v>
      </c>
      <c r="J97" s="179">
        <v>0</v>
      </c>
      <c r="K97" s="179">
        <v>0</v>
      </c>
      <c r="L97" s="179">
        <v>0</v>
      </c>
      <c r="M97" s="179">
        <v>0</v>
      </c>
      <c r="N97" s="179"/>
      <c r="O97" s="179"/>
      <c r="P97" s="179"/>
      <c r="Q97" s="180"/>
      <c r="R97" s="179"/>
      <c r="S97" s="402"/>
      <c r="T97" s="179">
        <f t="shared" si="57"/>
        <v>0</v>
      </c>
      <c r="U97" s="179">
        <f t="shared" si="58"/>
        <v>0</v>
      </c>
      <c r="V97" s="406">
        <v>0</v>
      </c>
      <c r="W97" s="167">
        <v>0</v>
      </c>
      <c r="X97" s="167">
        <v>0</v>
      </c>
      <c r="Y97" s="406">
        <v>0</v>
      </c>
      <c r="Z97" s="406">
        <v>0</v>
      </c>
      <c r="AA97" s="406">
        <v>0</v>
      </c>
      <c r="AB97" s="406">
        <v>0</v>
      </c>
      <c r="AC97" s="403">
        <v>0</v>
      </c>
      <c r="AD97" s="406">
        <f>'[71]2. подк.неподк.'!X85</f>
        <v>100</v>
      </c>
      <c r="AE97" s="406">
        <f t="shared" si="55"/>
        <v>0</v>
      </c>
      <c r="AF97" s="402">
        <f t="shared" si="60"/>
        <v>0</v>
      </c>
      <c r="AG97" s="403">
        <v>0</v>
      </c>
      <c r="AH97" s="179">
        <v>90</v>
      </c>
      <c r="AI97" s="976" t="e">
        <f t="shared" si="59"/>
        <v>#DIV/0!</v>
      </c>
      <c r="AJ97" s="976">
        <f t="shared" si="61"/>
        <v>90</v>
      </c>
      <c r="AK97" s="977">
        <f t="shared" ref="AK97:AK112" si="63">AH97</f>
        <v>90</v>
      </c>
      <c r="AL97" s="74"/>
      <c r="AM97" s="52">
        <f t="shared" ref="AM97:AM112" si="64">AH97-AG97</f>
        <v>90</v>
      </c>
    </row>
    <row r="98" spans="1:39" ht="33" customHeight="1" outlineLevel="1">
      <c r="A98" s="139" t="s">
        <v>553</v>
      </c>
      <c r="B98" s="176" t="s">
        <v>554</v>
      </c>
      <c r="C98" s="978" t="s">
        <v>555</v>
      </c>
      <c r="D98" s="979" t="s">
        <v>543</v>
      </c>
      <c r="E98" s="162" t="s">
        <v>556</v>
      </c>
      <c r="F98" s="177"/>
      <c r="G98" s="404" t="s">
        <v>552</v>
      </c>
      <c r="H98" s="179">
        <v>0</v>
      </c>
      <c r="I98" s="179">
        <v>0</v>
      </c>
      <c r="J98" s="179">
        <v>0</v>
      </c>
      <c r="K98" s="179">
        <v>0</v>
      </c>
      <c r="L98" s="179">
        <v>0</v>
      </c>
      <c r="M98" s="179">
        <v>0</v>
      </c>
      <c r="N98" s="179">
        <v>0</v>
      </c>
      <c r="O98" s="179"/>
      <c r="P98" s="179"/>
      <c r="Q98" s="180"/>
      <c r="R98" s="179"/>
      <c r="S98" s="402"/>
      <c r="T98" s="179">
        <f t="shared" si="57"/>
        <v>0</v>
      </c>
      <c r="U98" s="179">
        <f t="shared" si="58"/>
        <v>0</v>
      </c>
      <c r="V98" s="406">
        <v>0</v>
      </c>
      <c r="W98" s="167">
        <v>0</v>
      </c>
      <c r="X98" s="167">
        <v>0</v>
      </c>
      <c r="Y98" s="406">
        <v>0</v>
      </c>
      <c r="Z98" s="406">
        <v>0</v>
      </c>
      <c r="AA98" s="406">
        <v>0</v>
      </c>
      <c r="AB98" s="406">
        <v>0</v>
      </c>
      <c r="AC98" s="403">
        <v>0</v>
      </c>
      <c r="AD98" s="406">
        <f>'[71]2. подк.неподк.'!X86</f>
        <v>215</v>
      </c>
      <c r="AE98" s="406">
        <f t="shared" si="55"/>
        <v>0</v>
      </c>
      <c r="AF98" s="402">
        <f t="shared" si="60"/>
        <v>0</v>
      </c>
      <c r="AG98" s="403">
        <v>0</v>
      </c>
      <c r="AH98" s="179">
        <v>165.65</v>
      </c>
      <c r="AI98" s="976" t="e">
        <f t="shared" si="59"/>
        <v>#DIV/0!</v>
      </c>
      <c r="AJ98" s="976">
        <f t="shared" si="61"/>
        <v>165.65</v>
      </c>
      <c r="AK98" s="977">
        <f t="shared" si="63"/>
        <v>165.65</v>
      </c>
      <c r="AL98" s="74"/>
      <c r="AM98" s="52">
        <f t="shared" si="64"/>
        <v>165.65</v>
      </c>
    </row>
    <row r="99" spans="1:39" ht="33" customHeight="1" outlineLevel="1">
      <c r="A99" s="139"/>
      <c r="B99" s="176" t="s">
        <v>557</v>
      </c>
      <c r="C99" s="980" t="s">
        <v>558</v>
      </c>
      <c r="D99" s="981" t="s">
        <v>545</v>
      </c>
      <c r="E99" s="148" t="s">
        <v>559</v>
      </c>
      <c r="F99" s="172"/>
      <c r="G99" s="404" t="s">
        <v>552</v>
      </c>
      <c r="H99" s="179">
        <v>0</v>
      </c>
      <c r="I99" s="179">
        <v>0</v>
      </c>
      <c r="J99" s="179">
        <v>0</v>
      </c>
      <c r="K99" s="179">
        <v>413.35</v>
      </c>
      <c r="L99" s="179">
        <v>548.01444400000003</v>
      </c>
      <c r="M99" s="179">
        <v>548.01</v>
      </c>
      <c r="N99" s="179">
        <v>413.35</v>
      </c>
      <c r="O99" s="179">
        <v>635.79600000000005</v>
      </c>
      <c r="P99" s="179">
        <v>624.92871000000002</v>
      </c>
      <c r="Q99" s="180">
        <v>624.92871000000002</v>
      </c>
      <c r="R99" s="179">
        <v>624.92871000000002</v>
      </c>
      <c r="S99" s="402">
        <v>624.92871000000002</v>
      </c>
      <c r="T99" s="179">
        <f t="shared" si="57"/>
        <v>211.57871</v>
      </c>
      <c r="U99" s="179">
        <f t="shared" si="58"/>
        <v>0</v>
      </c>
      <c r="V99" s="406">
        <v>436.09</v>
      </c>
      <c r="W99" s="167">
        <v>557610</v>
      </c>
      <c r="X99" s="167">
        <v>557.61</v>
      </c>
      <c r="Y99" s="406">
        <v>557.61</v>
      </c>
      <c r="Z99" s="406">
        <v>550.36410000000001</v>
      </c>
      <c r="AA99" s="406">
        <v>5.8411800000000005</v>
      </c>
      <c r="AB99" s="406">
        <v>1.40472</v>
      </c>
      <c r="AC99" s="403">
        <v>455.71404999999993</v>
      </c>
      <c r="AD99" s="406">
        <f>'[71]2. подк.неподк.'!X87</f>
        <v>526.22</v>
      </c>
      <c r="AE99" s="406">
        <f t="shared" si="55"/>
        <v>452.16068372062466</v>
      </c>
      <c r="AF99" s="402">
        <f t="shared" si="60"/>
        <v>452.16068372062466</v>
      </c>
      <c r="AG99" s="179">
        <v>473.94261199999994</v>
      </c>
      <c r="AH99" s="179">
        <v>753.92</v>
      </c>
      <c r="AI99" s="976">
        <f t="shared" si="59"/>
        <v>1.3520560965549397</v>
      </c>
      <c r="AJ99" s="976">
        <f t="shared" si="61"/>
        <v>279.97738800000002</v>
      </c>
      <c r="AK99" s="977">
        <f t="shared" si="63"/>
        <v>753.92</v>
      </c>
      <c r="AL99" s="74"/>
      <c r="AM99" s="52">
        <f t="shared" si="64"/>
        <v>279.97738800000002</v>
      </c>
    </row>
    <row r="100" spans="1:39" ht="33" customHeight="1" outlineLevel="1">
      <c r="A100" s="139"/>
      <c r="B100" s="176" t="s">
        <v>560</v>
      </c>
      <c r="C100" s="171" t="s">
        <v>561</v>
      </c>
      <c r="D100" s="981" t="s">
        <v>601</v>
      </c>
      <c r="E100" s="148" t="s">
        <v>562</v>
      </c>
      <c r="F100" s="172"/>
      <c r="G100" s="404" t="s">
        <v>552</v>
      </c>
      <c r="H100" s="179">
        <v>0</v>
      </c>
      <c r="I100" s="179">
        <v>0</v>
      </c>
      <c r="J100" s="179">
        <v>0</v>
      </c>
      <c r="K100" s="179">
        <v>942.79</v>
      </c>
      <c r="L100" s="179">
        <v>997.98</v>
      </c>
      <c r="M100" s="179">
        <v>997.98</v>
      </c>
      <c r="N100" s="179">
        <v>942.79</v>
      </c>
      <c r="O100" s="179">
        <v>1167.55</v>
      </c>
      <c r="P100" s="179">
        <v>1118.5686899999998</v>
      </c>
      <c r="Q100" s="180">
        <v>1118.5686899999998</v>
      </c>
      <c r="R100" s="179">
        <v>1118.5686899999998</v>
      </c>
      <c r="S100" s="402">
        <v>1118.5686899999998</v>
      </c>
      <c r="T100" s="179">
        <f t="shared" si="57"/>
        <v>175.77868999999987</v>
      </c>
      <c r="U100" s="179">
        <f t="shared" si="58"/>
        <v>0</v>
      </c>
      <c r="V100" s="406">
        <v>994.65</v>
      </c>
      <c r="W100" s="167">
        <v>782750</v>
      </c>
      <c r="X100" s="167">
        <v>782.75</v>
      </c>
      <c r="Y100" s="406">
        <v>782.75</v>
      </c>
      <c r="Z100" s="406">
        <v>778.92446999999993</v>
      </c>
      <c r="AA100" s="406">
        <v>2.8201300000000002</v>
      </c>
      <c r="AB100" s="406">
        <v>1.0054000000000001</v>
      </c>
      <c r="AC100" s="403">
        <v>1039.4092499999999</v>
      </c>
      <c r="AD100" s="406">
        <f>'[71]2. подк.неподк.'!X88</f>
        <v>1997.85</v>
      </c>
      <c r="AE100" s="406">
        <f t="shared" si="55"/>
        <v>1031.3046024048231</v>
      </c>
      <c r="AF100" s="402">
        <f t="shared" si="60"/>
        <v>1031.3046024048231</v>
      </c>
      <c r="AG100" s="403">
        <v>1080.9856199999999</v>
      </c>
      <c r="AH100" s="179">
        <v>3768.22</v>
      </c>
      <c r="AI100" s="976">
        <f t="shared" si="59"/>
        <v>4.8140785691472372</v>
      </c>
      <c r="AJ100" s="976">
        <f t="shared" si="61"/>
        <v>2687.2343799999999</v>
      </c>
      <c r="AK100" s="977">
        <f t="shared" si="63"/>
        <v>3768.22</v>
      </c>
      <c r="AL100" s="74"/>
      <c r="AM100" s="52">
        <f t="shared" si="64"/>
        <v>2687.2343799999999</v>
      </c>
    </row>
    <row r="101" spans="1:39" ht="33" customHeight="1" outlineLevel="1">
      <c r="A101" s="139"/>
      <c r="B101" s="176" t="s">
        <v>563</v>
      </c>
      <c r="C101" s="171" t="s">
        <v>564</v>
      </c>
      <c r="D101" s="982" t="s">
        <v>606</v>
      </c>
      <c r="E101" s="184" t="s">
        <v>565</v>
      </c>
      <c r="F101" s="172"/>
      <c r="G101" s="404" t="s">
        <v>552</v>
      </c>
      <c r="H101" s="179">
        <v>37128.449999999997</v>
      </c>
      <c r="I101" s="179">
        <v>56320</v>
      </c>
      <c r="J101" s="179">
        <v>37128.449999999997</v>
      </c>
      <c r="K101" s="179">
        <v>35274.25</v>
      </c>
      <c r="L101" s="179">
        <v>36628.97</v>
      </c>
      <c r="M101" s="179">
        <v>36628.97</v>
      </c>
      <c r="N101" s="179">
        <v>35274.25</v>
      </c>
      <c r="O101" s="179">
        <v>38626.426479999995</v>
      </c>
      <c r="P101" s="179">
        <v>32700.072960000001</v>
      </c>
      <c r="Q101" s="180">
        <v>32700.072960000001</v>
      </c>
      <c r="R101" s="179">
        <v>32700.072960000001</v>
      </c>
      <c r="S101" s="402">
        <v>32700.072960000001</v>
      </c>
      <c r="T101" s="179">
        <f t="shared" si="57"/>
        <v>-2574.1770399999987</v>
      </c>
      <c r="U101" s="179">
        <f t="shared" si="58"/>
        <v>0</v>
      </c>
      <c r="V101" s="406">
        <v>37214.33</v>
      </c>
      <c r="W101" s="983">
        <v>42561468.079999998</v>
      </c>
      <c r="X101" s="167">
        <v>42561.468079999999</v>
      </c>
      <c r="Y101" s="406">
        <v>42561.468079999999</v>
      </c>
      <c r="Z101" s="406">
        <v>33596.009509999996</v>
      </c>
      <c r="AA101" s="406">
        <v>8500.1258500000004</v>
      </c>
      <c r="AB101" s="406">
        <v>465.33272000000005</v>
      </c>
      <c r="AC101" s="403">
        <v>38888.974849999999</v>
      </c>
      <c r="AD101" s="166">
        <f>'[71]2. подк.неподк.'!X89-1000</f>
        <v>68231.839999999997</v>
      </c>
      <c r="AE101" s="406">
        <f t="shared" si="55"/>
        <v>38585.743532309738</v>
      </c>
      <c r="AF101" s="402">
        <f t="shared" si="60"/>
        <v>38585.743532309738</v>
      </c>
      <c r="AG101" s="403">
        <v>40444.533843999998</v>
      </c>
      <c r="AH101" s="179">
        <v>78315.89</v>
      </c>
      <c r="AI101" s="976">
        <f t="shared" si="59"/>
        <v>1.8400655224766862</v>
      </c>
      <c r="AJ101" s="976">
        <f t="shared" si="61"/>
        <v>37871.356156000002</v>
      </c>
      <c r="AK101" s="977">
        <f t="shared" si="63"/>
        <v>78315.89</v>
      </c>
      <c r="AL101" s="74"/>
      <c r="AM101" s="52">
        <f t="shared" si="64"/>
        <v>37871.356156000002</v>
      </c>
    </row>
    <row r="102" spans="1:39" ht="33" customHeight="1" outlineLevel="1">
      <c r="A102" s="139"/>
      <c r="B102" s="176" t="s">
        <v>566</v>
      </c>
      <c r="C102" s="171"/>
      <c r="D102" s="984" t="s">
        <v>611</v>
      </c>
      <c r="E102" s="184" t="s">
        <v>567</v>
      </c>
      <c r="F102" s="172"/>
      <c r="G102" s="404" t="s">
        <v>552</v>
      </c>
      <c r="H102" s="179">
        <v>0</v>
      </c>
      <c r="I102" s="179">
        <v>0</v>
      </c>
      <c r="J102" s="179">
        <v>0</v>
      </c>
      <c r="K102" s="179"/>
      <c r="L102" s="179"/>
      <c r="M102" s="179"/>
      <c r="N102" s="179"/>
      <c r="O102" s="179"/>
      <c r="P102" s="179"/>
      <c r="Q102" s="180"/>
      <c r="R102" s="179"/>
      <c r="S102" s="402"/>
      <c r="T102" s="179">
        <f t="shared" si="57"/>
        <v>0</v>
      </c>
      <c r="U102" s="179">
        <f t="shared" si="58"/>
        <v>0</v>
      </c>
      <c r="V102" s="406">
        <v>0</v>
      </c>
      <c r="W102" s="167">
        <v>0</v>
      </c>
      <c r="X102" s="167">
        <v>0</v>
      </c>
      <c r="Y102" s="406"/>
      <c r="Z102" s="406"/>
      <c r="AA102" s="406"/>
      <c r="AB102" s="406"/>
      <c r="AC102" s="403">
        <v>0</v>
      </c>
      <c r="AD102" s="406">
        <f>'[71]2. подк.неподк.'!X90</f>
        <v>69231.839999999997</v>
      </c>
      <c r="AE102" s="406">
        <f t="shared" si="55"/>
        <v>0</v>
      </c>
      <c r="AF102" s="402">
        <f t="shared" si="60"/>
        <v>0</v>
      </c>
      <c r="AG102" s="403">
        <v>0</v>
      </c>
      <c r="AH102" s="179">
        <v>78315.89</v>
      </c>
      <c r="AI102" s="976" t="e">
        <f t="shared" si="59"/>
        <v>#DIV/0!</v>
      </c>
      <c r="AJ102" s="976">
        <f t="shared" si="61"/>
        <v>78315.89</v>
      </c>
      <c r="AK102" s="977">
        <f t="shared" si="63"/>
        <v>78315.89</v>
      </c>
      <c r="AL102" s="74"/>
      <c r="AM102" s="52">
        <f t="shared" si="64"/>
        <v>78315.89</v>
      </c>
    </row>
    <row r="103" spans="1:39" ht="33" customHeight="1" outlineLevel="1">
      <c r="A103" s="139"/>
      <c r="B103" s="176" t="s">
        <v>568</v>
      </c>
      <c r="C103" s="171" t="s">
        <v>569</v>
      </c>
      <c r="D103" s="985" t="s">
        <v>615</v>
      </c>
      <c r="E103" s="162" t="s">
        <v>565</v>
      </c>
      <c r="F103" s="172"/>
      <c r="G103" s="404" t="s">
        <v>552</v>
      </c>
      <c r="H103" s="179">
        <v>0</v>
      </c>
      <c r="I103" s="179">
        <v>0</v>
      </c>
      <c r="J103" s="179">
        <v>0</v>
      </c>
      <c r="K103" s="179">
        <v>0</v>
      </c>
      <c r="L103" s="179">
        <v>527</v>
      </c>
      <c r="M103" s="179">
        <v>527</v>
      </c>
      <c r="N103" s="179">
        <v>0</v>
      </c>
      <c r="O103" s="179">
        <v>564.5</v>
      </c>
      <c r="P103" s="179">
        <v>491.22426000000002</v>
      </c>
      <c r="Q103" s="180">
        <v>491.22426000000002</v>
      </c>
      <c r="R103" s="179">
        <v>491.22426000000002</v>
      </c>
      <c r="S103" s="402">
        <v>491.22426000000002</v>
      </c>
      <c r="T103" s="179">
        <f t="shared" si="57"/>
        <v>491.22426000000002</v>
      </c>
      <c r="U103" s="179">
        <f t="shared" si="58"/>
        <v>0</v>
      </c>
      <c r="V103" s="406">
        <v>0</v>
      </c>
      <c r="W103" s="983">
        <v>567000</v>
      </c>
      <c r="X103" s="167">
        <v>567</v>
      </c>
      <c r="Y103" s="406">
        <v>567</v>
      </c>
      <c r="Z103" s="406">
        <v>510.50247999999999</v>
      </c>
      <c r="AA103" s="406">
        <v>54.343720000000005</v>
      </c>
      <c r="AB103" s="406">
        <v>2.1538000000000004</v>
      </c>
      <c r="AC103" s="403">
        <v>0</v>
      </c>
      <c r="AD103" s="406">
        <f>'[71]2. подк.неподк.'!X91</f>
        <v>559</v>
      </c>
      <c r="AE103" s="406">
        <f t="shared" si="55"/>
        <v>0</v>
      </c>
      <c r="AF103" s="402">
        <f t="shared" si="60"/>
        <v>0</v>
      </c>
      <c r="AG103" s="403">
        <v>0</v>
      </c>
      <c r="AH103" s="179">
        <v>567</v>
      </c>
      <c r="AI103" s="976">
        <f t="shared" si="59"/>
        <v>1</v>
      </c>
      <c r="AJ103" s="976">
        <f t="shared" si="61"/>
        <v>567</v>
      </c>
      <c r="AK103" s="977">
        <f t="shared" si="63"/>
        <v>567</v>
      </c>
      <c r="AL103" s="74"/>
      <c r="AM103" s="52">
        <f t="shared" si="64"/>
        <v>567</v>
      </c>
    </row>
    <row r="104" spans="1:39" ht="33" customHeight="1" outlineLevel="1">
      <c r="A104" s="139"/>
      <c r="B104" s="176" t="s">
        <v>570</v>
      </c>
      <c r="C104" s="171" t="s">
        <v>571</v>
      </c>
      <c r="D104" s="981" t="s">
        <v>620</v>
      </c>
      <c r="E104" s="148" t="s">
        <v>572</v>
      </c>
      <c r="F104" s="172"/>
      <c r="G104" s="404" t="s">
        <v>552</v>
      </c>
      <c r="H104" s="179">
        <v>0</v>
      </c>
      <c r="I104" s="179">
        <v>0</v>
      </c>
      <c r="J104" s="179">
        <v>0</v>
      </c>
      <c r="K104" s="179">
        <v>904.38</v>
      </c>
      <c r="L104" s="179">
        <v>1781.0855550000001</v>
      </c>
      <c r="M104" s="179">
        <v>1781.09</v>
      </c>
      <c r="N104" s="179">
        <v>904.38</v>
      </c>
      <c r="O104" s="179">
        <v>1808.6683700000001</v>
      </c>
      <c r="P104" s="179">
        <v>1702.02449</v>
      </c>
      <c r="Q104" s="180">
        <v>1702.02449</v>
      </c>
      <c r="R104" s="179">
        <v>1702.02449</v>
      </c>
      <c r="S104" s="402">
        <v>1702.02449</v>
      </c>
      <c r="T104" s="179">
        <f t="shared" si="57"/>
        <v>797.64449000000002</v>
      </c>
      <c r="U104" s="179">
        <f t="shared" si="58"/>
        <v>0</v>
      </c>
      <c r="V104" s="406">
        <v>954.12</v>
      </c>
      <c r="W104" s="167">
        <v>1899286.8</v>
      </c>
      <c r="X104" s="167">
        <v>1899.2868000000001</v>
      </c>
      <c r="Y104" s="406">
        <v>1899.2867999999999</v>
      </c>
      <c r="Z104" s="406">
        <v>1806.4879900000001</v>
      </c>
      <c r="AA104" s="406">
        <v>81.315929999999994</v>
      </c>
      <c r="AB104" s="406">
        <v>11.48288</v>
      </c>
      <c r="AC104" s="403">
        <v>997.05539999999996</v>
      </c>
      <c r="AD104" s="406">
        <f>'[71]2. подк.неподк.'!X92</f>
        <v>1996.8</v>
      </c>
      <c r="AE104" s="406">
        <f t="shared" si="55"/>
        <v>989.28100059969825</v>
      </c>
      <c r="AF104" s="402">
        <f t="shared" si="60"/>
        <v>989.28100059969825</v>
      </c>
      <c r="AG104" s="403">
        <v>1036.9376159999999</v>
      </c>
      <c r="AH104" s="179">
        <v>2022.74</v>
      </c>
      <c r="AI104" s="976">
        <f t="shared" si="59"/>
        <v>1.0649997672810656</v>
      </c>
      <c r="AJ104" s="976">
        <f t="shared" si="61"/>
        <v>985.80238400000007</v>
      </c>
      <c r="AK104" s="977">
        <f t="shared" si="63"/>
        <v>2022.74</v>
      </c>
      <c r="AL104" s="74"/>
      <c r="AM104" s="52">
        <f t="shared" si="64"/>
        <v>985.80238400000007</v>
      </c>
    </row>
    <row r="105" spans="1:39" ht="33" customHeight="1" outlineLevel="1">
      <c r="A105" s="139"/>
      <c r="B105" s="176" t="s">
        <v>573</v>
      </c>
      <c r="C105" s="980" t="s">
        <v>574</v>
      </c>
      <c r="D105" s="981" t="s">
        <v>627</v>
      </c>
      <c r="E105" s="148" t="s">
        <v>575</v>
      </c>
      <c r="F105" s="172"/>
      <c r="G105" s="404" t="s">
        <v>552</v>
      </c>
      <c r="H105" s="179">
        <v>0</v>
      </c>
      <c r="I105" s="179">
        <v>0</v>
      </c>
      <c r="J105" s="179">
        <v>0</v>
      </c>
      <c r="K105" s="179">
        <v>137.93</v>
      </c>
      <c r="L105" s="179">
        <v>264.13</v>
      </c>
      <c r="M105" s="179">
        <v>264.13</v>
      </c>
      <c r="N105" s="179">
        <v>137.93</v>
      </c>
      <c r="O105" s="179">
        <v>242.1</v>
      </c>
      <c r="P105" s="179">
        <v>211.30063000000001</v>
      </c>
      <c r="Q105" s="180">
        <v>211.30063000000001</v>
      </c>
      <c r="R105" s="179">
        <v>211.30063000000001</v>
      </c>
      <c r="S105" s="402">
        <v>211.30063000000001</v>
      </c>
      <c r="T105" s="179">
        <f t="shared" si="57"/>
        <v>73.370630000000006</v>
      </c>
      <c r="U105" s="179">
        <f t="shared" si="58"/>
        <v>0</v>
      </c>
      <c r="V105" s="406">
        <v>145.52000000000001</v>
      </c>
      <c r="W105" s="167">
        <v>242400</v>
      </c>
      <c r="X105" s="167">
        <v>242.4</v>
      </c>
      <c r="Y105" s="406">
        <v>242.4</v>
      </c>
      <c r="Z105" s="406">
        <v>218.76085999999998</v>
      </c>
      <c r="AA105" s="406">
        <v>22.243270000000003</v>
      </c>
      <c r="AB105" s="406">
        <v>1.3958699999999999</v>
      </c>
      <c r="AC105" s="403">
        <v>152.0684</v>
      </c>
      <c r="AD105" s="406">
        <f>'[71]2. подк.неподк.'!X93</f>
        <v>336.2</v>
      </c>
      <c r="AE105" s="406">
        <f t="shared" si="55"/>
        <v>150.88266801583458</v>
      </c>
      <c r="AF105" s="402">
        <f t="shared" si="60"/>
        <v>150.88266801583458</v>
      </c>
      <c r="AG105" s="403">
        <v>158.15113600000001</v>
      </c>
      <c r="AH105" s="179">
        <v>336.2</v>
      </c>
      <c r="AI105" s="976">
        <f t="shared" si="59"/>
        <v>1.3869636963696368</v>
      </c>
      <c r="AJ105" s="976">
        <f t="shared" si="61"/>
        <v>178.04886399999998</v>
      </c>
      <c r="AK105" s="977">
        <f t="shared" si="63"/>
        <v>336.2</v>
      </c>
      <c r="AL105" s="74"/>
      <c r="AM105" s="52">
        <f t="shared" si="64"/>
        <v>178.04886399999998</v>
      </c>
    </row>
    <row r="106" spans="1:39" ht="33" customHeight="1" outlineLevel="1">
      <c r="A106" s="139"/>
      <c r="B106" s="176" t="s">
        <v>576</v>
      </c>
      <c r="C106" s="980" t="s">
        <v>577</v>
      </c>
      <c r="D106" s="981" t="s">
        <v>632</v>
      </c>
      <c r="E106" s="148" t="s">
        <v>578</v>
      </c>
      <c r="F106" s="172"/>
      <c r="G106" s="404" t="s">
        <v>552</v>
      </c>
      <c r="H106" s="179">
        <v>0</v>
      </c>
      <c r="I106" s="179">
        <v>0</v>
      </c>
      <c r="J106" s="179">
        <v>0</v>
      </c>
      <c r="K106" s="179">
        <v>621.48</v>
      </c>
      <c r="L106" s="179">
        <v>1224</v>
      </c>
      <c r="M106" s="179">
        <v>1224</v>
      </c>
      <c r="N106" s="179">
        <v>621.48</v>
      </c>
      <c r="O106" s="179">
        <v>1128</v>
      </c>
      <c r="P106" s="179">
        <v>1053.1063100000001</v>
      </c>
      <c r="Q106" s="180">
        <v>1053.1063100000001</v>
      </c>
      <c r="R106" s="179">
        <v>1053.1063100000001</v>
      </c>
      <c r="S106" s="402">
        <v>1053.1063100000001</v>
      </c>
      <c r="T106" s="179">
        <f t="shared" si="57"/>
        <v>431.6263100000001</v>
      </c>
      <c r="U106" s="179">
        <f t="shared" si="58"/>
        <v>0</v>
      </c>
      <c r="V106" s="406">
        <v>655.66</v>
      </c>
      <c r="W106" s="167">
        <v>1188000</v>
      </c>
      <c r="X106" s="167">
        <v>1188</v>
      </c>
      <c r="Y106" s="406">
        <v>1188</v>
      </c>
      <c r="Z106" s="406">
        <v>1102.0406</v>
      </c>
      <c r="AA106" s="406">
        <v>82.57077000000001</v>
      </c>
      <c r="AB106" s="406">
        <v>3.38863</v>
      </c>
      <c r="AC106" s="403">
        <v>685.16469999999993</v>
      </c>
      <c r="AD106" s="406">
        <f>'[71]2. подк.неподк.'!X94</f>
        <v>1245.3</v>
      </c>
      <c r="AE106" s="406">
        <f t="shared" si="55"/>
        <v>679.82222451389566</v>
      </c>
      <c r="AF106" s="402">
        <f t="shared" si="60"/>
        <v>679.82222451389566</v>
      </c>
      <c r="AG106" s="403">
        <v>712.57128799999998</v>
      </c>
      <c r="AH106" s="179">
        <v>1265.22</v>
      </c>
      <c r="AI106" s="976">
        <f t="shared" si="59"/>
        <v>1.0649999999999999</v>
      </c>
      <c r="AJ106" s="976">
        <f t="shared" si="61"/>
        <v>552.64871200000005</v>
      </c>
      <c r="AK106" s="977">
        <f t="shared" si="63"/>
        <v>1265.22</v>
      </c>
      <c r="AL106" s="74"/>
      <c r="AM106" s="52">
        <f t="shared" si="64"/>
        <v>552.64871200000005</v>
      </c>
    </row>
    <row r="107" spans="1:39" ht="33" customHeight="1" outlineLevel="1">
      <c r="A107" s="139"/>
      <c r="B107" s="176" t="s">
        <v>579</v>
      </c>
      <c r="C107" s="980" t="s">
        <v>580</v>
      </c>
      <c r="D107" s="981" t="s">
        <v>637</v>
      </c>
      <c r="E107" s="148" t="s">
        <v>581</v>
      </c>
      <c r="F107" s="172"/>
      <c r="G107" s="404" t="s">
        <v>552</v>
      </c>
      <c r="H107" s="179">
        <v>0</v>
      </c>
      <c r="I107" s="179">
        <v>0</v>
      </c>
      <c r="J107" s="179">
        <v>0</v>
      </c>
      <c r="K107" s="179">
        <v>0.75</v>
      </c>
      <c r="L107" s="179">
        <v>1.5</v>
      </c>
      <c r="M107" s="179">
        <v>1.5</v>
      </c>
      <c r="N107" s="179">
        <v>0.75</v>
      </c>
      <c r="O107" s="179">
        <v>3</v>
      </c>
      <c r="P107" s="179">
        <v>3</v>
      </c>
      <c r="Q107" s="180">
        <v>3</v>
      </c>
      <c r="R107" s="179">
        <v>3</v>
      </c>
      <c r="S107" s="402">
        <v>3</v>
      </c>
      <c r="T107" s="179">
        <f t="shared" si="57"/>
        <v>2.25</v>
      </c>
      <c r="U107" s="179">
        <f t="shared" si="58"/>
        <v>0</v>
      </c>
      <c r="V107" s="406">
        <v>0.79</v>
      </c>
      <c r="W107" s="167">
        <v>7500</v>
      </c>
      <c r="X107" s="167">
        <v>7.5</v>
      </c>
      <c r="Y107" s="406">
        <v>7.5</v>
      </c>
      <c r="Z107" s="406">
        <v>7.5</v>
      </c>
      <c r="AA107" s="406">
        <v>0</v>
      </c>
      <c r="AB107" s="406">
        <v>0</v>
      </c>
      <c r="AC107" s="403">
        <v>0.82555000000000001</v>
      </c>
      <c r="AD107" s="406">
        <f>'[71]2. подк.неподк.'!X95</f>
        <v>3.3</v>
      </c>
      <c r="AE107" s="406">
        <f t="shared" si="55"/>
        <v>0.8191128898605643</v>
      </c>
      <c r="AF107" s="402">
        <f t="shared" si="60"/>
        <v>0.8191128898605643</v>
      </c>
      <c r="AG107" s="403">
        <v>0.858572</v>
      </c>
      <c r="AH107" s="179">
        <v>7.99</v>
      </c>
      <c r="AI107" s="976">
        <f t="shared" si="59"/>
        <v>1.0653333333333335</v>
      </c>
      <c r="AJ107" s="976">
        <f t="shared" si="61"/>
        <v>7.1314280000000005</v>
      </c>
      <c r="AK107" s="977">
        <f t="shared" si="63"/>
        <v>7.99</v>
      </c>
      <c r="AL107" s="74"/>
      <c r="AM107" s="52">
        <f t="shared" si="64"/>
        <v>7.1314280000000005</v>
      </c>
    </row>
    <row r="108" spans="1:39" ht="33" customHeight="1" outlineLevel="1">
      <c r="A108" s="139"/>
      <c r="B108" s="176" t="s">
        <v>582</v>
      </c>
      <c r="C108" s="980" t="s">
        <v>583</v>
      </c>
      <c r="D108" s="981" t="s">
        <v>642</v>
      </c>
      <c r="E108" s="148" t="s">
        <v>584</v>
      </c>
      <c r="F108" s="172"/>
      <c r="G108" s="404" t="s">
        <v>552</v>
      </c>
      <c r="H108" s="179">
        <v>0</v>
      </c>
      <c r="I108" s="179">
        <v>0</v>
      </c>
      <c r="J108" s="179">
        <v>0</v>
      </c>
      <c r="K108" s="179">
        <v>833.88</v>
      </c>
      <c r="L108" s="179">
        <v>1064.71046</v>
      </c>
      <c r="M108" s="179">
        <v>1064.71</v>
      </c>
      <c r="N108" s="179">
        <v>833.88</v>
      </c>
      <c r="O108" s="179">
        <v>1172.8</v>
      </c>
      <c r="P108" s="179">
        <v>1052.0836999999999</v>
      </c>
      <c r="Q108" s="180">
        <v>1052.0836999999999</v>
      </c>
      <c r="R108" s="179">
        <v>1052.0836999999999</v>
      </c>
      <c r="S108" s="402">
        <v>1052.0836999999999</v>
      </c>
      <c r="T108" s="179">
        <f t="shared" si="57"/>
        <v>218.20369999999991</v>
      </c>
      <c r="U108" s="179">
        <f t="shared" si="58"/>
        <v>0</v>
      </c>
      <c r="V108" s="406">
        <v>879.75</v>
      </c>
      <c r="W108" s="167">
        <v>1268073</v>
      </c>
      <c r="X108" s="167">
        <v>1268.0730000000001</v>
      </c>
      <c r="Y108" s="406">
        <v>1268.0730000000001</v>
      </c>
      <c r="Z108" s="406">
        <v>1179.31131</v>
      </c>
      <c r="AA108" s="406">
        <v>75.081559999999996</v>
      </c>
      <c r="AB108" s="406">
        <v>13.680129999999998</v>
      </c>
      <c r="AC108" s="403">
        <v>919.33874999999989</v>
      </c>
      <c r="AD108" s="406">
        <f>'[71]2. подк.неподк.'!X96</f>
        <v>2350.3000000000002</v>
      </c>
      <c r="AE108" s="406">
        <f t="shared" si="55"/>
        <v>912.17033525928025</v>
      </c>
      <c r="AF108" s="402">
        <f t="shared" si="60"/>
        <v>912.17033525928025</v>
      </c>
      <c r="AG108" s="403">
        <v>956.11229999999989</v>
      </c>
      <c r="AH108" s="179">
        <v>2614.6</v>
      </c>
      <c r="AI108" s="976">
        <f t="shared" si="59"/>
        <v>2.0618686779073441</v>
      </c>
      <c r="AJ108" s="976">
        <f t="shared" si="61"/>
        <v>1658.4877000000001</v>
      </c>
      <c r="AK108" s="977">
        <f t="shared" si="63"/>
        <v>2614.6</v>
      </c>
      <c r="AL108" s="74"/>
      <c r="AM108" s="52">
        <f t="shared" si="64"/>
        <v>1658.4877000000001</v>
      </c>
    </row>
    <row r="109" spans="1:39" ht="33" customHeight="1" outlineLevel="1">
      <c r="A109" s="139"/>
      <c r="B109" s="176" t="s">
        <v>585</v>
      </c>
      <c r="C109" s="980" t="s">
        <v>586</v>
      </c>
      <c r="D109" s="981" t="s">
        <v>647</v>
      </c>
      <c r="E109" s="148" t="s">
        <v>587</v>
      </c>
      <c r="F109" s="172"/>
      <c r="G109" s="404" t="s">
        <v>552</v>
      </c>
      <c r="H109" s="179">
        <v>0</v>
      </c>
      <c r="I109" s="179">
        <v>0</v>
      </c>
      <c r="J109" s="179">
        <v>0</v>
      </c>
      <c r="K109" s="179">
        <v>1461.19</v>
      </c>
      <c r="L109" s="179">
        <v>326.27777000000003</v>
      </c>
      <c r="M109" s="179">
        <v>326.27777000000003</v>
      </c>
      <c r="N109" s="179">
        <v>1461.19</v>
      </c>
      <c r="O109" s="179">
        <v>318.75953000000004</v>
      </c>
      <c r="P109" s="179">
        <v>307.28191999999996</v>
      </c>
      <c r="Q109" s="180">
        <v>307.28191999999996</v>
      </c>
      <c r="R109" s="179">
        <v>307.28191999999996</v>
      </c>
      <c r="S109" s="402">
        <v>307.28191999999996</v>
      </c>
      <c r="T109" s="179">
        <f t="shared" si="57"/>
        <v>-1153.9080800000002</v>
      </c>
      <c r="U109" s="179">
        <f t="shared" si="58"/>
        <v>0</v>
      </c>
      <c r="V109" s="406">
        <v>1541.56</v>
      </c>
      <c r="W109" s="167">
        <v>70922.05</v>
      </c>
      <c r="X109" s="167">
        <v>70.922049999999999</v>
      </c>
      <c r="Y109" s="406">
        <v>70.922049999999999</v>
      </c>
      <c r="Z109" s="406">
        <v>68.31871000000001</v>
      </c>
      <c r="AA109" s="406">
        <v>2.22634</v>
      </c>
      <c r="AB109" s="406">
        <v>0.377</v>
      </c>
      <c r="AC109" s="403">
        <v>1610.9301999999998</v>
      </c>
      <c r="AD109" s="166">
        <f>'[71]2. подк.неподк.'!X97+1000</f>
        <v>2470</v>
      </c>
      <c r="AE109" s="406">
        <f t="shared" si="55"/>
        <v>1598.3691980929766</v>
      </c>
      <c r="AF109" s="402">
        <f t="shared" si="60"/>
        <v>1598.3691980929766</v>
      </c>
      <c r="AG109" s="403">
        <v>1675.3674079999998</v>
      </c>
      <c r="AH109" s="179">
        <v>1470</v>
      </c>
      <c r="AI109" s="976">
        <f t="shared" si="59"/>
        <v>20.726981242081976</v>
      </c>
      <c r="AJ109" s="976">
        <f t="shared" si="61"/>
        <v>-205.36740799999984</v>
      </c>
      <c r="AK109" s="986"/>
      <c r="AL109" s="74"/>
      <c r="AM109" s="52">
        <f t="shared" si="64"/>
        <v>-205.36740799999984</v>
      </c>
    </row>
    <row r="110" spans="1:39" ht="33" customHeight="1" outlineLevel="1">
      <c r="A110" s="139"/>
      <c r="B110" s="176" t="s">
        <v>588</v>
      </c>
      <c r="C110" s="980" t="s">
        <v>589</v>
      </c>
      <c r="D110" s="981" t="s">
        <v>652</v>
      </c>
      <c r="E110" s="148" t="s">
        <v>590</v>
      </c>
      <c r="F110" s="172"/>
      <c r="G110" s="404" t="s">
        <v>552</v>
      </c>
      <c r="H110" s="179">
        <v>0</v>
      </c>
      <c r="I110" s="179">
        <v>0</v>
      </c>
      <c r="J110" s="179">
        <v>0</v>
      </c>
      <c r="K110" s="179">
        <v>0</v>
      </c>
      <c r="L110" s="179">
        <v>195</v>
      </c>
      <c r="M110" s="179">
        <v>0</v>
      </c>
      <c r="N110" s="179">
        <v>0</v>
      </c>
      <c r="O110" s="179">
        <v>213.779</v>
      </c>
      <c r="P110" s="179">
        <v>202.26337000000001</v>
      </c>
      <c r="Q110" s="180">
        <v>202.26337000000001</v>
      </c>
      <c r="R110" s="179">
        <v>202.26337000000001</v>
      </c>
      <c r="S110" s="402">
        <v>202.26337000000001</v>
      </c>
      <c r="T110" s="179">
        <f t="shared" si="57"/>
        <v>202.26337000000001</v>
      </c>
      <c r="U110" s="179">
        <f t="shared" si="58"/>
        <v>0</v>
      </c>
      <c r="V110" s="406">
        <v>0</v>
      </c>
      <c r="W110" s="167">
        <v>147910</v>
      </c>
      <c r="X110" s="167">
        <v>147.91</v>
      </c>
      <c r="Y110" s="406">
        <v>147.90999999999997</v>
      </c>
      <c r="Z110" s="406">
        <v>143.21706</v>
      </c>
      <c r="AA110" s="406">
        <v>3.93283</v>
      </c>
      <c r="AB110" s="406">
        <v>0.76011000000000006</v>
      </c>
      <c r="AC110" s="403">
        <v>0</v>
      </c>
      <c r="AD110" s="406">
        <f>'[71]2. подк.неподк.'!X98</f>
        <v>1120</v>
      </c>
      <c r="AE110" s="406">
        <f t="shared" si="55"/>
        <v>0</v>
      </c>
      <c r="AF110" s="402">
        <f t="shared" si="60"/>
        <v>0</v>
      </c>
      <c r="AG110" s="403">
        <v>0</v>
      </c>
      <c r="AH110" s="179">
        <v>1120</v>
      </c>
      <c r="AI110" s="976">
        <f t="shared" si="59"/>
        <v>7.5721722669190727</v>
      </c>
      <c r="AJ110" s="976">
        <f t="shared" si="61"/>
        <v>1120</v>
      </c>
      <c r="AK110" s="977">
        <f t="shared" si="63"/>
        <v>1120</v>
      </c>
      <c r="AL110" s="74"/>
      <c r="AM110" s="52">
        <f t="shared" si="64"/>
        <v>1120</v>
      </c>
    </row>
    <row r="111" spans="1:39" ht="33" customHeight="1" outlineLevel="1">
      <c r="A111" s="139"/>
      <c r="B111" s="176" t="s">
        <v>591</v>
      </c>
      <c r="C111" s="980" t="s">
        <v>592</v>
      </c>
      <c r="D111" s="981" t="s">
        <v>657</v>
      </c>
      <c r="E111" s="148" t="s">
        <v>593</v>
      </c>
      <c r="F111" s="172"/>
      <c r="G111" s="404" t="s">
        <v>552</v>
      </c>
      <c r="H111" s="179">
        <v>0</v>
      </c>
      <c r="I111" s="179">
        <v>0</v>
      </c>
      <c r="J111" s="179">
        <v>0</v>
      </c>
      <c r="K111" s="179">
        <v>150.04</v>
      </c>
      <c r="L111" s="179">
        <v>295.52999999999997</v>
      </c>
      <c r="M111" s="179">
        <v>295.52999999999997</v>
      </c>
      <c r="N111" s="179">
        <v>150.04</v>
      </c>
      <c r="O111" s="179">
        <v>292</v>
      </c>
      <c r="P111" s="179">
        <v>258.83817999999997</v>
      </c>
      <c r="Q111" s="180">
        <v>258.83817999999997</v>
      </c>
      <c r="R111" s="179">
        <v>258.83817999999997</v>
      </c>
      <c r="S111" s="402">
        <v>258.83817999999997</v>
      </c>
      <c r="T111" s="179">
        <f t="shared" si="57"/>
        <v>108.79817999999997</v>
      </c>
      <c r="U111" s="179">
        <f t="shared" si="58"/>
        <v>0</v>
      </c>
      <c r="V111" s="406">
        <v>158.29</v>
      </c>
      <c r="W111" s="167">
        <v>310000</v>
      </c>
      <c r="X111" s="167">
        <v>310</v>
      </c>
      <c r="Y111" s="406">
        <v>310</v>
      </c>
      <c r="Z111" s="406">
        <v>289.71419000000003</v>
      </c>
      <c r="AA111" s="406">
        <v>17.256670000000003</v>
      </c>
      <c r="AB111" s="406">
        <v>3.0291399999999999</v>
      </c>
      <c r="AC111" s="403">
        <v>165.41304999999997</v>
      </c>
      <c r="AD111" s="406">
        <f>'[71]2. подк.неподк.'!X99</f>
        <v>322.39999999999998</v>
      </c>
      <c r="AE111" s="406">
        <f t="shared" si="55"/>
        <v>164.12326498231482</v>
      </c>
      <c r="AF111" s="402">
        <f t="shared" si="60"/>
        <v>164.12326498231482</v>
      </c>
      <c r="AG111" s="403">
        <v>172.02957199999997</v>
      </c>
      <c r="AH111" s="179">
        <v>330.15</v>
      </c>
      <c r="AI111" s="976">
        <f t="shared" si="59"/>
        <v>1.0649999999999999</v>
      </c>
      <c r="AJ111" s="976">
        <f t="shared" si="61"/>
        <v>158.120428</v>
      </c>
      <c r="AK111" s="977">
        <f t="shared" si="63"/>
        <v>330.15</v>
      </c>
      <c r="AL111" s="74"/>
      <c r="AM111" s="52">
        <f t="shared" si="64"/>
        <v>158.120428</v>
      </c>
    </row>
    <row r="112" spans="1:39" ht="33" customHeight="1" outlineLevel="1">
      <c r="A112" s="139"/>
      <c r="B112" s="176" t="s">
        <v>594</v>
      </c>
      <c r="C112" s="980" t="s">
        <v>595</v>
      </c>
      <c r="D112" s="981" t="s">
        <v>661</v>
      </c>
      <c r="E112" s="148" t="s">
        <v>596</v>
      </c>
      <c r="F112" s="172"/>
      <c r="G112" s="404" t="s">
        <v>552</v>
      </c>
      <c r="H112" s="179">
        <v>0</v>
      </c>
      <c r="I112" s="179">
        <v>0</v>
      </c>
      <c r="J112" s="179">
        <v>0</v>
      </c>
      <c r="K112" s="179">
        <v>0</v>
      </c>
      <c r="L112" s="179">
        <v>0</v>
      </c>
      <c r="M112" s="179">
        <v>0</v>
      </c>
      <c r="N112" s="179">
        <v>0</v>
      </c>
      <c r="O112" s="179"/>
      <c r="P112" s="179"/>
      <c r="Q112" s="180"/>
      <c r="R112" s="179">
        <v>0</v>
      </c>
      <c r="S112" s="402">
        <v>0</v>
      </c>
      <c r="T112" s="179">
        <f t="shared" si="57"/>
        <v>0</v>
      </c>
      <c r="U112" s="179">
        <f t="shared" si="58"/>
        <v>0</v>
      </c>
      <c r="V112" s="406">
        <v>0</v>
      </c>
      <c r="W112" s="167">
        <v>18165390.399999999</v>
      </c>
      <c r="X112" s="167">
        <v>18165.3904</v>
      </c>
      <c r="Y112" s="406">
        <v>18165.390400000004</v>
      </c>
      <c r="Z112" s="406"/>
      <c r="AA112" s="406">
        <v>2362.5990099999999</v>
      </c>
      <c r="AB112" s="406">
        <v>135.03973000000002</v>
      </c>
      <c r="AC112" s="403">
        <v>0</v>
      </c>
      <c r="AD112" s="406">
        <f>'[71]2. подк.неподк.'!X100</f>
        <v>0</v>
      </c>
      <c r="AE112" s="406">
        <f t="shared" si="55"/>
        <v>0</v>
      </c>
      <c r="AF112" s="402">
        <f t="shared" si="60"/>
        <v>0</v>
      </c>
      <c r="AG112" s="403">
        <v>0</v>
      </c>
      <c r="AH112" s="179">
        <v>0</v>
      </c>
      <c r="AI112" s="976">
        <f t="shared" si="59"/>
        <v>0</v>
      </c>
      <c r="AJ112" s="976">
        <f t="shared" si="61"/>
        <v>0</v>
      </c>
      <c r="AK112" s="977">
        <f t="shared" si="63"/>
        <v>0</v>
      </c>
      <c r="AL112" s="74"/>
      <c r="AM112" s="52">
        <f t="shared" si="64"/>
        <v>0</v>
      </c>
    </row>
    <row r="113" spans="1:40" ht="33" customHeight="1">
      <c r="A113" s="139"/>
      <c r="B113" s="409" t="s">
        <v>597</v>
      </c>
      <c r="C113" s="955"/>
      <c r="D113" s="167"/>
      <c r="E113" s="185" t="s">
        <v>598</v>
      </c>
      <c r="F113" s="185" t="s">
        <v>598</v>
      </c>
      <c r="G113" s="406" t="s">
        <v>121</v>
      </c>
      <c r="H113" s="402">
        <f t="shared" ref="H113:N113" si="65">SUM(H114,H120)</f>
        <v>90462.118928115742</v>
      </c>
      <c r="I113" s="402">
        <f t="shared" si="65"/>
        <v>84565.034530000004</v>
      </c>
      <c r="J113" s="402">
        <f t="shared" si="65"/>
        <v>84565.033640000009</v>
      </c>
      <c r="K113" s="402">
        <f t="shared" si="65"/>
        <v>99261.676557352388</v>
      </c>
      <c r="L113" s="402">
        <f t="shared" si="65"/>
        <v>105633.92383</v>
      </c>
      <c r="M113" s="402">
        <f t="shared" si="65"/>
        <v>105633.91655999998</v>
      </c>
      <c r="N113" s="402">
        <f t="shared" si="65"/>
        <v>86280.324367356108</v>
      </c>
      <c r="O113" s="402">
        <f>SUM(O114,O120)</f>
        <v>131335.68335000001</v>
      </c>
      <c r="P113" s="402">
        <f>SUM(P114,P120)</f>
        <v>129088.47916</v>
      </c>
      <c r="Q113" s="145">
        <f t="shared" ref="Q113:W113" si="66">SUM(Q114,Q120)</f>
        <v>129088.47916</v>
      </c>
      <c r="R113" s="402">
        <f t="shared" si="66"/>
        <v>129088.47916</v>
      </c>
      <c r="S113" s="402">
        <f t="shared" si="66"/>
        <v>129088.47916</v>
      </c>
      <c r="T113" s="402">
        <f t="shared" si="57"/>
        <v>42808.154792643894</v>
      </c>
      <c r="U113" s="402">
        <f t="shared" si="58"/>
        <v>0</v>
      </c>
      <c r="V113" s="402">
        <f t="shared" si="66"/>
        <v>74028.423791742825</v>
      </c>
      <c r="W113" s="402">
        <f t="shared" si="66"/>
        <v>154252291.22</v>
      </c>
      <c r="X113" s="402">
        <f>SUM(X114,X120)</f>
        <v>154252.29122000001</v>
      </c>
      <c r="Y113" s="402">
        <f t="shared" ref="Y113:AK113" si="67">SUM(Y114,Y120)</f>
        <v>154252.29122000001</v>
      </c>
      <c r="Z113" s="168">
        <f t="shared" si="67"/>
        <v>153414.06935000001</v>
      </c>
      <c r="AA113" s="402">
        <f t="shared" si="67"/>
        <v>672.48061999999982</v>
      </c>
      <c r="AB113" s="402">
        <f t="shared" si="67"/>
        <v>165.74125000000001</v>
      </c>
      <c r="AC113" s="170">
        <f t="shared" si="67"/>
        <v>77359.700362371252</v>
      </c>
      <c r="AD113" s="170">
        <f t="shared" si="67"/>
        <v>187298.98638432712</v>
      </c>
      <c r="AE113" s="170">
        <f t="shared" si="67"/>
        <v>76756.5014479456</v>
      </c>
      <c r="AF113" s="170">
        <f t="shared" si="67"/>
        <v>76756.5014479456</v>
      </c>
      <c r="AG113" s="170">
        <f t="shared" si="67"/>
        <v>80454.090976866108</v>
      </c>
      <c r="AH113" s="173">
        <f t="shared" si="67"/>
        <v>164832.71918858867</v>
      </c>
      <c r="AI113" s="974">
        <f t="shared" si="59"/>
        <v>1.0685917070333721</v>
      </c>
      <c r="AJ113" s="975">
        <f t="shared" ref="AJ113" si="68">SUM(AJ114,AJ120)</f>
        <v>84378.628211722593</v>
      </c>
      <c r="AK113" s="975">
        <f t="shared" si="67"/>
        <v>164024.59666195759</v>
      </c>
      <c r="AL113" s="74"/>
      <c r="AN113" s="191">
        <f>SUM(AM115:AM128)</f>
        <v>84378.628211722593</v>
      </c>
    </row>
    <row r="114" spans="1:40" ht="33" customHeight="1" outlineLevel="1">
      <c r="A114" s="139"/>
      <c r="B114" s="409" t="s">
        <v>599</v>
      </c>
      <c r="C114" s="987"/>
      <c r="D114" s="988"/>
      <c r="E114" s="187" t="s">
        <v>600</v>
      </c>
      <c r="F114" s="187" t="s">
        <v>600</v>
      </c>
      <c r="G114" s="406" t="s">
        <v>121</v>
      </c>
      <c r="H114" s="402">
        <f t="shared" ref="H114:N114" si="69">SUM(H115:H119)</f>
        <v>61649.36176624475</v>
      </c>
      <c r="I114" s="402">
        <f t="shared" si="69"/>
        <v>62192.333639999997</v>
      </c>
      <c r="J114" s="402">
        <f t="shared" si="69"/>
        <v>62192.333639999997</v>
      </c>
      <c r="K114" s="402">
        <f t="shared" si="69"/>
        <v>77789.292082117579</v>
      </c>
      <c r="L114" s="402">
        <f t="shared" si="69"/>
        <v>88686.79406</v>
      </c>
      <c r="M114" s="402">
        <f t="shared" si="69"/>
        <v>88686.789999999979</v>
      </c>
      <c r="N114" s="402">
        <f t="shared" si="69"/>
        <v>67714.398048373812</v>
      </c>
      <c r="O114" s="402">
        <f>SUM(O115:O119)</f>
        <v>102520.16925000001</v>
      </c>
      <c r="P114" s="402">
        <f t="shared" ref="P114:S114" si="70">SUM(P115:P119)</f>
        <v>100593.69667</v>
      </c>
      <c r="Q114" s="145">
        <f t="shared" si="70"/>
        <v>100593.69667</v>
      </c>
      <c r="R114" s="402">
        <f t="shared" si="70"/>
        <v>100593.69667</v>
      </c>
      <c r="S114" s="402">
        <f t="shared" si="70"/>
        <v>100593.69667</v>
      </c>
      <c r="T114" s="402">
        <f t="shared" si="57"/>
        <v>32879.298621626192</v>
      </c>
      <c r="U114" s="402">
        <f t="shared" si="58"/>
        <v>0</v>
      </c>
      <c r="V114" s="402">
        <f>SUM(V115:V119)</f>
        <v>56569.22214749999</v>
      </c>
      <c r="W114" s="402">
        <f>SUM(W115:W119)</f>
        <v>126543084.89999999</v>
      </c>
      <c r="X114" s="953">
        <f>SUM(X115:X119)</f>
        <v>126543.0849</v>
      </c>
      <c r="Y114" s="953">
        <f t="shared" ref="Y114:AK114" si="71">SUM(Y115:Y119)</f>
        <v>126543.0849</v>
      </c>
      <c r="Z114" s="953">
        <f t="shared" si="71"/>
        <v>126168.09026</v>
      </c>
      <c r="AA114" s="953">
        <f t="shared" si="71"/>
        <v>296.04019999999997</v>
      </c>
      <c r="AB114" s="953">
        <f t="shared" si="71"/>
        <v>78.954440000000005</v>
      </c>
      <c r="AC114" s="170">
        <f t="shared" si="71"/>
        <v>59114.834644137489</v>
      </c>
      <c r="AD114" s="170">
        <f t="shared" si="71"/>
        <v>154432.05000000002</v>
      </c>
      <c r="AE114" s="170">
        <f t="shared" si="71"/>
        <v>58653.897506839188</v>
      </c>
      <c r="AF114" s="170">
        <f t="shared" si="71"/>
        <v>58653.897506839188</v>
      </c>
      <c r="AG114" s="170">
        <f t="shared" si="71"/>
        <v>61479.430629902999</v>
      </c>
      <c r="AH114" s="173">
        <f t="shared" si="71"/>
        <v>129394.94</v>
      </c>
      <c r="AI114" s="974">
        <f t="shared" si="59"/>
        <v>1.0225366332917651</v>
      </c>
      <c r="AJ114" s="975">
        <f t="shared" ref="AJ114" si="72">SUM(AJ115:AJ119)</f>
        <v>67915.509370097017</v>
      </c>
      <c r="AK114" s="975">
        <f t="shared" si="71"/>
        <v>128840.27</v>
      </c>
      <c r="AL114" s="74"/>
    </row>
    <row r="115" spans="1:40" ht="33" customHeight="1" outlineLevel="2">
      <c r="A115" s="139" t="s">
        <v>601</v>
      </c>
      <c r="B115" s="406" t="s">
        <v>602</v>
      </c>
      <c r="C115" s="198" t="s">
        <v>603</v>
      </c>
      <c r="D115" s="956" t="s">
        <v>672</v>
      </c>
      <c r="E115" s="148" t="s">
        <v>604</v>
      </c>
      <c r="F115" s="405" t="s">
        <v>605</v>
      </c>
      <c r="G115" s="406" t="s">
        <v>121</v>
      </c>
      <c r="H115" s="406">
        <v>13836.057856128504</v>
      </c>
      <c r="I115" s="406">
        <v>6601.8531700000003</v>
      </c>
      <c r="J115" s="406">
        <v>6601.8531700000003</v>
      </c>
      <c r="K115" s="406">
        <v>32488.04</v>
      </c>
      <c r="L115" s="406">
        <v>28610.317640000001</v>
      </c>
      <c r="M115" s="406">
        <v>28610.32</v>
      </c>
      <c r="N115" s="406">
        <v>21881.55</v>
      </c>
      <c r="O115" s="406">
        <v>62695.327549999995</v>
      </c>
      <c r="P115" s="406">
        <v>62725.195039999999</v>
      </c>
      <c r="Q115" s="150">
        <v>62725.195039999999</v>
      </c>
      <c r="R115" s="406">
        <v>62725.195039999999</v>
      </c>
      <c r="S115" s="402">
        <v>62725.195039999999</v>
      </c>
      <c r="T115" s="406">
        <f t="shared" si="57"/>
        <v>40843.645040000003</v>
      </c>
      <c r="U115" s="406">
        <f t="shared" si="58"/>
        <v>0</v>
      </c>
      <c r="V115" s="406">
        <v>32447.679169999996</v>
      </c>
      <c r="W115" s="167">
        <v>112398570.41</v>
      </c>
      <c r="X115" s="167">
        <v>112398.57041</v>
      </c>
      <c r="Y115" s="406">
        <v>112398.57041</v>
      </c>
      <c r="Z115" s="406">
        <v>112361.69822000001</v>
      </c>
      <c r="AA115" s="406">
        <v>0</v>
      </c>
      <c r="AB115" s="406">
        <v>36.872190000000003</v>
      </c>
      <c r="AC115" s="403">
        <v>33907.824732649991</v>
      </c>
      <c r="AD115" s="406">
        <f>'[71]2. подк.неподк.'!X103</f>
        <v>109702.51</v>
      </c>
      <c r="AE115" s="406">
        <f>V115*$AD$11</f>
        <v>33643.433233173586</v>
      </c>
      <c r="AF115" s="402">
        <f t="shared" si="60"/>
        <v>33643.433233173586</v>
      </c>
      <c r="AG115" s="167">
        <v>35264.137721955994</v>
      </c>
      <c r="AH115" s="406">
        <v>95979.58</v>
      </c>
      <c r="AI115" s="957">
        <f t="shared" si="59"/>
        <v>0.85392171492833135</v>
      </c>
      <c r="AJ115" s="957">
        <f t="shared" si="61"/>
        <v>60715.442278044007</v>
      </c>
      <c r="AK115" s="958">
        <f t="shared" ref="AK115:AK128" si="73">AH115</f>
        <v>95979.58</v>
      </c>
      <c r="AL115" s="74"/>
      <c r="AM115" s="52">
        <f>AH115-AG115</f>
        <v>60715.442278044007</v>
      </c>
    </row>
    <row r="116" spans="1:40" ht="33" customHeight="1" outlineLevel="2">
      <c r="A116" s="139" t="s">
        <v>606</v>
      </c>
      <c r="B116" s="406" t="s">
        <v>607</v>
      </c>
      <c r="C116" s="198" t="s">
        <v>608</v>
      </c>
      <c r="D116" s="956" t="s">
        <v>677</v>
      </c>
      <c r="E116" s="148" t="s">
        <v>609</v>
      </c>
      <c r="F116" s="1333" t="s">
        <v>610</v>
      </c>
      <c r="G116" s="1334" t="s">
        <v>121</v>
      </c>
      <c r="H116" s="406">
        <v>17549.834470801015</v>
      </c>
      <c r="I116" s="406">
        <v>13416.07368</v>
      </c>
      <c r="J116" s="406">
        <v>13416.07368</v>
      </c>
      <c r="K116" s="406">
        <v>18303.740000000002</v>
      </c>
      <c r="L116" s="406">
        <v>49380.83</v>
      </c>
      <c r="M116" s="406">
        <v>49380.83</v>
      </c>
      <c r="N116" s="406">
        <v>19327</v>
      </c>
      <c r="O116" s="406">
        <v>27548.53241</v>
      </c>
      <c r="P116" s="406">
        <v>25820.29638</v>
      </c>
      <c r="Q116" s="150">
        <v>25820.29638</v>
      </c>
      <c r="R116" s="406">
        <v>25820.29638</v>
      </c>
      <c r="S116" s="402">
        <v>25820.29638</v>
      </c>
      <c r="T116" s="406">
        <f t="shared" si="57"/>
        <v>6493.2963799999998</v>
      </c>
      <c r="U116" s="406">
        <f t="shared" si="58"/>
        <v>0</v>
      </c>
      <c r="V116" s="406">
        <v>15673.24</v>
      </c>
      <c r="W116" s="167">
        <v>3340411.03</v>
      </c>
      <c r="X116" s="167">
        <v>3340.4110299999998</v>
      </c>
      <c r="Y116" s="406">
        <v>3340.4110300000002</v>
      </c>
      <c r="Z116" s="406">
        <v>3088.6011000000003</v>
      </c>
      <c r="AA116" s="406">
        <v>216.32022000000001</v>
      </c>
      <c r="AB116" s="406">
        <v>35.489710000000002</v>
      </c>
      <c r="AC116" s="403">
        <v>16378.535799999998</v>
      </c>
      <c r="AD116" s="406">
        <f>'[71]2. подк.неподк.'!X104</f>
        <v>31725.15</v>
      </c>
      <c r="AE116" s="406">
        <f>V116*$AD$11</f>
        <v>16250.826468200241</v>
      </c>
      <c r="AF116" s="402">
        <f t="shared" si="60"/>
        <v>16250.826468200241</v>
      </c>
      <c r="AG116" s="167">
        <v>17033.677231999998</v>
      </c>
      <c r="AH116" s="406">
        <v>21853.66</v>
      </c>
      <c r="AI116" s="957">
        <f t="shared" si="59"/>
        <v>6.5422068732661325</v>
      </c>
      <c r="AJ116" s="957">
        <f t="shared" si="61"/>
        <v>4819.9827680000017</v>
      </c>
      <c r="AK116" s="958">
        <f t="shared" si="73"/>
        <v>21853.66</v>
      </c>
      <c r="AL116" s="74"/>
      <c r="AM116" s="52">
        <f>AH116-AG116</f>
        <v>4819.9827680000017</v>
      </c>
    </row>
    <row r="117" spans="1:40" ht="33" customHeight="1" outlineLevel="2">
      <c r="A117" s="139" t="s">
        <v>611</v>
      </c>
      <c r="B117" s="406" t="s">
        <v>612</v>
      </c>
      <c r="C117" s="198" t="s">
        <v>613</v>
      </c>
      <c r="D117" s="956" t="s">
        <v>682</v>
      </c>
      <c r="E117" s="148" t="s">
        <v>614</v>
      </c>
      <c r="F117" s="1333"/>
      <c r="G117" s="1334"/>
      <c r="H117" s="406">
        <v>0</v>
      </c>
      <c r="I117" s="406">
        <v>0</v>
      </c>
      <c r="J117" s="406">
        <v>0</v>
      </c>
      <c r="K117" s="406">
        <v>953.22</v>
      </c>
      <c r="L117" s="406">
        <v>2571.65</v>
      </c>
      <c r="M117" s="406">
        <v>2571.65</v>
      </c>
      <c r="N117" s="406">
        <v>1006.51</v>
      </c>
      <c r="O117" s="406">
        <v>2438.0134299999995</v>
      </c>
      <c r="P117" s="406">
        <v>2209.9093900000003</v>
      </c>
      <c r="Q117" s="150">
        <v>2209.9093900000003</v>
      </c>
      <c r="R117" s="406">
        <v>2209.9093900000003</v>
      </c>
      <c r="S117" s="402">
        <v>2209.9093900000003</v>
      </c>
      <c r="T117" s="406">
        <f t="shared" si="57"/>
        <v>1203.3993900000003</v>
      </c>
      <c r="U117" s="406">
        <f t="shared" si="58"/>
        <v>0</v>
      </c>
      <c r="V117" s="406">
        <v>816.06</v>
      </c>
      <c r="W117" s="167">
        <v>797718.82000000007</v>
      </c>
      <c r="X117" s="167">
        <v>797.71882000000005</v>
      </c>
      <c r="Y117" s="406">
        <v>797.71881999999994</v>
      </c>
      <c r="Z117" s="406">
        <v>711.40782999999999</v>
      </c>
      <c r="AA117" s="406">
        <v>79.718829999999997</v>
      </c>
      <c r="AB117" s="406">
        <v>6.5921599999999998</v>
      </c>
      <c r="AC117" s="403">
        <v>852.78269999999986</v>
      </c>
      <c r="AD117" s="406">
        <f>'[71]2. подк.неподк.'!X105</f>
        <v>2142.91</v>
      </c>
      <c r="AE117" s="406">
        <f>V117*$AD$11</f>
        <v>846.13324670836971</v>
      </c>
      <c r="AF117" s="402">
        <f t="shared" si="60"/>
        <v>846.13324670836971</v>
      </c>
      <c r="AG117" s="167">
        <v>886.89400799999987</v>
      </c>
      <c r="AH117" s="406">
        <v>554.66999999999996</v>
      </c>
      <c r="AI117" s="957">
        <f t="shared" si="59"/>
        <v>0.69532018813345775</v>
      </c>
      <c r="AJ117" s="957">
        <f t="shared" si="61"/>
        <v>-332.22400799999991</v>
      </c>
      <c r="AK117" s="965"/>
      <c r="AL117" s="74"/>
      <c r="AM117" s="52">
        <f>AH117-AG117</f>
        <v>-332.22400799999991</v>
      </c>
    </row>
    <row r="118" spans="1:40" ht="33" customHeight="1" outlineLevel="2">
      <c r="A118" s="139" t="s">
        <v>615</v>
      </c>
      <c r="B118" s="406" t="s">
        <v>616</v>
      </c>
      <c r="C118" s="198" t="s">
        <v>617</v>
      </c>
      <c r="D118" s="956" t="s">
        <v>687</v>
      </c>
      <c r="E118" s="148" t="s">
        <v>618</v>
      </c>
      <c r="F118" s="405" t="s">
        <v>619</v>
      </c>
      <c r="G118" s="406" t="s">
        <v>121</v>
      </c>
      <c r="H118" s="406">
        <v>13947.739439315237</v>
      </c>
      <c r="I118" s="406">
        <v>3491.11679</v>
      </c>
      <c r="J118" s="406">
        <v>3491.11679</v>
      </c>
      <c r="K118" s="406">
        <v>15304.482082117578</v>
      </c>
      <c r="L118" s="406">
        <v>6683.34303</v>
      </c>
      <c r="M118" s="406">
        <v>6683.34</v>
      </c>
      <c r="N118" s="406">
        <v>16160.0680483738</v>
      </c>
      <c r="O118" s="406">
        <v>9788.2958600000002</v>
      </c>
      <c r="P118" s="406">
        <v>9788.2958600000002</v>
      </c>
      <c r="Q118" s="150">
        <v>9788.2958600000002</v>
      </c>
      <c r="R118" s="406">
        <v>9788.2958600000002</v>
      </c>
      <c r="S118" s="402">
        <v>9788.2958600000002</v>
      </c>
      <c r="T118" s="406">
        <f t="shared" si="57"/>
        <v>-6371.7721883737995</v>
      </c>
      <c r="U118" s="406">
        <f t="shared" si="58"/>
        <v>0</v>
      </c>
      <c r="V118" s="406">
        <v>7579.7429775000001</v>
      </c>
      <c r="W118" s="167">
        <v>9926767.2699999996</v>
      </c>
      <c r="X118" s="167">
        <v>9926.7672700000003</v>
      </c>
      <c r="Y118" s="406">
        <v>9926.7672700000003</v>
      </c>
      <c r="Z118" s="406">
        <v>9926.7672700000003</v>
      </c>
      <c r="AA118" s="406">
        <v>0</v>
      </c>
      <c r="AB118" s="406">
        <v>0</v>
      </c>
      <c r="AC118" s="403">
        <v>7920.8314114874993</v>
      </c>
      <c r="AD118" s="406">
        <f>'[71]2. подк.неподк.'!X106</f>
        <v>10806.28</v>
      </c>
      <c r="AE118" s="406">
        <f>V118*$AD$11</f>
        <v>7859.0698413928394</v>
      </c>
      <c r="AF118" s="402">
        <f t="shared" si="60"/>
        <v>7859.0698413928394</v>
      </c>
      <c r="AG118" s="167">
        <v>8237.6646679469995</v>
      </c>
      <c r="AH118" s="406">
        <v>10919.45</v>
      </c>
      <c r="AI118" s="957">
        <f t="shared" si="59"/>
        <v>1.1000006047285926</v>
      </c>
      <c r="AJ118" s="957">
        <f t="shared" si="61"/>
        <v>2681.7853320530012</v>
      </c>
      <c r="AK118" s="958">
        <f t="shared" si="73"/>
        <v>10919.45</v>
      </c>
      <c r="AL118" s="74"/>
      <c r="AM118" s="52">
        <f>AH118-AG118</f>
        <v>2681.7853320530012</v>
      </c>
    </row>
    <row r="119" spans="1:40" ht="33" customHeight="1" outlineLevel="2">
      <c r="A119" s="407" t="s">
        <v>620</v>
      </c>
      <c r="B119" s="406" t="s">
        <v>621</v>
      </c>
      <c r="C119" s="198" t="s">
        <v>622</v>
      </c>
      <c r="D119" s="956" t="s">
        <v>692</v>
      </c>
      <c r="E119" s="164" t="s">
        <v>623</v>
      </c>
      <c r="F119" s="405" t="s">
        <v>624</v>
      </c>
      <c r="G119" s="406" t="s">
        <v>121</v>
      </c>
      <c r="H119" s="406">
        <v>16315.73</v>
      </c>
      <c r="I119" s="406">
        <v>38683.29</v>
      </c>
      <c r="J119" s="406">
        <v>38683.29</v>
      </c>
      <c r="K119" s="406">
        <v>10739.81</v>
      </c>
      <c r="L119" s="406">
        <v>1440.6533899999899</v>
      </c>
      <c r="M119" s="406">
        <v>1440.65</v>
      </c>
      <c r="N119" s="406">
        <v>9339.27</v>
      </c>
      <c r="O119" s="406">
        <v>50</v>
      </c>
      <c r="P119" s="406">
        <v>50</v>
      </c>
      <c r="Q119" s="150">
        <v>50</v>
      </c>
      <c r="R119" s="406">
        <v>50</v>
      </c>
      <c r="S119" s="402">
        <v>50</v>
      </c>
      <c r="T119" s="406">
        <f t="shared" si="57"/>
        <v>-9289.27</v>
      </c>
      <c r="U119" s="406">
        <f t="shared" si="58"/>
        <v>0</v>
      </c>
      <c r="V119" s="406">
        <v>52.5</v>
      </c>
      <c r="W119" s="167">
        <v>79617.37000000001</v>
      </c>
      <c r="X119" s="167">
        <v>79.617370000000008</v>
      </c>
      <c r="Y119" s="406">
        <v>79.617370000000008</v>
      </c>
      <c r="Z119" s="406">
        <v>79.615840000000006</v>
      </c>
      <c r="AA119" s="406">
        <v>1.15E-3</v>
      </c>
      <c r="AB119" s="406">
        <v>3.8000000000000002E-4</v>
      </c>
      <c r="AC119" s="403">
        <v>54.86</v>
      </c>
      <c r="AD119" s="406">
        <f>'[71]2. подк.неподк.'!X107</f>
        <v>55.2</v>
      </c>
      <c r="AE119" s="406">
        <f>V119*$AD$11</f>
        <v>54.434717364151425</v>
      </c>
      <c r="AF119" s="402">
        <f t="shared" si="60"/>
        <v>54.434717364151425</v>
      </c>
      <c r="AG119" s="167">
        <v>57.057000000000002</v>
      </c>
      <c r="AH119" s="406">
        <v>87.58</v>
      </c>
      <c r="AI119" s="957">
        <f t="shared" si="59"/>
        <v>1.1000112161454214</v>
      </c>
      <c r="AJ119" s="957">
        <f t="shared" si="61"/>
        <v>30.522999999999996</v>
      </c>
      <c r="AK119" s="958">
        <f t="shared" si="73"/>
        <v>87.58</v>
      </c>
      <c r="AL119" s="74"/>
      <c r="AM119" s="52">
        <f>AH119-AG119</f>
        <v>30.522999999999996</v>
      </c>
    </row>
    <row r="120" spans="1:40" ht="33" customHeight="1" outlineLevel="1">
      <c r="A120" s="139"/>
      <c r="B120" s="409" t="s">
        <v>625</v>
      </c>
      <c r="C120" s="186"/>
      <c r="D120" s="195"/>
      <c r="E120" s="187" t="s">
        <v>626</v>
      </c>
      <c r="F120" s="187" t="s">
        <v>626</v>
      </c>
      <c r="G120" s="406" t="s">
        <v>121</v>
      </c>
      <c r="H120" s="402">
        <f t="shared" ref="H120:N120" si="74">SUM(H121:H128)</f>
        <v>28812.757161870992</v>
      </c>
      <c r="I120" s="402">
        <f t="shared" si="74"/>
        <v>22372.70089</v>
      </c>
      <c r="J120" s="402">
        <f t="shared" si="74"/>
        <v>22372.700000000004</v>
      </c>
      <c r="K120" s="402">
        <f t="shared" si="74"/>
        <v>21472.384475234809</v>
      </c>
      <c r="L120" s="402">
        <f t="shared" si="74"/>
        <v>16947.12977</v>
      </c>
      <c r="M120" s="402">
        <f t="shared" si="74"/>
        <v>16947.126560000001</v>
      </c>
      <c r="N120" s="402">
        <f t="shared" si="74"/>
        <v>18565.926318982296</v>
      </c>
      <c r="O120" s="402">
        <f>SUM(O121:O128)</f>
        <v>28815.5141</v>
      </c>
      <c r="P120" s="402">
        <f t="shared" ref="P120:W120" si="75">SUM(P121:P128)</f>
        <v>28494.782489999998</v>
      </c>
      <c r="Q120" s="145">
        <f t="shared" si="75"/>
        <v>28494.782489999998</v>
      </c>
      <c r="R120" s="402">
        <f t="shared" si="75"/>
        <v>28494.782489999998</v>
      </c>
      <c r="S120" s="402">
        <f t="shared" si="75"/>
        <v>28494.782489999998</v>
      </c>
      <c r="T120" s="402">
        <f t="shared" si="57"/>
        <v>9928.8561710177019</v>
      </c>
      <c r="U120" s="402">
        <f t="shared" si="58"/>
        <v>0</v>
      </c>
      <c r="V120" s="402">
        <f t="shared" si="75"/>
        <v>17459.201644242832</v>
      </c>
      <c r="W120" s="953">
        <f t="shared" si="75"/>
        <v>27709206.32</v>
      </c>
      <c r="X120" s="953">
        <f>SUM(X121:X128)</f>
        <v>27709.206319999998</v>
      </c>
      <c r="Y120" s="953">
        <f t="shared" ref="Y120:AK120" si="76">SUM(Y121:Y128)</f>
        <v>27709.206319999998</v>
      </c>
      <c r="Z120" s="953">
        <f t="shared" si="76"/>
        <v>27245.979089999997</v>
      </c>
      <c r="AA120" s="953">
        <f t="shared" si="76"/>
        <v>376.4404199999999</v>
      </c>
      <c r="AB120" s="953">
        <f t="shared" si="76"/>
        <v>86.786810000000003</v>
      </c>
      <c r="AC120" s="170">
        <f t="shared" si="76"/>
        <v>18244.865718233756</v>
      </c>
      <c r="AD120" s="170">
        <f t="shared" si="76"/>
        <v>32866.936384327106</v>
      </c>
      <c r="AE120" s="170">
        <f t="shared" si="76"/>
        <v>18102.603941106405</v>
      </c>
      <c r="AF120" s="170">
        <f t="shared" si="76"/>
        <v>18102.603941106405</v>
      </c>
      <c r="AG120" s="170">
        <f t="shared" si="76"/>
        <v>18974.660346963108</v>
      </c>
      <c r="AH120" s="173">
        <f t="shared" si="76"/>
        <v>35437.779188588684</v>
      </c>
      <c r="AI120" s="974">
        <f t="shared" si="59"/>
        <v>1.2789171504710455</v>
      </c>
      <c r="AJ120" s="975">
        <f t="shared" si="76"/>
        <v>16463.118841625575</v>
      </c>
      <c r="AK120" s="975">
        <f t="shared" si="76"/>
        <v>35184.326661957595</v>
      </c>
      <c r="AL120" s="74"/>
    </row>
    <row r="121" spans="1:40" ht="33" customHeight="1" outlineLevel="2">
      <c r="A121" s="407" t="s">
        <v>627</v>
      </c>
      <c r="B121" s="406" t="s">
        <v>628</v>
      </c>
      <c r="C121" s="198" t="s">
        <v>629</v>
      </c>
      <c r="D121" s="956" t="s">
        <v>697</v>
      </c>
      <c r="E121" s="148" t="s">
        <v>630</v>
      </c>
      <c r="F121" s="149" t="s">
        <v>631</v>
      </c>
      <c r="G121" s="406" t="s">
        <v>121</v>
      </c>
      <c r="H121" s="406">
        <v>9243.9</v>
      </c>
      <c r="I121" s="406">
        <v>4829.74</v>
      </c>
      <c r="J121" s="406">
        <v>4829.74</v>
      </c>
      <c r="K121" s="406">
        <v>0</v>
      </c>
      <c r="L121" s="406">
        <v>0</v>
      </c>
      <c r="M121" s="406">
        <v>0</v>
      </c>
      <c r="N121" s="406">
        <v>1193.75</v>
      </c>
      <c r="O121" s="406">
        <v>1192.4649299999999</v>
      </c>
      <c r="P121" s="406">
        <v>1191.1294499999999</v>
      </c>
      <c r="Q121" s="150">
        <v>1191.1294499999999</v>
      </c>
      <c r="R121" s="406">
        <v>1191.1294499999999</v>
      </c>
      <c r="S121" s="402">
        <v>1191.1294499999999</v>
      </c>
      <c r="T121" s="406">
        <f t="shared" si="57"/>
        <v>-2.6205500000000939</v>
      </c>
      <c r="U121" s="406">
        <f t="shared" si="58"/>
        <v>0</v>
      </c>
      <c r="V121" s="406">
        <v>0</v>
      </c>
      <c r="W121" s="167">
        <v>769312.29</v>
      </c>
      <c r="X121" s="167">
        <v>769.31229000000008</v>
      </c>
      <c r="Y121" s="406">
        <v>769.31229000000008</v>
      </c>
      <c r="Z121" s="406">
        <v>769.01868000000002</v>
      </c>
      <c r="AA121" s="406">
        <v>0.20861000000000002</v>
      </c>
      <c r="AB121" s="406">
        <v>8.5000000000000006E-2</v>
      </c>
      <c r="AC121" s="403">
        <v>0</v>
      </c>
      <c r="AD121" s="406">
        <f>'[71]2. подк.неподк.'!X109</f>
        <v>1240.45</v>
      </c>
      <c r="AE121" s="406">
        <f t="shared" ref="AE121:AE128" si="77">V121*$AD$11</f>
        <v>0</v>
      </c>
      <c r="AF121" s="402">
        <f t="shared" si="60"/>
        <v>0</v>
      </c>
      <c r="AG121" s="167">
        <v>0</v>
      </c>
      <c r="AH121" s="406">
        <v>849.32</v>
      </c>
      <c r="AI121" s="957">
        <f t="shared" si="59"/>
        <v>1.1039990014978183</v>
      </c>
      <c r="AJ121" s="957">
        <f t="shared" si="61"/>
        <v>849.32</v>
      </c>
      <c r="AK121" s="958">
        <f t="shared" si="73"/>
        <v>849.32</v>
      </c>
      <c r="AL121" s="74"/>
      <c r="AM121" s="52">
        <f t="shared" ref="AM121:AM128" si="78">AH121-AG121</f>
        <v>849.32</v>
      </c>
    </row>
    <row r="122" spans="1:40" ht="33" customHeight="1" outlineLevel="2">
      <c r="A122" s="139" t="s">
        <v>632</v>
      </c>
      <c r="B122" s="406" t="s">
        <v>633</v>
      </c>
      <c r="C122" s="198" t="s">
        <v>634</v>
      </c>
      <c r="D122" s="956" t="s">
        <v>702</v>
      </c>
      <c r="E122" s="148" t="s">
        <v>635</v>
      </c>
      <c r="F122" s="149" t="s">
        <v>636</v>
      </c>
      <c r="G122" s="406" t="s">
        <v>121</v>
      </c>
      <c r="H122" s="406">
        <v>8432.9125840524048</v>
      </c>
      <c r="I122" s="406">
        <v>8270.0497099999993</v>
      </c>
      <c r="J122" s="406">
        <v>8270.0499999999993</v>
      </c>
      <c r="K122" s="406">
        <v>9253.2098197147079</v>
      </c>
      <c r="L122" s="406">
        <v>8605.0923800000019</v>
      </c>
      <c r="M122" s="406">
        <v>8605.09</v>
      </c>
      <c r="N122" s="406">
        <v>7030.4659392748545</v>
      </c>
      <c r="O122" s="406">
        <v>10531.4162</v>
      </c>
      <c r="P122" s="406">
        <v>10462.21156</v>
      </c>
      <c r="Q122" s="150">
        <v>10462.21156</v>
      </c>
      <c r="R122" s="406">
        <v>10462.21156</v>
      </c>
      <c r="S122" s="402">
        <v>10462.21156</v>
      </c>
      <c r="T122" s="406">
        <f t="shared" si="57"/>
        <v>3431.7456207251453</v>
      </c>
      <c r="U122" s="406">
        <f t="shared" si="58"/>
        <v>0</v>
      </c>
      <c r="V122" s="406">
        <v>9759.2476962500004</v>
      </c>
      <c r="W122" s="167">
        <v>12436224.300000001</v>
      </c>
      <c r="X122" s="167">
        <v>12436.2243</v>
      </c>
      <c r="Y122" s="406">
        <v>12436.224299999998</v>
      </c>
      <c r="Z122" s="406">
        <v>12392.33935</v>
      </c>
      <c r="AA122" s="406">
        <v>37.572110000000002</v>
      </c>
      <c r="AB122" s="406">
        <v>6.3128400000000005</v>
      </c>
      <c r="AC122" s="403">
        <v>10198.413842581249</v>
      </c>
      <c r="AD122" s="406">
        <f>'[71]2. подк.неподк.'!X110</f>
        <v>12039.995869574399</v>
      </c>
      <c r="AE122" s="406">
        <f t="shared" si="77"/>
        <v>10118.893143468851</v>
      </c>
      <c r="AF122" s="402">
        <f t="shared" si="60"/>
        <v>10118.893143468851</v>
      </c>
      <c r="AG122" s="167">
        <v>10606.350396284499</v>
      </c>
      <c r="AH122" s="406">
        <v>18324.394903237499</v>
      </c>
      <c r="AI122" s="957">
        <f t="shared" si="59"/>
        <v>1.4734693152195315</v>
      </c>
      <c r="AJ122" s="957">
        <f t="shared" si="61"/>
        <v>7718.0445069529997</v>
      </c>
      <c r="AK122" s="958">
        <f t="shared" si="73"/>
        <v>18324.394903237499</v>
      </c>
      <c r="AL122" s="74"/>
      <c r="AM122" s="52">
        <f t="shared" si="78"/>
        <v>7718.0445069529997</v>
      </c>
    </row>
    <row r="123" spans="1:40" ht="33" customHeight="1" outlineLevel="2">
      <c r="A123" s="139" t="s">
        <v>637</v>
      </c>
      <c r="B123" s="406" t="s">
        <v>638</v>
      </c>
      <c r="C123" s="198" t="s">
        <v>639</v>
      </c>
      <c r="D123" s="956" t="s">
        <v>707</v>
      </c>
      <c r="E123" s="148" t="s">
        <v>640</v>
      </c>
      <c r="F123" s="149" t="s">
        <v>641</v>
      </c>
      <c r="G123" s="406" t="s">
        <v>121</v>
      </c>
      <c r="H123" s="406">
        <v>533.42205464403571</v>
      </c>
      <c r="I123" s="406">
        <v>1416.7792400000001</v>
      </c>
      <c r="J123" s="406">
        <v>1416.78</v>
      </c>
      <c r="K123" s="406">
        <v>585.30977819204134</v>
      </c>
      <c r="L123" s="406">
        <v>793.79155000000003</v>
      </c>
      <c r="M123" s="406">
        <v>793.79</v>
      </c>
      <c r="N123" s="406">
        <v>1017.4871237402791</v>
      </c>
      <c r="O123" s="406">
        <v>8703.1133399999999</v>
      </c>
      <c r="P123" s="406">
        <v>8591.1310199999989</v>
      </c>
      <c r="Q123" s="150">
        <v>8591.1310199999989</v>
      </c>
      <c r="R123" s="406">
        <v>8591.1310199999989</v>
      </c>
      <c r="S123" s="402">
        <v>8591.1310199999989</v>
      </c>
      <c r="T123" s="406">
        <f t="shared" si="57"/>
        <v>7573.6438962597194</v>
      </c>
      <c r="U123" s="406">
        <f t="shared" si="58"/>
        <v>0</v>
      </c>
      <c r="V123" s="406">
        <v>1068</v>
      </c>
      <c r="W123" s="167">
        <v>3604489.39</v>
      </c>
      <c r="X123" s="167">
        <v>3604.4893900000002</v>
      </c>
      <c r="Y123" s="406">
        <v>3604.4893900000002</v>
      </c>
      <c r="Z123" s="406">
        <v>3543.7746299999999</v>
      </c>
      <c r="AA123" s="406">
        <v>55.623449999999998</v>
      </c>
      <c r="AB123" s="406">
        <v>5.09131</v>
      </c>
      <c r="AC123" s="403">
        <v>1116.06</v>
      </c>
      <c r="AD123" s="406">
        <f>'[71]2. подк.неподк.'!X111</f>
        <v>9608.237127360002</v>
      </c>
      <c r="AE123" s="406">
        <f t="shared" si="77"/>
        <v>1107.3576789507376</v>
      </c>
      <c r="AF123" s="402">
        <f t="shared" si="60"/>
        <v>1107.3576789507376</v>
      </c>
      <c r="AG123" s="167">
        <v>1160.7023999999999</v>
      </c>
      <c r="AH123" s="406">
        <v>3979.35187056</v>
      </c>
      <c r="AI123" s="957">
        <f t="shared" si="59"/>
        <v>1.1039987748611462</v>
      </c>
      <c r="AJ123" s="957">
        <f t="shared" si="61"/>
        <v>2818.6494705599998</v>
      </c>
      <c r="AK123" s="958">
        <f t="shared" si="73"/>
        <v>3979.35187056</v>
      </c>
      <c r="AL123" s="74"/>
      <c r="AM123" s="52">
        <f t="shared" si="78"/>
        <v>2818.6494705599998</v>
      </c>
    </row>
    <row r="124" spans="1:40" ht="33" customHeight="1" outlineLevel="2">
      <c r="A124" s="139" t="s">
        <v>642</v>
      </c>
      <c r="B124" s="406" t="s">
        <v>643</v>
      </c>
      <c r="C124" s="198" t="s">
        <v>644</v>
      </c>
      <c r="D124" s="956" t="s">
        <v>712</v>
      </c>
      <c r="E124" s="148" t="s">
        <v>645</v>
      </c>
      <c r="F124" s="149" t="s">
        <v>646</v>
      </c>
      <c r="G124" s="406" t="s">
        <v>121</v>
      </c>
      <c r="H124" s="406">
        <v>3031.7074666866979</v>
      </c>
      <c r="I124" s="406">
        <v>5402.20046</v>
      </c>
      <c r="J124" s="406">
        <v>5402.2</v>
      </c>
      <c r="K124" s="406">
        <v>3326.6116566059527</v>
      </c>
      <c r="L124" s="406">
        <v>5443.60167</v>
      </c>
      <c r="M124" s="406">
        <v>5443.6</v>
      </c>
      <c r="N124" s="406">
        <v>3879.6936408482502</v>
      </c>
      <c r="O124" s="406">
        <v>5233.3569299999999</v>
      </c>
      <c r="P124" s="406">
        <v>5233.3569299999999</v>
      </c>
      <c r="Q124" s="150">
        <v>5233.3569299999999</v>
      </c>
      <c r="R124" s="406">
        <v>5233.3569299999999</v>
      </c>
      <c r="S124" s="402">
        <v>5233.3569299999999</v>
      </c>
      <c r="T124" s="406">
        <f t="shared" si="57"/>
        <v>1353.6632891517497</v>
      </c>
      <c r="U124" s="406">
        <f t="shared" si="58"/>
        <v>0</v>
      </c>
      <c r="V124" s="406">
        <v>4093.0767910949003</v>
      </c>
      <c r="W124" s="167">
        <v>5996527.2699999996</v>
      </c>
      <c r="X124" s="167">
        <v>5996.5272699999996</v>
      </c>
      <c r="Y124" s="406">
        <v>5996.5272699999996</v>
      </c>
      <c r="Z124" s="406">
        <v>5996.5272699999996</v>
      </c>
      <c r="AA124" s="406">
        <v>0</v>
      </c>
      <c r="AB124" s="406">
        <v>0</v>
      </c>
      <c r="AC124" s="403">
        <v>4277.2652466941709</v>
      </c>
      <c r="AD124" s="406">
        <f>'[71]2. подк.неподк.'!X112</f>
        <v>6588.2101073927042</v>
      </c>
      <c r="AE124" s="406">
        <f t="shared" si="77"/>
        <v>4243.9138718670238</v>
      </c>
      <c r="AF124" s="402">
        <f t="shared" si="60"/>
        <v>4243.9138718670238</v>
      </c>
      <c r="AG124" s="167">
        <v>4448.3558565619378</v>
      </c>
      <c r="AH124" s="406">
        <v>6861.2816249600992</v>
      </c>
      <c r="AI124" s="957">
        <f t="shared" si="59"/>
        <v>1.1442091924248181</v>
      </c>
      <c r="AJ124" s="957">
        <f t="shared" si="61"/>
        <v>2412.9257683981614</v>
      </c>
      <c r="AK124" s="958">
        <f t="shared" si="73"/>
        <v>6861.2816249600992</v>
      </c>
      <c r="AL124" s="74"/>
      <c r="AM124" s="52">
        <f t="shared" si="78"/>
        <v>2412.9257683981614</v>
      </c>
    </row>
    <row r="125" spans="1:40" ht="33" customHeight="1" outlineLevel="2">
      <c r="A125" s="139" t="s">
        <v>647</v>
      </c>
      <c r="B125" s="406" t="s">
        <v>648</v>
      </c>
      <c r="C125" s="198" t="s">
        <v>649</v>
      </c>
      <c r="D125" s="969" t="s">
        <v>720</v>
      </c>
      <c r="E125" s="148" t="s">
        <v>650</v>
      </c>
      <c r="F125" s="149" t="s">
        <v>651</v>
      </c>
      <c r="G125" s="406" t="s">
        <v>121</v>
      </c>
      <c r="H125" s="406">
        <v>313.40637335712842</v>
      </c>
      <c r="I125" s="406">
        <v>86.563450000000003</v>
      </c>
      <c r="J125" s="406">
        <v>86.56</v>
      </c>
      <c r="K125" s="406">
        <v>343.89244553460833</v>
      </c>
      <c r="L125" s="406">
        <v>130.78139999999999</v>
      </c>
      <c r="M125" s="406">
        <v>130.78</v>
      </c>
      <c r="N125" s="406">
        <v>282.05896067073616</v>
      </c>
      <c r="O125" s="406">
        <v>627.99553000000003</v>
      </c>
      <c r="P125" s="406">
        <v>627.99553000000003</v>
      </c>
      <c r="Q125" s="150">
        <v>627.99553000000003</v>
      </c>
      <c r="R125" s="406">
        <v>627.99553000000003</v>
      </c>
      <c r="S125" s="402">
        <v>627.99553000000003</v>
      </c>
      <c r="T125" s="406">
        <f t="shared" si="57"/>
        <v>345.93656932926388</v>
      </c>
      <c r="U125" s="406">
        <f t="shared" si="58"/>
        <v>0</v>
      </c>
      <c r="V125" s="406">
        <v>148.32086749999996</v>
      </c>
      <c r="W125" s="167">
        <v>1576891.1</v>
      </c>
      <c r="X125" s="167">
        <v>1576.8911000000001</v>
      </c>
      <c r="Y125" s="406">
        <v>1576.8911000000001</v>
      </c>
      <c r="Z125" s="406">
        <v>1522.7317800000001</v>
      </c>
      <c r="AA125" s="406">
        <v>0</v>
      </c>
      <c r="AB125" s="406">
        <v>54.159320000000001</v>
      </c>
      <c r="AC125" s="403">
        <v>154.99530653749994</v>
      </c>
      <c r="AD125" s="406">
        <f>'[71]2. подк.неподк.'!X113</f>
        <v>433</v>
      </c>
      <c r="AE125" s="406">
        <f t="shared" si="77"/>
        <v>153.78675241082382</v>
      </c>
      <c r="AF125" s="402">
        <f t="shared" si="60"/>
        <v>153.78675241082382</v>
      </c>
      <c r="AG125" s="167">
        <v>161.19511879899994</v>
      </c>
      <c r="AH125" s="406">
        <v>690</v>
      </c>
      <c r="AI125" s="957">
        <f t="shared" si="59"/>
        <v>0.43756984867249232</v>
      </c>
      <c r="AJ125" s="957">
        <f t="shared" si="61"/>
        <v>528.80488120100006</v>
      </c>
      <c r="AK125" s="958">
        <f t="shared" si="73"/>
        <v>690</v>
      </c>
      <c r="AL125" s="74"/>
      <c r="AM125" s="52">
        <f t="shared" si="78"/>
        <v>528.80488120100006</v>
      </c>
    </row>
    <row r="126" spans="1:40" ht="33" customHeight="1" outlineLevel="2">
      <c r="A126" s="139" t="s">
        <v>652</v>
      </c>
      <c r="B126" s="406" t="s">
        <v>653</v>
      </c>
      <c r="C126" s="198" t="s">
        <v>654</v>
      </c>
      <c r="D126" s="956" t="s">
        <v>795</v>
      </c>
      <c r="E126" s="148" t="s">
        <v>655</v>
      </c>
      <c r="F126" s="149" t="s">
        <v>656</v>
      </c>
      <c r="G126" s="406" t="s">
        <v>121</v>
      </c>
      <c r="H126" s="406">
        <v>888.17059086519919</v>
      </c>
      <c r="I126" s="406">
        <v>2046.65239</v>
      </c>
      <c r="J126" s="406">
        <v>2046.65</v>
      </c>
      <c r="K126" s="406">
        <v>974.5658752016069</v>
      </c>
      <c r="L126" s="406">
        <v>1233.3163399999999</v>
      </c>
      <c r="M126" s="406">
        <v>1233.32</v>
      </c>
      <c r="N126" s="406">
        <v>1469.8425801307392</v>
      </c>
      <c r="O126" s="406">
        <v>1551.7838400000001</v>
      </c>
      <c r="P126" s="406">
        <v>1419.9294600000001</v>
      </c>
      <c r="Q126" s="150">
        <v>1419.9294600000001</v>
      </c>
      <c r="R126" s="406">
        <v>1419.9294600000001</v>
      </c>
      <c r="S126" s="402">
        <v>1419.9294600000001</v>
      </c>
      <c r="T126" s="406">
        <f t="shared" si="57"/>
        <v>-49.913120130739117</v>
      </c>
      <c r="U126" s="406">
        <f t="shared" si="58"/>
        <v>0</v>
      </c>
      <c r="V126" s="406">
        <v>1550.6839220379297</v>
      </c>
      <c r="W126" s="167">
        <v>2547752.0499999998</v>
      </c>
      <c r="X126" s="167">
        <v>2547.7520499999996</v>
      </c>
      <c r="Y126" s="406">
        <v>2547.7520499999996</v>
      </c>
      <c r="Z126" s="406">
        <v>2247.5860699999998</v>
      </c>
      <c r="AA126" s="406">
        <v>279.84810999999996</v>
      </c>
      <c r="AB126" s="406">
        <v>20.317869999999999</v>
      </c>
      <c r="AC126" s="403">
        <v>1620.4646985296365</v>
      </c>
      <c r="AD126" s="406">
        <f>'[71]2. подк.неподк.'!X114</f>
        <v>1768.2932799999999</v>
      </c>
      <c r="AE126" s="406">
        <f t="shared" si="77"/>
        <v>1607.8293527098767</v>
      </c>
      <c r="AF126" s="402">
        <f t="shared" si="60"/>
        <v>1607.8293527098767</v>
      </c>
      <c r="AG126" s="167">
        <v>1685.2832864708221</v>
      </c>
      <c r="AH126" s="406">
        <v>2812.7182632000004</v>
      </c>
      <c r="AI126" s="957">
        <f t="shared" si="59"/>
        <v>1.1040000000000003</v>
      </c>
      <c r="AJ126" s="957">
        <f t="shared" si="61"/>
        <v>1127.4349767291783</v>
      </c>
      <c r="AK126" s="958">
        <f t="shared" si="73"/>
        <v>2812.7182632000004</v>
      </c>
      <c r="AL126" s="74"/>
      <c r="AM126" s="52">
        <f t="shared" si="78"/>
        <v>1127.4349767291783</v>
      </c>
    </row>
    <row r="127" spans="1:40" ht="33" customHeight="1" outlineLevel="2">
      <c r="A127" s="139" t="s">
        <v>657</v>
      </c>
      <c r="B127" s="406" t="s">
        <v>658</v>
      </c>
      <c r="C127" s="198" t="s">
        <v>659</v>
      </c>
      <c r="D127" s="956" t="s">
        <v>727</v>
      </c>
      <c r="E127" s="148" t="s">
        <v>660</v>
      </c>
      <c r="F127" s="149" t="s">
        <v>656</v>
      </c>
      <c r="G127" s="406" t="s">
        <v>121</v>
      </c>
      <c r="H127" s="406">
        <v>434.38496208471071</v>
      </c>
      <c r="I127" s="406">
        <v>320.71564000000001</v>
      </c>
      <c r="J127" s="406">
        <v>320.72000000000003</v>
      </c>
      <c r="K127" s="406">
        <v>476.63902081706533</v>
      </c>
      <c r="L127" s="406">
        <v>247.70656</v>
      </c>
      <c r="M127" s="406">
        <v>247.70656</v>
      </c>
      <c r="N127" s="406">
        <v>230.32807431743765</v>
      </c>
      <c r="O127" s="406">
        <v>252.22433999999998</v>
      </c>
      <c r="P127" s="406">
        <v>245.86955</v>
      </c>
      <c r="Q127" s="150">
        <v>245.86955</v>
      </c>
      <c r="R127" s="406">
        <v>245.86955</v>
      </c>
      <c r="S127" s="402">
        <v>245.86955</v>
      </c>
      <c r="T127" s="406">
        <f t="shared" si="57"/>
        <v>15.54147568256235</v>
      </c>
      <c r="U127" s="406">
        <f t="shared" si="58"/>
        <v>0</v>
      </c>
      <c r="V127" s="406">
        <v>280.93020235999995</v>
      </c>
      <c r="W127" s="167">
        <v>188280.52000000002</v>
      </c>
      <c r="X127" s="167">
        <v>188.28052000000002</v>
      </c>
      <c r="Y127" s="406">
        <v>188.28052</v>
      </c>
      <c r="Z127" s="406">
        <v>184.27190999999996</v>
      </c>
      <c r="AA127" s="406">
        <v>3.1881399999999998</v>
      </c>
      <c r="AB127" s="406">
        <v>0.82047000000000003</v>
      </c>
      <c r="AC127" s="403">
        <v>293.57206146619995</v>
      </c>
      <c r="AD127" s="406">
        <f>'[71]2. подк.неподк.'!X115</f>
        <v>390.38</v>
      </c>
      <c r="AE127" s="406">
        <f t="shared" si="77"/>
        <v>291.28297456229456</v>
      </c>
      <c r="AF127" s="402">
        <f t="shared" si="60"/>
        <v>291.28297456229456</v>
      </c>
      <c r="AG127" s="167">
        <v>305.31494392484797</v>
      </c>
      <c r="AH127" s="406">
        <v>253.45252663108479</v>
      </c>
      <c r="AI127" s="957">
        <f t="shared" si="59"/>
        <v>1.3461431200162648</v>
      </c>
      <c r="AJ127" s="957">
        <f t="shared" si="61"/>
        <v>-51.862417293763173</v>
      </c>
      <c r="AK127" s="965"/>
      <c r="AL127" s="74"/>
      <c r="AM127" s="52">
        <f t="shared" si="78"/>
        <v>-51.862417293763173</v>
      </c>
    </row>
    <row r="128" spans="1:40" ht="33" customHeight="1" outlineLevel="2">
      <c r="A128" s="139" t="s">
        <v>661</v>
      </c>
      <c r="B128" s="406" t="s">
        <v>662</v>
      </c>
      <c r="C128" s="198" t="s">
        <v>663</v>
      </c>
      <c r="D128" s="956" t="s">
        <v>735</v>
      </c>
      <c r="E128" s="148" t="s">
        <v>664</v>
      </c>
      <c r="F128" s="149" t="s">
        <v>665</v>
      </c>
      <c r="G128" s="406" t="s">
        <v>121</v>
      </c>
      <c r="H128" s="406">
        <v>5934.8531301808125</v>
      </c>
      <c r="I128" s="406">
        <v>0</v>
      </c>
      <c r="J128" s="406">
        <v>0</v>
      </c>
      <c r="K128" s="406">
        <v>6512.1558791688294</v>
      </c>
      <c r="L128" s="406">
        <v>492.83987000000002</v>
      </c>
      <c r="M128" s="406">
        <v>492.84</v>
      </c>
      <c r="N128" s="406">
        <v>3462.3</v>
      </c>
      <c r="O128" s="406">
        <v>723.15899000000002</v>
      </c>
      <c r="P128" s="406">
        <v>723.15899000000002</v>
      </c>
      <c r="Q128" s="150">
        <v>723.15899000000002</v>
      </c>
      <c r="R128" s="406">
        <v>723.15899000000002</v>
      </c>
      <c r="S128" s="402">
        <v>723.15899000000002</v>
      </c>
      <c r="T128" s="406">
        <f t="shared" si="57"/>
        <v>-2739.1410100000003</v>
      </c>
      <c r="U128" s="406">
        <f t="shared" si="58"/>
        <v>0</v>
      </c>
      <c r="V128" s="406">
        <v>558.94216499999993</v>
      </c>
      <c r="W128" s="167">
        <v>589729.4</v>
      </c>
      <c r="X128" s="167">
        <v>589.72940000000006</v>
      </c>
      <c r="Y128" s="406">
        <v>589.72940000000006</v>
      </c>
      <c r="Z128" s="406">
        <v>589.72940000000006</v>
      </c>
      <c r="AA128" s="406">
        <v>0</v>
      </c>
      <c r="AB128" s="406">
        <v>0</v>
      </c>
      <c r="AC128" s="403">
        <v>584.09456242499994</v>
      </c>
      <c r="AD128" s="406">
        <f>'[71]2. подк.неподк.'!X116</f>
        <v>798.37</v>
      </c>
      <c r="AE128" s="406">
        <f t="shared" si="77"/>
        <v>579.54016713679789</v>
      </c>
      <c r="AF128" s="402">
        <f t="shared" si="60"/>
        <v>579.54016713679789</v>
      </c>
      <c r="AG128" s="167">
        <v>607.45834492199992</v>
      </c>
      <c r="AH128" s="406">
        <v>1667.26</v>
      </c>
      <c r="AI128" s="957">
        <f t="shared" si="59"/>
        <v>2.8271610674319438</v>
      </c>
      <c r="AJ128" s="957">
        <f t="shared" si="61"/>
        <v>1059.8016550780001</v>
      </c>
      <c r="AK128" s="958">
        <f t="shared" si="73"/>
        <v>1667.26</v>
      </c>
      <c r="AL128" s="74"/>
      <c r="AM128" s="52">
        <f t="shared" si="78"/>
        <v>1059.8016550780001</v>
      </c>
    </row>
    <row r="129" spans="1:40" ht="33" customHeight="1">
      <c r="A129" s="139"/>
      <c r="B129" s="409" t="s">
        <v>666</v>
      </c>
      <c r="C129" s="141"/>
      <c r="D129" s="406"/>
      <c r="E129" s="142" t="s">
        <v>667</v>
      </c>
      <c r="F129" s="142" t="s">
        <v>667</v>
      </c>
      <c r="G129" s="406" t="s">
        <v>121</v>
      </c>
      <c r="H129" s="402">
        <f t="shared" ref="H129:J129" si="79">H130</f>
        <v>273884.56380501459</v>
      </c>
      <c r="I129" s="402">
        <f t="shared" si="79"/>
        <v>360979.20871999994</v>
      </c>
      <c r="J129" s="402">
        <f t="shared" si="79"/>
        <v>310068.11660000001</v>
      </c>
      <c r="K129" s="402">
        <f>K130</f>
        <v>300391.2539843673</v>
      </c>
      <c r="L129" s="402">
        <f t="shared" ref="L129:M129" si="80">L130</f>
        <v>406474.16618</v>
      </c>
      <c r="M129" s="402">
        <f t="shared" si="80"/>
        <v>353215.04236999998</v>
      </c>
      <c r="N129" s="402">
        <f>N130</f>
        <v>246407.73130758444</v>
      </c>
      <c r="O129" s="402">
        <f>O130</f>
        <v>385881.87605000014</v>
      </c>
      <c r="P129" s="402">
        <f t="shared" ref="P129:AF129" si="81">P130</f>
        <v>374418.72992000013</v>
      </c>
      <c r="Q129" s="145">
        <f t="shared" si="81"/>
        <v>331433.07673000003</v>
      </c>
      <c r="R129" s="402">
        <f t="shared" si="81"/>
        <v>334569.30448000005</v>
      </c>
      <c r="S129" s="402">
        <f t="shared" si="81"/>
        <v>325108.87445000006</v>
      </c>
      <c r="T129" s="402">
        <f t="shared" si="57"/>
        <v>78701.143142415618</v>
      </c>
      <c r="U129" s="402">
        <f t="shared" si="58"/>
        <v>-49309.855470000068</v>
      </c>
      <c r="V129" s="402">
        <f t="shared" si="81"/>
        <v>295154.88814982504</v>
      </c>
      <c r="W129" s="402">
        <f t="shared" si="81"/>
        <v>329091397.96999991</v>
      </c>
      <c r="X129" s="402">
        <f t="shared" si="81"/>
        <v>329091.39471000002</v>
      </c>
      <c r="Y129" s="402">
        <f t="shared" si="81"/>
        <v>329091.40116999997</v>
      </c>
      <c r="Z129" s="402">
        <f t="shared" si="81"/>
        <v>329967.66324000002</v>
      </c>
      <c r="AA129" s="402">
        <f t="shared" si="81"/>
        <v>13612.537690000001</v>
      </c>
      <c r="AB129" s="402">
        <f t="shared" si="81"/>
        <v>1178.9487000000001</v>
      </c>
      <c r="AC129" s="170">
        <f t="shared" si="81"/>
        <v>307712.57570956723</v>
      </c>
      <c r="AD129" s="170">
        <f>AD130</f>
        <v>534153.91819790506</v>
      </c>
      <c r="AE129" s="170">
        <f t="shared" si="81"/>
        <v>306031.86504920875</v>
      </c>
      <c r="AF129" s="170">
        <f t="shared" si="81"/>
        <v>306031.86504920875</v>
      </c>
      <c r="AG129" s="170">
        <f>AG130</f>
        <v>320021.07660681487</v>
      </c>
      <c r="AH129" s="173">
        <f t="shared" ref="AH129:AK129" si="82">AH130</f>
        <v>1278131.4012148648</v>
      </c>
      <c r="AI129" s="974">
        <f t="shared" si="59"/>
        <v>3.883818968712847</v>
      </c>
      <c r="AJ129" s="975">
        <f t="shared" si="82"/>
        <v>958110.32460804936</v>
      </c>
      <c r="AK129" s="975">
        <f t="shared" si="82"/>
        <v>1161619.184841976</v>
      </c>
      <c r="AL129" s="74"/>
      <c r="AN129" s="191">
        <f>AH129-AG129</f>
        <v>958110.32460804994</v>
      </c>
    </row>
    <row r="130" spans="1:40" ht="33" customHeight="1" outlineLevel="1">
      <c r="A130" s="139"/>
      <c r="B130" s="409" t="s">
        <v>668</v>
      </c>
      <c r="C130" s="141"/>
      <c r="D130" s="406"/>
      <c r="E130" s="142" t="s">
        <v>669</v>
      </c>
      <c r="F130" s="142" t="s">
        <v>669</v>
      </c>
      <c r="G130" s="406" t="s">
        <v>121</v>
      </c>
      <c r="H130" s="402">
        <f t="shared" ref="H130:S130" si="83">H131+H141+H143+H148+H151+H207+H212+H215+H221+H229+H235+H241</f>
        <v>273884.56380501459</v>
      </c>
      <c r="I130" s="402">
        <f t="shared" si="83"/>
        <v>360979.20871999994</v>
      </c>
      <c r="J130" s="402">
        <f t="shared" si="83"/>
        <v>310068.11660000001</v>
      </c>
      <c r="K130" s="402">
        <f t="shared" si="83"/>
        <v>300391.2539843673</v>
      </c>
      <c r="L130" s="402">
        <f t="shared" si="83"/>
        <v>406474.16618</v>
      </c>
      <c r="M130" s="402">
        <f t="shared" si="83"/>
        <v>353215.04236999998</v>
      </c>
      <c r="N130" s="402">
        <f t="shared" si="83"/>
        <v>246407.73130758444</v>
      </c>
      <c r="O130" s="402">
        <f t="shared" si="83"/>
        <v>385881.87605000014</v>
      </c>
      <c r="P130" s="402">
        <f t="shared" si="83"/>
        <v>374418.72992000013</v>
      </c>
      <c r="Q130" s="145">
        <f t="shared" si="83"/>
        <v>331433.07673000003</v>
      </c>
      <c r="R130" s="402">
        <f t="shared" si="83"/>
        <v>334569.30448000005</v>
      </c>
      <c r="S130" s="402">
        <f t="shared" si="83"/>
        <v>325108.87445000006</v>
      </c>
      <c r="T130" s="402">
        <f t="shared" si="57"/>
        <v>78701.143142415618</v>
      </c>
      <c r="U130" s="402">
        <f t="shared" si="58"/>
        <v>-49309.855470000068</v>
      </c>
      <c r="V130" s="402">
        <f>V131+V141+V143+V148+V151+V207+V212+V215+V221+V229+V235+V241</f>
        <v>295154.88814982504</v>
      </c>
      <c r="W130" s="402">
        <f>W131+W141+W143+W148+W151+W207+W212+W215+W221+W229+W235+W241</f>
        <v>329091397.96999991</v>
      </c>
      <c r="X130" s="402">
        <f>X131+X141+X143+X148+X151+X207+X212+X215+X221+X229+X235+X241</f>
        <v>329091.39471000002</v>
      </c>
      <c r="Y130" s="402">
        <f t="shared" ref="Y130:AK130" si="84">Y131+Y141+Y143+Y148+Y151+Y207+Y212+Y215+Y221+Y229+Y235+Y241</f>
        <v>329091.40116999997</v>
      </c>
      <c r="Z130" s="402">
        <f t="shared" si="84"/>
        <v>329967.66324000002</v>
      </c>
      <c r="AA130" s="402">
        <f t="shared" si="84"/>
        <v>13612.537690000001</v>
      </c>
      <c r="AB130" s="402">
        <f t="shared" si="84"/>
        <v>1178.9487000000001</v>
      </c>
      <c r="AC130" s="170">
        <f t="shared" si="84"/>
        <v>307712.57570956723</v>
      </c>
      <c r="AD130" s="170">
        <f>AD131+AD141+AD143+AD148+AD151+AD207+AD212+AD215+AD221+AD229+AD235+AD241</f>
        <v>534153.91819790506</v>
      </c>
      <c r="AE130" s="170">
        <f t="shared" si="84"/>
        <v>306031.86504920875</v>
      </c>
      <c r="AF130" s="170">
        <f t="shared" si="84"/>
        <v>306031.86504920875</v>
      </c>
      <c r="AG130" s="170">
        <f t="shared" si="84"/>
        <v>320021.07660681487</v>
      </c>
      <c r="AH130" s="173">
        <f t="shared" si="84"/>
        <v>1278131.4012148648</v>
      </c>
      <c r="AI130" s="974">
        <f t="shared" si="59"/>
        <v>3.883818968712847</v>
      </c>
      <c r="AJ130" s="975">
        <f t="shared" ref="AJ130" si="85">AJ131+AJ141+AJ143+AJ148+AJ151+AJ207+AJ212+AJ215+AJ221+AJ229+AJ235+AJ241</f>
        <v>958110.32460804936</v>
      </c>
      <c r="AK130" s="975">
        <f t="shared" si="84"/>
        <v>1161619.184841976</v>
      </c>
      <c r="AL130" s="74"/>
    </row>
    <row r="131" spans="1:40" ht="33" customHeight="1" outlineLevel="1">
      <c r="A131" s="139"/>
      <c r="B131" s="409" t="s">
        <v>670</v>
      </c>
      <c r="C131" s="141"/>
      <c r="D131" s="406"/>
      <c r="E131" s="410" t="s">
        <v>671</v>
      </c>
      <c r="F131" s="410" t="s">
        <v>671</v>
      </c>
      <c r="G131" s="406" t="s">
        <v>121</v>
      </c>
      <c r="H131" s="402">
        <f t="shared" ref="H131:I131" si="86">SUM(H132:H140)</f>
        <v>10942.472202599998</v>
      </c>
      <c r="I131" s="402">
        <f t="shared" si="86"/>
        <v>15982.14898</v>
      </c>
      <c r="J131" s="402">
        <f t="shared" ref="J131" si="87">SUM(J132:J140)</f>
        <v>15496.049710000001</v>
      </c>
      <c r="K131" s="402">
        <f>SUM(K132:K140)</f>
        <v>12006.882912179333</v>
      </c>
      <c r="L131" s="402">
        <f t="shared" ref="L131:N131" si="88">SUM(L132:L140)</f>
        <v>16857.334510000001</v>
      </c>
      <c r="M131" s="402">
        <f t="shared" si="88"/>
        <v>13376.5</v>
      </c>
      <c r="N131" s="402">
        <f t="shared" si="88"/>
        <v>13113.625353946214</v>
      </c>
      <c r="O131" s="402">
        <f>SUM(O132:O140)</f>
        <v>16003.81185</v>
      </c>
      <c r="P131" s="402">
        <f t="shared" ref="P131:AK131" si="89">SUM(P132:P140)</f>
        <v>15383.44515</v>
      </c>
      <c r="Q131" s="145">
        <f t="shared" si="89"/>
        <v>15383.44515</v>
      </c>
      <c r="R131" s="402">
        <f t="shared" si="89"/>
        <v>15383.44515</v>
      </c>
      <c r="S131" s="402">
        <f t="shared" si="89"/>
        <v>15382.86966</v>
      </c>
      <c r="T131" s="402">
        <f t="shared" si="57"/>
        <v>2269.2443060537862</v>
      </c>
      <c r="U131" s="402">
        <f t="shared" si="58"/>
        <v>-0.57548999999926309</v>
      </c>
      <c r="V131" s="402">
        <f t="shared" si="89"/>
        <v>14478.903483332291</v>
      </c>
      <c r="W131" s="402">
        <f t="shared" si="89"/>
        <v>14525167.970000003</v>
      </c>
      <c r="X131" s="402">
        <f t="shared" si="89"/>
        <v>14525.167970000002</v>
      </c>
      <c r="Y131" s="402">
        <f t="shared" si="89"/>
        <v>14525.167970000004</v>
      </c>
      <c r="Z131" s="168">
        <f t="shared" si="89"/>
        <v>13897.249630000002</v>
      </c>
      <c r="AA131" s="402">
        <f t="shared" si="89"/>
        <v>541.13173000000006</v>
      </c>
      <c r="AB131" s="402">
        <f t="shared" si="89"/>
        <v>86.786609999999996</v>
      </c>
      <c r="AC131" s="170">
        <f t="shared" si="89"/>
        <v>15130.454140082245</v>
      </c>
      <c r="AD131" s="170">
        <f t="shared" si="89"/>
        <v>20873.304283119283</v>
      </c>
      <c r="AE131" s="170">
        <f t="shared" si="89"/>
        <v>15012.476549676587</v>
      </c>
      <c r="AF131" s="170">
        <f t="shared" si="89"/>
        <v>15012.476549676587</v>
      </c>
      <c r="AG131" s="170">
        <f t="shared" si="89"/>
        <v>15735.672305685535</v>
      </c>
      <c r="AH131" s="173">
        <f t="shared" si="89"/>
        <v>17143.978799520002</v>
      </c>
      <c r="AI131" s="974">
        <f t="shared" si="59"/>
        <v>1.1802947019221286</v>
      </c>
      <c r="AJ131" s="975">
        <f t="shared" ref="AJ131" si="90">SUM(AJ132:AJ140)</f>
        <v>1408.306493834468</v>
      </c>
      <c r="AK131" s="975">
        <f t="shared" si="89"/>
        <v>12068.964954880001</v>
      </c>
      <c r="AL131" s="74"/>
    </row>
    <row r="132" spans="1:40" ht="33" customHeight="1" outlineLevel="2">
      <c r="A132" s="139" t="s">
        <v>672</v>
      </c>
      <c r="B132" s="406" t="s">
        <v>673</v>
      </c>
      <c r="C132" s="198" t="s">
        <v>674</v>
      </c>
      <c r="D132" s="956" t="s">
        <v>740</v>
      </c>
      <c r="E132" s="148" t="s">
        <v>675</v>
      </c>
      <c r="F132" s="149" t="s">
        <v>676</v>
      </c>
      <c r="G132" s="406" t="s">
        <v>121</v>
      </c>
      <c r="H132" s="406">
        <v>3292.8576813215782</v>
      </c>
      <c r="I132" s="406">
        <v>3325.48027</v>
      </c>
      <c r="J132" s="406">
        <v>3292.86</v>
      </c>
      <c r="K132" s="406">
        <v>3613.1649131998065</v>
      </c>
      <c r="L132" s="406">
        <v>5730.9237400000002</v>
      </c>
      <c r="M132" s="406">
        <v>5730.92</v>
      </c>
      <c r="N132" s="406">
        <v>3815.1537072256506</v>
      </c>
      <c r="O132" s="406">
        <v>5225.2122799999997</v>
      </c>
      <c r="P132" s="406">
        <v>5103.2929499999991</v>
      </c>
      <c r="Q132" s="150">
        <v>5103.2929499999991</v>
      </c>
      <c r="R132" s="406">
        <v>5103.2929499999991</v>
      </c>
      <c r="S132" s="402">
        <v>5103.2929499999991</v>
      </c>
      <c r="T132" s="406">
        <f t="shared" si="57"/>
        <v>1288.1392427743485</v>
      </c>
      <c r="U132" s="406">
        <f t="shared" si="58"/>
        <v>0</v>
      </c>
      <c r="V132" s="406">
        <v>4024.987161123061</v>
      </c>
      <c r="W132" s="167">
        <v>4341037.3800000008</v>
      </c>
      <c r="X132" s="167">
        <v>4341.0373800000007</v>
      </c>
      <c r="Y132" s="406">
        <v>4341.0373800000007</v>
      </c>
      <c r="Z132" s="406">
        <v>4214.3598500000007</v>
      </c>
      <c r="AA132" s="406">
        <v>109.16705</v>
      </c>
      <c r="AB132" s="406">
        <v>17.510480000000001</v>
      </c>
      <c r="AC132" s="403">
        <v>4206.1115833735985</v>
      </c>
      <c r="AD132" s="406">
        <f>'[71]2. подк.неподк.'!X120</f>
        <v>5767.3471704000003</v>
      </c>
      <c r="AE132" s="406">
        <f t="shared" ref="AE132:AE140" si="91">V132*$AD$11</f>
        <v>4173.3150192394678</v>
      </c>
      <c r="AF132" s="402">
        <f t="shared" si="60"/>
        <v>4173.3150192394678</v>
      </c>
      <c r="AG132" s="167">
        <v>4374.3560467085426</v>
      </c>
      <c r="AH132" s="406">
        <v>4792.5052675200004</v>
      </c>
      <c r="AI132" s="957">
        <f t="shared" si="59"/>
        <v>1.1039999999999999</v>
      </c>
      <c r="AJ132" s="957">
        <f t="shared" si="61"/>
        <v>418.14922081145778</v>
      </c>
      <c r="AK132" s="958">
        <f t="shared" ref="AK132:AK140" si="92">AH132</f>
        <v>4792.5052675200004</v>
      </c>
      <c r="AL132" s="74"/>
      <c r="AM132" s="52">
        <f t="shared" ref="AM132:AM140" si="93">AH132-AG132</f>
        <v>418.14922081145778</v>
      </c>
    </row>
    <row r="133" spans="1:40" ht="33" customHeight="1" outlineLevel="2">
      <c r="A133" s="139" t="s">
        <v>677</v>
      </c>
      <c r="B133" s="406" t="s">
        <v>678</v>
      </c>
      <c r="C133" s="198" t="s">
        <v>679</v>
      </c>
      <c r="D133" s="956" t="s">
        <v>746</v>
      </c>
      <c r="E133" s="148" t="s">
        <v>680</v>
      </c>
      <c r="F133" s="149" t="s">
        <v>681</v>
      </c>
      <c r="G133" s="406" t="s">
        <v>121</v>
      </c>
      <c r="H133" s="406">
        <v>2362.07379825522</v>
      </c>
      <c r="I133" s="406">
        <v>2572.0362599999999</v>
      </c>
      <c r="J133" s="406">
        <v>2519.82726</v>
      </c>
      <c r="K133" s="406">
        <v>2591.8405823172534</v>
      </c>
      <c r="L133" s="406">
        <v>2627.9476400000003</v>
      </c>
      <c r="M133" s="406">
        <v>2627.95</v>
      </c>
      <c r="N133" s="406">
        <v>2317.0083922010585</v>
      </c>
      <c r="O133" s="406">
        <v>2825.3223000000003</v>
      </c>
      <c r="P133" s="406">
        <v>2571.3824900000004</v>
      </c>
      <c r="Q133" s="150">
        <v>2571.3824900000004</v>
      </c>
      <c r="R133" s="406">
        <v>2571.3824900000004</v>
      </c>
      <c r="S133" s="402">
        <v>2571.3824900000004</v>
      </c>
      <c r="T133" s="406">
        <f t="shared" si="57"/>
        <v>254.37409779894188</v>
      </c>
      <c r="U133" s="406">
        <f t="shared" si="58"/>
        <v>0</v>
      </c>
      <c r="V133" s="406">
        <v>2444.4438537721167</v>
      </c>
      <c r="W133" s="167">
        <v>2906726.18</v>
      </c>
      <c r="X133" s="167">
        <v>2906.7261800000001</v>
      </c>
      <c r="Y133" s="406">
        <v>2906.7261800000001</v>
      </c>
      <c r="Z133" s="406">
        <v>2669.0392200000001</v>
      </c>
      <c r="AA133" s="406">
        <v>208.786</v>
      </c>
      <c r="AB133" s="406">
        <v>28.900959999999998</v>
      </c>
      <c r="AC133" s="403">
        <v>2554.4438271918616</v>
      </c>
      <c r="AD133" s="406">
        <f>'[71]2. подк.неподк.'!X121</f>
        <v>3117.5947190400002</v>
      </c>
      <c r="AE133" s="406">
        <f t="shared" si="91"/>
        <v>2534.525910335662</v>
      </c>
      <c r="AF133" s="402">
        <f t="shared" si="60"/>
        <v>2534.525910335662</v>
      </c>
      <c r="AG133" s="167">
        <v>2656.6215802795364</v>
      </c>
      <c r="AH133" s="406">
        <v>3414.02570272</v>
      </c>
      <c r="AI133" s="957">
        <f t="shared" si="59"/>
        <v>1.1745260789304894</v>
      </c>
      <c r="AJ133" s="957">
        <f t="shared" si="61"/>
        <v>757.40412244046365</v>
      </c>
      <c r="AK133" s="958">
        <f t="shared" si="92"/>
        <v>3414.02570272</v>
      </c>
      <c r="AL133" s="74"/>
      <c r="AM133" s="52">
        <f t="shared" si="93"/>
        <v>757.40412244046365</v>
      </c>
    </row>
    <row r="134" spans="1:40" ht="33" customHeight="1" outlineLevel="2">
      <c r="A134" s="139" t="s">
        <v>682</v>
      </c>
      <c r="B134" s="406" t="s">
        <v>683</v>
      </c>
      <c r="C134" s="198" t="s">
        <v>684</v>
      </c>
      <c r="D134" s="956" t="s">
        <v>751</v>
      </c>
      <c r="E134" s="148" t="s">
        <v>685</v>
      </c>
      <c r="F134" s="149" t="s">
        <v>686</v>
      </c>
      <c r="G134" s="406" t="s">
        <v>121</v>
      </c>
      <c r="H134" s="406">
        <v>1623.6565382293552</v>
      </c>
      <c r="I134" s="406">
        <v>1302.7854199999999</v>
      </c>
      <c r="J134" s="406">
        <v>1302.7854199999999</v>
      </c>
      <c r="K134" s="406">
        <v>1781.5950164791968</v>
      </c>
      <c r="L134" s="406">
        <v>1294.36375</v>
      </c>
      <c r="M134" s="406">
        <v>1294.3599999999999</v>
      </c>
      <c r="N134" s="406">
        <v>864.95907547146498</v>
      </c>
      <c r="O134" s="406">
        <v>1200.7485300000001</v>
      </c>
      <c r="P134" s="406">
        <v>1112.98234</v>
      </c>
      <c r="Q134" s="150">
        <v>1112.98234</v>
      </c>
      <c r="R134" s="406">
        <v>1112.98234</v>
      </c>
      <c r="S134" s="402">
        <v>1112.98234</v>
      </c>
      <c r="T134" s="406">
        <f t="shared" si="57"/>
        <v>248.02326452853504</v>
      </c>
      <c r="U134" s="406">
        <f t="shared" si="58"/>
        <v>0</v>
      </c>
      <c r="V134" s="406">
        <v>1467.9660349999997</v>
      </c>
      <c r="W134" s="167">
        <v>1070291.5900000001</v>
      </c>
      <c r="X134" s="167">
        <v>1070.29159</v>
      </c>
      <c r="Y134" s="406">
        <v>1070.29159</v>
      </c>
      <c r="Z134" s="406">
        <v>988.34786999999994</v>
      </c>
      <c r="AA134" s="406">
        <v>70.502669999999995</v>
      </c>
      <c r="AB134" s="406">
        <v>11.441049999999999</v>
      </c>
      <c r="AC134" s="403">
        <v>1534.0245065749996</v>
      </c>
      <c r="AD134" s="406">
        <f>'[71]2. подк.неподк.'!X122</f>
        <v>1534.0245065749996</v>
      </c>
      <c r="AE134" s="406">
        <f t="shared" si="91"/>
        <v>1522.0631660076001</v>
      </c>
      <c r="AF134" s="402">
        <f t="shared" si="60"/>
        <v>1522.0631660076001</v>
      </c>
      <c r="AG134" s="167">
        <v>1595.3854868379997</v>
      </c>
      <c r="AH134" s="406">
        <v>1381.60191536</v>
      </c>
      <c r="AI134" s="957">
        <f t="shared" si="59"/>
        <v>1.290864964528031</v>
      </c>
      <c r="AJ134" s="957">
        <f t="shared" si="61"/>
        <v>-213.78357147799966</v>
      </c>
      <c r="AK134" s="965"/>
      <c r="AL134" s="74"/>
      <c r="AM134" s="52">
        <f t="shared" si="93"/>
        <v>-213.78357147799966</v>
      </c>
    </row>
    <row r="135" spans="1:40" ht="33" customHeight="1" outlineLevel="2">
      <c r="A135" s="139" t="s">
        <v>687</v>
      </c>
      <c r="B135" s="406" t="s">
        <v>688</v>
      </c>
      <c r="C135" s="198" t="s">
        <v>689</v>
      </c>
      <c r="D135" s="956" t="s">
        <v>758</v>
      </c>
      <c r="E135" s="148" t="s">
        <v>690</v>
      </c>
      <c r="F135" s="149" t="s">
        <v>691</v>
      </c>
      <c r="G135" s="406" t="s">
        <v>121</v>
      </c>
      <c r="H135" s="406">
        <v>550.12819919367701</v>
      </c>
      <c r="I135" s="406">
        <v>175.45484999999999</v>
      </c>
      <c r="J135" s="406">
        <v>175.45484999999999</v>
      </c>
      <c r="K135" s="406">
        <v>603.64100105614921</v>
      </c>
      <c r="L135" s="406">
        <v>176.80812</v>
      </c>
      <c r="M135" s="406">
        <v>176.81</v>
      </c>
      <c r="N135" s="406">
        <v>117.6239566318725</v>
      </c>
      <c r="O135" s="406">
        <v>163.51345000000001</v>
      </c>
      <c r="P135" s="406">
        <v>152.61548000000002</v>
      </c>
      <c r="Q135" s="150">
        <v>152.61548000000002</v>
      </c>
      <c r="R135" s="406">
        <v>152.61548000000002</v>
      </c>
      <c r="S135" s="402">
        <v>152.61548000000002</v>
      </c>
      <c r="T135" s="406">
        <f t="shared" si="57"/>
        <v>34.991523368127517</v>
      </c>
      <c r="U135" s="406">
        <f t="shared" si="58"/>
        <v>0</v>
      </c>
      <c r="V135" s="406">
        <v>200.14</v>
      </c>
      <c r="W135" s="167">
        <v>140229.96000000002</v>
      </c>
      <c r="X135" s="167">
        <v>140.22996000000003</v>
      </c>
      <c r="Y135" s="406">
        <v>140.22996000000003</v>
      </c>
      <c r="Z135" s="406">
        <v>131.44819000000001</v>
      </c>
      <c r="AA135" s="406">
        <v>7.3990100000000005</v>
      </c>
      <c r="AB135" s="406">
        <v>1.38276</v>
      </c>
      <c r="AC135" s="403">
        <v>209.14629999999997</v>
      </c>
      <c r="AD135" s="406">
        <f>'[71]2. подк.неподк.'!X123</f>
        <v>209.14629999999997</v>
      </c>
      <c r="AE135" s="406">
        <f t="shared" si="91"/>
        <v>207.51551110973838</v>
      </c>
      <c r="AF135" s="402">
        <f t="shared" si="60"/>
        <v>207.51551110973838</v>
      </c>
      <c r="AG135" s="167">
        <v>217.51215199999999</v>
      </c>
      <c r="AH135" s="406">
        <v>304.81387583999998</v>
      </c>
      <c r="AI135" s="957">
        <f t="shared" si="59"/>
        <v>2.1736715594870017</v>
      </c>
      <c r="AJ135" s="957">
        <f t="shared" si="61"/>
        <v>87.301723839999994</v>
      </c>
      <c r="AK135" s="958">
        <f t="shared" si="92"/>
        <v>304.81387583999998</v>
      </c>
      <c r="AL135" s="74"/>
      <c r="AM135" s="52">
        <f t="shared" si="93"/>
        <v>87.301723839999994</v>
      </c>
    </row>
    <row r="136" spans="1:40" ht="33" customHeight="1" outlineLevel="2">
      <c r="A136" s="139" t="s">
        <v>692</v>
      </c>
      <c r="B136" s="406" t="s">
        <v>693</v>
      </c>
      <c r="C136" s="198" t="s">
        <v>694</v>
      </c>
      <c r="D136" s="956" t="s">
        <v>769</v>
      </c>
      <c r="E136" s="148" t="s">
        <v>695</v>
      </c>
      <c r="F136" s="149" t="s">
        <v>696</v>
      </c>
      <c r="G136" s="406" t="s">
        <v>121</v>
      </c>
      <c r="H136" s="406">
        <v>215.22254994712603</v>
      </c>
      <c r="I136" s="406">
        <v>52.568460000000002</v>
      </c>
      <c r="J136" s="406">
        <v>52.568460000000002</v>
      </c>
      <c r="K136" s="406">
        <v>236.1579640715743</v>
      </c>
      <c r="L136" s="406">
        <v>122.61933999999999</v>
      </c>
      <c r="M136" s="406">
        <v>122.62</v>
      </c>
      <c r="N136" s="406">
        <v>117.88669072222157</v>
      </c>
      <c r="O136" s="406">
        <v>2548.8960499999998</v>
      </c>
      <c r="P136" s="406">
        <v>2525.74188</v>
      </c>
      <c r="Q136" s="150">
        <v>2525.74188</v>
      </c>
      <c r="R136" s="406">
        <v>2525.74188</v>
      </c>
      <c r="S136" s="402">
        <v>2525.74188</v>
      </c>
      <c r="T136" s="406">
        <f t="shared" si="57"/>
        <v>2407.8551892777787</v>
      </c>
      <c r="U136" s="406">
        <f t="shared" si="58"/>
        <v>0</v>
      </c>
      <c r="V136" s="406">
        <v>139.06640749999997</v>
      </c>
      <c r="W136" s="167">
        <v>2718567.2</v>
      </c>
      <c r="X136" s="167">
        <v>2718.5672000000004</v>
      </c>
      <c r="Y136" s="406">
        <v>2718.5671999999995</v>
      </c>
      <c r="Z136" s="406">
        <v>2694.7273700000001</v>
      </c>
      <c r="AA136" s="406">
        <v>20.13307</v>
      </c>
      <c r="AB136" s="406">
        <v>3.7067600000000001</v>
      </c>
      <c r="AC136" s="403">
        <v>145.32439583749996</v>
      </c>
      <c r="AD136" s="406">
        <f>'[71]2. подк.неподк.'!X124</f>
        <v>3763.1256599999997</v>
      </c>
      <c r="AE136" s="406">
        <f t="shared" si="91"/>
        <v>144.19124927829344</v>
      </c>
      <c r="AF136" s="402">
        <f t="shared" si="60"/>
        <v>144.19124927829344</v>
      </c>
      <c r="AG136" s="167">
        <v>151.13737167099995</v>
      </c>
      <c r="AH136" s="406">
        <v>3557.6201088000007</v>
      </c>
      <c r="AI136" s="957">
        <f t="shared" si="59"/>
        <v>1.3086379136774695</v>
      </c>
      <c r="AJ136" s="957">
        <f t="shared" si="61"/>
        <v>3406.4827371290007</v>
      </c>
      <c r="AK136" s="958">
        <f t="shared" si="92"/>
        <v>3557.6201088000007</v>
      </c>
      <c r="AL136" s="74"/>
      <c r="AM136" s="52">
        <f t="shared" si="93"/>
        <v>3406.4827371290007</v>
      </c>
    </row>
    <row r="137" spans="1:40" ht="33" customHeight="1" outlineLevel="2">
      <c r="A137" s="139" t="s">
        <v>697</v>
      </c>
      <c r="B137" s="406" t="s">
        <v>698</v>
      </c>
      <c r="C137" s="198" t="s">
        <v>699</v>
      </c>
      <c r="D137" s="956" t="s">
        <v>774</v>
      </c>
      <c r="E137" s="148" t="s">
        <v>700</v>
      </c>
      <c r="F137" s="149" t="s">
        <v>701</v>
      </c>
      <c r="G137" s="406" t="s">
        <v>121</v>
      </c>
      <c r="H137" s="406">
        <v>2619.209158176237</v>
      </c>
      <c r="I137" s="406">
        <v>7269.5010499999999</v>
      </c>
      <c r="J137" s="406">
        <v>6891.0610500000003</v>
      </c>
      <c r="K137" s="406">
        <v>2873.9883549585361</v>
      </c>
      <c r="L137" s="406">
        <v>6350.8089</v>
      </c>
      <c r="M137" s="406">
        <v>2873.99</v>
      </c>
      <c r="N137" s="406">
        <v>5054.2674139690462</v>
      </c>
      <c r="O137" s="406">
        <v>3467.0437400000001</v>
      </c>
      <c r="P137" s="406">
        <v>3347.96225</v>
      </c>
      <c r="Q137" s="150">
        <v>3347.96225</v>
      </c>
      <c r="R137" s="406">
        <v>3347.96225</v>
      </c>
      <c r="S137" s="402">
        <v>3347.96225</v>
      </c>
      <c r="T137" s="406">
        <f t="shared" si="57"/>
        <v>-1706.3051639690461</v>
      </c>
      <c r="U137" s="406">
        <f t="shared" si="58"/>
        <v>0</v>
      </c>
      <c r="V137" s="406">
        <v>5332.2521217373433</v>
      </c>
      <c r="W137" s="167">
        <v>2731057.69</v>
      </c>
      <c r="X137" s="167">
        <v>2731.0576900000001</v>
      </c>
      <c r="Y137" s="406">
        <v>2731.0576900000005</v>
      </c>
      <c r="Z137" s="406">
        <v>2586.1374700000001</v>
      </c>
      <c r="AA137" s="406">
        <v>121.7037</v>
      </c>
      <c r="AB137" s="406">
        <v>23.216519999999999</v>
      </c>
      <c r="AC137" s="403">
        <v>5572.2034672155232</v>
      </c>
      <c r="AD137" s="406">
        <f>'[71]2. подк.неподк.'!X125</f>
        <v>5572.2034672155232</v>
      </c>
      <c r="AE137" s="406">
        <f t="shared" si="91"/>
        <v>5528.7549935460765</v>
      </c>
      <c r="AF137" s="402">
        <f t="shared" si="60"/>
        <v>5528.7549935460765</v>
      </c>
      <c r="AG137" s="167">
        <v>5795.0916059041447</v>
      </c>
      <c r="AH137" s="406">
        <v>3015.0876897600006</v>
      </c>
      <c r="AI137" s="957">
        <f t="shared" si="59"/>
        <v>1.1040000000000001</v>
      </c>
      <c r="AJ137" s="957">
        <f t="shared" si="61"/>
        <v>-2780.0039161441441</v>
      </c>
      <c r="AK137" s="965"/>
      <c r="AL137" s="74"/>
      <c r="AM137" s="52">
        <f t="shared" si="93"/>
        <v>-2780.0039161441441</v>
      </c>
    </row>
    <row r="138" spans="1:40" ht="33" customHeight="1" outlineLevel="2">
      <c r="A138" s="139" t="s">
        <v>702</v>
      </c>
      <c r="B138" s="406" t="s">
        <v>703</v>
      </c>
      <c r="C138" s="198" t="s">
        <v>704</v>
      </c>
      <c r="D138" s="956" t="s">
        <v>779</v>
      </c>
      <c r="E138" s="148" t="s">
        <v>705</v>
      </c>
      <c r="F138" s="149" t="s">
        <v>706</v>
      </c>
      <c r="G138" s="406" t="s">
        <v>121</v>
      </c>
      <c r="H138" s="406">
        <v>205.41816586795755</v>
      </c>
      <c r="I138" s="406">
        <v>1160.3357100000001</v>
      </c>
      <c r="J138" s="406">
        <v>1160.3357100000001</v>
      </c>
      <c r="K138" s="406">
        <v>225.39987490442613</v>
      </c>
      <c r="L138" s="406">
        <v>449.06387999999998</v>
      </c>
      <c r="M138" s="406">
        <v>449.06</v>
      </c>
      <c r="N138" s="406">
        <v>760.33</v>
      </c>
      <c r="O138" s="406">
        <v>501.36685999999997</v>
      </c>
      <c r="P138" s="406">
        <v>501.16783000000004</v>
      </c>
      <c r="Q138" s="150">
        <v>501.16783000000004</v>
      </c>
      <c r="R138" s="406">
        <v>501.16783000000004</v>
      </c>
      <c r="S138" s="402">
        <v>501.16783000000004</v>
      </c>
      <c r="T138" s="406">
        <f t="shared" si="57"/>
        <v>-259.16217</v>
      </c>
      <c r="U138" s="406">
        <f t="shared" si="58"/>
        <v>0</v>
      </c>
      <c r="V138" s="406">
        <v>800</v>
      </c>
      <c r="W138" s="167">
        <v>547831.29</v>
      </c>
      <c r="X138" s="167">
        <v>547.83129000000008</v>
      </c>
      <c r="Y138" s="406">
        <v>547.83128999999997</v>
      </c>
      <c r="Z138" s="406">
        <v>547.73894999999993</v>
      </c>
      <c r="AA138" s="406">
        <v>7.7969999999999998E-2</v>
      </c>
      <c r="AB138" s="406">
        <v>1.4369999999999999E-2</v>
      </c>
      <c r="AC138" s="403">
        <v>836</v>
      </c>
      <c r="AD138" s="406">
        <f>'[71]2. подк.неподк.'!X126</f>
        <v>836</v>
      </c>
      <c r="AE138" s="406">
        <f t="shared" si="91"/>
        <v>829.48140745373598</v>
      </c>
      <c r="AF138" s="402">
        <f t="shared" si="60"/>
        <v>829.48140745373598</v>
      </c>
      <c r="AG138" s="167">
        <v>869.44</v>
      </c>
      <c r="AH138" s="406">
        <v>603.33318480000003</v>
      </c>
      <c r="AI138" s="957">
        <f t="shared" si="59"/>
        <v>1.1013120203484543</v>
      </c>
      <c r="AJ138" s="957">
        <f t="shared" si="61"/>
        <v>-266.10681520000003</v>
      </c>
      <c r="AK138" s="965"/>
      <c r="AL138" s="74"/>
      <c r="AM138" s="52">
        <f t="shared" si="93"/>
        <v>-266.10681520000003</v>
      </c>
    </row>
    <row r="139" spans="1:40" ht="33" customHeight="1" outlineLevel="2">
      <c r="A139" s="139" t="s">
        <v>707</v>
      </c>
      <c r="B139" s="406" t="s">
        <v>708</v>
      </c>
      <c r="C139" s="198" t="s">
        <v>709</v>
      </c>
      <c r="D139" s="956" t="s">
        <v>800</v>
      </c>
      <c r="E139" s="148" t="s">
        <v>710</v>
      </c>
      <c r="F139" s="149" t="s">
        <v>711</v>
      </c>
      <c r="G139" s="406" t="s">
        <v>121</v>
      </c>
      <c r="H139" s="406">
        <v>73.906111608847525</v>
      </c>
      <c r="I139" s="406">
        <v>101.15696</v>
      </c>
      <c r="J139" s="406">
        <v>101.15696</v>
      </c>
      <c r="K139" s="406">
        <v>81.095205192391774</v>
      </c>
      <c r="L139" s="406">
        <v>100.79182</v>
      </c>
      <c r="M139" s="406">
        <v>100.79</v>
      </c>
      <c r="N139" s="406">
        <v>66.396117724901131</v>
      </c>
      <c r="O139" s="406">
        <v>71.108639999999994</v>
      </c>
      <c r="P139" s="406">
        <v>67.724440000000001</v>
      </c>
      <c r="Q139" s="150">
        <v>67.724440000000001</v>
      </c>
      <c r="R139" s="406">
        <v>67.724440000000001</v>
      </c>
      <c r="S139" s="402">
        <v>67.724440000000001</v>
      </c>
      <c r="T139" s="406">
        <f t="shared" si="57"/>
        <v>1.3283222750988699</v>
      </c>
      <c r="U139" s="406">
        <f t="shared" si="58"/>
        <v>0</v>
      </c>
      <c r="V139" s="406">
        <v>70.047904199770684</v>
      </c>
      <c r="W139" s="167">
        <v>67926.679999999993</v>
      </c>
      <c r="X139" s="167">
        <v>67.92667999999999</v>
      </c>
      <c r="Y139" s="406">
        <v>67.92667999999999</v>
      </c>
      <c r="Z139" s="406">
        <v>64.044409999999999</v>
      </c>
      <c r="AA139" s="406">
        <v>3.2844799999999998</v>
      </c>
      <c r="AB139" s="406">
        <v>0.59778999999999993</v>
      </c>
      <c r="AC139" s="403">
        <v>73.200059888760364</v>
      </c>
      <c r="AD139" s="406">
        <f>'[71]2. подк.неподк.'!X127</f>
        <v>73.200059888760364</v>
      </c>
      <c r="AE139" s="406">
        <f t="shared" si="91"/>
        <v>72.629292706012819</v>
      </c>
      <c r="AF139" s="402">
        <f t="shared" si="60"/>
        <v>72.629292706012819</v>
      </c>
      <c r="AG139" s="167">
        <v>76.128062284310786</v>
      </c>
      <c r="AH139" s="406">
        <v>74.991054720000008</v>
      </c>
      <c r="AI139" s="957">
        <f t="shared" si="59"/>
        <v>1.1040000000000003</v>
      </c>
      <c r="AJ139" s="957">
        <f t="shared" si="61"/>
        <v>-1.1370075643107782</v>
      </c>
      <c r="AK139" s="965"/>
      <c r="AL139" s="74"/>
      <c r="AM139" s="52">
        <f t="shared" si="93"/>
        <v>-1.1370075643107782</v>
      </c>
    </row>
    <row r="140" spans="1:40" ht="33" customHeight="1" outlineLevel="2">
      <c r="A140" s="139" t="s">
        <v>712</v>
      </c>
      <c r="B140" s="406" t="s">
        <v>713</v>
      </c>
      <c r="C140" s="198" t="s">
        <v>714</v>
      </c>
      <c r="D140" s="956" t="s">
        <v>784</v>
      </c>
      <c r="E140" s="148" t="s">
        <v>715</v>
      </c>
      <c r="F140" s="149" t="s">
        <v>716</v>
      </c>
      <c r="G140" s="406" t="s">
        <v>121</v>
      </c>
      <c r="H140" s="406">
        <v>0</v>
      </c>
      <c r="I140" s="406">
        <v>22.83</v>
      </c>
      <c r="J140" s="406">
        <v>0</v>
      </c>
      <c r="K140" s="406">
        <v>0</v>
      </c>
      <c r="L140" s="406">
        <v>4.00732</v>
      </c>
      <c r="M140" s="406">
        <v>0</v>
      </c>
      <c r="N140" s="406">
        <v>0</v>
      </c>
      <c r="O140" s="406">
        <v>0.6</v>
      </c>
      <c r="P140" s="406">
        <v>0.57549000000000006</v>
      </c>
      <c r="Q140" s="150">
        <v>0.57549000000000006</v>
      </c>
      <c r="R140" s="406">
        <v>0.57549000000000006</v>
      </c>
      <c r="S140" s="402">
        <v>0</v>
      </c>
      <c r="T140" s="406">
        <f t="shared" si="57"/>
        <v>0</v>
      </c>
      <c r="U140" s="406">
        <f t="shared" si="58"/>
        <v>-0.57549000000000006</v>
      </c>
      <c r="V140" s="406">
        <v>0</v>
      </c>
      <c r="W140" s="167">
        <v>1500</v>
      </c>
      <c r="X140" s="167">
        <v>1.5</v>
      </c>
      <c r="Y140" s="406">
        <v>1.5</v>
      </c>
      <c r="Z140" s="406">
        <v>1.4062999999999999</v>
      </c>
      <c r="AA140" s="406">
        <v>7.7780000000000002E-2</v>
      </c>
      <c r="AB140" s="406">
        <v>1.592E-2</v>
      </c>
      <c r="AC140" s="403">
        <v>0</v>
      </c>
      <c r="AD140" s="406">
        <f>'[71]2. подк.неподк.'!X128</f>
        <v>0.66239999999999999</v>
      </c>
      <c r="AE140" s="406">
        <f t="shared" si="91"/>
        <v>0</v>
      </c>
      <c r="AF140" s="402">
        <f t="shared" si="60"/>
        <v>0</v>
      </c>
      <c r="AG140" s="167">
        <v>0</v>
      </c>
      <c r="AH140" s="406">
        <v>0</v>
      </c>
      <c r="AI140" s="957">
        <f t="shared" si="59"/>
        <v>0</v>
      </c>
      <c r="AJ140" s="957">
        <f t="shared" si="61"/>
        <v>0</v>
      </c>
      <c r="AK140" s="958">
        <f t="shared" si="92"/>
        <v>0</v>
      </c>
      <c r="AL140" s="74"/>
      <c r="AM140" s="52">
        <f t="shared" si="93"/>
        <v>0</v>
      </c>
    </row>
    <row r="141" spans="1:40" ht="43.2" customHeight="1" outlineLevel="1">
      <c r="A141" s="139"/>
      <c r="B141" s="409" t="s">
        <v>717</v>
      </c>
      <c r="C141" s="141"/>
      <c r="D141" s="406"/>
      <c r="E141" s="410" t="s">
        <v>718</v>
      </c>
      <c r="F141" s="410" t="s">
        <v>719</v>
      </c>
      <c r="G141" s="406" t="s">
        <v>121</v>
      </c>
      <c r="H141" s="402">
        <f t="shared" ref="H141:J141" si="94">H142</f>
        <v>15779.772965800001</v>
      </c>
      <c r="I141" s="402">
        <f t="shared" si="94"/>
        <v>20130.83713</v>
      </c>
      <c r="J141" s="402">
        <f t="shared" si="94"/>
        <v>20130.84</v>
      </c>
      <c r="K141" s="402">
        <f>K142</f>
        <v>17314.724028827342</v>
      </c>
      <c r="L141" s="402">
        <f t="shared" ref="L141:AK141" si="95">L142</f>
        <v>20496.194090000001</v>
      </c>
      <c r="M141" s="402">
        <f t="shared" si="95"/>
        <v>20496.189999999999</v>
      </c>
      <c r="N141" s="402">
        <f t="shared" si="95"/>
        <v>17114.927888876369</v>
      </c>
      <c r="O141" s="402">
        <f t="shared" si="95"/>
        <v>21196.399419999998</v>
      </c>
      <c r="P141" s="402">
        <f t="shared" si="95"/>
        <v>20006.096570000002</v>
      </c>
      <c r="Q141" s="145">
        <f t="shared" si="95"/>
        <v>20006.096570000002</v>
      </c>
      <c r="R141" s="402">
        <f t="shared" si="95"/>
        <v>20006.096570000002</v>
      </c>
      <c r="S141" s="402">
        <f t="shared" si="95"/>
        <v>20006.096570000002</v>
      </c>
      <c r="T141" s="402">
        <f t="shared" si="57"/>
        <v>2891.1686811236323</v>
      </c>
      <c r="U141" s="402">
        <f t="shared" si="58"/>
        <v>0</v>
      </c>
      <c r="V141" s="402">
        <f t="shared" si="95"/>
        <v>18308.048922764599</v>
      </c>
      <c r="W141" s="402">
        <f t="shared" si="95"/>
        <v>22244571.030000001</v>
      </c>
      <c r="X141" s="402">
        <f t="shared" si="95"/>
        <v>22244.571030000003</v>
      </c>
      <c r="Y141" s="402">
        <f t="shared" si="95"/>
        <v>22244.571030000003</v>
      </c>
      <c r="Z141" s="168">
        <f t="shared" si="95"/>
        <v>20533.07416</v>
      </c>
      <c r="AA141" s="402">
        <f t="shared" si="95"/>
        <v>1472.3242600000001</v>
      </c>
      <c r="AB141" s="402">
        <f t="shared" si="95"/>
        <v>239.17260999999999</v>
      </c>
      <c r="AC141" s="170">
        <f t="shared" si="95"/>
        <v>19131.911124289007</v>
      </c>
      <c r="AD141" s="170">
        <f t="shared" si="95"/>
        <v>24542.5975</v>
      </c>
      <c r="AE141" s="170">
        <f t="shared" si="95"/>
        <v>18982.732735233294</v>
      </c>
      <c r="AF141" s="170">
        <f t="shared" si="95"/>
        <v>18982.732735233294</v>
      </c>
      <c r="AG141" s="170">
        <f t="shared" si="95"/>
        <v>19897.187569260568</v>
      </c>
      <c r="AH141" s="173">
        <f t="shared" si="95"/>
        <v>23739.8</v>
      </c>
      <c r="AI141" s="974">
        <f t="shared" si="59"/>
        <v>1.0672177030513856</v>
      </c>
      <c r="AJ141" s="975">
        <f t="shared" si="95"/>
        <v>3842.6124307394311</v>
      </c>
      <c r="AK141" s="975">
        <f t="shared" si="95"/>
        <v>0</v>
      </c>
      <c r="AL141" s="74"/>
    </row>
    <row r="142" spans="1:40" ht="33" customHeight="1" outlineLevel="2">
      <c r="A142" s="139" t="s">
        <v>720</v>
      </c>
      <c r="B142" s="406" t="s">
        <v>721</v>
      </c>
      <c r="C142" s="198" t="s">
        <v>722</v>
      </c>
      <c r="D142" s="956" t="s">
        <v>805</v>
      </c>
      <c r="E142" s="189" t="s">
        <v>723</v>
      </c>
      <c r="F142" s="149" t="s">
        <v>724</v>
      </c>
      <c r="G142" s="406" t="s">
        <v>121</v>
      </c>
      <c r="H142" s="406">
        <v>15779.772965800001</v>
      </c>
      <c r="I142" s="406">
        <v>20130.83713</v>
      </c>
      <c r="J142" s="406">
        <v>20130.84</v>
      </c>
      <c r="K142" s="406">
        <v>17314.724028827342</v>
      </c>
      <c r="L142" s="406">
        <v>20496.194090000001</v>
      </c>
      <c r="M142" s="406">
        <v>20496.189999999999</v>
      </c>
      <c r="N142" s="406">
        <v>17114.927888876369</v>
      </c>
      <c r="O142" s="406">
        <v>21196.399419999998</v>
      </c>
      <c r="P142" s="406">
        <v>20006.096570000002</v>
      </c>
      <c r="Q142" s="150">
        <v>20006.096570000002</v>
      </c>
      <c r="R142" s="406">
        <v>20006.096570000002</v>
      </c>
      <c r="S142" s="402">
        <v>20006.096570000002</v>
      </c>
      <c r="T142" s="406">
        <f t="shared" si="57"/>
        <v>2891.1686811236323</v>
      </c>
      <c r="U142" s="406">
        <f t="shared" si="58"/>
        <v>0</v>
      </c>
      <c r="V142" s="406">
        <v>18308.048922764599</v>
      </c>
      <c r="W142" s="167">
        <v>22244571.030000001</v>
      </c>
      <c r="X142" s="167">
        <v>22244.571030000003</v>
      </c>
      <c r="Y142" s="406">
        <v>22244.571030000003</v>
      </c>
      <c r="Z142" s="406">
        <v>20533.07416</v>
      </c>
      <c r="AA142" s="406">
        <v>1472.3242600000001</v>
      </c>
      <c r="AB142" s="406">
        <v>239.17260999999999</v>
      </c>
      <c r="AC142" s="403">
        <v>19131.911124289007</v>
      </c>
      <c r="AD142" s="406">
        <f>'[71]2. подк.неподк.'!X130</f>
        <v>24542.5975</v>
      </c>
      <c r="AE142" s="406">
        <f>V142*$AD$11</f>
        <v>18982.732735233294</v>
      </c>
      <c r="AF142" s="402">
        <f t="shared" si="60"/>
        <v>18982.732735233294</v>
      </c>
      <c r="AG142" s="167">
        <v>19897.187569260568</v>
      </c>
      <c r="AH142" s="406">
        <v>23739.8</v>
      </c>
      <c r="AI142" s="957">
        <f t="shared" si="59"/>
        <v>1.0672177030513856</v>
      </c>
      <c r="AJ142" s="957">
        <f t="shared" si="61"/>
        <v>3842.6124307394311</v>
      </c>
      <c r="AK142" s="965"/>
      <c r="AL142" s="74"/>
      <c r="AM142" s="52">
        <f>AH142-AG142</f>
        <v>3842.6124307394311</v>
      </c>
    </row>
    <row r="143" spans="1:40" ht="33" customHeight="1" outlineLevel="1">
      <c r="A143" s="139"/>
      <c r="B143" s="409" t="s">
        <v>725</v>
      </c>
      <c r="C143" s="141"/>
      <c r="D143" s="406"/>
      <c r="E143" s="410" t="s">
        <v>726</v>
      </c>
      <c r="F143" s="410" t="s">
        <v>726</v>
      </c>
      <c r="G143" s="406" t="s">
        <v>121</v>
      </c>
      <c r="H143" s="402">
        <f t="shared" ref="H143:J143" si="96">SUM(H144:H147)</f>
        <v>39898.160731813456</v>
      </c>
      <c r="I143" s="402">
        <f t="shared" si="96"/>
        <v>64588.578529999999</v>
      </c>
      <c r="J143" s="402">
        <f t="shared" si="96"/>
        <v>62638.698529999994</v>
      </c>
      <c r="K143" s="402">
        <f>SUM(K144:K147)</f>
        <v>57178.793138987377</v>
      </c>
      <c r="L143" s="402">
        <f t="shared" ref="L143:N143" si="97">SUM(L144:L147)</f>
        <v>75387.112340000007</v>
      </c>
      <c r="M143" s="402">
        <f t="shared" si="97"/>
        <v>75387.125920000006</v>
      </c>
      <c r="N143" s="402">
        <f t="shared" si="97"/>
        <v>40838.669377177095</v>
      </c>
      <c r="O143" s="402">
        <f>SUM(O144:O147)</f>
        <v>66805.020890000014</v>
      </c>
      <c r="P143" s="402">
        <f t="shared" ref="P143:V143" si="98">SUM(P144:P147)</f>
        <v>66630.968229999999</v>
      </c>
      <c r="Q143" s="145">
        <f t="shared" si="98"/>
        <v>66630.968229999999</v>
      </c>
      <c r="R143" s="402">
        <f t="shared" si="98"/>
        <v>66630.968229999999</v>
      </c>
      <c r="S143" s="402">
        <f t="shared" si="98"/>
        <v>66630.968229999999</v>
      </c>
      <c r="T143" s="402">
        <f t="shared" si="57"/>
        <v>25792.298852822903</v>
      </c>
      <c r="U143" s="402">
        <f t="shared" si="58"/>
        <v>0</v>
      </c>
      <c r="V143" s="402">
        <f t="shared" si="98"/>
        <v>79533.422149999999</v>
      </c>
      <c r="W143" s="953">
        <f>SUM(W144:W147)</f>
        <v>77525816.799999997</v>
      </c>
      <c r="X143" s="953">
        <f>SUM(X144:X147)</f>
        <v>77525.816800000001</v>
      </c>
      <c r="Y143" s="953">
        <f t="shared" ref="Y143:AK143" si="99">SUM(Y144:Y147)</f>
        <v>77525.820000000007</v>
      </c>
      <c r="Z143" s="168">
        <f t="shared" si="99"/>
        <v>76131.868920000008</v>
      </c>
      <c r="AA143" s="953">
        <f t="shared" si="99"/>
        <v>1186.70706</v>
      </c>
      <c r="AB143" s="953">
        <f t="shared" si="99"/>
        <v>207.24081999999999</v>
      </c>
      <c r="AC143" s="170">
        <f t="shared" si="99"/>
        <v>83112.426146749989</v>
      </c>
      <c r="AD143" s="170">
        <f t="shared" si="99"/>
        <v>83242.426146749989</v>
      </c>
      <c r="AE143" s="170">
        <f t="shared" si="99"/>
        <v>82464.368680742671</v>
      </c>
      <c r="AF143" s="170">
        <f t="shared" si="99"/>
        <v>82464.368680742671</v>
      </c>
      <c r="AG143" s="170">
        <f t="shared" si="99"/>
        <v>86436.923192619986</v>
      </c>
      <c r="AH143" s="173">
        <f t="shared" si="99"/>
        <v>85781.177467200017</v>
      </c>
      <c r="AI143" s="974">
        <f t="shared" si="59"/>
        <v>1.1064853104159751</v>
      </c>
      <c r="AJ143" s="975">
        <f t="shared" si="99"/>
        <v>-655.74572541997554</v>
      </c>
      <c r="AK143" s="975">
        <f t="shared" si="99"/>
        <v>85781.177467200017</v>
      </c>
      <c r="AL143" s="74"/>
    </row>
    <row r="144" spans="1:40" ht="33" customHeight="1" outlineLevel="2">
      <c r="A144" s="1335" t="s">
        <v>727</v>
      </c>
      <c r="B144" s="406" t="s">
        <v>728</v>
      </c>
      <c r="C144" s="1823" t="s">
        <v>729</v>
      </c>
      <c r="D144" s="956" t="s">
        <v>789</v>
      </c>
      <c r="E144" s="164" t="s">
        <v>730</v>
      </c>
      <c r="F144" s="149" t="s">
        <v>731</v>
      </c>
      <c r="G144" s="406" t="s">
        <v>121</v>
      </c>
      <c r="H144" s="406">
        <v>38660.630731813457</v>
      </c>
      <c r="I144" s="406">
        <v>63552.038529999998</v>
      </c>
      <c r="J144" s="406">
        <v>61602.158529999993</v>
      </c>
      <c r="K144" s="406">
        <v>13136.940703087485</v>
      </c>
      <c r="L144" s="406">
        <v>17741.679230000002</v>
      </c>
      <c r="M144" s="406">
        <v>17741.679230000002</v>
      </c>
      <c r="N144" s="406">
        <v>9305.1563204006688</v>
      </c>
      <c r="O144" s="406">
        <v>15635.819477713374</v>
      </c>
      <c r="P144" s="406">
        <v>15594.873643999546</v>
      </c>
      <c r="Q144" s="150">
        <v>15594.873643999546</v>
      </c>
      <c r="R144" s="406">
        <v>15594.873643999546</v>
      </c>
      <c r="S144" s="402">
        <v>15594.873643999546</v>
      </c>
      <c r="T144" s="406">
        <f t="shared" si="57"/>
        <v>6289.7173235988776</v>
      </c>
      <c r="U144" s="406">
        <f t="shared" si="58"/>
        <v>0</v>
      </c>
      <c r="V144" s="406">
        <v>18717.472600651665</v>
      </c>
      <c r="W144" s="167">
        <v>18230449.989999998</v>
      </c>
      <c r="X144" s="167">
        <v>18230.449989999997</v>
      </c>
      <c r="Y144" s="406">
        <v>18230.450743091009</v>
      </c>
      <c r="Z144" s="406">
        <v>17902.440178143712</v>
      </c>
      <c r="AA144" s="406">
        <v>279.24875832337682</v>
      </c>
      <c r="AB144" s="406">
        <v>48.766253214505554</v>
      </c>
      <c r="AC144" s="403">
        <v>19559.75886768099</v>
      </c>
      <c r="AD144" s="406">
        <f>'[71]2. подк.неподк.'!X132</f>
        <v>19559.75886768099</v>
      </c>
      <c r="AE144" s="406">
        <f>V144*$AD$11</f>
        <v>19407.244395956604</v>
      </c>
      <c r="AF144" s="402">
        <f t="shared" si="60"/>
        <v>19407.244395956604</v>
      </c>
      <c r="AG144" s="167">
        <v>20342.149222388231</v>
      </c>
      <c r="AH144" s="167">
        <v>20126.419046029059</v>
      </c>
      <c r="AI144" s="989">
        <f t="shared" si="59"/>
        <v>1.104000123807644</v>
      </c>
      <c r="AJ144" s="989">
        <f t="shared" si="61"/>
        <v>-215.73017635917131</v>
      </c>
      <c r="AK144" s="958">
        <f>AH144</f>
        <v>20126.419046029059</v>
      </c>
      <c r="AL144" s="74"/>
      <c r="AM144" s="52">
        <f>AH144-AG144</f>
        <v>-215.73017635917131</v>
      </c>
    </row>
    <row r="145" spans="1:39" ht="33" customHeight="1" outlineLevel="2">
      <c r="A145" s="1336"/>
      <c r="B145" s="406" t="s">
        <v>732</v>
      </c>
      <c r="C145" s="1823"/>
      <c r="D145" s="956" t="s">
        <v>810</v>
      </c>
      <c r="E145" s="164" t="s">
        <v>733</v>
      </c>
      <c r="F145" s="149" t="s">
        <v>734</v>
      </c>
      <c r="G145" s="406" t="s">
        <v>121</v>
      </c>
      <c r="H145" s="406">
        <v>0</v>
      </c>
      <c r="I145" s="406">
        <v>0</v>
      </c>
      <c r="J145" s="406">
        <v>0</v>
      </c>
      <c r="K145" s="406">
        <v>42683.942435899888</v>
      </c>
      <c r="L145" s="406">
        <v>57645.446690000004</v>
      </c>
      <c r="M145" s="406">
        <v>57645.446690000004</v>
      </c>
      <c r="N145" s="406">
        <v>30233.885172647962</v>
      </c>
      <c r="O145" s="406">
        <v>50803.184212286636</v>
      </c>
      <c r="P145" s="406">
        <v>50670.144896000456</v>
      </c>
      <c r="Q145" s="150">
        <v>50670.144896000456</v>
      </c>
      <c r="R145" s="406">
        <v>50670.144896000456</v>
      </c>
      <c r="S145" s="402">
        <v>50670.144896000456</v>
      </c>
      <c r="T145" s="406">
        <f t="shared" si="57"/>
        <v>20436.259723352494</v>
      </c>
      <c r="U145" s="406">
        <f t="shared" si="58"/>
        <v>0</v>
      </c>
      <c r="V145" s="406">
        <v>60815.949549348334</v>
      </c>
      <c r="W145" s="167">
        <v>59233546.810000002</v>
      </c>
      <c r="X145" s="167">
        <v>59233.54681</v>
      </c>
      <c r="Y145" s="406">
        <v>59233.549256908991</v>
      </c>
      <c r="Z145" s="406">
        <v>58167.790401856291</v>
      </c>
      <c r="AA145" s="406">
        <v>907.31385167662313</v>
      </c>
      <c r="AB145" s="406">
        <v>158.43735678549444</v>
      </c>
      <c r="AC145" s="403">
        <v>63552.667279069006</v>
      </c>
      <c r="AD145" s="406">
        <f>'[71]2. подк.неподк.'!X133</f>
        <v>63552.667279069006</v>
      </c>
      <c r="AE145" s="406">
        <f>V145*$AD$11</f>
        <v>63057.12428478607</v>
      </c>
      <c r="AF145" s="402">
        <f t="shared" si="60"/>
        <v>63057.12428478607</v>
      </c>
      <c r="AG145" s="167">
        <v>66094.773970231763</v>
      </c>
      <c r="AH145" s="167">
        <v>65393.833421170959</v>
      </c>
      <c r="AI145" s="989">
        <f t="shared" si="59"/>
        <v>1.1039999618954264</v>
      </c>
      <c r="AJ145" s="989">
        <f t="shared" si="61"/>
        <v>-700.94054906080419</v>
      </c>
      <c r="AK145" s="958">
        <f t="shared" ref="AK145:AK147" si="100">AH145</f>
        <v>65393.833421170959</v>
      </c>
      <c r="AL145" s="74"/>
      <c r="AM145" s="52">
        <f>AH145-AG145</f>
        <v>-700.94054906080419</v>
      </c>
    </row>
    <row r="146" spans="1:39" ht="33" customHeight="1" outlineLevel="2">
      <c r="A146" s="139" t="s">
        <v>735</v>
      </c>
      <c r="B146" s="406" t="s">
        <v>736</v>
      </c>
      <c r="C146" s="198" t="s">
        <v>737</v>
      </c>
      <c r="D146" s="956" t="s">
        <v>815</v>
      </c>
      <c r="E146" s="148" t="s">
        <v>738</v>
      </c>
      <c r="F146" s="1333" t="s">
        <v>739</v>
      </c>
      <c r="G146" s="1334" t="s">
        <v>121</v>
      </c>
      <c r="H146" s="406">
        <v>1237.53</v>
      </c>
      <c r="I146" s="406">
        <v>1036.54</v>
      </c>
      <c r="J146" s="406">
        <v>1036.54</v>
      </c>
      <c r="K146" s="1334">
        <v>1357.91</v>
      </c>
      <c r="L146" s="406">
        <v>-1.358E-2</v>
      </c>
      <c r="M146" s="406">
        <v>0</v>
      </c>
      <c r="N146" s="406">
        <v>1299.6278841284657</v>
      </c>
      <c r="O146" s="406">
        <v>323.46719999999999</v>
      </c>
      <c r="P146" s="406">
        <v>323.46719999999999</v>
      </c>
      <c r="Q146" s="150">
        <v>323.46719999999999</v>
      </c>
      <c r="R146" s="406">
        <v>323.46719999999999</v>
      </c>
      <c r="S146" s="402">
        <v>323.46719999999999</v>
      </c>
      <c r="T146" s="406">
        <f t="shared" si="57"/>
        <v>-976.16068412846562</v>
      </c>
      <c r="U146" s="406">
        <f t="shared" si="58"/>
        <v>0</v>
      </c>
      <c r="V146" s="406">
        <v>0</v>
      </c>
      <c r="W146" s="167">
        <v>0</v>
      </c>
      <c r="X146" s="167">
        <v>0</v>
      </c>
      <c r="Y146" s="406">
        <v>0</v>
      </c>
      <c r="Z146" s="406">
        <v>0</v>
      </c>
      <c r="AA146" s="406">
        <v>0</v>
      </c>
      <c r="AB146" s="406">
        <v>0</v>
      </c>
      <c r="AC146" s="403">
        <v>0</v>
      </c>
      <c r="AD146" s="406">
        <f>'[71]2. подк.неподк.'!X134</f>
        <v>0</v>
      </c>
      <c r="AE146" s="406">
        <f>V146*$AD$11</f>
        <v>0</v>
      </c>
      <c r="AF146" s="402">
        <f t="shared" si="60"/>
        <v>0</v>
      </c>
      <c r="AG146" s="167">
        <v>0</v>
      </c>
      <c r="AH146" s="406">
        <v>0</v>
      </c>
      <c r="AI146" s="957" t="e">
        <f t="shared" si="59"/>
        <v>#DIV/0!</v>
      </c>
      <c r="AJ146" s="957">
        <f t="shared" si="61"/>
        <v>0</v>
      </c>
      <c r="AK146" s="958">
        <f t="shared" si="100"/>
        <v>0</v>
      </c>
      <c r="AL146" s="74"/>
      <c r="AM146" s="52">
        <f>AH146-AG146</f>
        <v>0</v>
      </c>
    </row>
    <row r="147" spans="1:39" ht="33" customHeight="1" outlineLevel="2">
      <c r="A147" s="139" t="s">
        <v>740</v>
      </c>
      <c r="B147" s="406" t="s">
        <v>741</v>
      </c>
      <c r="C147" s="198" t="s">
        <v>742</v>
      </c>
      <c r="D147" s="956" t="s">
        <v>2148</v>
      </c>
      <c r="E147" s="990" t="s">
        <v>743</v>
      </c>
      <c r="F147" s="1333"/>
      <c r="G147" s="1334"/>
      <c r="H147" s="406">
        <v>0</v>
      </c>
      <c r="I147" s="406">
        <v>0</v>
      </c>
      <c r="J147" s="406">
        <v>0</v>
      </c>
      <c r="K147" s="1334"/>
      <c r="L147" s="406"/>
      <c r="M147" s="406"/>
      <c r="N147" s="406"/>
      <c r="O147" s="406">
        <v>42.55</v>
      </c>
      <c r="P147" s="406">
        <v>42.482489999999999</v>
      </c>
      <c r="Q147" s="150">
        <v>42.482489999999999</v>
      </c>
      <c r="R147" s="406">
        <v>42.482489999999999</v>
      </c>
      <c r="S147" s="402">
        <v>42.482489999999999</v>
      </c>
      <c r="T147" s="406">
        <f t="shared" si="57"/>
        <v>42.482489999999999</v>
      </c>
      <c r="U147" s="406">
        <f t="shared" si="58"/>
        <v>0</v>
      </c>
      <c r="V147" s="406">
        <v>0</v>
      </c>
      <c r="W147" s="167">
        <v>61820</v>
      </c>
      <c r="X147" s="167">
        <v>61.82</v>
      </c>
      <c r="Y147" s="406">
        <v>61.819999999999993</v>
      </c>
      <c r="Z147" s="406">
        <v>61.638339999999999</v>
      </c>
      <c r="AA147" s="406">
        <v>0.14445</v>
      </c>
      <c r="AB147" s="406">
        <v>3.721E-2</v>
      </c>
      <c r="AC147" s="403">
        <v>0</v>
      </c>
      <c r="AD147" s="406">
        <f>'[71]2. подк.неподк.'!X135</f>
        <v>130</v>
      </c>
      <c r="AE147" s="406">
        <f>V147*$AD$11</f>
        <v>0</v>
      </c>
      <c r="AF147" s="402">
        <f t="shared" si="60"/>
        <v>0</v>
      </c>
      <c r="AG147" s="167">
        <v>0</v>
      </c>
      <c r="AH147" s="406">
        <v>260.92500000000001</v>
      </c>
      <c r="AI147" s="957">
        <f t="shared" si="59"/>
        <v>4.2207214493691367</v>
      </c>
      <c r="AJ147" s="957">
        <f t="shared" si="61"/>
        <v>260.92500000000001</v>
      </c>
      <c r="AK147" s="958">
        <f t="shared" si="100"/>
        <v>260.92500000000001</v>
      </c>
      <c r="AL147" s="74"/>
      <c r="AM147" s="52">
        <f>AH147-AG147</f>
        <v>260.92500000000001</v>
      </c>
    </row>
    <row r="148" spans="1:39" ht="33" customHeight="1" outlineLevel="1">
      <c r="A148" s="139"/>
      <c r="B148" s="409" t="s">
        <v>744</v>
      </c>
      <c r="C148" s="141"/>
      <c r="D148" s="406"/>
      <c r="E148" s="410" t="s">
        <v>745</v>
      </c>
      <c r="F148" s="410" t="s">
        <v>745</v>
      </c>
      <c r="G148" s="406" t="s">
        <v>121</v>
      </c>
      <c r="H148" s="173">
        <f t="shared" ref="H148:J148" si="101">H149+H150</f>
        <v>2000</v>
      </c>
      <c r="I148" s="173">
        <f t="shared" si="101"/>
        <v>22589.119339999997</v>
      </c>
      <c r="J148" s="173">
        <f t="shared" si="101"/>
        <v>4223.8999999999996</v>
      </c>
      <c r="K148" s="173">
        <f>K149+K150</f>
        <v>2194.5465999999997</v>
      </c>
      <c r="L148" s="173">
        <f t="shared" ref="L148:N148" si="102">L149+L150</f>
        <v>16854.686969999999</v>
      </c>
      <c r="M148" s="173">
        <f t="shared" si="102"/>
        <v>3019.31</v>
      </c>
      <c r="N148" s="173">
        <f t="shared" si="102"/>
        <v>2053.34</v>
      </c>
      <c r="O148" s="173">
        <f>O149+O150</f>
        <v>17537.749759999999</v>
      </c>
      <c r="P148" s="173">
        <f t="shared" ref="P148:AK148" si="103">P149+P150</f>
        <v>17244.981400000001</v>
      </c>
      <c r="Q148" s="174">
        <f t="shared" si="103"/>
        <v>3569.4841299999998</v>
      </c>
      <c r="R148" s="173">
        <f t="shared" si="103"/>
        <v>3569.4841299999998</v>
      </c>
      <c r="S148" s="402">
        <f t="shared" si="103"/>
        <v>3569.4841299999998</v>
      </c>
      <c r="T148" s="173">
        <f t="shared" si="57"/>
        <v>1516.1441299999997</v>
      </c>
      <c r="U148" s="173">
        <f t="shared" si="58"/>
        <v>-13675.49727</v>
      </c>
      <c r="V148" s="173">
        <f t="shared" si="103"/>
        <v>2166.2737000000002</v>
      </c>
      <c r="W148" s="173">
        <f t="shared" si="103"/>
        <v>6475120.4400000004</v>
      </c>
      <c r="X148" s="173">
        <f t="shared" si="103"/>
        <v>6475.1204400000006</v>
      </c>
      <c r="Y148" s="173">
        <f t="shared" si="103"/>
        <v>6475.1204399999997</v>
      </c>
      <c r="Z148" s="1019">
        <f t="shared" si="103"/>
        <v>6284.5428499999998</v>
      </c>
      <c r="AA148" s="173">
        <f t="shared" si="103"/>
        <v>161.83989999999997</v>
      </c>
      <c r="AB148" s="173">
        <f t="shared" si="103"/>
        <v>28.737690000000001</v>
      </c>
      <c r="AC148" s="170">
        <f t="shared" si="103"/>
        <v>2263.7560165</v>
      </c>
      <c r="AD148" s="170">
        <f t="shared" si="103"/>
        <v>2263.7560165</v>
      </c>
      <c r="AE148" s="170">
        <f t="shared" si="103"/>
        <v>2246.1046970075154</v>
      </c>
      <c r="AF148" s="170">
        <f t="shared" si="103"/>
        <v>2246.1046970075154</v>
      </c>
      <c r="AG148" s="170">
        <f t="shared" si="103"/>
        <v>2354.3062571599999</v>
      </c>
      <c r="AH148" s="173">
        <f t="shared" si="103"/>
        <v>676.5089483050848</v>
      </c>
      <c r="AI148" s="974">
        <f t="shared" si="59"/>
        <v>0.10447820308112829</v>
      </c>
      <c r="AJ148" s="975">
        <f t="shared" si="103"/>
        <v>-1677.7973088549152</v>
      </c>
      <c r="AK148" s="975">
        <f t="shared" si="103"/>
        <v>0</v>
      </c>
      <c r="AL148" s="74"/>
    </row>
    <row r="149" spans="1:39" s="191" customFormat="1" ht="33" customHeight="1" outlineLevel="2">
      <c r="A149" s="139" t="s">
        <v>746</v>
      </c>
      <c r="B149" s="406" t="s">
        <v>747</v>
      </c>
      <c r="C149" s="198" t="s">
        <v>748</v>
      </c>
      <c r="D149" s="956" t="s">
        <v>823</v>
      </c>
      <c r="E149" s="148" t="s">
        <v>749</v>
      </c>
      <c r="F149" s="149" t="s">
        <v>750</v>
      </c>
      <c r="G149" s="406" t="s">
        <v>121</v>
      </c>
      <c r="H149" s="406">
        <v>1000</v>
      </c>
      <c r="I149" s="406">
        <v>19365.218939999999</v>
      </c>
      <c r="J149" s="406">
        <v>1000</v>
      </c>
      <c r="K149" s="406">
        <v>1097.2733000000001</v>
      </c>
      <c r="L149" s="406">
        <v>14932.645769999999</v>
      </c>
      <c r="M149" s="406">
        <v>1097.27</v>
      </c>
      <c r="N149" s="406">
        <v>1026.67</v>
      </c>
      <c r="O149" s="406">
        <v>14990.839760000001</v>
      </c>
      <c r="P149" s="406">
        <v>14702.167270000002</v>
      </c>
      <c r="Q149" s="150">
        <v>1026.67</v>
      </c>
      <c r="R149" s="406">
        <v>1026.67</v>
      </c>
      <c r="S149" s="402">
        <v>1026.67</v>
      </c>
      <c r="T149" s="406">
        <f t="shared" si="57"/>
        <v>0</v>
      </c>
      <c r="U149" s="406">
        <f t="shared" si="58"/>
        <v>-13675.497270000002</v>
      </c>
      <c r="V149" s="406">
        <v>1083.1368500000001</v>
      </c>
      <c r="W149" s="167">
        <v>5975120.4400000004</v>
      </c>
      <c r="X149" s="167">
        <v>5975.1204400000006</v>
      </c>
      <c r="Y149" s="406">
        <v>5975.1204399999997</v>
      </c>
      <c r="Z149" s="406">
        <v>5785.2768699999997</v>
      </c>
      <c r="AA149" s="406">
        <v>161.37359999999998</v>
      </c>
      <c r="AB149" s="406">
        <v>28.46997</v>
      </c>
      <c r="AC149" s="403">
        <v>1131.87800825</v>
      </c>
      <c r="AD149" s="406">
        <f>'[71]2. подк.неподк.'!X137</f>
        <v>1131.87800825</v>
      </c>
      <c r="AE149" s="406">
        <f>V149*$AD$11</f>
        <v>1123.0523485037577</v>
      </c>
      <c r="AF149" s="402">
        <f t="shared" si="60"/>
        <v>1123.0523485037577</v>
      </c>
      <c r="AG149" s="167">
        <v>1177.1531285799999</v>
      </c>
      <c r="AH149" s="406">
        <v>145.80894830508475</v>
      </c>
      <c r="AI149" s="957">
        <f t="shared" si="59"/>
        <v>2.4402679371779281E-2</v>
      </c>
      <c r="AJ149" s="957">
        <f t="shared" si="61"/>
        <v>-1031.3441802749153</v>
      </c>
      <c r="AK149" s="965"/>
      <c r="AL149" s="991"/>
      <c r="AM149" s="52">
        <f>AH149-AG149</f>
        <v>-1031.3441802749153</v>
      </c>
    </row>
    <row r="150" spans="1:39" s="191" customFormat="1" ht="33" customHeight="1" outlineLevel="2">
      <c r="A150" s="139" t="s">
        <v>751</v>
      </c>
      <c r="B150" s="406" t="s">
        <v>752</v>
      </c>
      <c r="C150" s="198" t="s">
        <v>753</v>
      </c>
      <c r="D150" s="956" t="s">
        <v>829</v>
      </c>
      <c r="E150" s="148" t="s">
        <v>754</v>
      </c>
      <c r="F150" s="149" t="s">
        <v>755</v>
      </c>
      <c r="G150" s="406" t="s">
        <v>121</v>
      </c>
      <c r="H150" s="406">
        <v>1000</v>
      </c>
      <c r="I150" s="406">
        <v>3223.9004</v>
      </c>
      <c r="J150" s="406">
        <v>3223.9</v>
      </c>
      <c r="K150" s="406">
        <v>1097.2732999999998</v>
      </c>
      <c r="L150" s="406">
        <v>1922.0411999999999</v>
      </c>
      <c r="M150" s="406">
        <v>1922.04</v>
      </c>
      <c r="N150" s="406">
        <v>1026.67</v>
      </c>
      <c r="O150" s="406">
        <v>2546.91</v>
      </c>
      <c r="P150" s="406">
        <v>2542.8141299999997</v>
      </c>
      <c r="Q150" s="150">
        <v>2542.8141299999997</v>
      </c>
      <c r="R150" s="406">
        <v>2542.8141299999997</v>
      </c>
      <c r="S150" s="402">
        <v>2542.8141299999997</v>
      </c>
      <c r="T150" s="406">
        <f t="shared" si="57"/>
        <v>1516.1441299999997</v>
      </c>
      <c r="U150" s="406">
        <f t="shared" si="58"/>
        <v>0</v>
      </c>
      <c r="V150" s="406">
        <v>1083.1368500000001</v>
      </c>
      <c r="W150" s="167">
        <v>500000</v>
      </c>
      <c r="X150" s="167">
        <v>500</v>
      </c>
      <c r="Y150" s="406">
        <v>499.99999999999994</v>
      </c>
      <c r="Z150" s="406">
        <v>499.26597999999996</v>
      </c>
      <c r="AA150" s="406">
        <v>0.46629999999999999</v>
      </c>
      <c r="AB150" s="406">
        <v>0.26772000000000001</v>
      </c>
      <c r="AC150" s="403">
        <v>1131.87800825</v>
      </c>
      <c r="AD150" s="406">
        <f>'[71]2. подк.неподк.'!X138</f>
        <v>1131.87800825</v>
      </c>
      <c r="AE150" s="406">
        <f>V150*$AD$11</f>
        <v>1123.0523485037577</v>
      </c>
      <c r="AF150" s="402">
        <f t="shared" si="60"/>
        <v>1123.0523485037577</v>
      </c>
      <c r="AG150" s="167">
        <v>1177.1531285799999</v>
      </c>
      <c r="AH150" s="406">
        <v>530.70000000000005</v>
      </c>
      <c r="AI150" s="957">
        <f t="shared" si="59"/>
        <v>1.0614000000000001</v>
      </c>
      <c r="AJ150" s="957">
        <f t="shared" si="61"/>
        <v>-646.45312857999988</v>
      </c>
      <c r="AK150" s="965"/>
      <c r="AL150" s="991"/>
      <c r="AM150" s="52">
        <f>AH150-AG150</f>
        <v>-646.45312857999988</v>
      </c>
    </row>
    <row r="151" spans="1:39" s="191" customFormat="1" ht="33" customHeight="1" outlineLevel="1">
      <c r="A151" s="192"/>
      <c r="B151" s="409" t="s">
        <v>756</v>
      </c>
      <c r="C151" s="193"/>
      <c r="D151" s="402"/>
      <c r="E151" s="410" t="s">
        <v>757</v>
      </c>
      <c r="F151" s="410" t="s">
        <v>757</v>
      </c>
      <c r="G151" s="406" t="s">
        <v>121</v>
      </c>
      <c r="H151" s="173">
        <f t="shared" ref="H151:J151" si="104">H153+H160+H168+H172+H175+H180+H206</f>
        <v>170092.25239761703</v>
      </c>
      <c r="I151" s="173">
        <f t="shared" si="104"/>
        <v>210974.52321000001</v>
      </c>
      <c r="J151" s="173">
        <f t="shared" si="104"/>
        <v>182022.39</v>
      </c>
      <c r="K151" s="173">
        <f>K153+K160+K168+K172+K175+K180+K206</f>
        <v>173103.11822122496</v>
      </c>
      <c r="L151" s="173">
        <f t="shared" ref="L151:AK151" si="105">L153+L160+L168+L172+L175+L180+L206</f>
        <v>239337.42604999998</v>
      </c>
      <c r="M151" s="173">
        <f t="shared" si="105"/>
        <v>212439.44644999999</v>
      </c>
      <c r="N151" s="173">
        <f t="shared" si="105"/>
        <v>144208.10422230931</v>
      </c>
      <c r="O151" s="173">
        <f t="shared" si="105"/>
        <v>232514.72855</v>
      </c>
      <c r="P151" s="173">
        <f t="shared" si="105"/>
        <v>224140.40088999999</v>
      </c>
      <c r="Q151" s="174">
        <f t="shared" si="105"/>
        <v>196063.13141999999</v>
      </c>
      <c r="R151" s="173">
        <f t="shared" si="105"/>
        <v>199199.35916999998</v>
      </c>
      <c r="S151" s="402">
        <f t="shared" si="105"/>
        <v>189739.50462999998</v>
      </c>
      <c r="T151" s="173">
        <f t="shared" si="57"/>
        <v>45531.400407690671</v>
      </c>
      <c r="U151" s="173">
        <f t="shared" si="58"/>
        <v>-34400.896260000009</v>
      </c>
      <c r="V151" s="173">
        <f t="shared" si="105"/>
        <v>153952.99103572237</v>
      </c>
      <c r="W151" s="173">
        <f t="shared" si="105"/>
        <v>176666639.46000001</v>
      </c>
      <c r="X151" s="173">
        <f t="shared" si="105"/>
        <v>176666.63620000001</v>
      </c>
      <c r="Y151" s="173">
        <f t="shared" si="105"/>
        <v>176666.63945999998</v>
      </c>
      <c r="Z151" s="173">
        <f t="shared" si="105"/>
        <v>182409.93831999999</v>
      </c>
      <c r="AA151" s="173">
        <f t="shared" si="105"/>
        <v>9456.9701700000005</v>
      </c>
      <c r="AB151" s="173">
        <f t="shared" si="105"/>
        <v>467.48262999999997</v>
      </c>
      <c r="AC151" s="170">
        <f t="shared" si="105"/>
        <v>160156.58801259863</v>
      </c>
      <c r="AD151" s="170">
        <f t="shared" si="105"/>
        <v>359689.30162886565</v>
      </c>
      <c r="AE151" s="170">
        <f t="shared" si="105"/>
        <v>159626.42960752925</v>
      </c>
      <c r="AF151" s="170">
        <f>AF153+AF160+AF168+AF172+AF175+AF180+AF206</f>
        <v>159626.42960752925</v>
      </c>
      <c r="AG151" s="170">
        <f t="shared" si="105"/>
        <v>166562.85593310258</v>
      </c>
      <c r="AH151" s="173">
        <f t="shared" si="105"/>
        <v>1114093.8883931306</v>
      </c>
      <c r="AI151" s="974">
        <f t="shared" si="59"/>
        <v>6.3061929086140065</v>
      </c>
      <c r="AJ151" s="975">
        <f t="shared" si="105"/>
        <v>947531.03246002796</v>
      </c>
      <c r="AK151" s="975">
        <f t="shared" si="105"/>
        <v>1039138.0546087576</v>
      </c>
      <c r="AL151" s="991"/>
      <c r="AM151" s="52"/>
    </row>
    <row r="152" spans="1:39" s="191" customFormat="1" ht="33" customHeight="1" outlineLevel="3">
      <c r="A152" s="139" t="s">
        <v>758</v>
      </c>
      <c r="B152" s="406" t="s">
        <v>759</v>
      </c>
      <c r="C152" s="198" t="s">
        <v>760</v>
      </c>
      <c r="D152" s="956" t="s">
        <v>834</v>
      </c>
      <c r="E152" s="148" t="s">
        <v>761</v>
      </c>
      <c r="F152" s="149" t="s">
        <v>762</v>
      </c>
      <c r="G152" s="406" t="s">
        <v>121</v>
      </c>
      <c r="H152" s="406">
        <v>110.48130345897923</v>
      </c>
      <c r="I152" s="406">
        <v>26.01483</v>
      </c>
      <c r="J152" s="406">
        <v>26.01</v>
      </c>
      <c r="K152" s="406">
        <v>121.22818443473554</v>
      </c>
      <c r="L152" s="406">
        <v>22.835909999999998</v>
      </c>
      <c r="M152" s="406">
        <v>22.84</v>
      </c>
      <c r="N152" s="406">
        <v>22.259997114405309</v>
      </c>
      <c r="O152" s="406">
        <v>212.84136999999998</v>
      </c>
      <c r="P152" s="406">
        <v>12.065530000000001</v>
      </c>
      <c r="Q152" s="150">
        <v>12.065530000000001</v>
      </c>
      <c r="R152" s="406">
        <v>12.065530000000001</v>
      </c>
      <c r="S152" s="402">
        <v>12.065530000000001</v>
      </c>
      <c r="T152" s="406">
        <f t="shared" si="57"/>
        <v>-10.194467114405308</v>
      </c>
      <c r="U152" s="406">
        <f t="shared" si="58"/>
        <v>0</v>
      </c>
      <c r="V152" s="406">
        <v>25.903414999999995</v>
      </c>
      <c r="W152" s="167">
        <v>227553.24</v>
      </c>
      <c r="X152" s="167">
        <v>227.55323999999999</v>
      </c>
      <c r="Y152" s="406">
        <v>227.55323999999999</v>
      </c>
      <c r="Z152" s="406">
        <v>25.05114</v>
      </c>
      <c r="AA152" s="406">
        <v>96.970919999999992</v>
      </c>
      <c r="AB152" s="406">
        <v>105.53117999999999</v>
      </c>
      <c r="AC152" s="403">
        <v>27.069068674999993</v>
      </c>
      <c r="AD152" s="406">
        <f>'[71]2. подк.неподк.'!X140</f>
        <v>228.09</v>
      </c>
      <c r="AE152" s="406">
        <f>V152*$AD$11</f>
        <v>26.858001415072767</v>
      </c>
      <c r="AF152" s="402">
        <f t="shared" si="60"/>
        <v>26.858001415072767</v>
      </c>
      <c r="AG152" s="167">
        <v>28.151831421999994</v>
      </c>
      <c r="AH152" s="406">
        <v>275.90794129256778</v>
      </c>
      <c r="AI152" s="957">
        <f t="shared" si="59"/>
        <v>1.212498408251923</v>
      </c>
      <c r="AJ152" s="957">
        <f t="shared" si="61"/>
        <v>247.7561098705678</v>
      </c>
      <c r="AK152" s="958">
        <f>AH152</f>
        <v>275.90794129256778</v>
      </c>
      <c r="AL152" s="991"/>
      <c r="AM152" s="52">
        <f>AH152-AG152</f>
        <v>247.7561098705678</v>
      </c>
    </row>
    <row r="153" spans="1:39" s="161" customFormat="1" ht="33" customHeight="1" outlineLevel="2">
      <c r="A153" s="153"/>
      <c r="B153" s="402"/>
      <c r="C153" s="155"/>
      <c r="D153" s="966"/>
      <c r="E153" s="156" t="s">
        <v>763</v>
      </c>
      <c r="F153" s="157"/>
      <c r="G153" s="158"/>
      <c r="H153" s="154">
        <f t="shared" ref="H153:J153" si="106">H152</f>
        <v>110.48130345897923</v>
      </c>
      <c r="I153" s="154">
        <f t="shared" si="106"/>
        <v>26.01483</v>
      </c>
      <c r="J153" s="154">
        <f t="shared" si="106"/>
        <v>26.01</v>
      </c>
      <c r="K153" s="154">
        <f>K152</f>
        <v>121.22818443473554</v>
      </c>
      <c r="L153" s="154">
        <f t="shared" ref="L153:AK153" si="107">L152</f>
        <v>22.835909999999998</v>
      </c>
      <c r="M153" s="154">
        <f t="shared" si="107"/>
        <v>22.84</v>
      </c>
      <c r="N153" s="154">
        <f t="shared" si="107"/>
        <v>22.259997114405309</v>
      </c>
      <c r="O153" s="154">
        <f t="shared" si="107"/>
        <v>212.84136999999998</v>
      </c>
      <c r="P153" s="154">
        <f t="shared" si="107"/>
        <v>12.065530000000001</v>
      </c>
      <c r="Q153" s="159">
        <f t="shared" si="107"/>
        <v>12.065530000000001</v>
      </c>
      <c r="R153" s="154">
        <f t="shared" si="107"/>
        <v>12.065530000000001</v>
      </c>
      <c r="S153" s="402">
        <f t="shared" si="107"/>
        <v>12.065530000000001</v>
      </c>
      <c r="T153" s="402">
        <f t="shared" si="57"/>
        <v>-10.194467114405308</v>
      </c>
      <c r="U153" s="402">
        <f t="shared" si="58"/>
        <v>0</v>
      </c>
      <c r="V153" s="154">
        <f t="shared" si="107"/>
        <v>25.903414999999995</v>
      </c>
      <c r="W153" s="154">
        <f t="shared" si="107"/>
        <v>227553.24</v>
      </c>
      <c r="X153" s="154">
        <f t="shared" si="107"/>
        <v>227.55323999999999</v>
      </c>
      <c r="Y153" s="154">
        <f t="shared" si="107"/>
        <v>227.55323999999999</v>
      </c>
      <c r="Z153" s="1041">
        <f t="shared" si="107"/>
        <v>25.05114</v>
      </c>
      <c r="AA153" s="154">
        <f t="shared" si="107"/>
        <v>96.970919999999992</v>
      </c>
      <c r="AB153" s="154">
        <f t="shared" si="107"/>
        <v>105.53117999999999</v>
      </c>
      <c r="AC153" s="194">
        <f t="shared" si="107"/>
        <v>27.069068674999993</v>
      </c>
      <c r="AD153" s="194">
        <f t="shared" si="107"/>
        <v>228.09</v>
      </c>
      <c r="AE153" s="194">
        <f t="shared" si="107"/>
        <v>26.858001415072767</v>
      </c>
      <c r="AF153" s="194">
        <f t="shared" si="107"/>
        <v>26.858001415072767</v>
      </c>
      <c r="AG153" s="194">
        <f t="shared" si="107"/>
        <v>28.151831421999994</v>
      </c>
      <c r="AH153" s="992">
        <f t="shared" si="107"/>
        <v>275.90794129256778</v>
      </c>
      <c r="AI153" s="993">
        <f t="shared" si="59"/>
        <v>1.212498408251923</v>
      </c>
      <c r="AJ153" s="994">
        <f t="shared" si="107"/>
        <v>247.7561098705678</v>
      </c>
      <c r="AK153" s="994">
        <f t="shared" si="107"/>
        <v>275.90794129256778</v>
      </c>
      <c r="AL153" s="964"/>
      <c r="AM153" s="52"/>
    </row>
    <row r="154" spans="1:39" ht="33" customHeight="1" outlineLevel="2">
      <c r="A154" s="139" t="s">
        <v>764</v>
      </c>
      <c r="B154" s="195" t="s">
        <v>765</v>
      </c>
      <c r="C154" s="198" t="s">
        <v>766</v>
      </c>
      <c r="D154" s="969" t="s">
        <v>839</v>
      </c>
      <c r="E154" s="148" t="s">
        <v>767</v>
      </c>
      <c r="F154" s="196" t="s">
        <v>768</v>
      </c>
      <c r="G154" s="406" t="s">
        <v>121</v>
      </c>
      <c r="H154" s="406">
        <v>56740</v>
      </c>
      <c r="I154" s="406">
        <v>65998.707809999993</v>
      </c>
      <c r="J154" s="406">
        <v>65998.710000000006</v>
      </c>
      <c r="K154" s="406">
        <v>60087.66</v>
      </c>
      <c r="L154" s="406">
        <v>57393.816449999998</v>
      </c>
      <c r="M154" s="406">
        <v>57393.816449999998</v>
      </c>
      <c r="N154" s="406">
        <v>53221.34</v>
      </c>
      <c r="O154" s="406">
        <v>59393.999179999999</v>
      </c>
      <c r="P154" s="406">
        <v>59393.999179999999</v>
      </c>
      <c r="Q154" s="150">
        <v>59393.999179999999</v>
      </c>
      <c r="R154" s="406">
        <v>59393.999179999999</v>
      </c>
      <c r="S154" s="402">
        <v>59393.999179999999</v>
      </c>
      <c r="T154" s="406">
        <f t="shared" si="57"/>
        <v>6172.6591800000024</v>
      </c>
      <c r="U154" s="406">
        <f t="shared" si="58"/>
        <v>0</v>
      </c>
      <c r="V154" s="406">
        <v>31517.43</v>
      </c>
      <c r="W154" s="167">
        <v>60740793.259999998</v>
      </c>
      <c r="X154" s="167">
        <v>21288.79</v>
      </c>
      <c r="Y154" s="406">
        <v>21288.78872</v>
      </c>
      <c r="Z154" s="406">
        <v>21288.78872</v>
      </c>
      <c r="AA154" s="406">
        <v>0</v>
      </c>
      <c r="AB154" s="406">
        <v>0</v>
      </c>
      <c r="AC154" s="403">
        <v>32935.72</v>
      </c>
      <c r="AD154" s="406">
        <v>32935.72</v>
      </c>
      <c r="AE154" s="406">
        <f t="shared" ref="AE154:AE159" si="108">V154*$AD$11</f>
        <v>32678.902744655752</v>
      </c>
      <c r="AF154" s="402">
        <f t="shared" si="60"/>
        <v>32678.902744655752</v>
      </c>
      <c r="AG154" s="167">
        <v>34253.15</v>
      </c>
      <c r="AH154" s="406">
        <f>25671.83</f>
        <v>25671.83</v>
      </c>
      <c r="AI154" s="957">
        <f t="shared" si="59"/>
        <v>1.2058848811980389</v>
      </c>
      <c r="AJ154" s="957">
        <f t="shared" si="61"/>
        <v>-8581.32</v>
      </c>
      <c r="AK154" s="965"/>
      <c r="AL154" s="74"/>
      <c r="AM154" s="52">
        <f t="shared" ref="AM154:AM159" si="109">AH154-AG154</f>
        <v>-8581.32</v>
      </c>
    </row>
    <row r="155" spans="1:39" s="191" customFormat="1" ht="33" customHeight="1" outlineLevel="3">
      <c r="A155" s="139" t="s">
        <v>769</v>
      </c>
      <c r="B155" s="406" t="s">
        <v>770</v>
      </c>
      <c r="C155" s="198" t="s">
        <v>771</v>
      </c>
      <c r="D155" s="969" t="s">
        <v>844</v>
      </c>
      <c r="E155" s="148" t="s">
        <v>772</v>
      </c>
      <c r="F155" s="149" t="s">
        <v>773</v>
      </c>
      <c r="G155" s="406" t="s">
        <v>121</v>
      </c>
      <c r="H155" s="406">
        <v>2558.2797852317235</v>
      </c>
      <c r="I155" s="406">
        <v>1416.8088299999999</v>
      </c>
      <c r="J155" s="406">
        <v>1416.81</v>
      </c>
      <c r="K155" s="406">
        <v>2807.1321022645043</v>
      </c>
      <c r="L155" s="406">
        <v>1654.7882300000001</v>
      </c>
      <c r="M155" s="406">
        <v>1654.79</v>
      </c>
      <c r="N155" s="406">
        <v>1163.7881929595367</v>
      </c>
      <c r="O155" s="406">
        <v>1194.3363200000001</v>
      </c>
      <c r="P155" s="406">
        <v>1194.3363200000001</v>
      </c>
      <c r="Q155" s="150">
        <v>1194.3363200000001</v>
      </c>
      <c r="R155" s="406">
        <v>1194.3363200000001</v>
      </c>
      <c r="S155" s="402">
        <v>1194.3363200000001</v>
      </c>
      <c r="T155" s="406">
        <f t="shared" si="57"/>
        <v>30.548127040463442</v>
      </c>
      <c r="U155" s="406">
        <f t="shared" si="58"/>
        <v>0</v>
      </c>
      <c r="V155" s="406">
        <v>1876.7387087499999</v>
      </c>
      <c r="W155" s="167">
        <v>933639.21</v>
      </c>
      <c r="X155" s="167">
        <v>933.63920999999993</v>
      </c>
      <c r="Y155" s="406">
        <v>933.63920999999993</v>
      </c>
      <c r="Z155" s="406">
        <v>933.63920999999993</v>
      </c>
      <c r="AA155" s="406">
        <v>0</v>
      </c>
      <c r="AB155" s="406">
        <v>0</v>
      </c>
      <c r="AC155" s="403">
        <v>1961.1919506437498</v>
      </c>
      <c r="AD155" s="406">
        <f>'[71]2. подк.неподк.'!X143</f>
        <v>1961.1919506437498</v>
      </c>
      <c r="AE155" s="406">
        <f t="shared" si="108"/>
        <v>1945.8998319460713</v>
      </c>
      <c r="AF155" s="402">
        <f t="shared" si="60"/>
        <v>1945.8998319460713</v>
      </c>
      <c r="AG155" s="167">
        <v>2039.6396286694999</v>
      </c>
      <c r="AH155" s="406">
        <v>1303</v>
      </c>
      <c r="AI155" s="957">
        <f t="shared" si="59"/>
        <v>1.3956140509565789</v>
      </c>
      <c r="AJ155" s="957">
        <f t="shared" si="61"/>
        <v>-736.63962866949987</v>
      </c>
      <c r="AK155" s="965"/>
      <c r="AL155" s="991"/>
      <c r="AM155" s="52">
        <f t="shared" si="109"/>
        <v>-736.63962866949987</v>
      </c>
    </row>
    <row r="156" spans="1:39" s="191" customFormat="1" ht="33" customHeight="1" outlineLevel="3">
      <c r="A156" s="139" t="s">
        <v>774</v>
      </c>
      <c r="B156" s="406" t="s">
        <v>775</v>
      </c>
      <c r="C156" s="198" t="s">
        <v>776</v>
      </c>
      <c r="D156" s="956" t="s">
        <v>849</v>
      </c>
      <c r="E156" s="148" t="s">
        <v>777</v>
      </c>
      <c r="F156" s="149" t="s">
        <v>778</v>
      </c>
      <c r="G156" s="406" t="s">
        <v>121</v>
      </c>
      <c r="H156" s="406">
        <v>2213.0019309442214</v>
      </c>
      <c r="I156" s="406">
        <v>137.898</v>
      </c>
      <c r="J156" s="406">
        <v>137.9</v>
      </c>
      <c r="K156" s="406">
        <v>2428.2679316735375</v>
      </c>
      <c r="L156" s="406">
        <v>636.66592000000003</v>
      </c>
      <c r="M156" s="406">
        <v>636.66999999999996</v>
      </c>
      <c r="N156" s="406">
        <v>386.40722699634108</v>
      </c>
      <c r="O156" s="406">
        <v>2041.4435100000001</v>
      </c>
      <c r="P156" s="406">
        <v>2041.4435100000001</v>
      </c>
      <c r="Q156" s="150">
        <v>2041.4435100000001</v>
      </c>
      <c r="R156" s="406">
        <v>2041.4435100000001</v>
      </c>
      <c r="S156" s="402">
        <v>2041.4435100000001</v>
      </c>
      <c r="T156" s="406">
        <f t="shared" si="57"/>
        <v>1655.036283003659</v>
      </c>
      <c r="U156" s="406">
        <f t="shared" si="58"/>
        <v>0</v>
      </c>
      <c r="V156" s="406">
        <v>722.06336374999989</v>
      </c>
      <c r="W156" s="167">
        <v>1303506</v>
      </c>
      <c r="X156" s="167">
        <v>1303.5060000000001</v>
      </c>
      <c r="Y156" s="406">
        <v>1303.5060000000001</v>
      </c>
      <c r="Z156" s="406">
        <v>1303.5060000000001</v>
      </c>
      <c r="AA156" s="406">
        <v>0</v>
      </c>
      <c r="AB156" s="406">
        <v>0</v>
      </c>
      <c r="AC156" s="403">
        <v>754.55621511874983</v>
      </c>
      <c r="AD156" s="406">
        <f>'[71]2. подк.неподк.'!X144</f>
        <v>2253.75</v>
      </c>
      <c r="AE156" s="406">
        <f t="shared" si="108"/>
        <v>748.67266904266103</v>
      </c>
      <c r="AF156" s="402">
        <f t="shared" si="60"/>
        <v>748.67266904266103</v>
      </c>
      <c r="AG156" s="167">
        <v>784.73846372349988</v>
      </c>
      <c r="AH156" s="406">
        <v>1433.8610000000001</v>
      </c>
      <c r="AI156" s="957">
        <f t="shared" si="59"/>
        <v>1.1000033755118888</v>
      </c>
      <c r="AJ156" s="957">
        <f t="shared" si="61"/>
        <v>649.12253627650023</v>
      </c>
      <c r="AK156" s="958">
        <f t="shared" ref="AK156:AK159" si="110">AH156</f>
        <v>1433.8610000000001</v>
      </c>
      <c r="AL156" s="991"/>
      <c r="AM156" s="52">
        <f t="shared" si="109"/>
        <v>649.12253627650023</v>
      </c>
    </row>
    <row r="157" spans="1:39" s="191" customFormat="1" ht="60.75" customHeight="1" outlineLevel="3">
      <c r="A157" s="139" t="s">
        <v>779</v>
      </c>
      <c r="B157" s="406" t="s">
        <v>780</v>
      </c>
      <c r="C157" s="198" t="s">
        <v>781</v>
      </c>
      <c r="D157" s="956" t="s">
        <v>855</v>
      </c>
      <c r="E157" s="148" t="s">
        <v>782</v>
      </c>
      <c r="F157" s="149" t="s">
        <v>783</v>
      </c>
      <c r="G157" s="406" t="s">
        <v>121</v>
      </c>
      <c r="H157" s="406">
        <v>179.99546530395713</v>
      </c>
      <c r="I157" s="406">
        <v>156.22664</v>
      </c>
      <c r="J157" s="406">
        <v>156.22999999999999</v>
      </c>
      <c r="K157" s="406">
        <v>197.50421819910852</v>
      </c>
      <c r="L157" s="406">
        <v>249.09163000000001</v>
      </c>
      <c r="M157" s="406">
        <v>249.09</v>
      </c>
      <c r="N157" s="406">
        <v>130.04119330612386</v>
      </c>
      <c r="O157" s="406">
        <v>1531.6050699999998</v>
      </c>
      <c r="P157" s="406">
        <v>1536.6446099999998</v>
      </c>
      <c r="Q157" s="150">
        <v>1536.6446099999998</v>
      </c>
      <c r="R157" s="406">
        <v>1536.6446099999998</v>
      </c>
      <c r="S157" s="402">
        <v>1536.6446099999998</v>
      </c>
      <c r="T157" s="406">
        <f t="shared" si="57"/>
        <v>1406.6034166938759</v>
      </c>
      <c r="U157" s="406">
        <f t="shared" si="58"/>
        <v>0</v>
      </c>
      <c r="V157" s="406">
        <v>137.19345893796066</v>
      </c>
      <c r="W157" s="167">
        <v>925536.18</v>
      </c>
      <c r="X157" s="167">
        <v>925.53618000000006</v>
      </c>
      <c r="Y157" s="406">
        <v>925.53618000000006</v>
      </c>
      <c r="Z157" s="406">
        <v>925.53618000000006</v>
      </c>
      <c r="AA157" s="406">
        <v>0</v>
      </c>
      <c r="AB157" s="406">
        <v>0</v>
      </c>
      <c r="AC157" s="403">
        <v>143.36716459016887</v>
      </c>
      <c r="AD157" s="406">
        <f>'[71]2. подк.неподк.'!X145</f>
        <v>2475.7419199999999</v>
      </c>
      <c r="AE157" s="406">
        <f t="shared" si="108"/>
        <v>142.24927926663241</v>
      </c>
      <c r="AF157" s="402">
        <f t="shared" si="60"/>
        <v>142.24927926663241</v>
      </c>
      <c r="AG157" s="167">
        <v>149.10185117377563</v>
      </c>
      <c r="AH157" s="406">
        <v>1018.0940000000001</v>
      </c>
      <c r="AI157" s="957">
        <f t="shared" si="59"/>
        <v>1.1000045400710321</v>
      </c>
      <c r="AJ157" s="957">
        <f t="shared" si="61"/>
        <v>868.99214882622437</v>
      </c>
      <c r="AK157" s="958">
        <f t="shared" si="110"/>
        <v>1018.0940000000001</v>
      </c>
      <c r="AL157" s="991"/>
      <c r="AM157" s="52">
        <f t="shared" si="109"/>
        <v>868.99214882622437</v>
      </c>
    </row>
    <row r="158" spans="1:39" s="191" customFormat="1" ht="33" customHeight="1" outlineLevel="3">
      <c r="A158" s="139" t="s">
        <v>784</v>
      </c>
      <c r="B158" s="406" t="s">
        <v>785</v>
      </c>
      <c r="C158" s="198" t="s">
        <v>786</v>
      </c>
      <c r="D158" s="956" t="s">
        <v>860</v>
      </c>
      <c r="E158" s="148" t="s">
        <v>787</v>
      </c>
      <c r="F158" s="149" t="s">
        <v>788</v>
      </c>
      <c r="G158" s="406" t="s">
        <v>121</v>
      </c>
      <c r="H158" s="406">
        <v>3834.7525931516702</v>
      </c>
      <c r="I158" s="406">
        <v>830.32815000000005</v>
      </c>
      <c r="J158" s="406">
        <v>830.33</v>
      </c>
      <c r="K158" s="406">
        <v>4207.7716325710899</v>
      </c>
      <c r="L158" s="406">
        <v>888.25318000000004</v>
      </c>
      <c r="M158" s="406">
        <v>888.25</v>
      </c>
      <c r="N158" s="406">
        <v>596.31605069544014</v>
      </c>
      <c r="O158" s="406">
        <v>743.52427999999998</v>
      </c>
      <c r="P158" s="406">
        <v>743.52427999999998</v>
      </c>
      <c r="Q158" s="150">
        <v>743.52427999999998</v>
      </c>
      <c r="R158" s="406">
        <v>743.52427999999998</v>
      </c>
      <c r="S158" s="402">
        <v>743.52427999999998</v>
      </c>
      <c r="T158" s="406">
        <f t="shared" ref="T158:T222" si="111">S158-N158</f>
        <v>147.20822930455984</v>
      </c>
      <c r="U158" s="406">
        <f t="shared" ref="U158:U222" si="112">S158-P158</f>
        <v>0</v>
      </c>
      <c r="V158" s="406">
        <v>1007.38653125</v>
      </c>
      <c r="W158" s="167">
        <v>982078.51</v>
      </c>
      <c r="X158" s="167">
        <v>982.07851000000005</v>
      </c>
      <c r="Y158" s="406">
        <v>982.07851000000005</v>
      </c>
      <c r="Z158" s="406">
        <v>982.07851000000005</v>
      </c>
      <c r="AA158" s="406">
        <v>0</v>
      </c>
      <c r="AB158" s="406">
        <v>0</v>
      </c>
      <c r="AC158" s="403">
        <v>1052.71892515625</v>
      </c>
      <c r="AD158" s="406">
        <f>'[71]2. подк.неподк.'!X146</f>
        <v>1506.84509267712</v>
      </c>
      <c r="AE158" s="406">
        <f t="shared" si="108"/>
        <v>1044.5104972389838</v>
      </c>
      <c r="AF158" s="402">
        <f t="shared" si="60"/>
        <v>1044.5104972389838</v>
      </c>
      <c r="AG158" s="167">
        <v>1094.8276821625</v>
      </c>
      <c r="AH158" s="406">
        <v>1139.5581381362999</v>
      </c>
      <c r="AI158" s="957">
        <f t="shared" ref="AI158:AI221" si="113">AH158/X158</f>
        <v>1.1603533999906992</v>
      </c>
      <c r="AJ158" s="957">
        <f t="shared" si="61"/>
        <v>44.730455973799963</v>
      </c>
      <c r="AK158" s="958">
        <f t="shared" si="110"/>
        <v>1139.5581381362999</v>
      </c>
      <c r="AL158" s="991"/>
      <c r="AM158" s="52">
        <f t="shared" si="109"/>
        <v>44.730455973799963</v>
      </c>
    </row>
    <row r="159" spans="1:39" s="191" customFormat="1" ht="45.75" customHeight="1" outlineLevel="3">
      <c r="A159" s="139" t="s">
        <v>789</v>
      </c>
      <c r="B159" s="406" t="s">
        <v>790</v>
      </c>
      <c r="C159" s="198" t="s">
        <v>791</v>
      </c>
      <c r="D159" s="956" t="s">
        <v>865</v>
      </c>
      <c r="E159" s="148" t="s">
        <v>792</v>
      </c>
      <c r="F159" s="149" t="s">
        <v>793</v>
      </c>
      <c r="G159" s="406" t="s">
        <v>121</v>
      </c>
      <c r="H159" s="406">
        <v>2367.8654999999999</v>
      </c>
      <c r="I159" s="406">
        <v>7759.1671800000004</v>
      </c>
      <c r="J159" s="406">
        <v>286.99</v>
      </c>
      <c r="K159" s="406">
        <v>2598.1955911411496</v>
      </c>
      <c r="L159" s="406">
        <v>8871.5099599999994</v>
      </c>
      <c r="M159" s="406">
        <v>8871.51</v>
      </c>
      <c r="N159" s="406">
        <v>2743.4435200393291</v>
      </c>
      <c r="O159" s="406">
        <v>5576.23837</v>
      </c>
      <c r="P159" s="406">
        <v>5575.8762699999997</v>
      </c>
      <c r="Q159" s="150">
        <v>5575.8762699999997</v>
      </c>
      <c r="R159" s="406">
        <v>5575.8762699999997</v>
      </c>
      <c r="S159" s="402">
        <v>5575.8762699999997</v>
      </c>
      <c r="T159" s="406">
        <f t="shared" si="111"/>
        <v>2832.4327499606707</v>
      </c>
      <c r="U159" s="406">
        <f t="shared" si="112"/>
        <v>0</v>
      </c>
      <c r="V159" s="406">
        <v>2894.3329136414918</v>
      </c>
      <c r="W159" s="167">
        <v>3850258.59</v>
      </c>
      <c r="X159" s="167">
        <v>3850.2585899999999</v>
      </c>
      <c r="Y159" s="406">
        <v>3850.2585900000004</v>
      </c>
      <c r="Z159" s="406">
        <v>3850.0177200000003</v>
      </c>
      <c r="AA159" s="406">
        <v>0.19762000000000002</v>
      </c>
      <c r="AB159" s="406">
        <v>4.3249999999999997E-2</v>
      </c>
      <c r="AC159" s="403">
        <v>3024.5778947553586</v>
      </c>
      <c r="AD159" s="406">
        <f>'[71]2. подк.неподк.'!X147</f>
        <v>3024.5778947553586</v>
      </c>
      <c r="AE159" s="406">
        <f t="shared" si="108"/>
        <v>3000.9941735587713</v>
      </c>
      <c r="AF159" s="402">
        <f t="shared" ref="AF159:AF222" si="114">AE159</f>
        <v>3000.9941735587713</v>
      </c>
      <c r="AG159" s="167">
        <v>3145.561010545573</v>
      </c>
      <c r="AH159" s="406">
        <v>4250.62</v>
      </c>
      <c r="AI159" s="957">
        <f t="shared" si="113"/>
        <v>1.1039829924773961</v>
      </c>
      <c r="AJ159" s="957">
        <f t="shared" ref="AJ159:AJ220" si="115">AH159-AG159</f>
        <v>1105.0589894544269</v>
      </c>
      <c r="AK159" s="958">
        <f t="shared" si="110"/>
        <v>4250.62</v>
      </c>
      <c r="AL159" s="991"/>
      <c r="AM159" s="52">
        <f t="shared" si="109"/>
        <v>1105.0589894544269</v>
      </c>
    </row>
    <row r="160" spans="1:39" s="161" customFormat="1" ht="33" customHeight="1" outlineLevel="2">
      <c r="A160" s="153"/>
      <c r="B160" s="402"/>
      <c r="C160" s="155"/>
      <c r="D160" s="966"/>
      <c r="E160" s="156" t="s">
        <v>794</v>
      </c>
      <c r="F160" s="157"/>
      <c r="G160" s="158"/>
      <c r="H160" s="154">
        <f t="shared" ref="H160:J160" si="116">H154+H155+H156+H157+H158+H159</f>
        <v>67893.895274631577</v>
      </c>
      <c r="I160" s="154">
        <f t="shared" si="116"/>
        <v>76299.136609999987</v>
      </c>
      <c r="J160" s="154">
        <f t="shared" si="116"/>
        <v>68826.97</v>
      </c>
      <c r="K160" s="154">
        <f>K154+K155+K156+K157+K158+K159</f>
        <v>72326.531475849391</v>
      </c>
      <c r="L160" s="154">
        <f t="shared" ref="L160:AK160" si="117">L154+L155+L156+L157+L158+L159</f>
        <v>69694.125369999994</v>
      </c>
      <c r="M160" s="154">
        <f t="shared" si="117"/>
        <v>69694.126449999996</v>
      </c>
      <c r="N160" s="154">
        <f t="shared" si="117"/>
        <v>58241.336183996769</v>
      </c>
      <c r="O160" s="154">
        <f t="shared" si="117"/>
        <v>70481.146729999993</v>
      </c>
      <c r="P160" s="154">
        <f t="shared" si="117"/>
        <v>70485.824169999993</v>
      </c>
      <c r="Q160" s="159">
        <f t="shared" si="117"/>
        <v>70485.824169999993</v>
      </c>
      <c r="R160" s="154">
        <f t="shared" si="117"/>
        <v>70485.824169999993</v>
      </c>
      <c r="S160" s="402">
        <f t="shared" si="117"/>
        <v>70485.824169999993</v>
      </c>
      <c r="T160" s="402">
        <f t="shared" si="111"/>
        <v>12244.487986003223</v>
      </c>
      <c r="U160" s="402">
        <f t="shared" si="112"/>
        <v>0</v>
      </c>
      <c r="V160" s="154">
        <f t="shared" si="117"/>
        <v>38155.144976329451</v>
      </c>
      <c r="W160" s="154">
        <f t="shared" si="117"/>
        <v>68735811.75</v>
      </c>
      <c r="X160" s="154">
        <f t="shared" si="117"/>
        <v>29283.808490000003</v>
      </c>
      <c r="Y160" s="154">
        <f t="shared" si="117"/>
        <v>29283.807210000003</v>
      </c>
      <c r="Z160" s="1041">
        <f t="shared" si="117"/>
        <v>29283.566340000001</v>
      </c>
      <c r="AA160" s="154">
        <f t="shared" si="117"/>
        <v>0.19762000000000002</v>
      </c>
      <c r="AB160" s="154">
        <f t="shared" si="117"/>
        <v>4.3249999999999997E-2</v>
      </c>
      <c r="AC160" s="194">
        <f t="shared" si="117"/>
        <v>39872.132150264275</v>
      </c>
      <c r="AD160" s="194">
        <f t="shared" si="117"/>
        <v>44157.826858076223</v>
      </c>
      <c r="AE160" s="194">
        <f t="shared" si="117"/>
        <v>39561.229195708867</v>
      </c>
      <c r="AF160" s="194">
        <f>AF154+AF155+AF156+AF157+AF158+AF159</f>
        <v>39561.229195708867</v>
      </c>
      <c r="AG160" s="194">
        <f t="shared" si="117"/>
        <v>41467.01863627485</v>
      </c>
      <c r="AH160" s="992">
        <f t="shared" si="117"/>
        <v>34816.963138136307</v>
      </c>
      <c r="AI160" s="993">
        <f t="shared" si="113"/>
        <v>1.1889492840395333</v>
      </c>
      <c r="AJ160" s="994">
        <f t="shared" si="117"/>
        <v>-6650.0554981385485</v>
      </c>
      <c r="AK160" s="994">
        <f t="shared" si="117"/>
        <v>7842.1331381362997</v>
      </c>
      <c r="AL160" s="964"/>
      <c r="AM160" s="52"/>
    </row>
    <row r="161" spans="1:39" ht="33" customHeight="1" outlineLevel="2">
      <c r="A161" s="139" t="s">
        <v>795</v>
      </c>
      <c r="B161" s="406" t="s">
        <v>796</v>
      </c>
      <c r="C161" s="198" t="s">
        <v>797</v>
      </c>
      <c r="D161" s="956" t="s">
        <v>870</v>
      </c>
      <c r="E161" s="189" t="s">
        <v>798</v>
      </c>
      <c r="F161" s="149" t="s">
        <v>799</v>
      </c>
      <c r="G161" s="406" t="s">
        <v>121</v>
      </c>
      <c r="H161" s="406">
        <v>1767.0782999999999</v>
      </c>
      <c r="I161" s="406">
        <v>671.53351999999995</v>
      </c>
      <c r="J161" s="406">
        <v>671.53</v>
      </c>
      <c r="K161" s="406">
        <v>1938.9678906117388</v>
      </c>
      <c r="L161" s="406">
        <v>1642.18453</v>
      </c>
      <c r="M161" s="406">
        <v>1642.18</v>
      </c>
      <c r="N161" s="406">
        <v>1379.4533452768301</v>
      </c>
      <c r="O161" s="406">
        <v>1312.2210399999999</v>
      </c>
      <c r="P161" s="406">
        <v>1233.7467099999999</v>
      </c>
      <c r="Q161" s="150">
        <v>1233.7467099999999</v>
      </c>
      <c r="R161" s="406">
        <v>1233.7467099999999</v>
      </c>
      <c r="S161" s="402">
        <v>1233.7467099999999</v>
      </c>
      <c r="T161" s="406">
        <f t="shared" si="111"/>
        <v>-145.70663527683018</v>
      </c>
      <c r="U161" s="406">
        <f t="shared" si="112"/>
        <v>0</v>
      </c>
      <c r="V161" s="406">
        <v>1635.16</v>
      </c>
      <c r="W161" s="167">
        <v>1459718.34</v>
      </c>
      <c r="X161" s="167">
        <v>1459.7183400000001</v>
      </c>
      <c r="Y161" s="406">
        <v>1459.7183400000001</v>
      </c>
      <c r="Z161" s="406">
        <v>1363.5239199999999</v>
      </c>
      <c r="AA161" s="406">
        <v>80.932369999999992</v>
      </c>
      <c r="AB161" s="406">
        <v>15.262049999999999</v>
      </c>
      <c r="AC161" s="403">
        <v>1708.7394751625</v>
      </c>
      <c r="AD161" s="406">
        <f>'[71]2. подк.неподк.'!X149</f>
        <v>1708.7394751625</v>
      </c>
      <c r="AE161" s="406">
        <f t="shared" ref="AE161:AE167" si="118">V161*$AD$11</f>
        <v>1695.4185227650637</v>
      </c>
      <c r="AF161" s="402">
        <f t="shared" si="114"/>
        <v>1695.4185227650637</v>
      </c>
      <c r="AG161" s="167">
        <v>1777.0890541690001</v>
      </c>
      <c r="AH161" s="406">
        <v>1611.52904736</v>
      </c>
      <c r="AI161" s="957">
        <f t="shared" si="113"/>
        <v>1.1039999999999999</v>
      </c>
      <c r="AJ161" s="957">
        <f t="shared" si="115"/>
        <v>-165.56000680900001</v>
      </c>
      <c r="AK161" s="965"/>
      <c r="AL161" s="74"/>
      <c r="AM161" s="52">
        <f t="shared" ref="AM161:AM167" si="119">AH161-AG161</f>
        <v>-165.56000680900001</v>
      </c>
    </row>
    <row r="162" spans="1:39" s="191" customFormat="1" ht="45" customHeight="1" outlineLevel="3">
      <c r="A162" s="139" t="s">
        <v>800</v>
      </c>
      <c r="B162" s="406" t="s">
        <v>801</v>
      </c>
      <c r="C162" s="198" t="s">
        <v>802</v>
      </c>
      <c r="D162" s="956" t="s">
        <v>876</v>
      </c>
      <c r="E162" s="148" t="s">
        <v>803</v>
      </c>
      <c r="F162" s="149" t="s">
        <v>804</v>
      </c>
      <c r="G162" s="406" t="s">
        <v>121</v>
      </c>
      <c r="H162" s="406">
        <v>3067.3815264740233</v>
      </c>
      <c r="I162" s="406">
        <v>655.99670000000003</v>
      </c>
      <c r="J162" s="406">
        <v>656</v>
      </c>
      <c r="K162" s="406">
        <v>3365.7558499131887</v>
      </c>
      <c r="L162" s="406">
        <v>468.33449999999999</v>
      </c>
      <c r="M162" s="406">
        <v>468.33</v>
      </c>
      <c r="N162" s="406">
        <v>471.11658374251351</v>
      </c>
      <c r="O162" s="406">
        <v>369.91176000000002</v>
      </c>
      <c r="P162" s="406">
        <v>368.57926000000003</v>
      </c>
      <c r="Q162" s="150">
        <v>368.57926000000003</v>
      </c>
      <c r="R162" s="406">
        <v>368.57926000000003</v>
      </c>
      <c r="S162" s="402">
        <v>368.57926000000003</v>
      </c>
      <c r="T162" s="406">
        <f t="shared" si="111"/>
        <v>-102.53732374251348</v>
      </c>
      <c r="U162" s="406">
        <f t="shared" si="112"/>
        <v>0</v>
      </c>
      <c r="V162" s="406">
        <v>531.14476124999999</v>
      </c>
      <c r="W162" s="167">
        <v>493428</v>
      </c>
      <c r="X162" s="167">
        <v>493.428</v>
      </c>
      <c r="Y162" s="406">
        <v>493.428</v>
      </c>
      <c r="Z162" s="406">
        <v>493.428</v>
      </c>
      <c r="AA162" s="406">
        <v>0</v>
      </c>
      <c r="AB162" s="406">
        <v>0</v>
      </c>
      <c r="AC162" s="403">
        <v>555.04627550624991</v>
      </c>
      <c r="AD162" s="406">
        <f>'[71]2. подк.неподк.'!X150</f>
        <v>2354.6471200000005</v>
      </c>
      <c r="AE162" s="406">
        <f t="shared" si="118"/>
        <v>550.71838015416074</v>
      </c>
      <c r="AF162" s="402">
        <f t="shared" si="114"/>
        <v>550.71838015416074</v>
      </c>
      <c r="AG162" s="167">
        <v>577.24812652649996</v>
      </c>
      <c r="AH162" s="406">
        <v>3315.882701290001</v>
      </c>
      <c r="AI162" s="957">
        <f t="shared" si="113"/>
        <v>6.7200943223530096</v>
      </c>
      <c r="AJ162" s="957">
        <f t="shared" si="115"/>
        <v>2738.634574763501</v>
      </c>
      <c r="AK162" s="958">
        <f t="shared" ref="AK162:AK166" si="120">AH162</f>
        <v>3315.882701290001</v>
      </c>
      <c r="AL162" s="991"/>
      <c r="AM162" s="52">
        <f t="shared" si="119"/>
        <v>2738.634574763501</v>
      </c>
    </row>
    <row r="163" spans="1:39" s="191" customFormat="1" ht="33" customHeight="1" outlineLevel="3">
      <c r="A163" s="139" t="s">
        <v>805</v>
      </c>
      <c r="B163" s="406" t="s">
        <v>806</v>
      </c>
      <c r="C163" s="198" t="s">
        <v>807</v>
      </c>
      <c r="D163" s="956" t="s">
        <v>881</v>
      </c>
      <c r="E163" s="148" t="s">
        <v>808</v>
      </c>
      <c r="F163" s="149" t="s">
        <v>809</v>
      </c>
      <c r="G163" s="406" t="s">
        <v>121</v>
      </c>
      <c r="H163" s="406">
        <v>4573.5094867774133</v>
      </c>
      <c r="I163" s="406">
        <v>24.455179999999999</v>
      </c>
      <c r="J163" s="406">
        <v>24.26</v>
      </c>
      <c r="K163" s="406">
        <v>5018.3898471375578</v>
      </c>
      <c r="L163" s="406">
        <v>492.83987000000002</v>
      </c>
      <c r="M163" s="406">
        <v>492.84</v>
      </c>
      <c r="N163" s="406">
        <v>284.51864687391844</v>
      </c>
      <c r="O163" s="406">
        <v>651.93511999999998</v>
      </c>
      <c r="P163" s="406">
        <v>652.2269399999999</v>
      </c>
      <c r="Q163" s="150">
        <v>652.2269399999999</v>
      </c>
      <c r="R163" s="406">
        <v>652.2269399999999</v>
      </c>
      <c r="S163" s="402">
        <v>652.2269399999999</v>
      </c>
      <c r="T163" s="406">
        <f t="shared" si="111"/>
        <v>367.70829312608146</v>
      </c>
      <c r="U163" s="406">
        <f t="shared" si="112"/>
        <v>0</v>
      </c>
      <c r="V163" s="406">
        <v>558.94216499999993</v>
      </c>
      <c r="W163" s="167">
        <v>619040.63</v>
      </c>
      <c r="X163" s="167">
        <v>619.04062999999996</v>
      </c>
      <c r="Y163" s="406">
        <v>619.04062999999996</v>
      </c>
      <c r="Z163" s="406">
        <v>619.04062999999996</v>
      </c>
      <c r="AA163" s="406">
        <v>0</v>
      </c>
      <c r="AB163" s="406">
        <v>0</v>
      </c>
      <c r="AC163" s="403">
        <v>584.09456242499994</v>
      </c>
      <c r="AD163" s="406">
        <f>'[71]2. подк.неподк.'!X151</f>
        <v>48031.428820479996</v>
      </c>
      <c r="AE163" s="406">
        <f t="shared" si="118"/>
        <v>579.54016713679789</v>
      </c>
      <c r="AF163" s="402">
        <f t="shared" si="114"/>
        <v>579.54016713679789</v>
      </c>
      <c r="AG163" s="167">
        <v>607.45834492199992</v>
      </c>
      <c r="AH163" s="406">
        <v>31836.5</v>
      </c>
      <c r="AI163" s="957">
        <f t="shared" si="113"/>
        <v>51.428772938538785</v>
      </c>
      <c r="AJ163" s="957">
        <f t="shared" si="115"/>
        <v>31229.041655077999</v>
      </c>
      <c r="AK163" s="958">
        <f t="shared" si="120"/>
        <v>31836.5</v>
      </c>
      <c r="AL163" s="995" t="s">
        <v>2149</v>
      </c>
      <c r="AM163" s="52">
        <f t="shared" si="119"/>
        <v>31229.041655077999</v>
      </c>
    </row>
    <row r="164" spans="1:39" s="191" customFormat="1" ht="33" customHeight="1" outlineLevel="3">
      <c r="A164" s="139" t="s">
        <v>810</v>
      </c>
      <c r="B164" s="406" t="s">
        <v>811</v>
      </c>
      <c r="C164" s="198" t="s">
        <v>812</v>
      </c>
      <c r="D164" s="956" t="s">
        <v>886</v>
      </c>
      <c r="E164" s="148" t="s">
        <v>813</v>
      </c>
      <c r="F164" s="149" t="s">
        <v>814</v>
      </c>
      <c r="G164" s="406" t="s">
        <v>121</v>
      </c>
      <c r="H164" s="406">
        <v>0</v>
      </c>
      <c r="I164" s="406">
        <v>0</v>
      </c>
      <c r="J164" s="406">
        <v>0</v>
      </c>
      <c r="K164" s="406">
        <v>0</v>
      </c>
      <c r="L164" s="406">
        <v>20.551639999999999</v>
      </c>
      <c r="M164" s="406">
        <v>0</v>
      </c>
      <c r="N164" s="406">
        <v>0</v>
      </c>
      <c r="O164" s="406">
        <v>1.6803399999999999</v>
      </c>
      <c r="P164" s="406">
        <v>1.6431300000000002</v>
      </c>
      <c r="Q164" s="150">
        <v>0</v>
      </c>
      <c r="R164" s="406">
        <v>0</v>
      </c>
      <c r="S164" s="402">
        <v>0</v>
      </c>
      <c r="T164" s="406">
        <f t="shared" si="111"/>
        <v>0</v>
      </c>
      <c r="U164" s="406">
        <f t="shared" si="112"/>
        <v>-1.6431300000000002</v>
      </c>
      <c r="V164" s="406">
        <v>0</v>
      </c>
      <c r="W164" s="167">
        <v>0</v>
      </c>
      <c r="X164" s="167">
        <v>0</v>
      </c>
      <c r="Y164" s="406">
        <v>0</v>
      </c>
      <c r="Z164" s="406">
        <v>0</v>
      </c>
      <c r="AA164" s="406">
        <v>0</v>
      </c>
      <c r="AB164" s="406">
        <v>0</v>
      </c>
      <c r="AC164" s="403">
        <v>0</v>
      </c>
      <c r="AD164" s="406">
        <f>'[71]2. подк.неподк.'!X152</f>
        <v>0.79525536000000008</v>
      </c>
      <c r="AE164" s="406">
        <f t="shared" si="118"/>
        <v>0</v>
      </c>
      <c r="AF164" s="402">
        <f t="shared" si="114"/>
        <v>0</v>
      </c>
      <c r="AG164" s="167">
        <v>0</v>
      </c>
      <c r="AH164" s="406">
        <v>0</v>
      </c>
      <c r="AI164" s="957" t="e">
        <f t="shared" si="113"/>
        <v>#DIV/0!</v>
      </c>
      <c r="AJ164" s="957">
        <f t="shared" si="115"/>
        <v>0</v>
      </c>
      <c r="AK164" s="958">
        <f t="shared" si="120"/>
        <v>0</v>
      </c>
      <c r="AL164" s="991"/>
      <c r="AM164" s="52">
        <f t="shared" si="119"/>
        <v>0</v>
      </c>
    </row>
    <row r="165" spans="1:39" s="191" customFormat="1" ht="33" customHeight="1" outlineLevel="3">
      <c r="A165" s="139" t="s">
        <v>815</v>
      </c>
      <c r="B165" s="406" t="s">
        <v>816</v>
      </c>
      <c r="C165" s="198" t="s">
        <v>817</v>
      </c>
      <c r="D165" s="956" t="s">
        <v>891</v>
      </c>
      <c r="E165" s="148" t="s">
        <v>818</v>
      </c>
      <c r="F165" s="149" t="s">
        <v>819</v>
      </c>
      <c r="G165" s="406" t="s">
        <v>121</v>
      </c>
      <c r="H165" s="406">
        <v>68.726633474214495</v>
      </c>
      <c r="I165" s="406">
        <v>127.87702</v>
      </c>
      <c r="J165" s="406">
        <v>127.88</v>
      </c>
      <c r="K165" s="406">
        <v>75.411899910141798</v>
      </c>
      <c r="L165" s="406">
        <v>444.32391999999999</v>
      </c>
      <c r="M165" s="406">
        <v>444.32</v>
      </c>
      <c r="N165" s="406">
        <v>187.19369103448801</v>
      </c>
      <c r="O165" s="406">
        <v>538.10457999999994</v>
      </c>
      <c r="P165" s="406">
        <v>518.49046999999996</v>
      </c>
      <c r="Q165" s="150">
        <v>518.49046999999996</v>
      </c>
      <c r="R165" s="406">
        <v>518.49046999999996</v>
      </c>
      <c r="S165" s="402">
        <v>518.49046999999996</v>
      </c>
      <c r="T165" s="406">
        <f t="shared" si="111"/>
        <v>331.29677896551198</v>
      </c>
      <c r="U165" s="406">
        <f t="shared" si="112"/>
        <v>0</v>
      </c>
      <c r="V165" s="406">
        <v>197.48934404138484</v>
      </c>
      <c r="W165" s="167">
        <v>598417.85</v>
      </c>
      <c r="X165" s="167">
        <v>598.41784999999993</v>
      </c>
      <c r="Y165" s="406">
        <v>598.41784999999982</v>
      </c>
      <c r="Z165" s="406">
        <v>552.05866999999989</v>
      </c>
      <c r="AA165" s="406">
        <v>41.185190000000006</v>
      </c>
      <c r="AB165" s="406">
        <v>5.1739899999999999</v>
      </c>
      <c r="AC165" s="403">
        <v>206.37636452324713</v>
      </c>
      <c r="AD165" s="406">
        <f>'[71]2. подк.неподк.'!X153</f>
        <v>871.37</v>
      </c>
      <c r="AE165" s="406">
        <f t="shared" si="118"/>
        <v>204.76717381570373</v>
      </c>
      <c r="AF165" s="402">
        <f t="shared" si="114"/>
        <v>204.76717381570373</v>
      </c>
      <c r="AG165" s="167">
        <v>214.63141910417701</v>
      </c>
      <c r="AH165" s="406">
        <v>759.69237501949999</v>
      </c>
      <c r="AI165" s="957">
        <f t="shared" si="113"/>
        <v>1.2695015281036488</v>
      </c>
      <c r="AJ165" s="957">
        <f t="shared" si="115"/>
        <v>545.06095591532301</v>
      </c>
      <c r="AK165" s="958">
        <f t="shared" si="120"/>
        <v>759.69237501949999</v>
      </c>
      <c r="AL165" s="991"/>
      <c r="AM165" s="52">
        <f t="shared" si="119"/>
        <v>545.06095591532301</v>
      </c>
    </row>
    <row r="166" spans="1:39" s="191" customFormat="1" ht="33" customHeight="1" outlineLevel="3">
      <c r="A166" s="408"/>
      <c r="B166" s="406" t="s">
        <v>820</v>
      </c>
      <c r="C166" s="198" t="s">
        <v>1939</v>
      </c>
      <c r="D166" s="956" t="s">
        <v>895</v>
      </c>
      <c r="E166" s="164" t="s">
        <v>821</v>
      </c>
      <c r="F166" s="149" t="s">
        <v>822</v>
      </c>
      <c r="G166" s="406" t="s">
        <v>121</v>
      </c>
      <c r="H166" s="406">
        <v>778.38</v>
      </c>
      <c r="I166" s="406">
        <v>935.8</v>
      </c>
      <c r="J166" s="406">
        <v>935.8</v>
      </c>
      <c r="K166" s="406">
        <v>854.09758347946172</v>
      </c>
      <c r="L166" s="406">
        <v>1682.7367300000001</v>
      </c>
      <c r="M166" s="406">
        <v>854.1</v>
      </c>
      <c r="N166" s="406">
        <v>516.71876422802529</v>
      </c>
      <c r="O166" s="406">
        <v>1154.4592500000001</v>
      </c>
      <c r="P166" s="406">
        <v>1047.2763499999999</v>
      </c>
      <c r="Q166" s="150">
        <v>1047.2763499999999</v>
      </c>
      <c r="R166" s="406">
        <v>1047.2763499999999</v>
      </c>
      <c r="S166" s="402">
        <v>1047.2763499999999</v>
      </c>
      <c r="T166" s="406">
        <f t="shared" si="111"/>
        <v>530.55758577197457</v>
      </c>
      <c r="U166" s="406">
        <f t="shared" si="112"/>
        <v>0</v>
      </c>
      <c r="V166" s="406">
        <v>545.13829626056668</v>
      </c>
      <c r="W166" s="167">
        <v>1214171.6599999999</v>
      </c>
      <c r="X166" s="167">
        <v>1214.17166</v>
      </c>
      <c r="Y166" s="406">
        <v>1214.17166</v>
      </c>
      <c r="Z166" s="406">
        <v>1102.3494099999998</v>
      </c>
      <c r="AA166" s="406">
        <v>92.457139999999995</v>
      </c>
      <c r="AB166" s="406">
        <v>19.365110000000001</v>
      </c>
      <c r="AC166" s="403">
        <v>569.66951959229209</v>
      </c>
      <c r="AD166" s="406">
        <f>'[71]2. подк.неподк.'!X154</f>
        <v>1273.3685527500002</v>
      </c>
      <c r="AE166" s="406">
        <f t="shared" si="118"/>
        <v>565.22760154893319</v>
      </c>
      <c r="AF166" s="402">
        <f t="shared" si="114"/>
        <v>565.22760154893319</v>
      </c>
      <c r="AG166" s="167">
        <v>592.4563003759838</v>
      </c>
      <c r="AH166" s="406">
        <v>1339.2313409799999</v>
      </c>
      <c r="AI166" s="957">
        <f t="shared" si="113"/>
        <v>1.103</v>
      </c>
      <c r="AJ166" s="957">
        <f t="shared" si="115"/>
        <v>746.77504060401611</v>
      </c>
      <c r="AK166" s="958">
        <f t="shared" si="120"/>
        <v>1339.2313409799999</v>
      </c>
      <c r="AL166" s="991"/>
      <c r="AM166" s="52">
        <f t="shared" si="119"/>
        <v>746.77504060401611</v>
      </c>
    </row>
    <row r="167" spans="1:39" s="191" customFormat="1" ht="33" customHeight="1" outlineLevel="3">
      <c r="A167" s="139" t="s">
        <v>823</v>
      </c>
      <c r="B167" s="406" t="s">
        <v>824</v>
      </c>
      <c r="C167" s="198" t="s">
        <v>825</v>
      </c>
      <c r="D167" s="969" t="s">
        <v>900</v>
      </c>
      <c r="E167" s="148" t="s">
        <v>826</v>
      </c>
      <c r="F167" s="149" t="s">
        <v>827</v>
      </c>
      <c r="G167" s="406" t="s">
        <v>121</v>
      </c>
      <c r="H167" s="406">
        <v>10324.76</v>
      </c>
      <c r="I167" s="406">
        <v>3027.99343</v>
      </c>
      <c r="J167" s="406">
        <v>3027.99</v>
      </c>
      <c r="K167" s="406">
        <v>11329.08</v>
      </c>
      <c r="L167" s="406">
        <v>3243.03989</v>
      </c>
      <c r="M167" s="406">
        <v>3243.13</v>
      </c>
      <c r="N167" s="406">
        <v>2359.5013705293177</v>
      </c>
      <c r="O167" s="406">
        <v>4065.5369799999999</v>
      </c>
      <c r="P167" s="406">
        <v>4065.5369799999999</v>
      </c>
      <c r="Q167" s="150">
        <v>4065.5369799999999</v>
      </c>
      <c r="R167" s="406">
        <v>4065.5369799999999</v>
      </c>
      <c r="S167" s="402">
        <v>4065.5369799999999</v>
      </c>
      <c r="T167" s="406">
        <f t="shared" si="111"/>
        <v>1706.0356094706822</v>
      </c>
      <c r="U167" s="406">
        <f t="shared" si="112"/>
        <v>0</v>
      </c>
      <c r="V167" s="406">
        <v>3678.11481125</v>
      </c>
      <c r="W167" s="167">
        <v>2668678.8199999998</v>
      </c>
      <c r="X167" s="167">
        <v>2668.6788199999996</v>
      </c>
      <c r="Y167" s="406">
        <v>2668.6788199999996</v>
      </c>
      <c r="Z167" s="406">
        <v>2668.6788199999996</v>
      </c>
      <c r="AA167" s="406">
        <v>0</v>
      </c>
      <c r="AB167" s="406">
        <v>0</v>
      </c>
      <c r="AC167" s="403">
        <v>3843.6299777562499</v>
      </c>
      <c r="AD167" s="406">
        <f>'[71]2. подк.неподк.'!X155</f>
        <v>5078.8</v>
      </c>
      <c r="AE167" s="406">
        <f t="shared" si="118"/>
        <v>3813.6598130151033</v>
      </c>
      <c r="AF167" s="402">
        <f t="shared" si="114"/>
        <v>3813.6598130151033</v>
      </c>
      <c r="AG167" s="167">
        <v>3997.3751768665002</v>
      </c>
      <c r="AH167" s="406">
        <v>3800</v>
      </c>
      <c r="AI167" s="957">
        <f t="shared" si="113"/>
        <v>1.4239255662845185</v>
      </c>
      <c r="AJ167" s="957">
        <f t="shared" si="115"/>
        <v>-197.37517686650017</v>
      </c>
      <c r="AK167" s="965"/>
      <c r="AL167" s="991"/>
      <c r="AM167" s="52">
        <f t="shared" si="119"/>
        <v>-197.37517686650017</v>
      </c>
    </row>
    <row r="168" spans="1:39" s="161" customFormat="1" ht="33" customHeight="1" outlineLevel="2">
      <c r="A168" s="153"/>
      <c r="B168" s="402"/>
      <c r="C168" s="155"/>
      <c r="D168" s="966"/>
      <c r="E168" s="156" t="s">
        <v>828</v>
      </c>
      <c r="F168" s="157"/>
      <c r="G168" s="158"/>
      <c r="H168" s="154">
        <f t="shared" ref="H168:J168" si="121">H161+H162+H163+H164+H165+H166+H167</f>
        <v>20579.835946725652</v>
      </c>
      <c r="I168" s="154">
        <f t="shared" si="121"/>
        <v>5443.6558499999992</v>
      </c>
      <c r="J168" s="154">
        <f t="shared" si="121"/>
        <v>5443.46</v>
      </c>
      <c r="K168" s="154">
        <f>K161+K162+K163+K164+K165+K166+K167</f>
        <v>22581.703071052085</v>
      </c>
      <c r="L168" s="154">
        <f t="shared" ref="L168:AK168" si="122">L161+L162+L163+L164+L165+L166+L167</f>
        <v>7994.0110800000002</v>
      </c>
      <c r="M168" s="154">
        <f t="shared" si="122"/>
        <v>7144.9000000000005</v>
      </c>
      <c r="N168" s="154">
        <f t="shared" si="122"/>
        <v>5198.502401685093</v>
      </c>
      <c r="O168" s="154">
        <f t="shared" si="122"/>
        <v>8093.8490699999993</v>
      </c>
      <c r="P168" s="154">
        <f t="shared" si="122"/>
        <v>7887.4998399999995</v>
      </c>
      <c r="Q168" s="159">
        <f t="shared" si="122"/>
        <v>7885.85671</v>
      </c>
      <c r="R168" s="154">
        <f t="shared" si="122"/>
        <v>7885.85671</v>
      </c>
      <c r="S168" s="402">
        <f t="shared" si="122"/>
        <v>7885.85671</v>
      </c>
      <c r="T168" s="402">
        <f t="shared" si="111"/>
        <v>2687.354308314907</v>
      </c>
      <c r="U168" s="402">
        <f t="shared" si="112"/>
        <v>-1.6431299999994735</v>
      </c>
      <c r="V168" s="154">
        <f t="shared" si="122"/>
        <v>7145.9893778019514</v>
      </c>
      <c r="W168" s="154">
        <f t="shared" si="122"/>
        <v>7053455.3000000007</v>
      </c>
      <c r="X168" s="154">
        <f t="shared" si="122"/>
        <v>7053.4552999999996</v>
      </c>
      <c r="Y168" s="154">
        <f t="shared" si="122"/>
        <v>7053.4552999999996</v>
      </c>
      <c r="Z168" s="1041">
        <f t="shared" si="122"/>
        <v>6799.0794499999993</v>
      </c>
      <c r="AA168" s="154">
        <f t="shared" si="122"/>
        <v>214.57470000000001</v>
      </c>
      <c r="AB168" s="154">
        <f t="shared" si="122"/>
        <v>39.80115</v>
      </c>
      <c r="AC168" s="194">
        <f t="shared" si="122"/>
        <v>7467.556174965539</v>
      </c>
      <c r="AD168" s="194">
        <f t="shared" si="122"/>
        <v>59319.149223752494</v>
      </c>
      <c r="AE168" s="194">
        <f t="shared" si="122"/>
        <v>7409.3316584357635</v>
      </c>
      <c r="AF168" s="194">
        <f t="shared" si="122"/>
        <v>7409.3316584357635</v>
      </c>
      <c r="AG168" s="194">
        <f t="shared" si="122"/>
        <v>7766.2584219641612</v>
      </c>
      <c r="AH168" s="992">
        <f t="shared" si="122"/>
        <v>42662.835464649499</v>
      </c>
      <c r="AI168" s="993">
        <f t="shared" si="113"/>
        <v>6.0485015712298482</v>
      </c>
      <c r="AJ168" s="994">
        <f t="shared" si="122"/>
        <v>34896.577042685334</v>
      </c>
      <c r="AK168" s="994">
        <f t="shared" si="122"/>
        <v>37251.306417289496</v>
      </c>
      <c r="AL168" s="964"/>
      <c r="AM168" s="52"/>
    </row>
    <row r="169" spans="1:39" s="191" customFormat="1" ht="33" customHeight="1" outlineLevel="3">
      <c r="A169" s="139" t="s">
        <v>829</v>
      </c>
      <c r="B169" s="406" t="s">
        <v>830</v>
      </c>
      <c r="C169" s="198" t="s">
        <v>831</v>
      </c>
      <c r="D169" s="956" t="s">
        <v>905</v>
      </c>
      <c r="E169" s="148" t="s">
        <v>832</v>
      </c>
      <c r="F169" s="149" t="s">
        <v>833</v>
      </c>
      <c r="G169" s="406" t="s">
        <v>121</v>
      </c>
      <c r="H169" s="406">
        <v>2410.4997410843439</v>
      </c>
      <c r="I169" s="406">
        <v>1936.6317100000001</v>
      </c>
      <c r="J169" s="406">
        <v>1936.63</v>
      </c>
      <c r="K169" s="406">
        <v>2644.9770055487634</v>
      </c>
      <c r="L169" s="406">
        <v>5290.6243899999999</v>
      </c>
      <c r="M169" s="406">
        <v>2290.62</v>
      </c>
      <c r="N169" s="406">
        <v>2792.8406122244614</v>
      </c>
      <c r="O169" s="406">
        <v>4638.4386500000001</v>
      </c>
      <c r="P169" s="406">
        <v>4518.7494100000004</v>
      </c>
      <c r="Q169" s="150">
        <v>4518.7494100000004</v>
      </c>
      <c r="R169" s="167">
        <v>4518.7494100000004</v>
      </c>
      <c r="S169" s="402">
        <v>4518.7494100000004</v>
      </c>
      <c r="T169" s="167">
        <f t="shared" si="111"/>
        <v>1725.9087977755389</v>
      </c>
      <c r="U169" s="167">
        <f t="shared" si="112"/>
        <v>0</v>
      </c>
      <c r="V169" s="406">
        <v>2597.8494074999999</v>
      </c>
      <c r="W169" s="167">
        <v>3775824.76</v>
      </c>
      <c r="X169" s="167">
        <v>3775.82476</v>
      </c>
      <c r="Y169" s="406">
        <v>3775.82476</v>
      </c>
      <c r="Z169" s="406">
        <v>3475.5364599999998</v>
      </c>
      <c r="AA169" s="406">
        <v>270.00271999999995</v>
      </c>
      <c r="AB169" s="406">
        <v>30.285580000000003</v>
      </c>
      <c r="AC169" s="403">
        <v>2714.7526308374995</v>
      </c>
      <c r="AD169" s="406">
        <f>'[71]2. подк.неподк.'!X157</f>
        <v>13512.59</v>
      </c>
      <c r="AE169" s="406">
        <f>V169*$AD$11</f>
        <v>2693.5847286074427</v>
      </c>
      <c r="AF169" s="402">
        <f t="shared" si="114"/>
        <v>2693.5847286074427</v>
      </c>
      <c r="AG169" s="167">
        <v>2823.3427360709998</v>
      </c>
      <c r="AH169" s="406">
        <v>4168.5200000000004</v>
      </c>
      <c r="AI169" s="957">
        <f t="shared" si="113"/>
        <v>1.104002506726504</v>
      </c>
      <c r="AJ169" s="957">
        <f t="shared" si="115"/>
        <v>1345.1772639290007</v>
      </c>
      <c r="AK169" s="958">
        <f>AH169</f>
        <v>4168.5200000000004</v>
      </c>
      <c r="AL169" s="991"/>
      <c r="AM169" s="52">
        <f>AH169-AG169</f>
        <v>1345.1772639290007</v>
      </c>
    </row>
    <row r="170" spans="1:39" s="191" customFormat="1" ht="33" customHeight="1" outlineLevel="3">
      <c r="A170" s="139" t="s">
        <v>834</v>
      </c>
      <c r="B170" s="406" t="s">
        <v>835</v>
      </c>
      <c r="C170" s="198" t="s">
        <v>836</v>
      </c>
      <c r="D170" s="956" t="s">
        <v>910</v>
      </c>
      <c r="E170" s="148" t="s">
        <v>837</v>
      </c>
      <c r="F170" s="1333" t="s">
        <v>838</v>
      </c>
      <c r="G170" s="1334" t="s">
        <v>121</v>
      </c>
      <c r="H170" s="406">
        <v>0</v>
      </c>
      <c r="I170" s="406">
        <v>198.94</v>
      </c>
      <c r="J170" s="406">
        <v>198.94</v>
      </c>
      <c r="K170" s="1334">
        <v>0</v>
      </c>
      <c r="L170" s="406">
        <v>176.40478999999999</v>
      </c>
      <c r="M170" s="406">
        <v>0</v>
      </c>
      <c r="N170" s="406">
        <v>66.11474843734905</v>
      </c>
      <c r="O170" s="406">
        <v>200.02852999999999</v>
      </c>
      <c r="P170" s="406">
        <v>178.66622000000001</v>
      </c>
      <c r="Q170" s="150">
        <v>178.66622000000001</v>
      </c>
      <c r="R170" s="167">
        <v>178.66622000000001</v>
      </c>
      <c r="S170" s="402">
        <v>178.66622000000001</v>
      </c>
      <c r="T170" s="167">
        <f t="shared" si="111"/>
        <v>112.55147156265096</v>
      </c>
      <c r="U170" s="167">
        <f t="shared" si="112"/>
        <v>0</v>
      </c>
      <c r="V170" s="406">
        <v>69.751059601403242</v>
      </c>
      <c r="W170" s="167">
        <v>222268.27000000002</v>
      </c>
      <c r="X170" s="167">
        <v>222.26827000000003</v>
      </c>
      <c r="Y170" s="406">
        <v>222.26827000000003</v>
      </c>
      <c r="Z170" s="406">
        <v>197.59311000000002</v>
      </c>
      <c r="AA170" s="406">
        <v>22.747919999999997</v>
      </c>
      <c r="AB170" s="406">
        <v>1.9272400000000001</v>
      </c>
      <c r="AC170" s="403">
        <v>72.889857283466384</v>
      </c>
      <c r="AD170" s="406">
        <f>'[71]2. подк.неподк.'!X158</f>
        <v>262.75</v>
      </c>
      <c r="AE170" s="406">
        <f>V170*$AD$11</f>
        <v>72.321508861951727</v>
      </c>
      <c r="AF170" s="402">
        <f t="shared" si="114"/>
        <v>72.321508861951727</v>
      </c>
      <c r="AG170" s="167">
        <v>75.805451574805048</v>
      </c>
      <c r="AH170" s="406">
        <v>285.19</v>
      </c>
      <c r="AI170" s="957">
        <f t="shared" si="113"/>
        <v>1.2830891246870277</v>
      </c>
      <c r="AJ170" s="957">
        <f t="shared" si="115"/>
        <v>209.38454842519496</v>
      </c>
      <c r="AK170" s="958">
        <f t="shared" ref="AK170:AK202" si="123">AH170</f>
        <v>285.19</v>
      </c>
      <c r="AL170" s="991"/>
      <c r="AM170" s="52">
        <f>AH170-AG170</f>
        <v>209.38454842519496</v>
      </c>
    </row>
    <row r="171" spans="1:39" s="191" customFormat="1" ht="33" customHeight="1" outlineLevel="3">
      <c r="A171" s="139" t="s">
        <v>839</v>
      </c>
      <c r="B171" s="406" t="s">
        <v>840</v>
      </c>
      <c r="C171" s="198" t="s">
        <v>841</v>
      </c>
      <c r="D171" s="956" t="s">
        <v>914</v>
      </c>
      <c r="E171" s="148" t="s">
        <v>842</v>
      </c>
      <c r="F171" s="1333"/>
      <c r="G171" s="1334"/>
      <c r="H171" s="406">
        <v>0</v>
      </c>
      <c r="I171" s="406">
        <v>0</v>
      </c>
      <c r="J171" s="406">
        <v>0</v>
      </c>
      <c r="K171" s="1334"/>
      <c r="L171" s="406"/>
      <c r="M171" s="406"/>
      <c r="N171" s="406"/>
      <c r="O171" s="406">
        <v>28.177310000000002</v>
      </c>
      <c r="P171" s="406">
        <v>26.992290000000001</v>
      </c>
      <c r="Q171" s="150">
        <v>26.992290000000001</v>
      </c>
      <c r="R171" s="167">
        <v>26.992290000000001</v>
      </c>
      <c r="S171" s="402">
        <v>26.992290000000001</v>
      </c>
      <c r="T171" s="167">
        <f t="shared" si="111"/>
        <v>26.992290000000001</v>
      </c>
      <c r="U171" s="167">
        <f t="shared" si="112"/>
        <v>0</v>
      </c>
      <c r="V171" s="406">
        <v>0</v>
      </c>
      <c r="W171" s="167">
        <v>25124.14</v>
      </c>
      <c r="X171" s="167">
        <v>25.124140000000001</v>
      </c>
      <c r="Y171" s="406">
        <v>25.124140000000001</v>
      </c>
      <c r="Z171" s="406">
        <v>22.63739</v>
      </c>
      <c r="AA171" s="406">
        <v>2.3464200000000002</v>
      </c>
      <c r="AB171" s="406">
        <v>0.14033000000000001</v>
      </c>
      <c r="AC171" s="403">
        <v>0</v>
      </c>
      <c r="AD171" s="406">
        <f>'[71]2. подк.неподк.'!X159</f>
        <v>85.472181599999999</v>
      </c>
      <c r="AE171" s="406">
        <f>V171*$AD$11</f>
        <v>0</v>
      </c>
      <c r="AF171" s="402">
        <f t="shared" si="114"/>
        <v>0</v>
      </c>
      <c r="AG171" s="167">
        <v>0</v>
      </c>
      <c r="AH171" s="406">
        <v>102.14789157296734</v>
      </c>
      <c r="AI171" s="957">
        <f t="shared" si="113"/>
        <v>4.0657268894763101</v>
      </c>
      <c r="AJ171" s="957">
        <f t="shared" si="115"/>
        <v>102.14789157296734</v>
      </c>
      <c r="AK171" s="958">
        <f t="shared" si="123"/>
        <v>102.14789157296734</v>
      </c>
      <c r="AL171" s="991"/>
      <c r="AM171" s="52">
        <f>AH171-AG171</f>
        <v>102.14789157296734</v>
      </c>
    </row>
    <row r="172" spans="1:39" s="161" customFormat="1" ht="33" customHeight="1" outlineLevel="2">
      <c r="A172" s="153"/>
      <c r="B172" s="402"/>
      <c r="C172" s="155"/>
      <c r="D172" s="966"/>
      <c r="E172" s="156" t="s">
        <v>843</v>
      </c>
      <c r="F172" s="157"/>
      <c r="G172" s="158"/>
      <c r="H172" s="154">
        <f t="shared" ref="H172:J172" si="124">H169+H170</f>
        <v>2410.4997410843439</v>
      </c>
      <c r="I172" s="154">
        <f t="shared" si="124"/>
        <v>2135.5717100000002</v>
      </c>
      <c r="J172" s="154">
        <f t="shared" si="124"/>
        <v>2135.5700000000002</v>
      </c>
      <c r="K172" s="154">
        <f>K169+K170</f>
        <v>2644.9770055487634</v>
      </c>
      <c r="L172" s="154">
        <f>L169+L170+L171</f>
        <v>5467.0291799999995</v>
      </c>
      <c r="M172" s="154">
        <f t="shared" ref="M172:AK172" si="125">M169+M170+M171</f>
        <v>2290.62</v>
      </c>
      <c r="N172" s="154">
        <f t="shared" si="125"/>
        <v>2858.9553606618106</v>
      </c>
      <c r="O172" s="154">
        <f t="shared" si="125"/>
        <v>4866.6444899999997</v>
      </c>
      <c r="P172" s="154">
        <f t="shared" si="125"/>
        <v>4724.4079200000006</v>
      </c>
      <c r="Q172" s="159">
        <f t="shared" si="125"/>
        <v>4724.4079200000006</v>
      </c>
      <c r="R172" s="154">
        <f t="shared" si="125"/>
        <v>4724.4079200000006</v>
      </c>
      <c r="S172" s="402">
        <f t="shared" si="125"/>
        <v>4724.4079200000006</v>
      </c>
      <c r="T172" s="402">
        <f t="shared" si="111"/>
        <v>1865.45255933819</v>
      </c>
      <c r="U172" s="402">
        <f t="shared" si="112"/>
        <v>0</v>
      </c>
      <c r="V172" s="154">
        <f t="shared" si="125"/>
        <v>2667.600467101403</v>
      </c>
      <c r="W172" s="154">
        <f t="shared" si="125"/>
        <v>4023217.17</v>
      </c>
      <c r="X172" s="154">
        <f t="shared" si="125"/>
        <v>4023.2171699999999</v>
      </c>
      <c r="Y172" s="154">
        <f t="shared" si="125"/>
        <v>4023.2171699999999</v>
      </c>
      <c r="Z172" s="1041">
        <f t="shared" si="125"/>
        <v>3695.7669599999999</v>
      </c>
      <c r="AA172" s="154">
        <f t="shared" si="125"/>
        <v>295.09706</v>
      </c>
      <c r="AB172" s="154">
        <f t="shared" si="125"/>
        <v>32.353149999999999</v>
      </c>
      <c r="AC172" s="194">
        <f t="shared" si="125"/>
        <v>2787.6424881209659</v>
      </c>
      <c r="AD172" s="194">
        <f t="shared" si="125"/>
        <v>13860.8121816</v>
      </c>
      <c r="AE172" s="194">
        <f t="shared" si="125"/>
        <v>2765.9062374693945</v>
      </c>
      <c r="AF172" s="194">
        <f t="shared" si="125"/>
        <v>2765.9062374693945</v>
      </c>
      <c r="AG172" s="194">
        <f t="shared" si="125"/>
        <v>2899.1481876458047</v>
      </c>
      <c r="AH172" s="992">
        <f t="shared" si="125"/>
        <v>4555.8578915729677</v>
      </c>
      <c r="AI172" s="993">
        <f t="shared" si="113"/>
        <v>1.1323917400096419</v>
      </c>
      <c r="AJ172" s="994">
        <f t="shared" si="125"/>
        <v>1656.709703927163</v>
      </c>
      <c r="AK172" s="994">
        <f t="shared" si="125"/>
        <v>4555.8578915729677</v>
      </c>
      <c r="AL172" s="964"/>
      <c r="AM172" s="52"/>
    </row>
    <row r="173" spans="1:39" s="191" customFormat="1" ht="33" customHeight="1" outlineLevel="3">
      <c r="A173" s="139" t="s">
        <v>844</v>
      </c>
      <c r="B173" s="406" t="s">
        <v>845</v>
      </c>
      <c r="C173" s="198" t="s">
        <v>846</v>
      </c>
      <c r="D173" s="956" t="s">
        <v>918</v>
      </c>
      <c r="E173" s="148" t="s">
        <v>847</v>
      </c>
      <c r="F173" s="149" t="s">
        <v>848</v>
      </c>
      <c r="G173" s="406" t="s">
        <v>121</v>
      </c>
      <c r="H173" s="406">
        <v>0</v>
      </c>
      <c r="I173" s="406">
        <v>311.95580000000001</v>
      </c>
      <c r="J173" s="406">
        <v>0</v>
      </c>
      <c r="K173" s="406">
        <v>0</v>
      </c>
      <c r="L173" s="406">
        <v>196.12166999999999</v>
      </c>
      <c r="M173" s="406">
        <v>0</v>
      </c>
      <c r="N173" s="406">
        <v>0</v>
      </c>
      <c r="O173" s="406">
        <v>26709.161150000004</v>
      </c>
      <c r="P173" s="406">
        <v>26441.13089</v>
      </c>
      <c r="Q173" s="150">
        <v>0</v>
      </c>
      <c r="R173" s="167">
        <v>0</v>
      </c>
      <c r="S173" s="402">
        <v>0</v>
      </c>
      <c r="T173" s="167">
        <f t="shared" si="111"/>
        <v>0</v>
      </c>
      <c r="U173" s="167">
        <f t="shared" si="112"/>
        <v>-26441.13089</v>
      </c>
      <c r="V173" s="406">
        <v>0</v>
      </c>
      <c r="W173" s="167">
        <v>25971993.84</v>
      </c>
      <c r="X173" s="167">
        <v>25971.993839999999</v>
      </c>
      <c r="Y173" s="406">
        <v>25971.993839999999</v>
      </c>
      <c r="Z173" s="406">
        <v>25848.491140000002</v>
      </c>
      <c r="AA173" s="406">
        <v>108.40492999999999</v>
      </c>
      <c r="AB173" s="406">
        <v>15.097770000000001</v>
      </c>
      <c r="AC173" s="403">
        <v>0</v>
      </c>
      <c r="AD173" s="406">
        <f>'[71]2. подк.неподк.'!X161</f>
        <v>58419.285000000003</v>
      </c>
      <c r="AE173" s="406">
        <f>V173*$AD$11</f>
        <v>0</v>
      </c>
      <c r="AF173" s="402">
        <f t="shared" si="114"/>
        <v>0</v>
      </c>
      <c r="AG173" s="167">
        <v>0</v>
      </c>
      <c r="AH173" s="406">
        <v>837.09</v>
      </c>
      <c r="AI173" s="957">
        <f t="shared" si="113"/>
        <v>3.2230486621738705E-2</v>
      </c>
      <c r="AJ173" s="957">
        <f t="shared" si="115"/>
        <v>837.09</v>
      </c>
      <c r="AK173" s="958">
        <f t="shared" si="123"/>
        <v>837.09</v>
      </c>
      <c r="AL173" s="991"/>
      <c r="AM173" s="52">
        <f>AH173-AG173</f>
        <v>837.09</v>
      </c>
    </row>
    <row r="174" spans="1:39" s="191" customFormat="1" ht="48" customHeight="1" outlineLevel="3">
      <c r="A174" s="139" t="s">
        <v>849</v>
      </c>
      <c r="B174" s="406" t="s">
        <v>850</v>
      </c>
      <c r="C174" s="198" t="s">
        <v>851</v>
      </c>
      <c r="D174" s="956" t="s">
        <v>923</v>
      </c>
      <c r="E174" s="148" t="s">
        <v>852</v>
      </c>
      <c r="F174" s="149" t="s">
        <v>853</v>
      </c>
      <c r="G174" s="406" t="s">
        <v>121</v>
      </c>
      <c r="H174" s="406">
        <v>0</v>
      </c>
      <c r="I174" s="406">
        <v>347.90839999999997</v>
      </c>
      <c r="J174" s="406">
        <v>0</v>
      </c>
      <c r="K174" s="406">
        <v>0</v>
      </c>
      <c r="L174" s="406">
        <v>552.58839999999998</v>
      </c>
      <c r="M174" s="406">
        <v>0</v>
      </c>
      <c r="N174" s="406">
        <v>0</v>
      </c>
      <c r="O174" s="406">
        <v>328.58920000000006</v>
      </c>
      <c r="P174" s="406">
        <v>298.72363999999999</v>
      </c>
      <c r="Q174" s="150">
        <v>298.72363999999999</v>
      </c>
      <c r="R174" s="167">
        <v>298.72363999999999</v>
      </c>
      <c r="S174" s="402">
        <v>298.72363999999999</v>
      </c>
      <c r="T174" s="406">
        <f t="shared" si="111"/>
        <v>298.72363999999999</v>
      </c>
      <c r="U174" s="406">
        <f t="shared" si="112"/>
        <v>0</v>
      </c>
      <c r="V174" s="406">
        <v>0</v>
      </c>
      <c r="W174" s="167">
        <v>503036.14</v>
      </c>
      <c r="X174" s="167">
        <v>503.03613999999999</v>
      </c>
      <c r="Y174" s="406">
        <v>503.03613999999993</v>
      </c>
      <c r="Z174" s="406">
        <v>457.33848999999998</v>
      </c>
      <c r="AA174" s="406">
        <v>40.341360000000002</v>
      </c>
      <c r="AB174" s="406">
        <v>5.3562899999999996</v>
      </c>
      <c r="AC174" s="403">
        <v>0</v>
      </c>
      <c r="AD174" s="406">
        <f>'[71]2. подк.неподк.'!X162</f>
        <v>722.52941999999996</v>
      </c>
      <c r="AE174" s="406">
        <f>V174*$AD$11</f>
        <v>0</v>
      </c>
      <c r="AF174" s="402">
        <f t="shared" si="114"/>
        <v>0</v>
      </c>
      <c r="AG174" s="167">
        <v>0</v>
      </c>
      <c r="AH174" s="406">
        <v>573.34</v>
      </c>
      <c r="AI174" s="957">
        <f t="shared" si="113"/>
        <v>1.1397590638318751</v>
      </c>
      <c r="AJ174" s="957">
        <f t="shared" si="115"/>
        <v>573.34</v>
      </c>
      <c r="AK174" s="958">
        <f t="shared" si="123"/>
        <v>573.34</v>
      </c>
      <c r="AL174" s="991"/>
      <c r="AM174" s="52">
        <f>AH174-AG174</f>
        <v>573.34</v>
      </c>
    </row>
    <row r="175" spans="1:39" s="161" customFormat="1" ht="33" customHeight="1" outlineLevel="2">
      <c r="A175" s="153"/>
      <c r="B175" s="402"/>
      <c r="C175" s="155"/>
      <c r="D175" s="966"/>
      <c r="E175" s="156" t="s">
        <v>854</v>
      </c>
      <c r="F175" s="157"/>
      <c r="G175" s="158"/>
      <c r="H175" s="154">
        <f t="shared" ref="H175:J175" si="126">H173+H174</f>
        <v>0</v>
      </c>
      <c r="I175" s="154">
        <f t="shared" si="126"/>
        <v>659.86419999999998</v>
      </c>
      <c r="J175" s="154">
        <f t="shared" si="126"/>
        <v>0</v>
      </c>
      <c r="K175" s="154">
        <f>K173+K174</f>
        <v>0</v>
      </c>
      <c r="L175" s="154">
        <f t="shared" ref="L175:AK175" si="127">L173+L174</f>
        <v>748.71006999999997</v>
      </c>
      <c r="M175" s="154">
        <f t="shared" si="127"/>
        <v>0</v>
      </c>
      <c r="N175" s="154">
        <f t="shared" si="127"/>
        <v>0</v>
      </c>
      <c r="O175" s="154">
        <f t="shared" si="127"/>
        <v>27037.750350000002</v>
      </c>
      <c r="P175" s="154">
        <f t="shared" si="127"/>
        <v>26739.854530000001</v>
      </c>
      <c r="Q175" s="159">
        <f t="shared" si="127"/>
        <v>298.72363999999999</v>
      </c>
      <c r="R175" s="154">
        <f t="shared" si="127"/>
        <v>298.72363999999999</v>
      </c>
      <c r="S175" s="402">
        <f t="shared" si="127"/>
        <v>298.72363999999999</v>
      </c>
      <c r="T175" s="402">
        <f t="shared" si="111"/>
        <v>298.72363999999999</v>
      </c>
      <c r="U175" s="402">
        <f t="shared" si="112"/>
        <v>-26441.13089</v>
      </c>
      <c r="V175" s="154">
        <f>V173+V174</f>
        <v>0</v>
      </c>
      <c r="W175" s="154">
        <f t="shared" si="127"/>
        <v>26475029.98</v>
      </c>
      <c r="X175" s="154">
        <f t="shared" si="127"/>
        <v>26475.029979999999</v>
      </c>
      <c r="Y175" s="154">
        <f t="shared" si="127"/>
        <v>26475.029979999999</v>
      </c>
      <c r="Z175" s="154">
        <f t="shared" si="127"/>
        <v>26305.82963</v>
      </c>
      <c r="AA175" s="154">
        <f t="shared" si="127"/>
        <v>148.74628999999999</v>
      </c>
      <c r="AB175" s="154">
        <f t="shared" si="127"/>
        <v>20.454059999999998</v>
      </c>
      <c r="AC175" s="194">
        <f t="shared" si="127"/>
        <v>0</v>
      </c>
      <c r="AD175" s="194">
        <f t="shared" si="127"/>
        <v>59141.814420000002</v>
      </c>
      <c r="AE175" s="194">
        <f t="shared" si="127"/>
        <v>0</v>
      </c>
      <c r="AF175" s="194">
        <f>AF173+AF174</f>
        <v>0</v>
      </c>
      <c r="AG175" s="194">
        <f t="shared" si="127"/>
        <v>0</v>
      </c>
      <c r="AH175" s="992">
        <f t="shared" si="127"/>
        <v>1410.43</v>
      </c>
      <c r="AI175" s="993">
        <f t="shared" si="113"/>
        <v>5.327397177889806E-2</v>
      </c>
      <c r="AJ175" s="994">
        <f t="shared" si="127"/>
        <v>1410.43</v>
      </c>
      <c r="AK175" s="994">
        <f t="shared" si="127"/>
        <v>1410.43</v>
      </c>
      <c r="AL175" s="964"/>
      <c r="AM175" s="52"/>
    </row>
    <row r="176" spans="1:39" s="191" customFormat="1" ht="48" customHeight="1" outlineLevel="3">
      <c r="A176" s="139" t="s">
        <v>855</v>
      </c>
      <c r="B176" s="406" t="s">
        <v>856</v>
      </c>
      <c r="C176" s="198" t="s">
        <v>857</v>
      </c>
      <c r="D176" s="956" t="s">
        <v>928</v>
      </c>
      <c r="E176" s="148" t="s">
        <v>858</v>
      </c>
      <c r="F176" s="149" t="s">
        <v>859</v>
      </c>
      <c r="G176" s="406" t="s">
        <v>121</v>
      </c>
      <c r="H176" s="406">
        <v>3248.96649962946</v>
      </c>
      <c r="I176" s="406">
        <v>0</v>
      </c>
      <c r="J176" s="406">
        <v>0</v>
      </c>
      <c r="K176" s="406">
        <v>3565.0041926378663</v>
      </c>
      <c r="L176" s="406">
        <v>38.017470000000003</v>
      </c>
      <c r="M176" s="406">
        <v>38.020000000000003</v>
      </c>
      <c r="N176" s="406">
        <v>3687.6427718153864</v>
      </c>
      <c r="O176" s="406">
        <v>285.03536000000003</v>
      </c>
      <c r="P176" s="406">
        <v>285.03536000000003</v>
      </c>
      <c r="Q176" s="150">
        <v>206.31326000000001</v>
      </c>
      <c r="R176" s="406">
        <v>206.31326000000001</v>
      </c>
      <c r="S176" s="402">
        <v>285.03536000000003</v>
      </c>
      <c r="T176" s="406">
        <f t="shared" si="111"/>
        <v>-3402.6074118153865</v>
      </c>
      <c r="U176" s="406">
        <f t="shared" si="112"/>
        <v>0</v>
      </c>
      <c r="V176" s="406">
        <v>0</v>
      </c>
      <c r="W176" s="167">
        <v>1774442.46</v>
      </c>
      <c r="X176" s="167">
        <v>1774.44246</v>
      </c>
      <c r="Y176" s="406">
        <v>1774.44246</v>
      </c>
      <c r="Z176" s="406">
        <v>1772.1012000000001</v>
      </c>
      <c r="AA176" s="406">
        <v>2.1623200000000002</v>
      </c>
      <c r="AB176" s="406">
        <v>0.17893999999999999</v>
      </c>
      <c r="AC176" s="403">
        <v>0</v>
      </c>
      <c r="AD176" s="406">
        <f>'[71]2. подк.неподк.'!X164</f>
        <v>0</v>
      </c>
      <c r="AE176" s="406">
        <f>V176*$AD$11</f>
        <v>0</v>
      </c>
      <c r="AF176" s="402">
        <f t="shared" si="114"/>
        <v>0</v>
      </c>
      <c r="AG176" s="167">
        <v>0</v>
      </c>
      <c r="AH176" s="406">
        <v>854799</v>
      </c>
      <c r="AI176" s="957">
        <f t="shared" si="113"/>
        <v>481.72821563343336</v>
      </c>
      <c r="AJ176" s="957">
        <f t="shared" si="115"/>
        <v>854799</v>
      </c>
      <c r="AK176" s="958">
        <f t="shared" si="123"/>
        <v>854799</v>
      </c>
      <c r="AL176" s="1817" t="s">
        <v>2150</v>
      </c>
      <c r="AM176" s="52">
        <f>AH176-AG176</f>
        <v>854799</v>
      </c>
    </row>
    <row r="177" spans="1:39" s="191" customFormat="1" ht="48" customHeight="1" outlineLevel="3">
      <c r="A177" s="139" t="s">
        <v>860</v>
      </c>
      <c r="B177" s="406" t="s">
        <v>861</v>
      </c>
      <c r="C177" s="198" t="s">
        <v>862</v>
      </c>
      <c r="D177" s="956" t="s">
        <v>932</v>
      </c>
      <c r="E177" s="148" t="s">
        <v>863</v>
      </c>
      <c r="F177" s="149" t="s">
        <v>864</v>
      </c>
      <c r="G177" s="406" t="s">
        <v>121</v>
      </c>
      <c r="H177" s="406">
        <v>1328.9980838120871</v>
      </c>
      <c r="I177" s="406">
        <v>1131.1680200000001</v>
      </c>
      <c r="J177" s="406">
        <v>1131.17</v>
      </c>
      <c r="K177" s="406">
        <v>1458.2741131181651</v>
      </c>
      <c r="L177" s="406">
        <v>1959.0656799999999</v>
      </c>
      <c r="M177" s="406">
        <v>1959.07</v>
      </c>
      <c r="N177" s="406">
        <v>1492.7</v>
      </c>
      <c r="O177" s="406">
        <v>707.14238999999998</v>
      </c>
      <c r="P177" s="406">
        <v>706.90968999999996</v>
      </c>
      <c r="Q177" s="150">
        <v>706.90968999999996</v>
      </c>
      <c r="R177" s="406">
        <v>706.90968999999996</v>
      </c>
      <c r="S177" s="402">
        <v>706.90968999999996</v>
      </c>
      <c r="T177" s="406">
        <f t="shared" si="111"/>
        <v>-785.79031000000009</v>
      </c>
      <c r="U177" s="406">
        <f t="shared" si="112"/>
        <v>0</v>
      </c>
      <c r="V177" s="406">
        <v>1574.7984999999999</v>
      </c>
      <c r="W177" s="167">
        <v>1744932.29</v>
      </c>
      <c r="X177" s="167">
        <v>1744.93229</v>
      </c>
      <c r="Y177" s="406">
        <v>2056.9822899999999</v>
      </c>
      <c r="Z177" s="406">
        <v>2040.0949900000001</v>
      </c>
      <c r="AA177" s="406">
        <v>12.804219999999999</v>
      </c>
      <c r="AB177" s="406">
        <v>4.0830799999999998</v>
      </c>
      <c r="AC177" s="403">
        <v>1645.6644324999997</v>
      </c>
      <c r="AD177" s="406">
        <f>'[71]2. подк.неподк.'!X165</f>
        <v>4872.7468800000006</v>
      </c>
      <c r="AE177" s="406">
        <f>V177*$AD$11</f>
        <v>1632.8325952950402</v>
      </c>
      <c r="AF177" s="402">
        <f t="shared" si="114"/>
        <v>1632.8325952950402</v>
      </c>
      <c r="AG177" s="167">
        <v>1711.4910097999998</v>
      </c>
      <c r="AH177" s="406">
        <v>35568.99</v>
      </c>
      <c r="AI177" s="957">
        <f t="shared" si="113"/>
        <v>20.38416631054492</v>
      </c>
      <c r="AJ177" s="957">
        <f t="shared" si="115"/>
        <v>33857.498990200002</v>
      </c>
      <c r="AK177" s="958">
        <f t="shared" si="123"/>
        <v>35568.99</v>
      </c>
      <c r="AL177" s="1818"/>
      <c r="AM177" s="52">
        <f>AH177-AG177</f>
        <v>33857.498990200002</v>
      </c>
    </row>
    <row r="178" spans="1:39" s="191" customFormat="1" ht="33" customHeight="1" outlineLevel="3">
      <c r="A178" s="139" t="s">
        <v>865</v>
      </c>
      <c r="B178" s="406" t="s">
        <v>866</v>
      </c>
      <c r="C178" s="198" t="s">
        <v>867</v>
      </c>
      <c r="D178" s="956" t="s">
        <v>936</v>
      </c>
      <c r="E178" s="148" t="s">
        <v>868</v>
      </c>
      <c r="F178" s="149" t="s">
        <v>869</v>
      </c>
      <c r="G178" s="406" t="s">
        <v>121</v>
      </c>
      <c r="H178" s="406">
        <v>0</v>
      </c>
      <c r="I178" s="406">
        <v>10560.68196</v>
      </c>
      <c r="J178" s="406">
        <v>0</v>
      </c>
      <c r="K178" s="406">
        <v>0</v>
      </c>
      <c r="L178" s="406">
        <v>30.375</v>
      </c>
      <c r="M178" s="406">
        <v>0</v>
      </c>
      <c r="N178" s="406">
        <v>0</v>
      </c>
      <c r="O178" s="406"/>
      <c r="P178" s="406"/>
      <c r="Q178" s="150">
        <v>30.375</v>
      </c>
      <c r="R178" s="406">
        <v>30.375</v>
      </c>
      <c r="S178" s="402">
        <v>0</v>
      </c>
      <c r="T178" s="406">
        <f t="shared" si="111"/>
        <v>0</v>
      </c>
      <c r="U178" s="406">
        <f t="shared" si="112"/>
        <v>0</v>
      </c>
      <c r="V178" s="406">
        <v>0</v>
      </c>
      <c r="W178" s="167">
        <v>2683814.4900000002</v>
      </c>
      <c r="X178" s="167">
        <v>2683.8144900000002</v>
      </c>
      <c r="Y178" s="406">
        <v>2683.8144899999998</v>
      </c>
      <c r="Z178" s="406">
        <v>2575.29</v>
      </c>
      <c r="AA178" s="406">
        <v>78.170229999999989</v>
      </c>
      <c r="AB178" s="406">
        <v>30.35426</v>
      </c>
      <c r="AC178" s="403">
        <v>0</v>
      </c>
      <c r="AD178" s="406">
        <f>'[71]2. подк.неподк.'!X166</f>
        <v>554.48400000000004</v>
      </c>
      <c r="AE178" s="406">
        <f>V178*$AD$11</f>
        <v>0</v>
      </c>
      <c r="AF178" s="402">
        <f t="shared" si="114"/>
        <v>0</v>
      </c>
      <c r="AG178" s="167">
        <v>0</v>
      </c>
      <c r="AH178" s="406">
        <v>9960.66</v>
      </c>
      <c r="AI178" s="957">
        <f t="shared" si="113"/>
        <v>3.7113817058197638</v>
      </c>
      <c r="AJ178" s="957">
        <f t="shared" si="115"/>
        <v>9960.66</v>
      </c>
      <c r="AK178" s="958">
        <f t="shared" si="123"/>
        <v>9960.66</v>
      </c>
      <c r="AL178" s="991"/>
      <c r="AM178" s="52">
        <f>AH178-AG178</f>
        <v>9960.66</v>
      </c>
    </row>
    <row r="179" spans="1:39" s="191" customFormat="1" ht="33" customHeight="1" outlineLevel="3">
      <c r="A179" s="139" t="s">
        <v>870</v>
      </c>
      <c r="B179" s="406" t="s">
        <v>871</v>
      </c>
      <c r="C179" s="198" t="s">
        <v>872</v>
      </c>
      <c r="D179" s="956" t="s">
        <v>940</v>
      </c>
      <c r="E179" s="148" t="s">
        <v>873</v>
      </c>
      <c r="F179" s="149" t="s">
        <v>874</v>
      </c>
      <c r="G179" s="406" t="s">
        <v>121</v>
      </c>
      <c r="H179" s="406">
        <v>0</v>
      </c>
      <c r="I179" s="406">
        <v>0</v>
      </c>
      <c r="J179" s="406">
        <v>0</v>
      </c>
      <c r="K179" s="406">
        <v>0</v>
      </c>
      <c r="L179" s="406">
        <v>0</v>
      </c>
      <c r="M179" s="406">
        <v>0</v>
      </c>
      <c r="N179" s="406">
        <v>0</v>
      </c>
      <c r="O179" s="406"/>
      <c r="P179" s="406"/>
      <c r="Q179" s="150">
        <v>48.347099999999998</v>
      </c>
      <c r="R179" s="406">
        <v>48.347099999999998</v>
      </c>
      <c r="S179" s="402">
        <v>0</v>
      </c>
      <c r="T179" s="406">
        <f t="shared" si="111"/>
        <v>0</v>
      </c>
      <c r="U179" s="406">
        <f t="shared" si="112"/>
        <v>0</v>
      </c>
      <c r="V179" s="406">
        <v>0</v>
      </c>
      <c r="W179" s="167">
        <v>85955.38</v>
      </c>
      <c r="X179" s="167">
        <v>85.955380000000005</v>
      </c>
      <c r="Y179" s="406">
        <v>85.955379999999991</v>
      </c>
      <c r="Z179" s="406">
        <v>85.925440000000009</v>
      </c>
      <c r="AA179" s="406">
        <v>2.7649999999999997E-2</v>
      </c>
      <c r="AB179" s="406">
        <v>2.2899999999999999E-3</v>
      </c>
      <c r="AC179" s="403">
        <v>0</v>
      </c>
      <c r="AD179" s="406">
        <f>'[71]2. подк.неподк.'!X167</f>
        <v>0</v>
      </c>
      <c r="AE179" s="406">
        <f>V179*$AD$11</f>
        <v>0</v>
      </c>
      <c r="AF179" s="402">
        <f t="shared" si="114"/>
        <v>0</v>
      </c>
      <c r="AG179" s="167">
        <v>0</v>
      </c>
      <c r="AH179" s="406">
        <v>0</v>
      </c>
      <c r="AI179" s="957">
        <f t="shared" si="113"/>
        <v>0</v>
      </c>
      <c r="AJ179" s="957">
        <f t="shared" si="115"/>
        <v>0</v>
      </c>
      <c r="AK179" s="958">
        <f t="shared" si="123"/>
        <v>0</v>
      </c>
      <c r="AL179" s="991"/>
      <c r="AM179" s="52">
        <f>AH179-AG179</f>
        <v>0</v>
      </c>
    </row>
    <row r="180" spans="1:39" s="161" customFormat="1" ht="33" customHeight="1" outlineLevel="2">
      <c r="A180" s="153"/>
      <c r="B180" s="402"/>
      <c r="C180" s="155"/>
      <c r="D180" s="966"/>
      <c r="E180" s="156" t="s">
        <v>875</v>
      </c>
      <c r="F180" s="157"/>
      <c r="G180" s="158"/>
      <c r="H180" s="154">
        <f t="shared" ref="H180:J180" si="128">H176+H177+H178+H179</f>
        <v>4577.9645834415469</v>
      </c>
      <c r="I180" s="154">
        <f t="shared" si="128"/>
        <v>11691.849979999999</v>
      </c>
      <c r="J180" s="154">
        <f t="shared" si="128"/>
        <v>1131.17</v>
      </c>
      <c r="K180" s="154">
        <f>K176+K177+K178+K179</f>
        <v>5023.2783057560318</v>
      </c>
      <c r="L180" s="154">
        <f t="shared" ref="L180:V180" si="129">L176+L177+L178+L179</f>
        <v>2027.4581499999999</v>
      </c>
      <c r="M180" s="154">
        <f t="shared" si="129"/>
        <v>1997.09</v>
      </c>
      <c r="N180" s="154">
        <f t="shared" si="129"/>
        <v>5180.3427718153862</v>
      </c>
      <c r="O180" s="154">
        <f t="shared" si="129"/>
        <v>992.17775000000006</v>
      </c>
      <c r="P180" s="154">
        <f t="shared" si="129"/>
        <v>991.94505000000004</v>
      </c>
      <c r="Q180" s="159">
        <f t="shared" si="129"/>
        <v>991.94504999999992</v>
      </c>
      <c r="R180" s="154">
        <f t="shared" si="129"/>
        <v>991.94504999999992</v>
      </c>
      <c r="S180" s="402">
        <f t="shared" si="129"/>
        <v>991.94505000000004</v>
      </c>
      <c r="T180" s="402">
        <f t="shared" si="111"/>
        <v>-4188.3977218153859</v>
      </c>
      <c r="U180" s="402">
        <f t="shared" si="112"/>
        <v>0</v>
      </c>
      <c r="V180" s="154">
        <f t="shared" si="129"/>
        <v>1574.7984999999999</v>
      </c>
      <c r="W180" s="154">
        <f>W176+W177+W178+W179</f>
        <v>6289144.6200000001</v>
      </c>
      <c r="X180" s="154">
        <f>X176+X177+X178+X179</f>
        <v>6289.14462</v>
      </c>
      <c r="Y180" s="154">
        <f>Y176+Y177+Y178+Y179</f>
        <v>6601.1946200000002</v>
      </c>
      <c r="Z180" s="1041">
        <f t="shared" ref="Z180:AK180" si="130">Z176+Z177+Z178+Z179</f>
        <v>6473.4116299999996</v>
      </c>
      <c r="AA180" s="154">
        <f t="shared" si="130"/>
        <v>93.164419999999978</v>
      </c>
      <c r="AB180" s="154">
        <f t="shared" si="130"/>
        <v>34.618570000000005</v>
      </c>
      <c r="AC180" s="194">
        <f t="shared" si="130"/>
        <v>1645.6644324999997</v>
      </c>
      <c r="AD180" s="194">
        <f t="shared" si="130"/>
        <v>5427.230880000001</v>
      </c>
      <c r="AE180" s="194">
        <f t="shared" si="130"/>
        <v>1632.8325952950402</v>
      </c>
      <c r="AF180" s="194">
        <f t="shared" si="130"/>
        <v>1632.8325952950402</v>
      </c>
      <c r="AG180" s="194">
        <f t="shared" si="130"/>
        <v>1711.4910097999998</v>
      </c>
      <c r="AH180" s="992">
        <f t="shared" si="130"/>
        <v>900328.65</v>
      </c>
      <c r="AI180" s="993">
        <f t="shared" si="113"/>
        <v>143.15597818133813</v>
      </c>
      <c r="AJ180" s="994">
        <f t="shared" si="130"/>
        <v>898617.15899020003</v>
      </c>
      <c r="AK180" s="994">
        <f t="shared" si="130"/>
        <v>900328.65</v>
      </c>
      <c r="AL180" s="964"/>
      <c r="AM180" s="52"/>
    </row>
    <row r="181" spans="1:39" s="191" customFormat="1" ht="33" customHeight="1" outlineLevel="3">
      <c r="A181" s="139" t="s">
        <v>876</v>
      </c>
      <c r="B181" s="406" t="s">
        <v>877</v>
      </c>
      <c r="C181" s="198" t="s">
        <v>878</v>
      </c>
      <c r="D181" s="956" t="s">
        <v>945</v>
      </c>
      <c r="E181" s="148" t="s">
        <v>879</v>
      </c>
      <c r="F181" s="149" t="s">
        <v>880</v>
      </c>
      <c r="G181" s="406" t="s">
        <v>121</v>
      </c>
      <c r="H181" s="406">
        <v>0</v>
      </c>
      <c r="I181" s="406">
        <v>54.45</v>
      </c>
      <c r="J181" s="406">
        <v>0</v>
      </c>
      <c r="K181" s="406">
        <v>0</v>
      </c>
      <c r="L181" s="406">
        <v>258.70184999999998</v>
      </c>
      <c r="M181" s="406">
        <v>0</v>
      </c>
      <c r="N181" s="406">
        <v>0</v>
      </c>
      <c r="O181" s="406">
        <v>216.38315999999998</v>
      </c>
      <c r="P181" s="406">
        <v>203.63924</v>
      </c>
      <c r="Q181" s="150">
        <v>0</v>
      </c>
      <c r="R181" s="406">
        <v>0</v>
      </c>
      <c r="S181" s="402">
        <v>0</v>
      </c>
      <c r="T181" s="406">
        <f t="shared" si="111"/>
        <v>0</v>
      </c>
      <c r="U181" s="406">
        <f t="shared" si="112"/>
        <v>-203.63924</v>
      </c>
      <c r="V181" s="406">
        <v>0</v>
      </c>
      <c r="W181" s="167">
        <v>209619</v>
      </c>
      <c r="X181" s="167">
        <v>209.619</v>
      </c>
      <c r="Y181" s="406">
        <v>209.619</v>
      </c>
      <c r="Z181" s="406">
        <v>200.53625</v>
      </c>
      <c r="AA181" s="406">
        <v>7.0614799999999995</v>
      </c>
      <c r="AB181" s="406">
        <v>2.0212699999999999</v>
      </c>
      <c r="AC181" s="403">
        <v>0</v>
      </c>
      <c r="AD181" s="406">
        <f>'[71]2. подк.неподк.'!X169</f>
        <v>1536.56</v>
      </c>
      <c r="AE181" s="406">
        <f t="shared" ref="AE181:AE205" si="131">V181*$AD$11</f>
        <v>0</v>
      </c>
      <c r="AF181" s="402">
        <f t="shared" si="114"/>
        <v>0</v>
      </c>
      <c r="AG181" s="167">
        <v>0</v>
      </c>
      <c r="AH181" s="406">
        <v>249.9</v>
      </c>
      <c r="AI181" s="957">
        <f t="shared" si="113"/>
        <v>1.192162924162409</v>
      </c>
      <c r="AJ181" s="957">
        <f t="shared" si="115"/>
        <v>249.9</v>
      </c>
      <c r="AK181" s="958">
        <f t="shared" si="123"/>
        <v>249.9</v>
      </c>
      <c r="AL181" s="991"/>
      <c r="AM181" s="52">
        <f t="shared" ref="AM181:AM205" si="132">AH181-AG181</f>
        <v>249.9</v>
      </c>
    </row>
    <row r="182" spans="1:39" s="191" customFormat="1" ht="33" customHeight="1" outlineLevel="3">
      <c r="A182" s="139" t="s">
        <v>881</v>
      </c>
      <c r="B182" s="406" t="s">
        <v>882</v>
      </c>
      <c r="C182" s="198" t="s">
        <v>883</v>
      </c>
      <c r="D182" s="956" t="s">
        <v>949</v>
      </c>
      <c r="E182" s="148" t="s">
        <v>884</v>
      </c>
      <c r="F182" s="149" t="s">
        <v>885</v>
      </c>
      <c r="G182" s="406" t="s">
        <v>121</v>
      </c>
      <c r="H182" s="406">
        <v>370.75</v>
      </c>
      <c r="I182" s="406">
        <v>29.329160000000002</v>
      </c>
      <c r="J182" s="406">
        <v>29.33</v>
      </c>
      <c r="K182" s="406">
        <v>406.81407597499998</v>
      </c>
      <c r="L182" s="406">
        <v>0</v>
      </c>
      <c r="M182" s="406">
        <v>0</v>
      </c>
      <c r="N182" s="406">
        <v>9.7473460213460505</v>
      </c>
      <c r="O182" s="406">
        <v>0</v>
      </c>
      <c r="P182" s="406">
        <v>0</v>
      </c>
      <c r="Q182" s="150">
        <v>0</v>
      </c>
      <c r="R182" s="406">
        <v>0</v>
      </c>
      <c r="S182" s="402">
        <v>0</v>
      </c>
      <c r="T182" s="406">
        <f t="shared" si="111"/>
        <v>-9.7473460213460505</v>
      </c>
      <c r="U182" s="406">
        <f t="shared" si="112"/>
        <v>0</v>
      </c>
      <c r="V182" s="406">
        <v>0</v>
      </c>
      <c r="W182" s="167">
        <v>0</v>
      </c>
      <c r="X182" s="167">
        <v>0</v>
      </c>
      <c r="Y182" s="406">
        <v>0</v>
      </c>
      <c r="Z182" s="406">
        <v>0</v>
      </c>
      <c r="AA182" s="406">
        <v>0</v>
      </c>
      <c r="AB182" s="406">
        <v>0</v>
      </c>
      <c r="AC182" s="403">
        <v>0</v>
      </c>
      <c r="AD182" s="406">
        <f>'[71]2. подк.неподк.'!X170</f>
        <v>0</v>
      </c>
      <c r="AE182" s="406">
        <f t="shared" si="131"/>
        <v>0</v>
      </c>
      <c r="AF182" s="402">
        <f t="shared" si="114"/>
        <v>0</v>
      </c>
      <c r="AG182" s="167">
        <v>0</v>
      </c>
      <c r="AH182" s="406">
        <v>0</v>
      </c>
      <c r="AI182" s="957" t="e">
        <f t="shared" si="113"/>
        <v>#DIV/0!</v>
      </c>
      <c r="AJ182" s="957">
        <f t="shared" si="115"/>
        <v>0</v>
      </c>
      <c r="AK182" s="958">
        <f t="shared" si="123"/>
        <v>0</v>
      </c>
      <c r="AL182" s="991"/>
      <c r="AM182" s="52">
        <f t="shared" si="132"/>
        <v>0</v>
      </c>
    </row>
    <row r="183" spans="1:39" s="191" customFormat="1" ht="45.75" customHeight="1" outlineLevel="3">
      <c r="A183" s="139" t="s">
        <v>886</v>
      </c>
      <c r="B183" s="406" t="s">
        <v>887</v>
      </c>
      <c r="C183" s="198" t="s">
        <v>888</v>
      </c>
      <c r="D183" s="969" t="s">
        <v>953</v>
      </c>
      <c r="E183" s="148" t="s">
        <v>889</v>
      </c>
      <c r="F183" s="149" t="s">
        <v>890</v>
      </c>
      <c r="G183" s="406" t="s">
        <v>121</v>
      </c>
      <c r="H183" s="406">
        <v>27737.91</v>
      </c>
      <c r="I183" s="406">
        <v>1292.2033899999999</v>
      </c>
      <c r="J183" s="406">
        <v>1292.2</v>
      </c>
      <c r="K183" s="406">
        <v>30436.068040802998</v>
      </c>
      <c r="L183" s="406">
        <v>16032.198</v>
      </c>
      <c r="M183" s="406">
        <v>16032.2</v>
      </c>
      <c r="N183" s="406">
        <v>13903.3550770533</v>
      </c>
      <c r="O183" s="406">
        <v>13870.407869999999</v>
      </c>
      <c r="P183" s="406">
        <v>13867.469570000001</v>
      </c>
      <c r="Q183" s="150">
        <v>13867.469570000001</v>
      </c>
      <c r="R183" s="406">
        <v>13867.469570000001</v>
      </c>
      <c r="S183" s="402">
        <v>13867.469570000001</v>
      </c>
      <c r="T183" s="406">
        <f t="shared" si="111"/>
        <v>-35.885507053299079</v>
      </c>
      <c r="U183" s="406">
        <f t="shared" si="112"/>
        <v>0</v>
      </c>
      <c r="V183" s="406">
        <v>18157.998824999999</v>
      </c>
      <c r="W183" s="167">
        <v>13962797.760000002</v>
      </c>
      <c r="X183" s="167">
        <v>13962.797760000001</v>
      </c>
      <c r="Y183" s="406">
        <v>13962.797759999999</v>
      </c>
      <c r="Z183" s="406">
        <v>13962.781489999998</v>
      </c>
      <c r="AA183" s="406">
        <v>1.047E-2</v>
      </c>
      <c r="AB183" s="406">
        <v>5.7999999999999996E-3</v>
      </c>
      <c r="AC183" s="403">
        <v>18975.108772124997</v>
      </c>
      <c r="AD183" s="406">
        <f>'[71]2. подк.неподк.'!X171</f>
        <v>20028.599999999999</v>
      </c>
      <c r="AE183" s="406">
        <f t="shared" si="131"/>
        <v>18827.153027380355</v>
      </c>
      <c r="AF183" s="402">
        <f t="shared" si="114"/>
        <v>18827.153027380355</v>
      </c>
      <c r="AG183" s="167">
        <v>19734.113123009996</v>
      </c>
      <c r="AH183" s="406">
        <v>20028.599999999999</v>
      </c>
      <c r="AI183" s="957">
        <f t="shared" si="113"/>
        <v>1.4344259899958614</v>
      </c>
      <c r="AJ183" s="957">
        <f t="shared" si="115"/>
        <v>294.4868769900022</v>
      </c>
      <c r="AK183" s="958">
        <f t="shared" si="123"/>
        <v>20028.599999999999</v>
      </c>
      <c r="AL183" s="991"/>
      <c r="AM183" s="52">
        <f t="shared" si="132"/>
        <v>294.4868769900022</v>
      </c>
    </row>
    <row r="184" spans="1:39" s="191" customFormat="1" ht="33" customHeight="1" outlineLevel="3">
      <c r="A184" s="139" t="s">
        <v>891</v>
      </c>
      <c r="B184" s="406" t="s">
        <v>892</v>
      </c>
      <c r="C184" s="198" t="s">
        <v>893</v>
      </c>
      <c r="D184" s="956" t="s">
        <v>958</v>
      </c>
      <c r="E184" s="148" t="s">
        <v>894</v>
      </c>
      <c r="F184" s="410"/>
      <c r="G184" s="406" t="s">
        <v>121</v>
      </c>
      <c r="H184" s="406">
        <v>0</v>
      </c>
      <c r="I184" s="406">
        <v>0</v>
      </c>
      <c r="J184" s="406">
        <v>0</v>
      </c>
      <c r="K184" s="406">
        <v>0</v>
      </c>
      <c r="L184" s="406">
        <v>0</v>
      </c>
      <c r="M184" s="406">
        <v>0</v>
      </c>
      <c r="N184" s="406">
        <v>0</v>
      </c>
      <c r="O184" s="406">
        <v>0</v>
      </c>
      <c r="P184" s="406">
        <v>0.36042000000000002</v>
      </c>
      <c r="Q184" s="150">
        <v>0</v>
      </c>
      <c r="R184" s="406">
        <v>0</v>
      </c>
      <c r="S184" s="402">
        <v>0</v>
      </c>
      <c r="T184" s="406">
        <f t="shared" si="111"/>
        <v>0</v>
      </c>
      <c r="U184" s="406">
        <f t="shared" si="112"/>
        <v>-0.36042000000000002</v>
      </c>
      <c r="V184" s="406">
        <v>0</v>
      </c>
      <c r="W184" s="167">
        <v>0</v>
      </c>
      <c r="X184" s="167">
        <v>0</v>
      </c>
      <c r="Y184" s="406">
        <v>0</v>
      </c>
      <c r="Z184" s="406">
        <v>0</v>
      </c>
      <c r="AA184" s="406">
        <v>0</v>
      </c>
      <c r="AB184" s="406">
        <v>0</v>
      </c>
      <c r="AC184" s="403">
        <v>0</v>
      </c>
      <c r="AD184" s="406">
        <f>'[71]2. подк.неподк.'!X172</f>
        <v>0</v>
      </c>
      <c r="AE184" s="406">
        <f t="shared" si="131"/>
        <v>0</v>
      </c>
      <c r="AF184" s="402">
        <f t="shared" si="114"/>
        <v>0</v>
      </c>
      <c r="AG184" s="167">
        <v>0</v>
      </c>
      <c r="AH184" s="406">
        <v>0</v>
      </c>
      <c r="AI184" s="957" t="e">
        <f t="shared" si="113"/>
        <v>#DIV/0!</v>
      </c>
      <c r="AJ184" s="957">
        <f t="shared" si="115"/>
        <v>0</v>
      </c>
      <c r="AK184" s="958">
        <f t="shared" si="123"/>
        <v>0</v>
      </c>
      <c r="AL184" s="991"/>
      <c r="AM184" s="52">
        <f t="shared" si="132"/>
        <v>0</v>
      </c>
    </row>
    <row r="185" spans="1:39" s="191" customFormat="1" ht="33" customHeight="1" outlineLevel="3">
      <c r="A185" s="139" t="s">
        <v>895</v>
      </c>
      <c r="B185" s="406" t="s">
        <v>896</v>
      </c>
      <c r="C185" s="198" t="s">
        <v>897</v>
      </c>
      <c r="D185" s="956" t="s">
        <v>962</v>
      </c>
      <c r="E185" s="148" t="s">
        <v>898</v>
      </c>
      <c r="F185" s="149" t="s">
        <v>899</v>
      </c>
      <c r="G185" s="406" t="s">
        <v>121</v>
      </c>
      <c r="H185" s="406">
        <v>0</v>
      </c>
      <c r="I185" s="406">
        <v>293.22975000000002</v>
      </c>
      <c r="J185" s="406">
        <v>0</v>
      </c>
      <c r="K185" s="406">
        <v>0</v>
      </c>
      <c r="L185" s="406">
        <v>213.44060999999999</v>
      </c>
      <c r="M185" s="406">
        <v>0</v>
      </c>
      <c r="N185" s="406">
        <v>0</v>
      </c>
      <c r="O185" s="406">
        <v>287.73345</v>
      </c>
      <c r="P185" s="406">
        <v>278.22639000000004</v>
      </c>
      <c r="Q185" s="150">
        <v>278.22639000000004</v>
      </c>
      <c r="R185" s="406">
        <v>278.22639000000004</v>
      </c>
      <c r="S185" s="402">
        <v>278.22639000000004</v>
      </c>
      <c r="T185" s="406">
        <f t="shared" si="111"/>
        <v>278.22639000000004</v>
      </c>
      <c r="U185" s="406">
        <f t="shared" si="112"/>
        <v>0</v>
      </c>
      <c r="V185" s="406">
        <v>0</v>
      </c>
      <c r="W185" s="167">
        <v>346450.14999999997</v>
      </c>
      <c r="X185" s="167">
        <v>346.45014999999995</v>
      </c>
      <c r="Y185" s="406">
        <v>346.45014999999995</v>
      </c>
      <c r="Z185" s="406">
        <v>334.23270000000002</v>
      </c>
      <c r="AA185" s="406">
        <v>10.417719999999999</v>
      </c>
      <c r="AB185" s="406">
        <v>1.7997300000000001</v>
      </c>
      <c r="AC185" s="403">
        <v>0</v>
      </c>
      <c r="AD185" s="406">
        <f>'[71]2. подк.неподк.'!X173</f>
        <v>351.24299999999999</v>
      </c>
      <c r="AE185" s="406">
        <f t="shared" si="131"/>
        <v>0</v>
      </c>
      <c r="AF185" s="402">
        <f t="shared" si="114"/>
        <v>0</v>
      </c>
      <c r="AG185" s="167">
        <v>0</v>
      </c>
      <c r="AH185" s="406">
        <v>544.4238046685</v>
      </c>
      <c r="AI185" s="957">
        <f t="shared" si="113"/>
        <v>1.5714347494682859</v>
      </c>
      <c r="AJ185" s="957">
        <f t="shared" si="115"/>
        <v>544.4238046685</v>
      </c>
      <c r="AK185" s="958">
        <f t="shared" si="123"/>
        <v>544.4238046685</v>
      </c>
      <c r="AL185" s="991"/>
      <c r="AM185" s="52">
        <f t="shared" si="132"/>
        <v>544.4238046685</v>
      </c>
    </row>
    <row r="186" spans="1:39" s="191" customFormat="1" ht="61.2" customHeight="1" outlineLevel="3">
      <c r="A186" s="139" t="s">
        <v>900</v>
      </c>
      <c r="B186" s="406" t="s">
        <v>901</v>
      </c>
      <c r="C186" s="198" t="s">
        <v>902</v>
      </c>
      <c r="D186" s="969" t="s">
        <v>966</v>
      </c>
      <c r="E186" s="148" t="s">
        <v>903</v>
      </c>
      <c r="F186" s="149" t="s">
        <v>904</v>
      </c>
      <c r="G186" s="406" t="s">
        <v>121</v>
      </c>
      <c r="H186" s="406">
        <v>6185.8627864995151</v>
      </c>
      <c r="I186" s="406">
        <v>6293.3679099999999</v>
      </c>
      <c r="J186" s="406">
        <v>6293.37</v>
      </c>
      <c r="K186" s="406">
        <v>6787.5820730895175</v>
      </c>
      <c r="L186" s="406">
        <v>2991.5254199999999</v>
      </c>
      <c r="M186" s="406">
        <v>2991.53</v>
      </c>
      <c r="N186" s="406">
        <v>7167.0378440843651</v>
      </c>
      <c r="O186" s="406">
        <v>2567.7966099999999</v>
      </c>
      <c r="P186" s="406">
        <v>2567.7966099999999</v>
      </c>
      <c r="Q186" s="150">
        <v>2567.7966099999999</v>
      </c>
      <c r="R186" s="406">
        <v>2567.7966099999999</v>
      </c>
      <c r="S186" s="402">
        <v>2567.7966099999999</v>
      </c>
      <c r="T186" s="406">
        <f t="shared" si="111"/>
        <v>-4599.2412340843657</v>
      </c>
      <c r="U186" s="406">
        <f t="shared" si="112"/>
        <v>0</v>
      </c>
      <c r="V186" s="406">
        <v>0</v>
      </c>
      <c r="W186" s="167">
        <v>2966101.7</v>
      </c>
      <c r="X186" s="167">
        <v>2966.1017000000002</v>
      </c>
      <c r="Y186" s="406">
        <v>2966.1017000000002</v>
      </c>
      <c r="Z186" s="406">
        <v>2966.1017000000002</v>
      </c>
      <c r="AA186" s="406">
        <v>0</v>
      </c>
      <c r="AB186" s="406">
        <v>0</v>
      </c>
      <c r="AC186" s="403">
        <v>0</v>
      </c>
      <c r="AD186" s="406">
        <f>'[71]2. подк.неподк.'!X174</f>
        <v>3775.93</v>
      </c>
      <c r="AE186" s="406">
        <f t="shared" si="131"/>
        <v>0</v>
      </c>
      <c r="AF186" s="402">
        <f t="shared" si="114"/>
        <v>0</v>
      </c>
      <c r="AG186" s="167">
        <v>0</v>
      </c>
      <c r="AH186" s="406">
        <v>0</v>
      </c>
      <c r="AI186" s="957">
        <f t="shared" si="113"/>
        <v>0</v>
      </c>
      <c r="AJ186" s="957">
        <f t="shared" si="115"/>
        <v>0</v>
      </c>
      <c r="AK186" s="958">
        <f t="shared" si="123"/>
        <v>0</v>
      </c>
      <c r="AL186" s="991"/>
      <c r="AM186" s="52">
        <f t="shared" si="132"/>
        <v>0</v>
      </c>
    </row>
    <row r="187" spans="1:39" s="191" customFormat="1" ht="33" customHeight="1" outlineLevel="3">
      <c r="A187" s="139" t="s">
        <v>905</v>
      </c>
      <c r="B187" s="406" t="s">
        <v>906</v>
      </c>
      <c r="C187" s="198" t="s">
        <v>907</v>
      </c>
      <c r="D187" s="956" t="s">
        <v>764</v>
      </c>
      <c r="E187" s="148" t="s">
        <v>908</v>
      </c>
      <c r="F187" s="149" t="s">
        <v>909</v>
      </c>
      <c r="G187" s="406" t="s">
        <v>121</v>
      </c>
      <c r="H187" s="406">
        <v>214.39006913791633</v>
      </c>
      <c r="I187" s="406">
        <v>524.24046999999996</v>
      </c>
      <c r="J187" s="406">
        <v>524.24</v>
      </c>
      <c r="K187" s="406">
        <v>235.24449865018957</v>
      </c>
      <c r="L187" s="406">
        <v>794.53453000000002</v>
      </c>
      <c r="M187" s="406">
        <v>794.53</v>
      </c>
      <c r="N187" s="406">
        <v>297.26877119826696</v>
      </c>
      <c r="O187" s="406">
        <v>465.99753000000004</v>
      </c>
      <c r="P187" s="406">
        <v>464.70533</v>
      </c>
      <c r="Q187" s="150">
        <v>464.70533</v>
      </c>
      <c r="R187" s="406">
        <v>464.70533</v>
      </c>
      <c r="S187" s="402">
        <v>464.70533</v>
      </c>
      <c r="T187" s="406">
        <f t="shared" si="111"/>
        <v>167.43655880173304</v>
      </c>
      <c r="U187" s="406">
        <f t="shared" si="112"/>
        <v>0</v>
      </c>
      <c r="V187" s="406">
        <v>313.61855361417162</v>
      </c>
      <c r="W187" s="167">
        <v>537025.69999999995</v>
      </c>
      <c r="X187" s="167">
        <v>537.02569999999992</v>
      </c>
      <c r="Y187" s="406">
        <v>537.02569999999992</v>
      </c>
      <c r="Z187" s="406">
        <v>533.42668999999989</v>
      </c>
      <c r="AA187" s="406">
        <v>3.22058</v>
      </c>
      <c r="AB187" s="406">
        <v>0.37842999999999999</v>
      </c>
      <c r="AC187" s="403">
        <v>327.73138852680933</v>
      </c>
      <c r="AD187" s="406">
        <f>'[71]2. подк.неподк.'!X175</f>
        <v>566.94491712000013</v>
      </c>
      <c r="AE187" s="406">
        <f t="shared" si="131"/>
        <v>325.17594906936006</v>
      </c>
      <c r="AF187" s="402">
        <f t="shared" si="114"/>
        <v>325.17594906936006</v>
      </c>
      <c r="AG187" s="167">
        <v>340.84064406788173</v>
      </c>
      <c r="AH187" s="406">
        <v>616.45716998000012</v>
      </c>
      <c r="AI187" s="957">
        <f t="shared" si="113"/>
        <v>1.1479099975662248</v>
      </c>
      <c r="AJ187" s="957">
        <f t="shared" si="115"/>
        <v>275.61652591211839</v>
      </c>
      <c r="AK187" s="958">
        <f t="shared" si="123"/>
        <v>616.45716998000012</v>
      </c>
      <c r="AL187" s="991"/>
      <c r="AM187" s="52">
        <f t="shared" si="132"/>
        <v>275.61652591211839</v>
      </c>
    </row>
    <row r="188" spans="1:39" s="191" customFormat="1" ht="33" customHeight="1" outlineLevel="3">
      <c r="A188" s="407" t="s">
        <v>910</v>
      </c>
      <c r="B188" s="406" t="s">
        <v>911</v>
      </c>
      <c r="C188" s="198" t="s">
        <v>912</v>
      </c>
      <c r="D188" s="956" t="s">
        <v>978</v>
      </c>
      <c r="E188" s="164" t="s">
        <v>757</v>
      </c>
      <c r="F188" s="149" t="s">
        <v>913</v>
      </c>
      <c r="G188" s="406" t="s">
        <v>121</v>
      </c>
      <c r="H188" s="406">
        <v>22455.717857532385</v>
      </c>
      <c r="I188" s="406">
        <v>9807.5701900000131</v>
      </c>
      <c r="J188" s="406">
        <v>202.16</v>
      </c>
      <c r="K188" s="406">
        <v>8298.4492395325487</v>
      </c>
      <c r="L188" s="406">
        <v>1719.4299999999998</v>
      </c>
      <c r="M188" s="406">
        <v>1719.4299999999998</v>
      </c>
      <c r="N188" s="406">
        <v>6143.9912557634925</v>
      </c>
      <c r="O188" s="406">
        <v>4258.7382500000003</v>
      </c>
      <c r="P188" s="406">
        <v>4191.09573</v>
      </c>
      <c r="Q188" s="150">
        <v>2985.8387499999999</v>
      </c>
      <c r="R188" s="406">
        <v>2985.8387499999999</v>
      </c>
      <c r="S188" s="402">
        <v>4191.09573</v>
      </c>
      <c r="T188" s="406">
        <f t="shared" si="111"/>
        <v>-1952.8955257634925</v>
      </c>
      <c r="U188" s="406">
        <f t="shared" si="112"/>
        <v>0</v>
      </c>
      <c r="V188" s="406">
        <v>2026.66</v>
      </c>
      <c r="W188" s="167">
        <v>4841515.0599999996</v>
      </c>
      <c r="X188" s="167">
        <v>4841.5150599999997</v>
      </c>
      <c r="Y188" s="406">
        <v>4841.5150599999997</v>
      </c>
      <c r="Z188" s="406">
        <v>4778.195819999999</v>
      </c>
      <c r="AA188" s="406">
        <v>54.244799999999998</v>
      </c>
      <c r="AB188" s="406">
        <v>9.0744400000000009</v>
      </c>
      <c r="AC188" s="403">
        <v>2117.8612178624999</v>
      </c>
      <c r="AD188" s="406">
        <f>'[71]2. подк.неподк.'!X176</f>
        <v>3782.08</v>
      </c>
      <c r="AE188" s="406">
        <f t="shared" si="131"/>
        <v>2101.3459865377358</v>
      </c>
      <c r="AF188" s="402">
        <f t="shared" si="114"/>
        <v>2101.3459865377358</v>
      </c>
      <c r="AG188" s="167">
        <v>2202.5756665769995</v>
      </c>
      <c r="AH188" s="406">
        <v>2141.1146353955901</v>
      </c>
      <c r="AI188" s="957">
        <f t="shared" si="113"/>
        <v>0.442240622792897</v>
      </c>
      <c r="AJ188" s="957">
        <f t="shared" si="115"/>
        <v>-61.461031181409453</v>
      </c>
      <c r="AK188" s="958">
        <f t="shared" si="123"/>
        <v>2141.1146353955901</v>
      </c>
      <c r="AL188" s="991"/>
      <c r="AM188" s="52">
        <f t="shared" si="132"/>
        <v>-61.461031181409453</v>
      </c>
    </row>
    <row r="189" spans="1:39" s="191" customFormat="1" ht="33" customHeight="1" outlineLevel="3">
      <c r="A189" s="139" t="s">
        <v>914</v>
      </c>
      <c r="B189" s="406" t="s">
        <v>915</v>
      </c>
      <c r="C189" s="198" t="s">
        <v>916</v>
      </c>
      <c r="D189" s="956" t="s">
        <v>983</v>
      </c>
      <c r="E189" s="148" t="s">
        <v>917</v>
      </c>
      <c r="F189" s="410"/>
      <c r="G189" s="406" t="s">
        <v>121</v>
      </c>
      <c r="H189" s="406">
        <v>0</v>
      </c>
      <c r="I189" s="406">
        <v>0</v>
      </c>
      <c r="J189" s="406">
        <v>0</v>
      </c>
      <c r="K189" s="179">
        <v>0</v>
      </c>
      <c r="L189" s="179">
        <v>0</v>
      </c>
      <c r="M189" s="179">
        <v>0</v>
      </c>
      <c r="N189" s="179">
        <v>0</v>
      </c>
      <c r="O189" s="179">
        <v>470.47989000000001</v>
      </c>
      <c r="P189" s="179">
        <v>464.67934000000002</v>
      </c>
      <c r="Q189" s="150">
        <v>464.67934000000002</v>
      </c>
      <c r="R189" s="406">
        <v>464.67934000000002</v>
      </c>
      <c r="S189" s="402">
        <v>464.67934000000002</v>
      </c>
      <c r="T189" s="406">
        <f t="shared" si="111"/>
        <v>464.67934000000002</v>
      </c>
      <c r="U189" s="406">
        <f t="shared" si="112"/>
        <v>0</v>
      </c>
      <c r="V189" s="406">
        <v>0</v>
      </c>
      <c r="W189" s="167">
        <v>640543.8600000001</v>
      </c>
      <c r="X189" s="167">
        <v>640.54386000000011</v>
      </c>
      <c r="Y189" s="406">
        <v>640.54386000000011</v>
      </c>
      <c r="Z189" s="406">
        <v>612.56790000000001</v>
      </c>
      <c r="AA189" s="406">
        <v>22.577279999999998</v>
      </c>
      <c r="AB189" s="406">
        <v>5.3986800000000006</v>
      </c>
      <c r="AC189" s="403">
        <v>0</v>
      </c>
      <c r="AD189" s="406">
        <f>'[71]2. подк.неподк.'!X177</f>
        <v>519.4</v>
      </c>
      <c r="AE189" s="406">
        <f t="shared" si="131"/>
        <v>0</v>
      </c>
      <c r="AF189" s="402">
        <f t="shared" si="114"/>
        <v>0</v>
      </c>
      <c r="AG189" s="403">
        <v>0</v>
      </c>
      <c r="AH189" s="179">
        <v>704.59</v>
      </c>
      <c r="AI189" s="976">
        <f t="shared" si="113"/>
        <v>1.099987126564604</v>
      </c>
      <c r="AJ189" s="976">
        <f t="shared" si="115"/>
        <v>704.59</v>
      </c>
      <c r="AK189" s="977">
        <f t="shared" si="123"/>
        <v>704.59</v>
      </c>
      <c r="AL189" s="991"/>
      <c r="AM189" s="52">
        <f t="shared" si="132"/>
        <v>704.59</v>
      </c>
    </row>
    <row r="190" spans="1:39" s="191" customFormat="1" ht="33" customHeight="1" outlineLevel="3">
      <c r="A190" s="139" t="s">
        <v>918</v>
      </c>
      <c r="B190" s="406" t="s">
        <v>919</v>
      </c>
      <c r="C190" s="198" t="s">
        <v>920</v>
      </c>
      <c r="D190" s="956" t="s">
        <v>987</v>
      </c>
      <c r="E190" s="148" t="s">
        <v>921</v>
      </c>
      <c r="F190" s="149" t="s">
        <v>922</v>
      </c>
      <c r="G190" s="406" t="s">
        <v>121</v>
      </c>
      <c r="H190" s="406">
        <v>15646.73483510509</v>
      </c>
      <c r="I190" s="406">
        <v>96117.905140000003</v>
      </c>
      <c r="J190" s="406">
        <v>96117.91</v>
      </c>
      <c r="K190" s="179">
        <v>22147.414366740701</v>
      </c>
      <c r="L190" s="179">
        <v>109752.17554</v>
      </c>
      <c r="M190" s="179">
        <v>109752.18</v>
      </c>
      <c r="N190" s="179">
        <v>45185.307212915061</v>
      </c>
      <c r="O190" s="179">
        <v>83937.808420000001</v>
      </c>
      <c r="P190" s="179">
        <v>79958.768400000001</v>
      </c>
      <c r="Q190" s="150">
        <v>79958.768400000001</v>
      </c>
      <c r="R190" s="406">
        <v>79958.768400000001</v>
      </c>
      <c r="S190" s="402">
        <v>79958.768400000001</v>
      </c>
      <c r="T190" s="406">
        <f t="shared" si="111"/>
        <v>34773.46118708494</v>
      </c>
      <c r="U190" s="406">
        <f t="shared" si="112"/>
        <v>0</v>
      </c>
      <c r="V190" s="406">
        <v>49617.8491096254</v>
      </c>
      <c r="W190" s="167">
        <v>26655112.030000001</v>
      </c>
      <c r="X190" s="167">
        <v>26655.11203</v>
      </c>
      <c r="Y190" s="406">
        <v>26655.112029999997</v>
      </c>
      <c r="Z190" s="166">
        <v>25883.10183</v>
      </c>
      <c r="AA190" s="406">
        <v>570.08415000000002</v>
      </c>
      <c r="AB190" s="406">
        <v>201.92604999999998</v>
      </c>
      <c r="AC190" s="403">
        <v>51850.65231955854</v>
      </c>
      <c r="AD190" s="406">
        <f>'[71]2. подк.неподк.'!X178</f>
        <v>94820.794550320003</v>
      </c>
      <c r="AE190" s="406">
        <f t="shared" si="131"/>
        <v>51446.35414284897</v>
      </c>
      <c r="AF190" s="402">
        <f t="shared" si="114"/>
        <v>51446.35414284897</v>
      </c>
      <c r="AG190" s="403">
        <v>53924.67841234088</v>
      </c>
      <c r="AH190" s="179">
        <v>804.68</v>
      </c>
      <c r="AI190" s="976">
        <f t="shared" si="113"/>
        <v>3.018858067804564E-2</v>
      </c>
      <c r="AJ190" s="976">
        <f t="shared" si="115"/>
        <v>-53119.998412340879</v>
      </c>
      <c r="AK190" s="977">
        <f t="shared" si="123"/>
        <v>804.68</v>
      </c>
      <c r="AL190" s="995" t="s">
        <v>2151</v>
      </c>
      <c r="AM190" s="52">
        <f t="shared" si="132"/>
        <v>-53119.998412340879</v>
      </c>
    </row>
    <row r="191" spans="1:39" s="191" customFormat="1" ht="33" customHeight="1" outlineLevel="3">
      <c r="A191" s="139" t="s">
        <v>923</v>
      </c>
      <c r="B191" s="406" t="s">
        <v>924</v>
      </c>
      <c r="C191" s="198" t="s">
        <v>925</v>
      </c>
      <c r="D191" s="956" t="s">
        <v>991</v>
      </c>
      <c r="E191" s="148" t="s">
        <v>926</v>
      </c>
      <c r="F191" s="149" t="s">
        <v>927</v>
      </c>
      <c r="G191" s="406" t="s">
        <v>121</v>
      </c>
      <c r="H191" s="406">
        <v>0</v>
      </c>
      <c r="I191" s="406">
        <v>306.13402000000002</v>
      </c>
      <c r="J191" s="406">
        <v>0</v>
      </c>
      <c r="K191" s="179">
        <v>0</v>
      </c>
      <c r="L191" s="179">
        <v>0</v>
      </c>
      <c r="M191" s="179">
        <v>0</v>
      </c>
      <c r="N191" s="179">
        <v>0</v>
      </c>
      <c r="O191" s="179">
        <v>200.73367000000002</v>
      </c>
      <c r="P191" s="179">
        <v>187.56292999999999</v>
      </c>
      <c r="Q191" s="150">
        <v>187.56292999999999</v>
      </c>
      <c r="R191" s="406">
        <v>187.56292999999999</v>
      </c>
      <c r="S191" s="402">
        <v>187.56292999999999</v>
      </c>
      <c r="T191" s="406">
        <f t="shared" si="111"/>
        <v>187.56292999999999</v>
      </c>
      <c r="U191" s="406">
        <f t="shared" si="112"/>
        <v>0</v>
      </c>
      <c r="V191" s="406">
        <v>0</v>
      </c>
      <c r="W191" s="167">
        <v>899108.26</v>
      </c>
      <c r="X191" s="167">
        <v>899.10825999999997</v>
      </c>
      <c r="Y191" s="406">
        <v>899.10825999999997</v>
      </c>
      <c r="Z191" s="406">
        <v>844.22762</v>
      </c>
      <c r="AA191" s="406">
        <v>48.137970000000003</v>
      </c>
      <c r="AB191" s="406">
        <v>6.7426700000000004</v>
      </c>
      <c r="AC191" s="403">
        <v>0</v>
      </c>
      <c r="AD191" s="406">
        <f>'[71]2. подк.неподк.'!X179</f>
        <v>196.46612880000001</v>
      </c>
      <c r="AE191" s="406">
        <f t="shared" si="131"/>
        <v>0</v>
      </c>
      <c r="AF191" s="402">
        <f t="shared" si="114"/>
        <v>0</v>
      </c>
      <c r="AG191" s="403">
        <v>0</v>
      </c>
      <c r="AH191" s="179">
        <v>2479.9240007790945</v>
      </c>
      <c r="AI191" s="976">
        <f t="shared" si="113"/>
        <v>2.7582040017951726</v>
      </c>
      <c r="AJ191" s="976">
        <f t="shared" si="115"/>
        <v>2479.9240007790945</v>
      </c>
      <c r="AK191" s="977">
        <f t="shared" si="123"/>
        <v>2479.9240007790945</v>
      </c>
      <c r="AL191" s="991"/>
      <c r="AM191" s="52">
        <f t="shared" si="132"/>
        <v>2479.9240007790945</v>
      </c>
    </row>
    <row r="192" spans="1:39" s="191" customFormat="1" ht="47.25" customHeight="1" outlineLevel="3">
      <c r="A192" s="139" t="s">
        <v>928</v>
      </c>
      <c r="B192" s="406" t="s">
        <v>929</v>
      </c>
      <c r="C192" s="198" t="s">
        <v>930</v>
      </c>
      <c r="D192" s="956" t="s">
        <v>997</v>
      </c>
      <c r="E192" s="148" t="s">
        <v>931</v>
      </c>
      <c r="F192" s="410"/>
      <c r="G192" s="406" t="s">
        <v>121</v>
      </c>
      <c r="H192" s="406">
        <v>0</v>
      </c>
      <c r="I192" s="406">
        <v>0</v>
      </c>
      <c r="J192" s="406">
        <v>0</v>
      </c>
      <c r="K192" s="179">
        <v>0</v>
      </c>
      <c r="L192" s="179">
        <v>0</v>
      </c>
      <c r="M192" s="179">
        <v>0</v>
      </c>
      <c r="N192" s="179">
        <v>0</v>
      </c>
      <c r="O192" s="179">
        <v>0</v>
      </c>
      <c r="P192" s="179">
        <v>0</v>
      </c>
      <c r="Q192" s="150">
        <v>0</v>
      </c>
      <c r="R192" s="406">
        <v>0</v>
      </c>
      <c r="S192" s="402">
        <v>0</v>
      </c>
      <c r="T192" s="406">
        <f t="shared" si="111"/>
        <v>0</v>
      </c>
      <c r="U192" s="406">
        <f t="shared" si="112"/>
        <v>0</v>
      </c>
      <c r="V192" s="406">
        <v>33574.33</v>
      </c>
      <c r="W192" s="167">
        <v>0</v>
      </c>
      <c r="X192" s="167">
        <v>39452</v>
      </c>
      <c r="Y192" s="406">
        <v>39452.004540000002</v>
      </c>
      <c r="Z192" s="166">
        <v>39452.004540000002</v>
      </c>
      <c r="AA192" s="406">
        <v>0</v>
      </c>
      <c r="AB192" s="406">
        <v>0</v>
      </c>
      <c r="AC192" s="403">
        <v>35085.17</v>
      </c>
      <c r="AD192" s="406">
        <v>35085.17</v>
      </c>
      <c r="AE192" s="406">
        <f t="shared" si="131"/>
        <v>34811.60312839524</v>
      </c>
      <c r="AF192" s="402">
        <f t="shared" si="114"/>
        <v>34811.60312839524</v>
      </c>
      <c r="AG192" s="403">
        <v>36488.58</v>
      </c>
      <c r="AH192" s="179">
        <v>42042.82</v>
      </c>
      <c r="AI192" s="976">
        <f t="shared" si="113"/>
        <v>1.0656701814863632</v>
      </c>
      <c r="AJ192" s="976">
        <f t="shared" si="115"/>
        <v>5554.239999999998</v>
      </c>
      <c r="AK192" s="986"/>
      <c r="AL192" s="991"/>
      <c r="AM192" s="52">
        <f t="shared" si="132"/>
        <v>5554.239999999998</v>
      </c>
    </row>
    <row r="193" spans="1:39" s="191" customFormat="1" ht="47.25" customHeight="1" outlineLevel="3">
      <c r="A193" s="139" t="s">
        <v>932</v>
      </c>
      <c r="B193" s="406" t="s">
        <v>933</v>
      </c>
      <c r="C193" s="198" t="s">
        <v>934</v>
      </c>
      <c r="D193" s="956" t="s">
        <v>2152</v>
      </c>
      <c r="E193" s="148" t="s">
        <v>935</v>
      </c>
      <c r="F193" s="410"/>
      <c r="G193" s="406" t="s">
        <v>121</v>
      </c>
      <c r="H193" s="406">
        <v>0</v>
      </c>
      <c r="I193" s="406">
        <v>0</v>
      </c>
      <c r="J193" s="406">
        <v>0</v>
      </c>
      <c r="K193" s="179">
        <v>0</v>
      </c>
      <c r="L193" s="179">
        <v>0</v>
      </c>
      <c r="M193" s="179">
        <v>0</v>
      </c>
      <c r="N193" s="179">
        <v>0</v>
      </c>
      <c r="O193" s="179"/>
      <c r="P193" s="179"/>
      <c r="Q193" s="150">
        <v>3.0129999999999999</v>
      </c>
      <c r="R193" s="406">
        <v>3.0129999999999999</v>
      </c>
      <c r="S193" s="402">
        <v>0</v>
      </c>
      <c r="T193" s="406">
        <f t="shared" si="111"/>
        <v>0</v>
      </c>
      <c r="U193" s="406">
        <f t="shared" si="112"/>
        <v>0</v>
      </c>
      <c r="V193" s="406">
        <v>0</v>
      </c>
      <c r="W193" s="167">
        <v>33124</v>
      </c>
      <c r="X193" s="167">
        <v>33.124000000000002</v>
      </c>
      <c r="Y193" s="406">
        <v>33.124000000000002</v>
      </c>
      <c r="Z193" s="406">
        <v>33.489330000000002</v>
      </c>
      <c r="AA193" s="406">
        <v>-0.58892999999999995</v>
      </c>
      <c r="AB193" s="406">
        <v>0.22359999999999999</v>
      </c>
      <c r="AC193" s="403">
        <v>0</v>
      </c>
      <c r="AD193" s="406">
        <f>'[71]2. подк.неподк.'!X181</f>
        <v>131</v>
      </c>
      <c r="AE193" s="406">
        <f t="shared" si="131"/>
        <v>0</v>
      </c>
      <c r="AF193" s="402">
        <f t="shared" si="114"/>
        <v>0</v>
      </c>
      <c r="AG193" s="403">
        <v>0</v>
      </c>
      <c r="AH193" s="179">
        <v>131</v>
      </c>
      <c r="AI193" s="976">
        <f t="shared" si="113"/>
        <v>3.9548363724187898</v>
      </c>
      <c r="AJ193" s="976">
        <f t="shared" si="115"/>
        <v>131</v>
      </c>
      <c r="AK193" s="977">
        <f t="shared" si="123"/>
        <v>131</v>
      </c>
      <c r="AL193" s="991"/>
      <c r="AM193" s="52">
        <f t="shared" si="132"/>
        <v>131</v>
      </c>
    </row>
    <row r="194" spans="1:39" s="191" customFormat="1" ht="53.25" customHeight="1" outlineLevel="3">
      <c r="A194" s="139" t="s">
        <v>936</v>
      </c>
      <c r="B194" s="406" t="s">
        <v>937</v>
      </c>
      <c r="C194" s="198" t="s">
        <v>938</v>
      </c>
      <c r="D194" s="969" t="s">
        <v>1002</v>
      </c>
      <c r="E194" s="148" t="s">
        <v>939</v>
      </c>
      <c r="F194" s="410"/>
      <c r="G194" s="406" t="s">
        <v>121</v>
      </c>
      <c r="H194" s="406">
        <v>0</v>
      </c>
      <c r="I194" s="406">
        <v>0</v>
      </c>
      <c r="J194" s="406">
        <v>0</v>
      </c>
      <c r="K194" s="179">
        <v>0</v>
      </c>
      <c r="L194" s="179">
        <v>2515.0664499999998</v>
      </c>
      <c r="M194" s="179">
        <v>0</v>
      </c>
      <c r="N194" s="179">
        <v>0</v>
      </c>
      <c r="O194" s="179">
        <v>2525.4330299999997</v>
      </c>
      <c r="P194" s="179">
        <v>0</v>
      </c>
      <c r="Q194" s="180">
        <v>0</v>
      </c>
      <c r="R194" s="403">
        <v>0</v>
      </c>
      <c r="S194" s="402">
        <v>0</v>
      </c>
      <c r="T194" s="403">
        <f t="shared" si="111"/>
        <v>0</v>
      </c>
      <c r="U194" s="403">
        <f t="shared" si="112"/>
        <v>0</v>
      </c>
      <c r="V194" s="406">
        <v>0</v>
      </c>
      <c r="W194" s="167">
        <v>7859189.25</v>
      </c>
      <c r="X194" s="167">
        <v>7859.1892500000004</v>
      </c>
      <c r="Y194" s="406">
        <v>7859.1892500000004</v>
      </c>
      <c r="Z194" s="406">
        <v>0</v>
      </c>
      <c r="AA194" s="406">
        <v>7859.1892500000004</v>
      </c>
      <c r="AB194" s="406">
        <v>0</v>
      </c>
      <c r="AC194" s="403">
        <v>0</v>
      </c>
      <c r="AD194" s="406">
        <f>'[71]2. подк.неподк.'!X182</f>
        <v>10135.690736440678</v>
      </c>
      <c r="AE194" s="406">
        <f t="shared" si="131"/>
        <v>0</v>
      </c>
      <c r="AF194" s="402">
        <f t="shared" si="114"/>
        <v>0</v>
      </c>
      <c r="AG194" s="403">
        <v>0</v>
      </c>
      <c r="AH194" s="406">
        <v>10000</v>
      </c>
      <c r="AI194" s="957">
        <f t="shared" si="113"/>
        <v>1.2723958772210504</v>
      </c>
      <c r="AJ194" s="957">
        <f t="shared" si="115"/>
        <v>10000</v>
      </c>
      <c r="AK194" s="977">
        <f t="shared" si="123"/>
        <v>10000</v>
      </c>
      <c r="AL194" s="991"/>
      <c r="AM194" s="52">
        <f t="shared" si="132"/>
        <v>10000</v>
      </c>
    </row>
    <row r="195" spans="1:39" s="191" customFormat="1" ht="52.5" customHeight="1" outlineLevel="3">
      <c r="A195" s="139" t="s">
        <v>940</v>
      </c>
      <c r="B195" s="406" t="s">
        <v>941</v>
      </c>
      <c r="C195" s="198" t="s">
        <v>942</v>
      </c>
      <c r="D195" s="956" t="s">
        <v>1009</v>
      </c>
      <c r="E195" s="148" t="s">
        <v>943</v>
      </c>
      <c r="F195" s="149" t="s">
        <v>944</v>
      </c>
      <c r="G195" s="406" t="s">
        <v>121</v>
      </c>
      <c r="H195" s="406">
        <v>1908.21</v>
      </c>
      <c r="I195" s="406">
        <v>0</v>
      </c>
      <c r="J195" s="406">
        <v>0</v>
      </c>
      <c r="K195" s="406">
        <v>2093.8278837929997</v>
      </c>
      <c r="L195" s="406">
        <v>0</v>
      </c>
      <c r="M195" s="406">
        <v>0</v>
      </c>
      <c r="N195" s="406">
        <v>0</v>
      </c>
      <c r="O195" s="406"/>
      <c r="P195" s="406"/>
      <c r="Q195" s="150">
        <v>188.65848</v>
      </c>
      <c r="R195" s="406">
        <v>188.65848</v>
      </c>
      <c r="S195" s="402">
        <v>0</v>
      </c>
      <c r="T195" s="406">
        <f t="shared" si="111"/>
        <v>0</v>
      </c>
      <c r="U195" s="406">
        <f t="shared" si="112"/>
        <v>0</v>
      </c>
      <c r="V195" s="167">
        <v>0</v>
      </c>
      <c r="W195" s="167">
        <v>44528.92</v>
      </c>
      <c r="X195" s="167">
        <v>44.528919999999999</v>
      </c>
      <c r="Y195" s="406">
        <v>44.528919999999999</v>
      </c>
      <c r="Z195" s="406">
        <v>44.528919999999999</v>
      </c>
      <c r="AA195" s="406">
        <v>0</v>
      </c>
      <c r="AB195" s="406">
        <v>0</v>
      </c>
      <c r="AC195" s="403">
        <v>0</v>
      </c>
      <c r="AD195" s="406">
        <f>'[71]2. подк.неподк.'!X183</f>
        <v>30.04</v>
      </c>
      <c r="AE195" s="406">
        <f t="shared" si="131"/>
        <v>0</v>
      </c>
      <c r="AF195" s="953">
        <f t="shared" si="114"/>
        <v>0</v>
      </c>
      <c r="AG195" s="403">
        <v>0</v>
      </c>
      <c r="AH195" s="406">
        <v>30057.5</v>
      </c>
      <c r="AI195" s="957">
        <f t="shared" si="113"/>
        <v>675.01075705406731</v>
      </c>
      <c r="AJ195" s="957">
        <f t="shared" si="115"/>
        <v>30057.5</v>
      </c>
      <c r="AK195" s="958">
        <f t="shared" si="123"/>
        <v>30057.5</v>
      </c>
      <c r="AL195" s="996" t="s">
        <v>2153</v>
      </c>
      <c r="AM195" s="52">
        <f t="shared" si="132"/>
        <v>30057.5</v>
      </c>
    </row>
    <row r="196" spans="1:39" s="191" customFormat="1" ht="33" customHeight="1" outlineLevel="3">
      <c r="A196" s="139" t="s">
        <v>945</v>
      </c>
      <c r="B196" s="406" t="s">
        <v>946</v>
      </c>
      <c r="C196" s="198" t="s">
        <v>947</v>
      </c>
      <c r="D196" s="956" t="s">
        <v>1014</v>
      </c>
      <c r="E196" s="148" t="s">
        <v>948</v>
      </c>
      <c r="F196" s="410"/>
      <c r="G196" s="406" t="s">
        <v>121</v>
      </c>
      <c r="H196" s="406">
        <v>0</v>
      </c>
      <c r="I196" s="406">
        <v>0</v>
      </c>
      <c r="J196" s="406">
        <v>0</v>
      </c>
      <c r="K196" s="179">
        <v>0</v>
      </c>
      <c r="L196" s="179">
        <v>0</v>
      </c>
      <c r="M196" s="179">
        <v>0</v>
      </c>
      <c r="N196" s="179">
        <v>0</v>
      </c>
      <c r="O196" s="179"/>
      <c r="P196" s="179"/>
      <c r="Q196" s="180">
        <v>70.843620000000001</v>
      </c>
      <c r="R196" s="179">
        <v>165.73782999999997</v>
      </c>
      <c r="S196" s="402">
        <v>0</v>
      </c>
      <c r="T196" s="179">
        <f t="shared" si="111"/>
        <v>0</v>
      </c>
      <c r="U196" s="179">
        <f t="shared" si="112"/>
        <v>0</v>
      </c>
      <c r="V196" s="406">
        <v>693.09781124999995</v>
      </c>
      <c r="W196" s="167">
        <v>454112.14</v>
      </c>
      <c r="X196" s="167">
        <v>454.11214000000001</v>
      </c>
      <c r="Y196" s="406">
        <v>454.11214000000001</v>
      </c>
      <c r="Z196" s="406">
        <v>434.92716999999999</v>
      </c>
      <c r="AA196" s="406">
        <v>16.481020000000001</v>
      </c>
      <c r="AB196" s="406">
        <v>2.7039500000000003</v>
      </c>
      <c r="AC196" s="403">
        <v>0</v>
      </c>
      <c r="AD196" s="406">
        <f>'[71]2. подк.неподк.'!X184</f>
        <v>724.28721275624991</v>
      </c>
      <c r="AE196" s="406">
        <f>V196*$AD$11</f>
        <v>718.63968497344229</v>
      </c>
      <c r="AF196" s="402">
        <f t="shared" si="114"/>
        <v>718.63968497344229</v>
      </c>
      <c r="AG196" s="403">
        <v>0</v>
      </c>
      <c r="AH196" s="179">
        <v>526.65473701300004</v>
      </c>
      <c r="AI196" s="976">
        <f t="shared" si="113"/>
        <v>1.1597459980105356</v>
      </c>
      <c r="AJ196" s="976">
        <f t="shared" si="115"/>
        <v>526.65473701300004</v>
      </c>
      <c r="AK196" s="986"/>
      <c r="AL196" s="991"/>
      <c r="AM196" s="52">
        <f t="shared" si="132"/>
        <v>526.65473701300004</v>
      </c>
    </row>
    <row r="197" spans="1:39" s="191" customFormat="1" ht="33" customHeight="1" outlineLevel="3">
      <c r="A197" s="139" t="s">
        <v>949</v>
      </c>
      <c r="B197" s="406" t="s">
        <v>950</v>
      </c>
      <c r="C197" s="198" t="s">
        <v>951</v>
      </c>
      <c r="D197" s="956" t="s">
        <v>1019</v>
      </c>
      <c r="E197" s="148" t="s">
        <v>952</v>
      </c>
      <c r="F197" s="410"/>
      <c r="G197" s="406" t="s">
        <v>121</v>
      </c>
      <c r="H197" s="406">
        <v>0</v>
      </c>
      <c r="I197" s="406">
        <v>0</v>
      </c>
      <c r="J197" s="406">
        <v>0</v>
      </c>
      <c r="K197" s="179">
        <v>0</v>
      </c>
      <c r="L197" s="179">
        <v>0</v>
      </c>
      <c r="M197" s="179">
        <v>0</v>
      </c>
      <c r="N197" s="179">
        <v>0</v>
      </c>
      <c r="O197" s="179"/>
      <c r="P197" s="179"/>
      <c r="Q197" s="180">
        <v>165.73782999999997</v>
      </c>
      <c r="R197" s="179">
        <v>0</v>
      </c>
      <c r="S197" s="402">
        <v>0</v>
      </c>
      <c r="T197" s="179">
        <f t="shared" si="111"/>
        <v>0</v>
      </c>
      <c r="U197" s="179">
        <f t="shared" si="112"/>
        <v>0</v>
      </c>
      <c r="V197" s="406">
        <v>0</v>
      </c>
      <c r="W197" s="167">
        <v>177125</v>
      </c>
      <c r="X197" s="167">
        <v>177.125</v>
      </c>
      <c r="Y197" s="406">
        <v>177.125</v>
      </c>
      <c r="Z197" s="406">
        <v>177.125</v>
      </c>
      <c r="AA197" s="406">
        <v>0</v>
      </c>
      <c r="AB197" s="406">
        <v>0</v>
      </c>
      <c r="AC197" s="403">
        <v>0</v>
      </c>
      <c r="AD197" s="406">
        <f>'[71]2. подк.неподк.'!X185</f>
        <v>212.5</v>
      </c>
      <c r="AE197" s="406">
        <f t="shared" si="131"/>
        <v>0</v>
      </c>
      <c r="AF197" s="402">
        <f t="shared" si="114"/>
        <v>0</v>
      </c>
      <c r="AG197" s="403">
        <v>0</v>
      </c>
      <c r="AH197" s="179">
        <v>231.84</v>
      </c>
      <c r="AI197" s="976">
        <f t="shared" si="113"/>
        <v>1.3089061397318278</v>
      </c>
      <c r="AJ197" s="976">
        <f t="shared" si="115"/>
        <v>231.84</v>
      </c>
      <c r="AK197" s="977">
        <f t="shared" si="123"/>
        <v>231.84</v>
      </c>
      <c r="AL197" s="991"/>
      <c r="AM197" s="52">
        <f t="shared" si="132"/>
        <v>231.84</v>
      </c>
    </row>
    <row r="198" spans="1:39" s="191" customFormat="1" ht="33" customHeight="1" outlineLevel="3">
      <c r="A198" s="139" t="s">
        <v>953</v>
      </c>
      <c r="B198" s="406" t="s">
        <v>954</v>
      </c>
      <c r="C198" s="198" t="s">
        <v>955</v>
      </c>
      <c r="D198" s="956" t="s">
        <v>1024</v>
      </c>
      <c r="E198" s="148" t="s">
        <v>956</v>
      </c>
      <c r="F198" s="149" t="s">
        <v>957</v>
      </c>
      <c r="G198" s="406" t="s">
        <v>121</v>
      </c>
      <c r="H198" s="406">
        <v>0</v>
      </c>
      <c r="I198" s="406">
        <v>0</v>
      </c>
      <c r="J198" s="406">
        <v>0</v>
      </c>
      <c r="K198" s="406">
        <v>0</v>
      </c>
      <c r="L198" s="406">
        <v>19106.18389</v>
      </c>
      <c r="M198" s="406">
        <v>0</v>
      </c>
      <c r="N198" s="406">
        <v>0</v>
      </c>
      <c r="O198" s="406">
        <v>1456.6312499999999</v>
      </c>
      <c r="P198" s="406">
        <v>1430.4957899999999</v>
      </c>
      <c r="Q198" s="150">
        <v>0</v>
      </c>
      <c r="R198" s="406">
        <v>0</v>
      </c>
      <c r="S198" s="402">
        <v>0</v>
      </c>
      <c r="T198" s="406">
        <f t="shared" si="111"/>
        <v>0</v>
      </c>
      <c r="U198" s="406">
        <f t="shared" si="112"/>
        <v>-1430.4957899999999</v>
      </c>
      <c r="V198" s="406">
        <v>0</v>
      </c>
      <c r="W198" s="167">
        <v>847930.5</v>
      </c>
      <c r="X198" s="167">
        <v>847.93050000000005</v>
      </c>
      <c r="Y198" s="406">
        <v>535.88049999999987</v>
      </c>
      <c r="Z198" s="406">
        <v>516.55835000000002</v>
      </c>
      <c r="AA198" s="406">
        <v>14.95482</v>
      </c>
      <c r="AB198" s="406">
        <v>4.3673299999999999</v>
      </c>
      <c r="AC198" s="403">
        <v>0</v>
      </c>
      <c r="AD198" s="406">
        <f>'[71]2. подк.неподк.'!X186</f>
        <v>1696.9915200000003</v>
      </c>
      <c r="AE198" s="406">
        <f t="shared" si="131"/>
        <v>0</v>
      </c>
      <c r="AF198" s="402">
        <f t="shared" si="114"/>
        <v>0</v>
      </c>
      <c r="AG198" s="403">
        <v>0</v>
      </c>
      <c r="AH198" s="406">
        <v>9686.99</v>
      </c>
      <c r="AI198" s="957">
        <f t="shared" si="113"/>
        <v>11.424273569590904</v>
      </c>
      <c r="AJ198" s="957">
        <f t="shared" si="115"/>
        <v>9686.99</v>
      </c>
      <c r="AK198" s="958">
        <f t="shared" si="123"/>
        <v>9686.99</v>
      </c>
      <c r="AL198" s="991"/>
      <c r="AM198" s="52">
        <f t="shared" si="132"/>
        <v>9686.99</v>
      </c>
    </row>
    <row r="199" spans="1:39" ht="33" customHeight="1" outlineLevel="3">
      <c r="A199" s="139" t="s">
        <v>958</v>
      </c>
      <c r="B199" s="406" t="s">
        <v>959</v>
      </c>
      <c r="C199" s="198" t="s">
        <v>960</v>
      </c>
      <c r="D199" s="956" t="s">
        <v>1028</v>
      </c>
      <c r="E199" s="148" t="s">
        <v>961</v>
      </c>
      <c r="F199" s="410"/>
      <c r="G199" s="406" t="s">
        <v>121</v>
      </c>
      <c r="H199" s="406">
        <v>0</v>
      </c>
      <c r="I199" s="406">
        <v>0</v>
      </c>
      <c r="J199" s="406">
        <v>0</v>
      </c>
      <c r="K199" s="179">
        <v>0</v>
      </c>
      <c r="L199" s="179">
        <v>0</v>
      </c>
      <c r="M199" s="179">
        <v>0</v>
      </c>
      <c r="N199" s="179">
        <v>0</v>
      </c>
      <c r="O199" s="179"/>
      <c r="P199" s="179"/>
      <c r="Q199" s="180">
        <v>777.00405000000001</v>
      </c>
      <c r="R199" s="179">
        <v>777.00405000000001</v>
      </c>
      <c r="S199" s="402">
        <v>0</v>
      </c>
      <c r="T199" s="179">
        <f t="shared" si="111"/>
        <v>0</v>
      </c>
      <c r="U199" s="179">
        <f t="shared" si="112"/>
        <v>0</v>
      </c>
      <c r="V199" s="406">
        <v>0</v>
      </c>
      <c r="W199" s="167">
        <v>561917.81000000006</v>
      </c>
      <c r="X199" s="167">
        <v>561.91781000000003</v>
      </c>
      <c r="Y199" s="406">
        <v>561.91780999999992</v>
      </c>
      <c r="Z199" s="406">
        <v>561.86685999999997</v>
      </c>
      <c r="AA199" s="406">
        <v>4.0119999999999996E-2</v>
      </c>
      <c r="AB199" s="406">
        <v>1.0829999999999999E-2</v>
      </c>
      <c r="AC199" s="403">
        <v>0</v>
      </c>
      <c r="AD199" s="406">
        <f>'[71]2. подк.неподк.'!X187</f>
        <v>520</v>
      </c>
      <c r="AE199" s="406">
        <f t="shared" si="131"/>
        <v>0</v>
      </c>
      <c r="AF199" s="402">
        <f t="shared" si="114"/>
        <v>0</v>
      </c>
      <c r="AG199" s="403">
        <v>0</v>
      </c>
      <c r="AH199" s="179">
        <v>520</v>
      </c>
      <c r="AI199" s="976">
        <f t="shared" si="113"/>
        <v>0.92540223987561454</v>
      </c>
      <c r="AJ199" s="976">
        <f t="shared" si="115"/>
        <v>520</v>
      </c>
      <c r="AK199" s="977">
        <f t="shared" si="123"/>
        <v>520</v>
      </c>
      <c r="AL199" s="74"/>
      <c r="AM199" s="52">
        <f t="shared" si="132"/>
        <v>520</v>
      </c>
    </row>
    <row r="200" spans="1:39" ht="51" customHeight="1" outlineLevel="3">
      <c r="A200" s="139" t="s">
        <v>962</v>
      </c>
      <c r="B200" s="406" t="s">
        <v>963</v>
      </c>
      <c r="C200" s="198" t="s">
        <v>964</v>
      </c>
      <c r="D200" s="956" t="s">
        <v>1035</v>
      </c>
      <c r="E200" s="148" t="s">
        <v>965</v>
      </c>
      <c r="F200" s="410"/>
      <c r="G200" s="406" t="s">
        <v>121</v>
      </c>
      <c r="H200" s="406">
        <v>0</v>
      </c>
      <c r="I200" s="406">
        <v>0</v>
      </c>
      <c r="J200" s="406">
        <v>0</v>
      </c>
      <c r="K200" s="179">
        <v>0</v>
      </c>
      <c r="L200" s="179">
        <v>0</v>
      </c>
      <c r="M200" s="179">
        <v>0</v>
      </c>
      <c r="N200" s="179">
        <v>0</v>
      </c>
      <c r="O200" s="179">
        <v>3116.5554200000001</v>
      </c>
      <c r="P200" s="179">
        <v>3116.5554200000001</v>
      </c>
      <c r="Q200" s="180">
        <v>3116.5554200000001</v>
      </c>
      <c r="R200" s="179">
        <v>6323.6267900000003</v>
      </c>
      <c r="S200" s="402">
        <v>3116.5554200000001</v>
      </c>
      <c r="T200" s="179">
        <f t="shared" si="111"/>
        <v>3116.5554200000001</v>
      </c>
      <c r="U200" s="179">
        <f t="shared" si="112"/>
        <v>0</v>
      </c>
      <c r="V200" s="406">
        <v>0</v>
      </c>
      <c r="W200" s="167">
        <v>2826226.26</v>
      </c>
      <c r="X200" s="167">
        <v>2826.2262599999999</v>
      </c>
      <c r="Y200" s="406">
        <v>2826.2262600000004</v>
      </c>
      <c r="Z200" s="406">
        <v>2823.8093399999998</v>
      </c>
      <c r="AA200" s="406">
        <v>2.3884300000000001</v>
      </c>
      <c r="AB200" s="406">
        <v>2.8489999999999998E-2</v>
      </c>
      <c r="AC200" s="403">
        <v>0</v>
      </c>
      <c r="AD200" s="406">
        <f>'[71]2. подк.неподк.'!X188</f>
        <v>3440.68</v>
      </c>
      <c r="AE200" s="406">
        <f t="shared" si="131"/>
        <v>0</v>
      </c>
      <c r="AF200" s="402">
        <f t="shared" si="114"/>
        <v>0</v>
      </c>
      <c r="AG200" s="403">
        <v>0</v>
      </c>
      <c r="AH200" s="179">
        <v>3108.85</v>
      </c>
      <c r="AI200" s="976">
        <f t="shared" si="113"/>
        <v>1.1000003941651861</v>
      </c>
      <c r="AJ200" s="976">
        <f t="shared" si="115"/>
        <v>3108.85</v>
      </c>
      <c r="AK200" s="977">
        <f t="shared" si="123"/>
        <v>3108.85</v>
      </c>
      <c r="AL200" s="74"/>
      <c r="AM200" s="52">
        <f t="shared" si="132"/>
        <v>3108.85</v>
      </c>
    </row>
    <row r="201" spans="1:39" ht="51" customHeight="1" outlineLevel="3">
      <c r="A201" s="139"/>
      <c r="B201" s="406" t="s">
        <v>967</v>
      </c>
      <c r="C201" s="198" t="s">
        <v>2154</v>
      </c>
      <c r="D201" s="956" t="s">
        <v>1040</v>
      </c>
      <c r="E201" s="148" t="s">
        <v>2155</v>
      </c>
      <c r="F201" s="997"/>
      <c r="G201" s="406" t="s">
        <v>121</v>
      </c>
      <c r="H201" s="406"/>
      <c r="I201" s="406"/>
      <c r="J201" s="406"/>
      <c r="K201" s="179"/>
      <c r="L201" s="179"/>
      <c r="M201" s="179"/>
      <c r="N201" s="179"/>
      <c r="O201" s="179"/>
      <c r="P201" s="179"/>
      <c r="Q201" s="180"/>
      <c r="R201" s="179"/>
      <c r="S201" s="402"/>
      <c r="T201" s="179"/>
      <c r="U201" s="179"/>
      <c r="V201" s="406"/>
      <c r="W201" s="167"/>
      <c r="X201" s="167"/>
      <c r="Y201" s="406"/>
      <c r="Z201" s="406"/>
      <c r="AA201" s="406"/>
      <c r="AB201" s="406"/>
      <c r="AC201" s="403"/>
      <c r="AD201" s="406"/>
      <c r="AE201" s="406"/>
      <c r="AF201" s="402"/>
      <c r="AG201" s="403"/>
      <c r="AH201" s="179">
        <v>2569.8126181429993</v>
      </c>
      <c r="AI201" s="976" t="e">
        <f t="shared" si="113"/>
        <v>#DIV/0!</v>
      </c>
      <c r="AJ201" s="976">
        <f t="shared" si="115"/>
        <v>2569.8126181429993</v>
      </c>
      <c r="AK201" s="977">
        <f t="shared" si="123"/>
        <v>2569.8126181429993</v>
      </c>
      <c r="AL201" s="74"/>
      <c r="AM201" s="52">
        <f t="shared" si="132"/>
        <v>2569.8126181429993</v>
      </c>
    </row>
    <row r="202" spans="1:39" ht="33" customHeight="1" outlineLevel="3">
      <c r="A202" s="139" t="s">
        <v>966</v>
      </c>
      <c r="B202" s="406" t="s">
        <v>971</v>
      </c>
      <c r="C202" s="198" t="s">
        <v>2156</v>
      </c>
      <c r="D202" s="956" t="s">
        <v>1045</v>
      </c>
      <c r="E202" s="148" t="s">
        <v>2157</v>
      </c>
      <c r="G202" s="406" t="s">
        <v>121</v>
      </c>
      <c r="H202" s="406">
        <v>0</v>
      </c>
      <c r="I202" s="406">
        <v>0</v>
      </c>
      <c r="J202" s="406">
        <v>0</v>
      </c>
      <c r="K202" s="406">
        <v>0</v>
      </c>
      <c r="L202" s="406">
        <v>0</v>
      </c>
      <c r="M202" s="406">
        <v>0</v>
      </c>
      <c r="N202" s="406">
        <v>0</v>
      </c>
      <c r="O202" s="406">
        <v>7199.9702400000006</v>
      </c>
      <c r="P202" s="406">
        <v>6323.6267900000003</v>
      </c>
      <c r="Q202" s="180">
        <v>6323.6267900000003</v>
      </c>
      <c r="R202" s="179">
        <v>6323.6267900000003</v>
      </c>
      <c r="S202" s="402">
        <v>0</v>
      </c>
      <c r="T202" s="179">
        <f t="shared" si="111"/>
        <v>0</v>
      </c>
      <c r="U202" s="179">
        <f t="shared" si="112"/>
        <v>-6323.6267900000003</v>
      </c>
      <c r="V202" s="406"/>
      <c r="W202" s="167"/>
      <c r="X202" s="167"/>
      <c r="Y202" s="406"/>
      <c r="Z202" s="406"/>
      <c r="AA202" s="406"/>
      <c r="AB202" s="406"/>
      <c r="AC202" s="403"/>
      <c r="AD202" s="406"/>
      <c r="AE202" s="406"/>
      <c r="AF202" s="402"/>
      <c r="AG202" s="403"/>
      <c r="AH202" s="406">
        <v>3598.0869915000003</v>
      </c>
      <c r="AI202" s="957" t="e">
        <f t="shared" si="113"/>
        <v>#DIV/0!</v>
      </c>
      <c r="AJ202" s="957">
        <f t="shared" si="115"/>
        <v>3598.0869915000003</v>
      </c>
      <c r="AK202" s="958">
        <f t="shared" si="123"/>
        <v>3598.0869915000003</v>
      </c>
      <c r="AL202" s="74"/>
      <c r="AM202" s="52">
        <f t="shared" si="132"/>
        <v>3598.0869915000003</v>
      </c>
    </row>
    <row r="203" spans="1:39" ht="33" customHeight="1" outlineLevel="3">
      <c r="A203" s="139"/>
      <c r="B203" s="406" t="s">
        <v>972</v>
      </c>
      <c r="C203" s="198"/>
      <c r="D203" s="956" t="s">
        <v>1050</v>
      </c>
      <c r="E203" s="199" t="s">
        <v>551</v>
      </c>
      <c r="F203" s="149"/>
      <c r="G203" s="406" t="s">
        <v>121</v>
      </c>
      <c r="H203" s="406">
        <v>0</v>
      </c>
      <c r="I203" s="406">
        <v>0</v>
      </c>
      <c r="J203" s="406">
        <v>0</v>
      </c>
      <c r="K203" s="406"/>
      <c r="L203" s="406"/>
      <c r="M203" s="406"/>
      <c r="N203" s="406"/>
      <c r="O203" s="406">
        <v>90</v>
      </c>
      <c r="P203" s="406">
        <v>90</v>
      </c>
      <c r="Q203" s="180">
        <v>90</v>
      </c>
      <c r="R203" s="179">
        <v>90</v>
      </c>
      <c r="S203" s="402">
        <v>90</v>
      </c>
      <c r="T203" s="179">
        <f t="shared" si="111"/>
        <v>90</v>
      </c>
      <c r="U203" s="179">
        <f t="shared" si="112"/>
        <v>0</v>
      </c>
      <c r="V203" s="406">
        <v>0</v>
      </c>
      <c r="W203" s="167">
        <v>0</v>
      </c>
      <c r="X203" s="167">
        <v>0</v>
      </c>
      <c r="Y203" s="406"/>
      <c r="Z203" s="406"/>
      <c r="AA203" s="406"/>
      <c r="AB203" s="406"/>
      <c r="AC203" s="403">
        <v>0</v>
      </c>
      <c r="AD203" s="406">
        <v>0</v>
      </c>
      <c r="AE203" s="406">
        <f t="shared" si="131"/>
        <v>0</v>
      </c>
      <c r="AF203" s="402">
        <f t="shared" si="114"/>
        <v>0</v>
      </c>
      <c r="AG203" s="403">
        <v>0</v>
      </c>
      <c r="AH203" s="406"/>
      <c r="AI203" s="957" t="e">
        <f t="shared" si="113"/>
        <v>#DIV/0!</v>
      </c>
      <c r="AJ203" s="957">
        <f t="shared" si="115"/>
        <v>0</v>
      </c>
      <c r="AK203" s="958"/>
      <c r="AL203" s="74"/>
      <c r="AM203" s="52">
        <f t="shared" si="132"/>
        <v>0</v>
      </c>
    </row>
    <row r="204" spans="1:39" ht="33" customHeight="1" outlineLevel="3">
      <c r="A204" s="139"/>
      <c r="B204" s="406" t="s">
        <v>973</v>
      </c>
      <c r="C204" s="198"/>
      <c r="D204" s="956" t="s">
        <v>1055</v>
      </c>
      <c r="E204" s="199" t="s">
        <v>556</v>
      </c>
      <c r="F204" s="149"/>
      <c r="G204" s="406" t="s">
        <v>121</v>
      </c>
      <c r="H204" s="406">
        <v>0</v>
      </c>
      <c r="I204" s="406">
        <v>0</v>
      </c>
      <c r="J204" s="406">
        <v>0</v>
      </c>
      <c r="K204" s="406"/>
      <c r="L204" s="406"/>
      <c r="M204" s="406"/>
      <c r="N204" s="406"/>
      <c r="O204" s="406">
        <v>165.65</v>
      </c>
      <c r="P204" s="406">
        <v>153.82189000000002</v>
      </c>
      <c r="Q204" s="180">
        <v>153.82189000000002</v>
      </c>
      <c r="R204" s="179">
        <v>153.82189000000002</v>
      </c>
      <c r="S204" s="402">
        <v>153.82189000000002</v>
      </c>
      <c r="T204" s="179">
        <f t="shared" si="111"/>
        <v>153.82189000000002</v>
      </c>
      <c r="U204" s="179">
        <f t="shared" si="112"/>
        <v>0</v>
      </c>
      <c r="V204" s="406">
        <v>0</v>
      </c>
      <c r="W204" s="167">
        <v>0</v>
      </c>
      <c r="X204" s="167">
        <v>0</v>
      </c>
      <c r="Y204" s="406"/>
      <c r="Z204" s="406"/>
      <c r="AA204" s="406"/>
      <c r="AB204" s="406"/>
      <c r="AC204" s="403">
        <v>0</v>
      </c>
      <c r="AD204" s="406">
        <v>0</v>
      </c>
      <c r="AE204" s="406">
        <f t="shared" si="131"/>
        <v>0</v>
      </c>
      <c r="AF204" s="402">
        <f t="shared" si="114"/>
        <v>0</v>
      </c>
      <c r="AG204" s="403">
        <v>0</v>
      </c>
      <c r="AH204" s="406"/>
      <c r="AI204" s="957" t="e">
        <f t="shared" si="113"/>
        <v>#DIV/0!</v>
      </c>
      <c r="AJ204" s="957">
        <f t="shared" si="115"/>
        <v>0</v>
      </c>
      <c r="AK204" s="958"/>
      <c r="AL204" s="74"/>
      <c r="AM204" s="52">
        <f t="shared" si="132"/>
        <v>0</v>
      </c>
    </row>
    <row r="205" spans="1:39" ht="33" customHeight="1" outlineLevel="3">
      <c r="A205" s="139"/>
      <c r="B205" s="406" t="s">
        <v>2158</v>
      </c>
      <c r="C205" s="198"/>
      <c r="D205" s="956" t="s">
        <v>1060</v>
      </c>
      <c r="E205" s="199" t="s">
        <v>974</v>
      </c>
      <c r="F205" s="149"/>
      <c r="G205" s="406" t="s">
        <v>121</v>
      </c>
      <c r="H205" s="406">
        <v>0</v>
      </c>
      <c r="I205" s="406">
        <v>0</v>
      </c>
      <c r="J205" s="406">
        <v>0</v>
      </c>
      <c r="K205" s="406"/>
      <c r="L205" s="406"/>
      <c r="M205" s="406"/>
      <c r="N205" s="406"/>
      <c r="O205" s="406"/>
      <c r="P205" s="406"/>
      <c r="Q205" s="180"/>
      <c r="R205" s="179"/>
      <c r="S205" s="402"/>
      <c r="T205" s="179">
        <f t="shared" si="111"/>
        <v>0</v>
      </c>
      <c r="U205" s="179">
        <f t="shared" si="112"/>
        <v>0</v>
      </c>
      <c r="V205" s="406">
        <v>0</v>
      </c>
      <c r="W205" s="167">
        <v>0</v>
      </c>
      <c r="X205" s="167">
        <v>0</v>
      </c>
      <c r="Y205" s="406"/>
      <c r="Z205" s="406">
        <v>15667.75166</v>
      </c>
      <c r="AA205" s="406"/>
      <c r="AB205" s="406"/>
      <c r="AC205" s="403">
        <v>0</v>
      </c>
      <c r="AD205" s="406">
        <v>0</v>
      </c>
      <c r="AE205" s="406">
        <f t="shared" si="131"/>
        <v>0</v>
      </c>
      <c r="AF205" s="402">
        <f t="shared" si="114"/>
        <v>0</v>
      </c>
      <c r="AG205" s="403">
        <v>0</v>
      </c>
      <c r="AH205" s="406">
        <v>0</v>
      </c>
      <c r="AI205" s="957" t="e">
        <f t="shared" si="113"/>
        <v>#DIV/0!</v>
      </c>
      <c r="AJ205" s="957">
        <f t="shared" si="115"/>
        <v>0</v>
      </c>
      <c r="AK205" s="958"/>
      <c r="AL205" s="74"/>
      <c r="AM205" s="52">
        <f t="shared" si="132"/>
        <v>0</v>
      </c>
    </row>
    <row r="206" spans="1:39" s="161" customFormat="1" ht="33" customHeight="1" outlineLevel="2">
      <c r="A206" s="153"/>
      <c r="B206" s="402"/>
      <c r="C206" s="155"/>
      <c r="D206" s="966"/>
      <c r="E206" s="156" t="s">
        <v>975</v>
      </c>
      <c r="F206" s="157"/>
      <c r="G206" s="158"/>
      <c r="H206" s="154">
        <f t="shared" ref="H206:I206" si="133">SUM(H181:H202)</f>
        <v>74519.575548274923</v>
      </c>
      <c r="I206" s="154">
        <f t="shared" si="133"/>
        <v>114718.43003000002</v>
      </c>
      <c r="J206" s="154">
        <f t="shared" ref="J206" si="134">SUM(J181:J202)</f>
        <v>104459.21</v>
      </c>
      <c r="K206" s="154">
        <f>SUM(K181:K202)</f>
        <v>70405.40017858395</v>
      </c>
      <c r="L206" s="154">
        <f t="shared" ref="L206:N206" si="135">SUM(L181:L202)</f>
        <v>153383.25628999999</v>
      </c>
      <c r="M206" s="154">
        <f t="shared" si="135"/>
        <v>131289.87</v>
      </c>
      <c r="N206" s="154">
        <f t="shared" si="135"/>
        <v>72706.707507035826</v>
      </c>
      <c r="O206" s="154">
        <f>SUM(O181:O205)</f>
        <v>120830.31879</v>
      </c>
      <c r="P206" s="154">
        <f t="shared" ref="P206:V206" si="136">SUM(P181:P205)</f>
        <v>113298.80385000001</v>
      </c>
      <c r="Q206" s="159">
        <f t="shared" si="136"/>
        <v>111664.30840000001</v>
      </c>
      <c r="R206" s="154">
        <f t="shared" si="136"/>
        <v>114800.53615</v>
      </c>
      <c r="S206" s="402">
        <f t="shared" si="136"/>
        <v>105340.68161000001</v>
      </c>
      <c r="T206" s="402">
        <f t="shared" si="111"/>
        <v>32633.974102964188</v>
      </c>
      <c r="U206" s="402">
        <f t="shared" si="112"/>
        <v>-7958.122239999997</v>
      </c>
      <c r="V206" s="154">
        <f t="shared" si="136"/>
        <v>104383.55429948957</v>
      </c>
      <c r="W206" s="154">
        <f>SUM(W181:W205)</f>
        <v>63862427.400000006</v>
      </c>
      <c r="X206" s="154">
        <f>SUM(X181:X205)</f>
        <v>103314.42739999999</v>
      </c>
      <c r="Y206" s="154">
        <f t="shared" ref="Y206:AK206" si="137">SUM(Y181:Y205)</f>
        <v>103002.38193999998</v>
      </c>
      <c r="Z206" s="1041">
        <f t="shared" si="137"/>
        <v>109827.23316999998</v>
      </c>
      <c r="AA206" s="154">
        <f t="shared" si="137"/>
        <v>8608.2191600000006</v>
      </c>
      <c r="AB206" s="154">
        <f t="shared" si="137"/>
        <v>234.68126999999998</v>
      </c>
      <c r="AC206" s="194">
        <f t="shared" si="137"/>
        <v>108356.52369807284</v>
      </c>
      <c r="AD206" s="194">
        <f t="shared" si="137"/>
        <v>177554.37806543696</v>
      </c>
      <c r="AE206" s="194">
        <f t="shared" si="137"/>
        <v>108230.2719192051</v>
      </c>
      <c r="AF206" s="194">
        <f t="shared" si="137"/>
        <v>108230.2719192051</v>
      </c>
      <c r="AG206" s="194">
        <f t="shared" si="137"/>
        <v>112690.78784599576</v>
      </c>
      <c r="AH206" s="992">
        <f t="shared" si="137"/>
        <v>130043.24395747919</v>
      </c>
      <c r="AI206" s="993">
        <f t="shared" si="113"/>
        <v>1.2587133010377523</v>
      </c>
      <c r="AJ206" s="994">
        <f t="shared" ref="AJ206" si="138">SUM(AJ181:AJ205)</f>
        <v>17352.456111483421</v>
      </c>
      <c r="AK206" s="994">
        <f t="shared" si="137"/>
        <v>87473.769220466202</v>
      </c>
      <c r="AL206" s="964"/>
      <c r="AM206" s="52"/>
    </row>
    <row r="207" spans="1:39" ht="33" customHeight="1" outlineLevel="1">
      <c r="A207" s="139"/>
      <c r="B207" s="409" t="s">
        <v>765</v>
      </c>
      <c r="C207" s="141"/>
      <c r="D207" s="406"/>
      <c r="E207" s="410" t="s">
        <v>977</v>
      </c>
      <c r="F207" s="410" t="s">
        <v>977</v>
      </c>
      <c r="G207" s="406" t="s">
        <v>121</v>
      </c>
      <c r="H207" s="402">
        <f t="shared" ref="H207:J207" si="139">SUM(H208:H211)</f>
        <v>10697.547500000001</v>
      </c>
      <c r="I207" s="402">
        <f t="shared" si="139"/>
        <v>5558.1854999999996</v>
      </c>
      <c r="J207" s="402">
        <f t="shared" si="139"/>
        <v>5558.19</v>
      </c>
      <c r="K207" s="402">
        <f>SUM(K208:K211)</f>
        <v>10640.86</v>
      </c>
      <c r="L207" s="402">
        <f t="shared" ref="L207:AK207" si="140">SUM(L208:L211)</f>
        <v>7949.0336299999999</v>
      </c>
      <c r="M207" s="402">
        <f t="shared" si="140"/>
        <v>7539.8600000000006</v>
      </c>
      <c r="N207" s="402">
        <f t="shared" si="140"/>
        <v>5884.03</v>
      </c>
      <c r="O207" s="402">
        <f t="shared" si="140"/>
        <v>3864.2157499999994</v>
      </c>
      <c r="P207" s="402">
        <f t="shared" si="140"/>
        <v>3835.9159</v>
      </c>
      <c r="Q207" s="145">
        <f t="shared" si="140"/>
        <v>3775.7966499999998</v>
      </c>
      <c r="R207" s="402">
        <f t="shared" si="140"/>
        <v>3775.7966499999998</v>
      </c>
      <c r="S207" s="402">
        <f t="shared" si="140"/>
        <v>3775.7966499999998</v>
      </c>
      <c r="T207" s="402">
        <f t="shared" si="111"/>
        <v>-2108.23335</v>
      </c>
      <c r="U207" s="402">
        <f t="shared" si="112"/>
        <v>-60.119250000000193</v>
      </c>
      <c r="V207" s="402">
        <f t="shared" si="140"/>
        <v>8069.47474375</v>
      </c>
      <c r="W207" s="402">
        <f t="shared" si="140"/>
        <v>3918293.84</v>
      </c>
      <c r="X207" s="402">
        <f t="shared" si="140"/>
        <v>3918.2938399999998</v>
      </c>
      <c r="Y207" s="402">
        <f t="shared" si="140"/>
        <v>3918.2938400000003</v>
      </c>
      <c r="Z207" s="168">
        <f t="shared" si="140"/>
        <v>3851.2585600000002</v>
      </c>
      <c r="AA207" s="402">
        <f t="shared" si="140"/>
        <v>60.817710000000005</v>
      </c>
      <c r="AB207" s="402">
        <f t="shared" si="140"/>
        <v>6.2175700000000003</v>
      </c>
      <c r="AC207" s="170">
        <f t="shared" si="140"/>
        <v>8432.6000400124994</v>
      </c>
      <c r="AD207" s="170">
        <f t="shared" si="140"/>
        <v>8499.1200400124999</v>
      </c>
      <c r="AE207" s="170">
        <f t="shared" si="140"/>
        <v>8366.8490848226575</v>
      </c>
      <c r="AF207" s="170">
        <f t="shared" si="140"/>
        <v>8366.8490848226575</v>
      </c>
      <c r="AG207" s="170">
        <f t="shared" si="140"/>
        <v>8769.904041613001</v>
      </c>
      <c r="AH207" s="173">
        <f t="shared" si="140"/>
        <v>4172.9799999999996</v>
      </c>
      <c r="AI207" s="974">
        <f t="shared" si="113"/>
        <v>1.0649992497755094</v>
      </c>
      <c r="AJ207" s="975">
        <f t="shared" ref="AJ207" si="141">SUM(AJ208:AJ211)</f>
        <v>-4596.9240416130006</v>
      </c>
      <c r="AK207" s="975">
        <f t="shared" si="140"/>
        <v>81.95</v>
      </c>
      <c r="AL207" s="74"/>
    </row>
    <row r="208" spans="1:39" ht="33" customHeight="1" outlineLevel="2">
      <c r="A208" s="139" t="s">
        <v>978</v>
      </c>
      <c r="B208" s="406" t="s">
        <v>979</v>
      </c>
      <c r="C208" s="198" t="s">
        <v>980</v>
      </c>
      <c r="D208" s="998">
        <f>D205+1</f>
        <v>146</v>
      </c>
      <c r="E208" s="148" t="s">
        <v>981</v>
      </c>
      <c r="F208" s="1332" t="s">
        <v>982</v>
      </c>
      <c r="G208" s="406" t="s">
        <v>121</v>
      </c>
      <c r="H208" s="406">
        <v>10697.547500000001</v>
      </c>
      <c r="I208" s="406">
        <v>5558.1854999999996</v>
      </c>
      <c r="J208" s="406">
        <v>5558.19</v>
      </c>
      <c r="K208" s="406">
        <v>908.73</v>
      </c>
      <c r="L208" s="406">
        <v>650.71425999999997</v>
      </c>
      <c r="M208" s="406">
        <v>350.71</v>
      </c>
      <c r="N208" s="406">
        <v>502.5</v>
      </c>
      <c r="O208" s="406">
        <v>527.6</v>
      </c>
      <c r="P208" s="406">
        <v>519.37950000000001</v>
      </c>
      <c r="Q208" s="150">
        <v>519.37950000000001</v>
      </c>
      <c r="R208" s="167">
        <v>519.37950000000001</v>
      </c>
      <c r="S208" s="402">
        <v>519.37950000000001</v>
      </c>
      <c r="T208" s="167">
        <f t="shared" si="111"/>
        <v>16.879500000000007</v>
      </c>
      <c r="U208" s="167">
        <f t="shared" si="112"/>
        <v>0</v>
      </c>
      <c r="V208" s="406">
        <v>644.24</v>
      </c>
      <c r="W208" s="167">
        <v>386300</v>
      </c>
      <c r="X208" s="167">
        <v>386.3</v>
      </c>
      <c r="Y208" s="406">
        <v>386.3</v>
      </c>
      <c r="Z208" s="406">
        <v>378.27298999999999</v>
      </c>
      <c r="AA208" s="406">
        <v>6.9717699999999994</v>
      </c>
      <c r="AB208" s="406">
        <v>1.05524</v>
      </c>
      <c r="AC208" s="403">
        <v>673.22973279374992</v>
      </c>
      <c r="AD208" s="406">
        <f>'[71]2. подк.неподк.'!X195</f>
        <v>673.22973279374992</v>
      </c>
      <c r="AE208" s="406">
        <f>V208*$AD$11</f>
        <v>667.98137742249355</v>
      </c>
      <c r="AF208" s="402">
        <f t="shared" si="114"/>
        <v>667.98137742249355</v>
      </c>
      <c r="AG208" s="167">
        <v>700.15892210549998</v>
      </c>
      <c r="AH208" s="406">
        <v>411.41</v>
      </c>
      <c r="AI208" s="957">
        <f t="shared" si="113"/>
        <v>1.0650012943308309</v>
      </c>
      <c r="AJ208" s="957">
        <f t="shared" si="115"/>
        <v>-288.74892210549996</v>
      </c>
      <c r="AK208" s="965"/>
      <c r="AL208" s="74"/>
      <c r="AM208" s="52">
        <f>AH208-AG208</f>
        <v>-288.74892210549996</v>
      </c>
    </row>
    <row r="209" spans="1:39" ht="33" customHeight="1" outlineLevel="2">
      <c r="A209" s="139" t="s">
        <v>983</v>
      </c>
      <c r="B209" s="406" t="s">
        <v>984</v>
      </c>
      <c r="C209" s="198" t="s">
        <v>985</v>
      </c>
      <c r="D209" s="956" t="s">
        <v>1072</v>
      </c>
      <c r="E209" s="148" t="s">
        <v>986</v>
      </c>
      <c r="F209" s="1332"/>
      <c r="G209" s="406" t="s">
        <v>121</v>
      </c>
      <c r="H209" s="406">
        <v>0</v>
      </c>
      <c r="I209" s="406">
        <v>0</v>
      </c>
      <c r="J209" s="406">
        <v>0</v>
      </c>
      <c r="K209" s="406">
        <v>3711.53</v>
      </c>
      <c r="L209" s="406">
        <v>2713.8523700000001</v>
      </c>
      <c r="M209" s="406">
        <v>2713.85</v>
      </c>
      <c r="N209" s="406">
        <v>2052.35</v>
      </c>
      <c r="O209" s="406">
        <v>1013.5195699999999</v>
      </c>
      <c r="P209" s="406">
        <v>1009.3304899999999</v>
      </c>
      <c r="Q209" s="150">
        <v>1009.3304899999999</v>
      </c>
      <c r="R209" s="406">
        <v>1009.3304899999999</v>
      </c>
      <c r="S209" s="402">
        <v>1009.3304899999999</v>
      </c>
      <c r="T209" s="406">
        <f t="shared" si="111"/>
        <v>-1043.0195100000001</v>
      </c>
      <c r="U209" s="406">
        <f t="shared" si="112"/>
        <v>0</v>
      </c>
      <c r="V209" s="406">
        <v>2831.3551312500003</v>
      </c>
      <c r="W209" s="167">
        <v>1374943.39</v>
      </c>
      <c r="X209" s="167">
        <v>1374.9433899999999</v>
      </c>
      <c r="Y209" s="406">
        <v>1374.9433900000001</v>
      </c>
      <c r="Z209" s="406">
        <v>1341.7328900000002</v>
      </c>
      <c r="AA209" s="406">
        <v>31.121920000000003</v>
      </c>
      <c r="AB209" s="406">
        <v>2.0885799999999999</v>
      </c>
      <c r="AC209" s="403">
        <v>2958.7661121562501</v>
      </c>
      <c r="AD209" s="406">
        <f>'[71]2. подк.неподк.'!X196</f>
        <v>2958.7661121562501</v>
      </c>
      <c r="AE209" s="406">
        <f>V209*$AD$11</f>
        <v>2935.6955490882597</v>
      </c>
      <c r="AF209" s="402">
        <f t="shared" si="114"/>
        <v>2935.6955490882597</v>
      </c>
      <c r="AG209" s="167">
        <v>3077.1167566425001</v>
      </c>
      <c r="AH209" s="406">
        <v>1464.31</v>
      </c>
      <c r="AI209" s="957">
        <f t="shared" si="113"/>
        <v>1.0649965741498637</v>
      </c>
      <c r="AJ209" s="957">
        <f t="shared" si="115"/>
        <v>-1612.8067566425002</v>
      </c>
      <c r="AK209" s="965"/>
      <c r="AL209" s="74"/>
      <c r="AM209" s="52">
        <f>AH209-AG209</f>
        <v>-1612.8067566425002</v>
      </c>
    </row>
    <row r="210" spans="1:39" ht="33" customHeight="1" outlineLevel="2">
      <c r="A210" s="139" t="s">
        <v>987</v>
      </c>
      <c r="B210" s="406" t="s">
        <v>988</v>
      </c>
      <c r="C210" s="198" t="s">
        <v>989</v>
      </c>
      <c r="D210" s="956" t="s">
        <v>1077</v>
      </c>
      <c r="E210" s="148" t="s">
        <v>990</v>
      </c>
      <c r="F210" s="1332"/>
      <c r="G210" s="406" t="s">
        <v>121</v>
      </c>
      <c r="H210" s="406">
        <v>0</v>
      </c>
      <c r="I210" s="406">
        <v>0</v>
      </c>
      <c r="J210" s="406">
        <v>0</v>
      </c>
      <c r="K210" s="406">
        <v>6020.6</v>
      </c>
      <c r="L210" s="406">
        <v>4475.2997999999998</v>
      </c>
      <c r="M210" s="406">
        <v>4475.3</v>
      </c>
      <c r="N210" s="406">
        <v>3329.18</v>
      </c>
      <c r="O210" s="406">
        <v>2262.8432799999996</v>
      </c>
      <c r="P210" s="406">
        <v>2247.0866599999999</v>
      </c>
      <c r="Q210" s="150">
        <v>2247.0866599999999</v>
      </c>
      <c r="R210" s="406">
        <v>2247.0866599999999</v>
      </c>
      <c r="S210" s="402">
        <v>2247.0866599999999</v>
      </c>
      <c r="T210" s="406">
        <f t="shared" si="111"/>
        <v>-1082.0933399999999</v>
      </c>
      <c r="U210" s="406">
        <f t="shared" si="112"/>
        <v>0</v>
      </c>
      <c r="V210" s="406">
        <v>4593.8796124999999</v>
      </c>
      <c r="W210" s="167">
        <v>2080100.76</v>
      </c>
      <c r="X210" s="167">
        <v>2080.1007599999998</v>
      </c>
      <c r="Y210" s="406">
        <v>2080.1007600000003</v>
      </c>
      <c r="Z210" s="406">
        <v>2056.3283799999999</v>
      </c>
      <c r="AA210" s="406">
        <v>20.828790000000001</v>
      </c>
      <c r="AB210" s="406">
        <v>2.9435899999999999</v>
      </c>
      <c r="AC210" s="403">
        <v>4800.6041950624995</v>
      </c>
      <c r="AD210" s="406">
        <f>'[71]2. подк.неподк.'!X197</f>
        <v>4800.6041950624995</v>
      </c>
      <c r="AE210" s="406">
        <f>V210*$AD$11</f>
        <v>4763.1721583119042</v>
      </c>
      <c r="AF210" s="402">
        <f t="shared" si="114"/>
        <v>4763.1721583119042</v>
      </c>
      <c r="AG210" s="167">
        <v>4992.6283628649999</v>
      </c>
      <c r="AH210" s="406">
        <v>2215.31</v>
      </c>
      <c r="AI210" s="957">
        <f t="shared" si="113"/>
        <v>1.0650012934950326</v>
      </c>
      <c r="AJ210" s="957">
        <f t="shared" si="115"/>
        <v>-2777.3183628649999</v>
      </c>
      <c r="AK210" s="965"/>
      <c r="AL210" s="74"/>
      <c r="AM210" s="52">
        <f>AH210-AG210</f>
        <v>-2777.3183628649999</v>
      </c>
    </row>
    <row r="211" spans="1:39" ht="33" customHeight="1" outlineLevel="2">
      <c r="A211" s="139" t="s">
        <v>991</v>
      </c>
      <c r="B211" s="406" t="s">
        <v>992</v>
      </c>
      <c r="C211" s="198" t="s">
        <v>993</v>
      </c>
      <c r="D211" s="956" t="s">
        <v>1082</v>
      </c>
      <c r="E211" s="148" t="s">
        <v>994</v>
      </c>
      <c r="F211" s="410"/>
      <c r="G211" s="406" t="s">
        <v>121</v>
      </c>
      <c r="H211" s="406">
        <v>0</v>
      </c>
      <c r="I211" s="406">
        <v>0</v>
      </c>
      <c r="J211" s="406">
        <v>0</v>
      </c>
      <c r="K211" s="406">
        <v>0</v>
      </c>
      <c r="L211" s="406">
        <v>109.16719999999999</v>
      </c>
      <c r="M211" s="406">
        <v>0</v>
      </c>
      <c r="N211" s="406">
        <v>0</v>
      </c>
      <c r="O211" s="406">
        <v>60.252900000000004</v>
      </c>
      <c r="P211" s="406">
        <v>60.119250000000001</v>
      </c>
      <c r="Q211" s="150">
        <v>0</v>
      </c>
      <c r="R211" s="406">
        <v>0</v>
      </c>
      <c r="S211" s="402">
        <v>0</v>
      </c>
      <c r="T211" s="406">
        <f t="shared" si="111"/>
        <v>0</v>
      </c>
      <c r="U211" s="406">
        <f t="shared" si="112"/>
        <v>-60.119250000000001</v>
      </c>
      <c r="V211" s="406">
        <v>0</v>
      </c>
      <c r="W211" s="167">
        <v>76949.69</v>
      </c>
      <c r="X211" s="167">
        <v>76.949690000000004</v>
      </c>
      <c r="Y211" s="406">
        <v>76.949690000000004</v>
      </c>
      <c r="Z211" s="406">
        <v>74.924300000000002</v>
      </c>
      <c r="AA211" s="406">
        <v>1.89523</v>
      </c>
      <c r="AB211" s="406">
        <v>0.13016</v>
      </c>
      <c r="AC211" s="403">
        <v>0</v>
      </c>
      <c r="AD211" s="406">
        <f>'[71]2. подк.неподк.'!X198</f>
        <v>66.52</v>
      </c>
      <c r="AE211" s="406">
        <f>V211*$AD$11</f>
        <v>0</v>
      </c>
      <c r="AF211" s="402">
        <f t="shared" si="114"/>
        <v>0</v>
      </c>
      <c r="AG211" s="167">
        <v>0</v>
      </c>
      <c r="AH211" s="406">
        <v>81.95</v>
      </c>
      <c r="AI211" s="957">
        <f t="shared" si="113"/>
        <v>1.064981548333723</v>
      </c>
      <c r="AJ211" s="957">
        <f t="shared" si="115"/>
        <v>81.95</v>
      </c>
      <c r="AK211" s="958">
        <f t="shared" ref="AK211" si="142">AH211</f>
        <v>81.95</v>
      </c>
      <c r="AL211" s="74"/>
      <c r="AM211" s="52">
        <f>AH211-AG211</f>
        <v>81.95</v>
      </c>
    </row>
    <row r="212" spans="1:39" ht="33" customHeight="1" outlineLevel="1">
      <c r="A212" s="139"/>
      <c r="B212" s="409" t="s">
        <v>976</v>
      </c>
      <c r="C212" s="141"/>
      <c r="D212" s="406"/>
      <c r="E212" s="410" t="s">
        <v>996</v>
      </c>
      <c r="F212" s="410" t="s">
        <v>996</v>
      </c>
      <c r="G212" s="406" t="s">
        <v>121</v>
      </c>
      <c r="H212" s="402">
        <f t="shared" ref="H212:J212" si="143">H213+H214</f>
        <v>8385.18</v>
      </c>
      <c r="I212" s="402">
        <f t="shared" si="143"/>
        <v>6235.3351899999998</v>
      </c>
      <c r="J212" s="402">
        <f t="shared" si="143"/>
        <v>6235.34</v>
      </c>
      <c r="K212" s="402">
        <f>K213+K214</f>
        <v>10298.107247149399</v>
      </c>
      <c r="L212" s="402">
        <f t="shared" ref="L212:AK212" si="144">L213+L214</f>
        <v>6622.152149999999</v>
      </c>
      <c r="M212" s="402">
        <f t="shared" si="144"/>
        <v>6622.15</v>
      </c>
      <c r="N212" s="402">
        <f t="shared" si="144"/>
        <v>8358.6335827624789</v>
      </c>
      <c r="O212" s="402">
        <f t="shared" si="144"/>
        <v>6462.9502000000002</v>
      </c>
      <c r="P212" s="402">
        <f t="shared" si="144"/>
        <v>6267.0803600000008</v>
      </c>
      <c r="Q212" s="145">
        <f t="shared" si="144"/>
        <v>6267.0803600000008</v>
      </c>
      <c r="R212" s="402">
        <f t="shared" si="144"/>
        <v>6267.0803600000008</v>
      </c>
      <c r="S212" s="402">
        <f t="shared" si="144"/>
        <v>6267.0803600000008</v>
      </c>
      <c r="T212" s="402">
        <f t="shared" si="111"/>
        <v>-2091.5532227624781</v>
      </c>
      <c r="U212" s="402">
        <f t="shared" si="112"/>
        <v>0</v>
      </c>
      <c r="V212" s="402">
        <f t="shared" si="144"/>
        <v>8433.1435888077467</v>
      </c>
      <c r="W212" s="402">
        <f t="shared" si="144"/>
        <v>5947763.2599999998</v>
      </c>
      <c r="X212" s="402">
        <f t="shared" si="144"/>
        <v>5947.7632600000006</v>
      </c>
      <c r="Y212" s="402">
        <f t="shared" si="144"/>
        <v>5947.7632600000006</v>
      </c>
      <c r="Z212" s="168">
        <f t="shared" si="144"/>
        <v>5725.1453000000001</v>
      </c>
      <c r="AA212" s="402">
        <f t="shared" si="144"/>
        <v>186.82198</v>
      </c>
      <c r="AB212" s="402">
        <f t="shared" si="144"/>
        <v>35.79598</v>
      </c>
      <c r="AC212" s="170">
        <f t="shared" si="144"/>
        <v>8812.6413302415967</v>
      </c>
      <c r="AD212" s="170">
        <f t="shared" si="144"/>
        <v>8837.1013302415959</v>
      </c>
      <c r="AE212" s="170">
        <f t="shared" si="144"/>
        <v>8743.9197666296259</v>
      </c>
      <c r="AF212" s="170">
        <f t="shared" si="144"/>
        <v>8743.9197666296259</v>
      </c>
      <c r="AG212" s="170">
        <f t="shared" si="144"/>
        <v>9165.1404523162601</v>
      </c>
      <c r="AH212" s="173">
        <f t="shared" si="144"/>
        <v>6334.37</v>
      </c>
      <c r="AI212" s="974">
        <f t="shared" si="113"/>
        <v>1.06500035779837</v>
      </c>
      <c r="AJ212" s="975">
        <f t="shared" si="144"/>
        <v>-2830.7704523162606</v>
      </c>
      <c r="AK212" s="975">
        <f t="shared" si="144"/>
        <v>0</v>
      </c>
      <c r="AL212" s="74"/>
    </row>
    <row r="213" spans="1:39" ht="33" customHeight="1" outlineLevel="2">
      <c r="A213" s="407" t="s">
        <v>997</v>
      </c>
      <c r="B213" s="406" t="s">
        <v>998</v>
      </c>
      <c r="C213" s="198" t="s">
        <v>1900</v>
      </c>
      <c r="D213" s="956" t="s">
        <v>1086</v>
      </c>
      <c r="E213" s="164" t="s">
        <v>1000</v>
      </c>
      <c r="F213" s="196" t="s">
        <v>1001</v>
      </c>
      <c r="G213" s="406" t="s">
        <v>121</v>
      </c>
      <c r="H213" s="406">
        <v>7185.18</v>
      </c>
      <c r="I213" s="406">
        <v>4827.5798699999996</v>
      </c>
      <c r="J213" s="406">
        <v>4827.58</v>
      </c>
      <c r="K213" s="406">
        <v>8981.3792511493994</v>
      </c>
      <c r="L213" s="406">
        <v>5155.2999999999993</v>
      </c>
      <c r="M213" s="406">
        <v>5155.2999999999993</v>
      </c>
      <c r="N213" s="406">
        <v>6363.6392924233814</v>
      </c>
      <c r="O213" s="406">
        <v>5065.9046600000001</v>
      </c>
      <c r="P213" s="406">
        <v>4919.0623700000006</v>
      </c>
      <c r="Q213" s="150">
        <v>4919.0623700000006</v>
      </c>
      <c r="R213" s="406">
        <v>4919.0623700000006</v>
      </c>
      <c r="S213" s="402">
        <v>4919.0623700000006</v>
      </c>
      <c r="T213" s="406">
        <f t="shared" si="111"/>
        <v>-1444.5769224233809</v>
      </c>
      <c r="U213" s="406">
        <f t="shared" si="112"/>
        <v>0</v>
      </c>
      <c r="V213" s="406">
        <v>6328.4246125</v>
      </c>
      <c r="W213" s="167">
        <v>5203320.33</v>
      </c>
      <c r="X213" s="167">
        <v>5203.3203300000005</v>
      </c>
      <c r="Y213" s="406">
        <v>5203.3203300000005</v>
      </c>
      <c r="Z213" s="406">
        <v>4997.0457800000004</v>
      </c>
      <c r="AA213" s="406">
        <v>173.76134999999999</v>
      </c>
      <c r="AB213" s="406">
        <v>32.513199999999998</v>
      </c>
      <c r="AC213" s="403">
        <v>6613.21</v>
      </c>
      <c r="AD213" s="406">
        <f>'[71]2. подк.неподк.'!X200</f>
        <v>6637.67</v>
      </c>
      <c r="AE213" s="406">
        <f>V213*$AD$11</f>
        <v>6561.6381931767046</v>
      </c>
      <c r="AF213" s="402">
        <f t="shared" si="114"/>
        <v>6561.6381931767046</v>
      </c>
      <c r="AG213" s="403">
        <v>6877.7318688650003</v>
      </c>
      <c r="AH213" s="406">
        <v>5541.54</v>
      </c>
      <c r="AI213" s="957">
        <f t="shared" si="113"/>
        <v>1.0650007396334946</v>
      </c>
      <c r="AJ213" s="957">
        <f t="shared" si="115"/>
        <v>-1336.1918688650003</v>
      </c>
      <c r="AK213" s="965"/>
      <c r="AL213" s="74"/>
      <c r="AM213" s="52">
        <f>AH213-AG213</f>
        <v>-1336.1918688650003</v>
      </c>
    </row>
    <row r="214" spans="1:39" ht="33" customHeight="1" outlineLevel="2">
      <c r="A214" s="139" t="s">
        <v>1002</v>
      </c>
      <c r="B214" s="406" t="s">
        <v>1003</v>
      </c>
      <c r="C214" s="198" t="s">
        <v>1004</v>
      </c>
      <c r="D214" s="956" t="s">
        <v>1096</v>
      </c>
      <c r="E214" s="148" t="s">
        <v>1005</v>
      </c>
      <c r="F214" s="196" t="s">
        <v>1006</v>
      </c>
      <c r="G214" s="406" t="s">
        <v>121</v>
      </c>
      <c r="H214" s="406">
        <v>1200</v>
      </c>
      <c r="I214" s="406">
        <v>1407.75532</v>
      </c>
      <c r="J214" s="406">
        <v>1407.76</v>
      </c>
      <c r="K214" s="406">
        <v>1316.7279959999998</v>
      </c>
      <c r="L214" s="406">
        <v>1466.8521499999999</v>
      </c>
      <c r="M214" s="406">
        <v>1466.85</v>
      </c>
      <c r="N214" s="406">
        <v>1994.9942903390972</v>
      </c>
      <c r="O214" s="406">
        <v>1397.0455400000001</v>
      </c>
      <c r="P214" s="406">
        <v>1348.0179900000001</v>
      </c>
      <c r="Q214" s="150">
        <v>1348.0179900000001</v>
      </c>
      <c r="R214" s="406">
        <v>1348.0179900000001</v>
      </c>
      <c r="S214" s="402">
        <v>1348.0179900000001</v>
      </c>
      <c r="T214" s="406">
        <f t="shared" si="111"/>
        <v>-646.97630033909718</v>
      </c>
      <c r="U214" s="406">
        <f t="shared" si="112"/>
        <v>0</v>
      </c>
      <c r="V214" s="406">
        <v>2104.7189763077477</v>
      </c>
      <c r="W214" s="167">
        <v>744442.93</v>
      </c>
      <c r="X214" s="167">
        <v>744.44293000000005</v>
      </c>
      <c r="Y214" s="406">
        <v>744.44293000000005</v>
      </c>
      <c r="Z214" s="406">
        <v>728.09951999999998</v>
      </c>
      <c r="AA214" s="406">
        <v>13.06063</v>
      </c>
      <c r="AB214" s="406">
        <v>3.2827800000000003</v>
      </c>
      <c r="AC214" s="403">
        <v>2199.4313302415962</v>
      </c>
      <c r="AD214" s="406">
        <f>'[71]2. подк.неподк.'!X201</f>
        <v>2199.4313302415962</v>
      </c>
      <c r="AE214" s="406">
        <f>V214*$AD$11</f>
        <v>2182.2815734529213</v>
      </c>
      <c r="AF214" s="402">
        <f t="shared" si="114"/>
        <v>2182.2815734529213</v>
      </c>
      <c r="AG214" s="403">
        <v>2287.4085834512603</v>
      </c>
      <c r="AH214" s="406">
        <v>792.83</v>
      </c>
      <c r="AI214" s="957">
        <f t="shared" si="113"/>
        <v>1.0649976889430597</v>
      </c>
      <c r="AJ214" s="957">
        <f t="shared" si="115"/>
        <v>-1494.5785834512603</v>
      </c>
      <c r="AK214" s="965"/>
      <c r="AL214" s="74"/>
      <c r="AM214" s="52">
        <f>AH214-AG214</f>
        <v>-1494.5785834512603</v>
      </c>
    </row>
    <row r="215" spans="1:39" ht="48.75" customHeight="1" outlineLevel="1">
      <c r="A215" s="139"/>
      <c r="B215" s="409" t="s">
        <v>995</v>
      </c>
      <c r="C215" s="141"/>
      <c r="D215" s="406"/>
      <c r="E215" s="410" t="s">
        <v>1008</v>
      </c>
      <c r="F215" s="410" t="s">
        <v>1008</v>
      </c>
      <c r="G215" s="406" t="s">
        <v>121</v>
      </c>
      <c r="H215" s="402">
        <f t="shared" ref="H215:N215" si="145">H216+H217+H218+H220+H219</f>
        <v>4423.2824999999993</v>
      </c>
      <c r="I215" s="402">
        <f t="shared" si="145"/>
        <v>4695.1687400000001</v>
      </c>
      <c r="J215" s="402">
        <f t="shared" si="145"/>
        <v>4695.17</v>
      </c>
      <c r="K215" s="402">
        <f t="shared" si="145"/>
        <v>4853.5458738934994</v>
      </c>
      <c r="L215" s="402">
        <f t="shared" si="145"/>
        <v>6903.2195400000001</v>
      </c>
      <c r="M215" s="402">
        <f t="shared" si="145"/>
        <v>6902.74</v>
      </c>
      <c r="N215" s="402">
        <f t="shared" si="145"/>
        <v>6725.7858389534995</v>
      </c>
      <c r="O215" s="402">
        <f>O216+O217+O218+O220+O219</f>
        <v>6861.59555</v>
      </c>
      <c r="P215" s="402">
        <f t="shared" ref="P215:AK215" si="146">P216+P217+P218+P220+P219</f>
        <v>6711.2716199999995</v>
      </c>
      <c r="Q215" s="145">
        <f t="shared" si="146"/>
        <v>6711.2716199999995</v>
      </c>
      <c r="R215" s="402">
        <f t="shared" si="146"/>
        <v>6711.2716199999995</v>
      </c>
      <c r="S215" s="402">
        <f t="shared" si="146"/>
        <v>6711.2716199999995</v>
      </c>
      <c r="T215" s="402">
        <f t="shared" si="111"/>
        <v>-14.514218953499949</v>
      </c>
      <c r="U215" s="402">
        <f t="shared" si="112"/>
        <v>0</v>
      </c>
      <c r="V215" s="402">
        <f t="shared" si="146"/>
        <v>4889.7593388005898</v>
      </c>
      <c r="W215" s="402">
        <f t="shared" si="146"/>
        <v>7677359.9899999984</v>
      </c>
      <c r="X215" s="402">
        <f t="shared" si="146"/>
        <v>7677.359989999999</v>
      </c>
      <c r="Y215" s="402">
        <f t="shared" si="146"/>
        <v>7677.3599900000008</v>
      </c>
      <c r="Z215" s="168">
        <f t="shared" si="146"/>
        <v>7469.4703499999996</v>
      </c>
      <c r="AA215" s="402">
        <f t="shared" si="146"/>
        <v>184.5249</v>
      </c>
      <c r="AB215" s="402">
        <f t="shared" si="146"/>
        <v>23.364739999999998</v>
      </c>
      <c r="AC215" s="170">
        <f t="shared" si="146"/>
        <v>5109.7985090466163</v>
      </c>
      <c r="AD215" s="170">
        <f t="shared" si="146"/>
        <v>7972.9294579633333</v>
      </c>
      <c r="AE215" s="170">
        <f t="shared" si="146"/>
        <v>5069.9555730729535</v>
      </c>
      <c r="AF215" s="170">
        <f t="shared" si="146"/>
        <v>5069.9555730729535</v>
      </c>
      <c r="AG215" s="170">
        <f t="shared" si="146"/>
        <v>5314.1904494084811</v>
      </c>
      <c r="AH215" s="173">
        <f t="shared" si="146"/>
        <v>10363.426079468001</v>
      </c>
      <c r="AI215" s="974">
        <f t="shared" si="113"/>
        <v>1.3498684564702823</v>
      </c>
      <c r="AJ215" s="975">
        <f t="shared" si="146"/>
        <v>5049.2356300595202</v>
      </c>
      <c r="AK215" s="975">
        <f t="shared" si="146"/>
        <v>10363.426079468001</v>
      </c>
      <c r="AL215" s="74"/>
    </row>
    <row r="216" spans="1:39" ht="33" customHeight="1" outlineLevel="2">
      <c r="A216" s="139" t="s">
        <v>1009</v>
      </c>
      <c r="B216" s="406" t="s">
        <v>1010</v>
      </c>
      <c r="C216" s="198" t="s">
        <v>1011</v>
      </c>
      <c r="D216" s="956" t="s">
        <v>1101</v>
      </c>
      <c r="E216" s="148" t="s">
        <v>1012</v>
      </c>
      <c r="F216" s="149" t="s">
        <v>1013</v>
      </c>
      <c r="G216" s="406" t="s">
        <v>121</v>
      </c>
      <c r="H216" s="406">
        <v>833.52750000000003</v>
      </c>
      <c r="I216" s="406">
        <v>2605.75038</v>
      </c>
      <c r="J216" s="406">
        <v>2605.75</v>
      </c>
      <c r="K216" s="406">
        <v>914.60749557157499</v>
      </c>
      <c r="L216" s="406">
        <v>2652.3380000000002</v>
      </c>
      <c r="M216" s="406">
        <v>2652.34</v>
      </c>
      <c r="N216" s="406">
        <v>3072</v>
      </c>
      <c r="O216" s="406">
        <v>3071.08331</v>
      </c>
      <c r="P216" s="406">
        <v>3060.0621299999998</v>
      </c>
      <c r="Q216" s="150">
        <v>3060.0621299999998</v>
      </c>
      <c r="R216" s="406">
        <v>3060.0621299999998</v>
      </c>
      <c r="S216" s="402">
        <v>3060.0621299999998</v>
      </c>
      <c r="T216" s="406">
        <f t="shared" si="111"/>
        <v>-11.937870000000203</v>
      </c>
      <c r="U216" s="406">
        <f t="shared" si="112"/>
        <v>0</v>
      </c>
      <c r="V216" s="406">
        <v>2923.1111563005902</v>
      </c>
      <c r="W216" s="167">
        <v>3710148.51</v>
      </c>
      <c r="X216" s="167">
        <v>3710.14851</v>
      </c>
      <c r="Y216" s="406">
        <v>3710.1485100000004</v>
      </c>
      <c r="Z216" s="406">
        <v>3697.0834599999998</v>
      </c>
      <c r="AA216" s="406">
        <v>11.105079999999999</v>
      </c>
      <c r="AB216" s="406">
        <v>1.95997</v>
      </c>
      <c r="AC216" s="403">
        <v>3054.6511583341166</v>
      </c>
      <c r="AD216" s="406">
        <f>'[71]2. подк.неподк.'!X203</f>
        <v>3501.2715679999997</v>
      </c>
      <c r="AE216" s="406">
        <f>V216*$AD$11</f>
        <v>3030.8329450899141</v>
      </c>
      <c r="AF216" s="402">
        <f t="shared" si="114"/>
        <v>3030.8329450899141</v>
      </c>
      <c r="AG216" s="167">
        <v>3176.8372046674813</v>
      </c>
      <c r="AH216" s="406">
        <v>4674.057317400001</v>
      </c>
      <c r="AI216" s="957">
        <f t="shared" si="113"/>
        <v>1.2598032948821234</v>
      </c>
      <c r="AJ216" s="957">
        <f t="shared" si="115"/>
        <v>1497.2201127325197</v>
      </c>
      <c r="AK216" s="958">
        <f>AH216</f>
        <v>4674.057317400001</v>
      </c>
      <c r="AL216" s="74"/>
      <c r="AM216" s="52">
        <f>AH216-AG216</f>
        <v>1497.2201127325197</v>
      </c>
    </row>
    <row r="217" spans="1:39" ht="33" customHeight="1" outlineLevel="2">
      <c r="A217" s="139" t="s">
        <v>1014</v>
      </c>
      <c r="B217" s="406" t="s">
        <v>1015</v>
      </c>
      <c r="C217" s="198" t="s">
        <v>1016</v>
      </c>
      <c r="D217" s="956" t="s">
        <v>1106</v>
      </c>
      <c r="E217" s="162" t="s">
        <v>1017</v>
      </c>
      <c r="F217" s="149" t="s">
        <v>1018</v>
      </c>
      <c r="G217" s="406" t="s">
        <v>121</v>
      </c>
      <c r="H217" s="406">
        <v>648.4224999999999</v>
      </c>
      <c r="I217" s="406">
        <v>11.81719</v>
      </c>
      <c r="J217" s="406">
        <v>11.82</v>
      </c>
      <c r="K217" s="406">
        <v>711.49671582192479</v>
      </c>
      <c r="L217" s="406">
        <v>169.61799999999999</v>
      </c>
      <c r="M217" s="406">
        <v>169.62</v>
      </c>
      <c r="N217" s="406">
        <v>139</v>
      </c>
      <c r="O217" s="406">
        <v>135.22953000000001</v>
      </c>
      <c r="P217" s="406">
        <v>133.78155999999998</v>
      </c>
      <c r="Q217" s="150">
        <v>133.78155999999998</v>
      </c>
      <c r="R217" s="406">
        <v>133.78155999999998</v>
      </c>
      <c r="S217" s="402">
        <v>133.78155999999998</v>
      </c>
      <c r="T217" s="406">
        <f t="shared" si="111"/>
        <v>-5.2184400000000153</v>
      </c>
      <c r="U217" s="406">
        <f t="shared" si="112"/>
        <v>0</v>
      </c>
      <c r="V217" s="406">
        <v>192.37028249999997</v>
      </c>
      <c r="W217" s="167">
        <v>321424.73</v>
      </c>
      <c r="X217" s="167">
        <v>321.42472999999995</v>
      </c>
      <c r="Y217" s="406">
        <v>321.42473000000007</v>
      </c>
      <c r="Z217" s="406">
        <v>317.86176</v>
      </c>
      <c r="AA217" s="406">
        <v>3.2728299999999999</v>
      </c>
      <c r="AB217" s="406">
        <v>0.29014000000000001</v>
      </c>
      <c r="AC217" s="403">
        <v>201.02694521249995</v>
      </c>
      <c r="AD217" s="406">
        <f>'[71]2. подк.неподк.'!X204</f>
        <v>300.87273996333329</v>
      </c>
      <c r="AE217" s="406">
        <f>V217*$AD$11</f>
        <v>199.45946585046596</v>
      </c>
      <c r="AF217" s="402">
        <f t="shared" si="114"/>
        <v>199.45946585046596</v>
      </c>
      <c r="AG217" s="167">
        <v>209.06802302099996</v>
      </c>
      <c r="AH217" s="406">
        <v>555.96635206799999</v>
      </c>
      <c r="AI217" s="957">
        <f t="shared" si="113"/>
        <v>1.7296937670850656</v>
      </c>
      <c r="AJ217" s="957">
        <f t="shared" si="115"/>
        <v>346.89832904700006</v>
      </c>
      <c r="AK217" s="958">
        <f t="shared" ref="AK217:AK220" si="147">AH217</f>
        <v>555.96635206799999</v>
      </c>
      <c r="AL217" s="74"/>
      <c r="AM217" s="52">
        <f>AH217-AG217</f>
        <v>346.89832904700006</v>
      </c>
    </row>
    <row r="218" spans="1:39" ht="33" customHeight="1" outlineLevel="2">
      <c r="A218" s="139" t="s">
        <v>1019</v>
      </c>
      <c r="B218" s="406" t="s">
        <v>1020</v>
      </c>
      <c r="C218" s="198" t="s">
        <v>1021</v>
      </c>
      <c r="D218" s="956" t="s">
        <v>1111</v>
      </c>
      <c r="E218" s="148" t="s">
        <v>1022</v>
      </c>
      <c r="F218" s="1333" t="s">
        <v>1023</v>
      </c>
      <c r="G218" s="1334" t="s">
        <v>121</v>
      </c>
      <c r="H218" s="406">
        <v>0</v>
      </c>
      <c r="I218" s="406">
        <v>0</v>
      </c>
      <c r="J218" s="406">
        <v>0</v>
      </c>
      <c r="K218" s="406">
        <v>224.56</v>
      </c>
      <c r="L218" s="406">
        <v>445.06104999999997</v>
      </c>
      <c r="M218" s="406">
        <v>445.06</v>
      </c>
      <c r="N218" s="406">
        <v>732</v>
      </c>
      <c r="O218" s="406">
        <v>766.37175000000002</v>
      </c>
      <c r="P218" s="406">
        <v>739.79324999999994</v>
      </c>
      <c r="Q218" s="150">
        <v>739.79324999999994</v>
      </c>
      <c r="R218" s="406">
        <v>739.79324999999994</v>
      </c>
      <c r="S218" s="402">
        <v>739.79324999999994</v>
      </c>
      <c r="T218" s="406">
        <f t="shared" si="111"/>
        <v>7.7932499999999436</v>
      </c>
      <c r="U218" s="406">
        <f t="shared" si="112"/>
        <v>0</v>
      </c>
      <c r="V218" s="406">
        <v>214.68195</v>
      </c>
      <c r="W218" s="167">
        <v>791582.58</v>
      </c>
      <c r="X218" s="167">
        <v>791.58258000000001</v>
      </c>
      <c r="Y218" s="406">
        <v>791.58258000000001</v>
      </c>
      <c r="Z218" s="406">
        <v>772.04895999999997</v>
      </c>
      <c r="AA218" s="406">
        <v>16.961919999999999</v>
      </c>
      <c r="AB218" s="406">
        <v>2.5716999999999999</v>
      </c>
      <c r="AC218" s="403">
        <v>224.34263774999999</v>
      </c>
      <c r="AD218" s="406">
        <f>'[71]2. подк.неподк.'!X205</f>
        <v>844.44932400000016</v>
      </c>
      <c r="AE218" s="406">
        <f>V218*$AD$11</f>
        <v>222.59335755114071</v>
      </c>
      <c r="AF218" s="402">
        <f t="shared" si="114"/>
        <v>222.59335755114071</v>
      </c>
      <c r="AG218" s="167">
        <v>233.31634326</v>
      </c>
      <c r="AH218" s="406">
        <v>968.34048000000007</v>
      </c>
      <c r="AI218" s="957">
        <f t="shared" si="113"/>
        <v>1.2232968542587181</v>
      </c>
      <c r="AJ218" s="957">
        <f t="shared" si="115"/>
        <v>735.02413674000013</v>
      </c>
      <c r="AK218" s="958">
        <f t="shared" si="147"/>
        <v>968.34048000000007</v>
      </c>
      <c r="AL218" s="74"/>
      <c r="AM218" s="52">
        <f>AH218-AG218</f>
        <v>735.02413674000013</v>
      </c>
    </row>
    <row r="219" spans="1:39" ht="33" customHeight="1" outlineLevel="2">
      <c r="A219" s="139" t="s">
        <v>1024</v>
      </c>
      <c r="B219" s="406" t="s">
        <v>1025</v>
      </c>
      <c r="C219" s="198" t="s">
        <v>1026</v>
      </c>
      <c r="D219" s="956" t="s">
        <v>1116</v>
      </c>
      <c r="E219" s="162" t="s">
        <v>1027</v>
      </c>
      <c r="F219" s="1333"/>
      <c r="G219" s="1334"/>
      <c r="H219" s="406">
        <v>1691.3325</v>
      </c>
      <c r="I219" s="406">
        <v>1823.05007</v>
      </c>
      <c r="J219" s="406">
        <v>1823.05</v>
      </c>
      <c r="K219" s="406">
        <v>1631.29</v>
      </c>
      <c r="L219" s="406">
        <v>2762.4987599999999</v>
      </c>
      <c r="M219" s="406">
        <v>2762.02</v>
      </c>
      <c r="N219" s="406">
        <v>2122.0700000000002</v>
      </c>
      <c r="O219" s="406">
        <v>2243.00657</v>
      </c>
      <c r="P219" s="406">
        <v>2166.1840100000004</v>
      </c>
      <c r="Q219" s="150">
        <v>2166.1840100000004</v>
      </c>
      <c r="R219" s="406">
        <v>2166.1840100000004</v>
      </c>
      <c r="S219" s="402">
        <v>2166.1840100000004</v>
      </c>
      <c r="T219" s="406">
        <f t="shared" si="111"/>
        <v>44.114010000000235</v>
      </c>
      <c r="U219" s="406">
        <f t="shared" si="112"/>
        <v>0</v>
      </c>
      <c r="V219" s="406">
        <v>1559.5959499999999</v>
      </c>
      <c r="W219" s="167">
        <v>2797871.78</v>
      </c>
      <c r="X219" s="167">
        <v>2797.8717799999999</v>
      </c>
      <c r="Y219" s="406">
        <v>2797.8717799999999</v>
      </c>
      <c r="Z219" s="406">
        <v>2630.0435899999998</v>
      </c>
      <c r="AA219" s="406">
        <v>149.89343</v>
      </c>
      <c r="AB219" s="406">
        <v>17.934759999999997</v>
      </c>
      <c r="AC219" s="403">
        <v>1629.7777677499998</v>
      </c>
      <c r="AD219" s="406">
        <f>'[71]2. подк.неподк.'!X206</f>
        <v>2644.5540000000005</v>
      </c>
      <c r="AE219" s="406">
        <f>V219*$AD$11</f>
        <v>1617.0698045814329</v>
      </c>
      <c r="AF219" s="402">
        <f t="shared" si="114"/>
        <v>1617.0698045814329</v>
      </c>
      <c r="AG219" s="167">
        <v>1694.9688784599998</v>
      </c>
      <c r="AH219" s="406">
        <v>3105.8843300000003</v>
      </c>
      <c r="AI219" s="957">
        <f t="shared" si="113"/>
        <v>1.1100881577925634</v>
      </c>
      <c r="AJ219" s="957">
        <f t="shared" si="115"/>
        <v>1410.9154515400005</v>
      </c>
      <c r="AK219" s="958">
        <f t="shared" si="147"/>
        <v>3105.8843300000003</v>
      </c>
      <c r="AL219" s="74"/>
      <c r="AM219" s="52">
        <f>AH219-AG219</f>
        <v>1410.9154515400005</v>
      </c>
    </row>
    <row r="220" spans="1:39" ht="33" customHeight="1" outlineLevel="2">
      <c r="A220" s="139" t="s">
        <v>1028</v>
      </c>
      <c r="B220" s="406" t="s">
        <v>1029</v>
      </c>
      <c r="C220" s="198" t="s">
        <v>1030</v>
      </c>
      <c r="D220" s="956" t="s">
        <v>1124</v>
      </c>
      <c r="E220" s="148" t="s">
        <v>1031</v>
      </c>
      <c r="F220" s="149" t="s">
        <v>1032</v>
      </c>
      <c r="G220" s="406" t="s">
        <v>121</v>
      </c>
      <c r="H220" s="406">
        <v>1250</v>
      </c>
      <c r="I220" s="406">
        <v>254.55109999999999</v>
      </c>
      <c r="J220" s="406">
        <v>254.55</v>
      </c>
      <c r="K220" s="406">
        <v>1371.5916625</v>
      </c>
      <c r="L220" s="406">
        <v>873.70372999999995</v>
      </c>
      <c r="M220" s="406">
        <v>873.7</v>
      </c>
      <c r="N220" s="406">
        <v>660.71583895350022</v>
      </c>
      <c r="O220" s="406">
        <v>645.90439000000015</v>
      </c>
      <c r="P220" s="406">
        <v>611.45067000000006</v>
      </c>
      <c r="Q220" s="150">
        <v>611.45067000000006</v>
      </c>
      <c r="R220" s="406">
        <v>611.45067000000006</v>
      </c>
      <c r="S220" s="402">
        <v>611.45067000000006</v>
      </c>
      <c r="T220" s="406">
        <f t="shared" si="111"/>
        <v>-49.265168953500165</v>
      </c>
      <c r="U220" s="406">
        <f t="shared" si="112"/>
        <v>0</v>
      </c>
      <c r="V220" s="406">
        <v>0</v>
      </c>
      <c r="W220" s="167">
        <v>56332.39</v>
      </c>
      <c r="X220" s="167">
        <v>56.332389999999997</v>
      </c>
      <c r="Y220" s="406">
        <v>56.332389999999997</v>
      </c>
      <c r="Z220" s="406">
        <v>52.432580000000002</v>
      </c>
      <c r="AA220" s="406">
        <v>3.2916399999999997</v>
      </c>
      <c r="AB220" s="406">
        <v>0.60816999999999999</v>
      </c>
      <c r="AC220" s="403">
        <v>0</v>
      </c>
      <c r="AD220" s="406">
        <f>'[71]2. подк.неподк.'!X207</f>
        <v>681.78182600000002</v>
      </c>
      <c r="AE220" s="406">
        <f>V220*$AD$11</f>
        <v>0</v>
      </c>
      <c r="AF220" s="402">
        <f t="shared" si="114"/>
        <v>0</v>
      </c>
      <c r="AG220" s="167">
        <v>0</v>
      </c>
      <c r="AH220" s="406">
        <v>1059.1776000000002</v>
      </c>
      <c r="AI220" s="957">
        <f t="shared" si="113"/>
        <v>18.80228408558558</v>
      </c>
      <c r="AJ220" s="957">
        <f t="shared" si="115"/>
        <v>1059.1776000000002</v>
      </c>
      <c r="AK220" s="958">
        <f t="shared" si="147"/>
        <v>1059.1776000000002</v>
      </c>
      <c r="AL220" s="74"/>
      <c r="AM220" s="52">
        <f>AH220-AG220</f>
        <v>1059.1776000000002</v>
      </c>
    </row>
    <row r="221" spans="1:39" ht="33" customHeight="1" outlineLevel="1">
      <c r="A221" s="139"/>
      <c r="B221" s="409" t="s">
        <v>1007</v>
      </c>
      <c r="C221" s="141"/>
      <c r="D221" s="956"/>
      <c r="E221" s="410" t="s">
        <v>1034</v>
      </c>
      <c r="F221" s="410" t="s">
        <v>1034</v>
      </c>
      <c r="G221" s="406" t="s">
        <v>121</v>
      </c>
      <c r="H221" s="402">
        <f t="shared" ref="H221:L221" si="148">SUM(H222:H228)</f>
        <v>3708</v>
      </c>
      <c r="I221" s="402">
        <f t="shared" si="148"/>
        <v>3617.9949900000001</v>
      </c>
      <c r="J221" s="402">
        <f t="shared" si="148"/>
        <v>3334.6800000000003</v>
      </c>
      <c r="K221" s="402">
        <f t="shared" si="148"/>
        <v>4068.6894591454343</v>
      </c>
      <c r="L221" s="402">
        <f t="shared" si="148"/>
        <v>4833.9864900000002</v>
      </c>
      <c r="M221" s="402">
        <f t="shared" ref="M221:N221" si="149">SUM(M222:M228)</f>
        <v>3715.9700000000003</v>
      </c>
      <c r="N221" s="402">
        <f t="shared" si="149"/>
        <v>1470.8626544865938</v>
      </c>
      <c r="O221" s="402">
        <f>SUM(O222:O228)</f>
        <v>5331.6733299999996</v>
      </c>
      <c r="P221" s="402">
        <f t="shared" ref="P221:AK221" si="150">SUM(P222:P228)</f>
        <v>5324.6292599999997</v>
      </c>
      <c r="Q221" s="145">
        <f t="shared" si="150"/>
        <v>4151.8620600000004</v>
      </c>
      <c r="R221" s="402">
        <f t="shared" si="150"/>
        <v>4151.8620600000004</v>
      </c>
      <c r="S221" s="402">
        <f t="shared" si="150"/>
        <v>4151.8620600000004</v>
      </c>
      <c r="T221" s="402">
        <f t="shared" si="111"/>
        <v>2680.9994055134066</v>
      </c>
      <c r="U221" s="402">
        <f t="shared" si="112"/>
        <v>-1172.7671999999993</v>
      </c>
      <c r="V221" s="402">
        <f t="shared" si="150"/>
        <v>1544.0178233145814</v>
      </c>
      <c r="W221" s="402">
        <f t="shared" si="150"/>
        <v>5017340.09</v>
      </c>
      <c r="X221" s="402">
        <f t="shared" si="150"/>
        <v>5017.3400900000006</v>
      </c>
      <c r="Y221" s="402">
        <f t="shared" si="150"/>
        <v>5017.3400899999997</v>
      </c>
      <c r="Z221" s="168">
        <f t="shared" si="150"/>
        <v>5009.2267400000001</v>
      </c>
      <c r="AA221" s="402">
        <f t="shared" si="150"/>
        <v>7.4623299999999997</v>
      </c>
      <c r="AB221" s="402">
        <f t="shared" si="150"/>
        <v>0.65102000000000004</v>
      </c>
      <c r="AC221" s="170">
        <f t="shared" si="150"/>
        <v>1613.4986253637376</v>
      </c>
      <c r="AD221" s="170">
        <f t="shared" si="150"/>
        <v>7826.8382562026482</v>
      </c>
      <c r="AE221" s="170">
        <f t="shared" si="150"/>
        <v>1600.917596520791</v>
      </c>
      <c r="AF221" s="170">
        <f t="shared" si="150"/>
        <v>1600.917596520791</v>
      </c>
      <c r="AG221" s="170">
        <f t="shared" si="150"/>
        <v>1678.0385703782872</v>
      </c>
      <c r="AH221" s="173">
        <f t="shared" si="150"/>
        <v>5917.3857760000001</v>
      </c>
      <c r="AI221" s="974">
        <f t="shared" si="113"/>
        <v>1.1793870197864142</v>
      </c>
      <c r="AJ221" s="975">
        <f t="shared" si="150"/>
        <v>4239.3472056217133</v>
      </c>
      <c r="AK221" s="975">
        <f t="shared" si="150"/>
        <v>5160.49</v>
      </c>
      <c r="AL221" s="74"/>
    </row>
    <row r="222" spans="1:39" ht="33" customHeight="1" outlineLevel="2">
      <c r="A222" s="139" t="s">
        <v>1035</v>
      </c>
      <c r="B222" s="406" t="s">
        <v>1036</v>
      </c>
      <c r="C222" s="198" t="s">
        <v>1037</v>
      </c>
      <c r="D222" s="956" t="s">
        <v>2159</v>
      </c>
      <c r="E222" s="148" t="s">
        <v>1038</v>
      </c>
      <c r="F222" s="149" t="s">
        <v>1039</v>
      </c>
      <c r="G222" s="406" t="s">
        <v>121</v>
      </c>
      <c r="H222" s="406">
        <v>2016.224487468864</v>
      </c>
      <c r="I222" s="406">
        <v>218.91962000000001</v>
      </c>
      <c r="J222" s="406">
        <v>0</v>
      </c>
      <c r="K222" s="406">
        <v>2212.3493573925034</v>
      </c>
      <c r="L222" s="406">
        <v>1118.0188899999998</v>
      </c>
      <c r="M222" s="406">
        <v>0</v>
      </c>
      <c r="N222" s="406">
        <v>0</v>
      </c>
      <c r="O222" s="406">
        <v>1175.34247</v>
      </c>
      <c r="P222" s="406">
        <v>1172.7672</v>
      </c>
      <c r="Q222" s="150">
        <v>0</v>
      </c>
      <c r="R222" s="167">
        <v>0</v>
      </c>
      <c r="S222" s="402">
        <v>0</v>
      </c>
      <c r="T222" s="167">
        <f t="shared" si="111"/>
        <v>0</v>
      </c>
      <c r="U222" s="167">
        <f t="shared" si="112"/>
        <v>-1172.7672</v>
      </c>
      <c r="V222" s="406">
        <v>0</v>
      </c>
      <c r="W222" s="167">
        <v>859147.42</v>
      </c>
      <c r="X222" s="167">
        <v>859.14742000000001</v>
      </c>
      <c r="Y222" s="406">
        <v>859.14742000000001</v>
      </c>
      <c r="Z222" s="406">
        <v>856.22129000000007</v>
      </c>
      <c r="AA222" s="406">
        <v>2.52807</v>
      </c>
      <c r="AB222" s="406">
        <v>0.39806000000000002</v>
      </c>
      <c r="AC222" s="403">
        <v>0</v>
      </c>
      <c r="AD222" s="406">
        <f>'[71]2. подк.неподк.'!X209</f>
        <v>1297.5999999999999</v>
      </c>
      <c r="AE222" s="406">
        <f t="shared" ref="AE222:AE228" si="151">V222*$AD$11</f>
        <v>0</v>
      </c>
      <c r="AF222" s="402">
        <f t="shared" si="114"/>
        <v>0</v>
      </c>
      <c r="AG222" s="167">
        <v>0</v>
      </c>
      <c r="AH222" s="406">
        <v>914.99</v>
      </c>
      <c r="AI222" s="957">
        <f t="shared" ref="AI222:AI285" si="152">AH222/X222</f>
        <v>1.0649976694337278</v>
      </c>
      <c r="AJ222" s="957">
        <f t="shared" ref="AJ222:AJ285" si="153">AH222-AG222</f>
        <v>914.99</v>
      </c>
      <c r="AK222" s="958">
        <f>AH222</f>
        <v>914.99</v>
      </c>
      <c r="AL222" s="74"/>
      <c r="AM222" s="52">
        <f t="shared" ref="AM222:AM228" si="154">AH222-AG222</f>
        <v>914.99</v>
      </c>
    </row>
    <row r="223" spans="1:39" ht="33" customHeight="1" outlineLevel="2">
      <c r="A223" s="139" t="s">
        <v>1040</v>
      </c>
      <c r="B223" s="406" t="s">
        <v>1041</v>
      </c>
      <c r="C223" s="198" t="s">
        <v>1042</v>
      </c>
      <c r="D223" s="956" t="s">
        <v>2160</v>
      </c>
      <c r="E223" s="148" t="s">
        <v>1043</v>
      </c>
      <c r="F223" s="149" t="s">
        <v>1044</v>
      </c>
      <c r="G223" s="406" t="s">
        <v>121</v>
      </c>
      <c r="H223" s="406">
        <v>75.290000000000006</v>
      </c>
      <c r="I223" s="406">
        <v>450.69668999999999</v>
      </c>
      <c r="J223" s="406">
        <v>450.7</v>
      </c>
      <c r="K223" s="406">
        <v>82.613709015699996</v>
      </c>
      <c r="L223" s="406">
        <v>488.49576999999999</v>
      </c>
      <c r="M223" s="406">
        <v>488.5</v>
      </c>
      <c r="N223" s="406">
        <v>7.3386513448103958</v>
      </c>
      <c r="O223" s="406">
        <v>692.00274000000002</v>
      </c>
      <c r="P223" s="406">
        <v>692.00274000000002</v>
      </c>
      <c r="Q223" s="150">
        <v>692.00274000000002</v>
      </c>
      <c r="R223" s="406">
        <v>692.00274000000002</v>
      </c>
      <c r="S223" s="402">
        <v>692.00274000000002</v>
      </c>
      <c r="T223" s="406">
        <f t="shared" ref="T223:T286" si="155">S223-N223</f>
        <v>684.66408865518963</v>
      </c>
      <c r="U223" s="406">
        <f t="shared" ref="U223:U286" si="156">S223-P223</f>
        <v>0</v>
      </c>
      <c r="V223" s="406">
        <v>0</v>
      </c>
      <c r="W223" s="167">
        <v>420421.92</v>
      </c>
      <c r="X223" s="167">
        <v>420.42192</v>
      </c>
      <c r="Y223" s="406">
        <v>420.42192</v>
      </c>
      <c r="Z223" s="406">
        <v>420.42192</v>
      </c>
      <c r="AA223" s="406">
        <v>0</v>
      </c>
      <c r="AB223" s="406">
        <v>0</v>
      </c>
      <c r="AC223" s="403">
        <v>0</v>
      </c>
      <c r="AD223" s="406">
        <f>'[71]2. подк.неподк.'!X210</f>
        <v>0</v>
      </c>
      <c r="AE223" s="406">
        <f t="shared" si="151"/>
        <v>0</v>
      </c>
      <c r="AF223" s="402">
        <f>AE223</f>
        <v>0</v>
      </c>
      <c r="AG223" s="167">
        <v>0</v>
      </c>
      <c r="AH223" s="406">
        <v>0</v>
      </c>
      <c r="AI223" s="957">
        <f t="shared" si="152"/>
        <v>0</v>
      </c>
      <c r="AJ223" s="957">
        <f t="shared" si="153"/>
        <v>0</v>
      </c>
      <c r="AK223" s="958">
        <f t="shared" ref="AK223:AK228" si="157">AH223</f>
        <v>0</v>
      </c>
      <c r="AL223" s="74"/>
      <c r="AM223" s="52">
        <f t="shared" si="154"/>
        <v>0</v>
      </c>
    </row>
    <row r="224" spans="1:39" ht="33" customHeight="1" outlineLevel="2">
      <c r="A224" s="139" t="s">
        <v>1045</v>
      </c>
      <c r="B224" s="406" t="s">
        <v>1046</v>
      </c>
      <c r="C224" s="198" t="s">
        <v>1047</v>
      </c>
      <c r="D224" s="956" t="s">
        <v>1137</v>
      </c>
      <c r="E224" s="148" t="s">
        <v>1048</v>
      </c>
      <c r="F224" s="149" t="s">
        <v>1049</v>
      </c>
      <c r="G224" s="406" t="s">
        <v>121</v>
      </c>
      <c r="H224" s="406">
        <v>1459.2944047673459</v>
      </c>
      <c r="I224" s="406">
        <v>2546.5122500000002</v>
      </c>
      <c r="J224" s="406">
        <v>2546.5100000000002</v>
      </c>
      <c r="K224" s="406">
        <v>1601.2447871906013</v>
      </c>
      <c r="L224" s="406">
        <v>2437.5476500000004</v>
      </c>
      <c r="M224" s="406">
        <v>2437.5500000000002</v>
      </c>
      <c r="N224" s="406">
        <v>735.30390563933986</v>
      </c>
      <c r="O224" s="406">
        <v>2750.7380400000002</v>
      </c>
      <c r="P224" s="406">
        <v>2746.2692400000001</v>
      </c>
      <c r="Q224" s="150">
        <v>2746.2692400000001</v>
      </c>
      <c r="R224" s="406">
        <v>2746.2692400000001</v>
      </c>
      <c r="S224" s="402">
        <v>2746.2692400000001</v>
      </c>
      <c r="T224" s="406">
        <f t="shared" si="155"/>
        <v>2010.9653343606601</v>
      </c>
      <c r="U224" s="406">
        <f t="shared" si="156"/>
        <v>0</v>
      </c>
      <c r="V224" s="406">
        <v>775.74562044950346</v>
      </c>
      <c r="W224" s="167">
        <v>3062633.77</v>
      </c>
      <c r="X224" s="167">
        <v>3062.6337699999999</v>
      </c>
      <c r="Y224" s="406">
        <v>3062.6337699999995</v>
      </c>
      <c r="Z224" s="406">
        <v>3057.4465499999997</v>
      </c>
      <c r="AA224" s="406">
        <v>4.9342600000000001</v>
      </c>
      <c r="AB224" s="406">
        <v>0.25296000000000002</v>
      </c>
      <c r="AC224" s="403">
        <v>810.6541733697311</v>
      </c>
      <c r="AD224" s="406">
        <f>'[71]2. подк.неподк.'!X211</f>
        <v>4726.3938042086411</v>
      </c>
      <c r="AE224" s="406">
        <f t="shared" si="151"/>
        <v>804.33321134565722</v>
      </c>
      <c r="AF224" s="402">
        <f t="shared" ref="AF224:AF285" si="158">AE224</f>
        <v>804.33321134565722</v>
      </c>
      <c r="AG224" s="167">
        <v>843.0803403045204</v>
      </c>
      <c r="AH224" s="406">
        <v>4245.5</v>
      </c>
      <c r="AI224" s="957">
        <f t="shared" si="152"/>
        <v>1.3862251639705521</v>
      </c>
      <c r="AJ224" s="957">
        <f t="shared" si="153"/>
        <v>3402.4196596954798</v>
      </c>
      <c r="AK224" s="958">
        <f t="shared" si="157"/>
        <v>4245.5</v>
      </c>
      <c r="AL224" s="74"/>
      <c r="AM224" s="52">
        <f t="shared" si="154"/>
        <v>3402.4196596954798</v>
      </c>
    </row>
    <row r="225" spans="1:39" ht="33" customHeight="1" outlineLevel="2">
      <c r="A225" s="139" t="s">
        <v>1050</v>
      </c>
      <c r="B225" s="406" t="s">
        <v>1051</v>
      </c>
      <c r="C225" s="198" t="s">
        <v>1052</v>
      </c>
      <c r="D225" s="956" t="s">
        <v>1143</v>
      </c>
      <c r="E225" s="148" t="s">
        <v>1053</v>
      </c>
      <c r="F225" s="149" t="s">
        <v>1054</v>
      </c>
      <c r="G225" s="406" t="s">
        <v>121</v>
      </c>
      <c r="H225" s="406">
        <v>0</v>
      </c>
      <c r="I225" s="406">
        <v>64.400000000000006</v>
      </c>
      <c r="J225" s="406">
        <v>0</v>
      </c>
      <c r="K225" s="406">
        <v>0</v>
      </c>
      <c r="L225" s="406">
        <v>0</v>
      </c>
      <c r="M225" s="406">
        <v>0</v>
      </c>
      <c r="N225" s="406">
        <v>0</v>
      </c>
      <c r="O225" s="406">
        <v>0</v>
      </c>
      <c r="P225" s="406">
        <v>0</v>
      </c>
      <c r="Q225" s="150">
        <v>0</v>
      </c>
      <c r="R225" s="406">
        <v>0</v>
      </c>
      <c r="S225" s="402">
        <v>0</v>
      </c>
      <c r="T225" s="406">
        <f t="shared" si="155"/>
        <v>0</v>
      </c>
      <c r="U225" s="406">
        <f t="shared" si="156"/>
        <v>0</v>
      </c>
      <c r="V225" s="406">
        <v>0</v>
      </c>
      <c r="W225" s="167">
        <v>0</v>
      </c>
      <c r="X225" s="167">
        <v>0</v>
      </c>
      <c r="Y225" s="406">
        <v>0</v>
      </c>
      <c r="Z225" s="406">
        <v>0</v>
      </c>
      <c r="AA225" s="406">
        <v>0</v>
      </c>
      <c r="AB225" s="406">
        <v>0</v>
      </c>
      <c r="AC225" s="403">
        <v>0</v>
      </c>
      <c r="AD225" s="406">
        <f>'[71]2. подк.неподк.'!X212</f>
        <v>1000</v>
      </c>
      <c r="AE225" s="406">
        <f t="shared" si="151"/>
        <v>0</v>
      </c>
      <c r="AF225" s="402">
        <f t="shared" si="158"/>
        <v>0</v>
      </c>
      <c r="AG225" s="167">
        <v>0</v>
      </c>
      <c r="AH225" s="406">
        <v>0</v>
      </c>
      <c r="AI225" s="957" t="e">
        <f t="shared" si="152"/>
        <v>#DIV/0!</v>
      </c>
      <c r="AJ225" s="957">
        <f t="shared" si="153"/>
        <v>0</v>
      </c>
      <c r="AK225" s="958">
        <f t="shared" si="157"/>
        <v>0</v>
      </c>
      <c r="AL225" s="74"/>
      <c r="AM225" s="52">
        <f t="shared" si="154"/>
        <v>0</v>
      </c>
    </row>
    <row r="226" spans="1:39" ht="33" customHeight="1" outlineLevel="2">
      <c r="A226" s="139" t="s">
        <v>1055</v>
      </c>
      <c r="B226" s="406" t="s">
        <v>1056</v>
      </c>
      <c r="C226" s="198" t="s">
        <v>1057</v>
      </c>
      <c r="D226" s="956" t="s">
        <v>1148</v>
      </c>
      <c r="E226" s="148" t="s">
        <v>1058</v>
      </c>
      <c r="F226" s="149" t="s">
        <v>1059</v>
      </c>
      <c r="G226" s="406" t="s">
        <v>121</v>
      </c>
      <c r="H226" s="406">
        <v>157.19110776379011</v>
      </c>
      <c r="I226" s="406">
        <v>337.46643</v>
      </c>
      <c r="J226" s="406">
        <v>337.47</v>
      </c>
      <c r="K226" s="406">
        <v>172.48160554662959</v>
      </c>
      <c r="L226" s="406">
        <v>789.92417999999998</v>
      </c>
      <c r="M226" s="406">
        <v>789.92</v>
      </c>
      <c r="N226" s="406">
        <v>728.22009750244354</v>
      </c>
      <c r="O226" s="406">
        <v>713.59008000000006</v>
      </c>
      <c r="P226" s="406">
        <v>713.59008000000006</v>
      </c>
      <c r="Q226" s="150">
        <v>713.59008000000006</v>
      </c>
      <c r="R226" s="406">
        <v>713.59008000000006</v>
      </c>
      <c r="S226" s="402">
        <v>713.59008000000006</v>
      </c>
      <c r="T226" s="406">
        <f t="shared" si="155"/>
        <v>-14.630017502443479</v>
      </c>
      <c r="U226" s="406">
        <f t="shared" si="156"/>
        <v>0</v>
      </c>
      <c r="V226" s="406">
        <v>768.27220286507793</v>
      </c>
      <c r="W226" s="167">
        <v>675136.98</v>
      </c>
      <c r="X226" s="167">
        <v>675.13697999999999</v>
      </c>
      <c r="Y226" s="406">
        <v>675.13697999999999</v>
      </c>
      <c r="Z226" s="406">
        <v>675.13697999999999</v>
      </c>
      <c r="AA226" s="406">
        <v>0</v>
      </c>
      <c r="AB226" s="406">
        <v>0</v>
      </c>
      <c r="AC226" s="403">
        <v>802.84445199400636</v>
      </c>
      <c r="AD226" s="406">
        <f>'[71]2. подк.неподк.'!X213</f>
        <v>802.84445199400636</v>
      </c>
      <c r="AE226" s="406">
        <f t="shared" si="151"/>
        <v>796.58438517513378</v>
      </c>
      <c r="AF226" s="402">
        <f t="shared" si="158"/>
        <v>796.58438517513378</v>
      </c>
      <c r="AG226" s="167">
        <v>834.95823007376669</v>
      </c>
      <c r="AH226" s="406">
        <v>756.89577600000007</v>
      </c>
      <c r="AI226" s="957">
        <f t="shared" si="152"/>
        <v>1.121099567083409</v>
      </c>
      <c r="AJ226" s="957">
        <f t="shared" si="153"/>
        <v>-78.062454073766617</v>
      </c>
      <c r="AK226" s="965"/>
      <c r="AL226" s="74"/>
      <c r="AM226" s="52">
        <f t="shared" si="154"/>
        <v>-78.062454073766617</v>
      </c>
    </row>
    <row r="227" spans="1:39" ht="33" customHeight="1" outlineLevel="2">
      <c r="A227" s="139" t="s">
        <v>1060</v>
      </c>
      <c r="B227" s="406" t="s">
        <v>1061</v>
      </c>
      <c r="C227" s="198" t="s">
        <v>1062</v>
      </c>
      <c r="D227" s="956" t="s">
        <v>1155</v>
      </c>
      <c r="E227" s="148" t="s">
        <v>1063</v>
      </c>
      <c r="F227" s="149" t="s">
        <v>1064</v>
      </c>
      <c r="G227" s="406" t="s">
        <v>121</v>
      </c>
      <c r="H227" s="406">
        <v>0</v>
      </c>
      <c r="I227" s="406">
        <v>0</v>
      </c>
      <c r="J227" s="406">
        <v>0</v>
      </c>
      <c r="K227" s="406">
        <v>0</v>
      </c>
      <c r="L227" s="406">
        <v>0</v>
      </c>
      <c r="M227" s="406">
        <v>0</v>
      </c>
      <c r="N227" s="406">
        <v>0</v>
      </c>
      <c r="O227" s="406">
        <v>0</v>
      </c>
      <c r="P227" s="406">
        <v>0</v>
      </c>
      <c r="Q227" s="150">
        <v>0</v>
      </c>
      <c r="R227" s="406">
        <v>0</v>
      </c>
      <c r="S227" s="402">
        <v>0</v>
      </c>
      <c r="T227" s="406">
        <f t="shared" si="155"/>
        <v>0</v>
      </c>
      <c r="U227" s="406">
        <f t="shared" si="156"/>
        <v>0</v>
      </c>
      <c r="V227" s="406">
        <v>0</v>
      </c>
      <c r="W227" s="167">
        <v>0</v>
      </c>
      <c r="X227" s="167">
        <v>0</v>
      </c>
      <c r="Y227" s="406">
        <v>0</v>
      </c>
      <c r="Z227" s="406">
        <v>0</v>
      </c>
      <c r="AA227" s="406">
        <v>0</v>
      </c>
      <c r="AB227" s="406">
        <v>0</v>
      </c>
      <c r="AC227" s="403">
        <v>0</v>
      </c>
      <c r="AD227" s="406">
        <f>'[71]2. подк.неподк.'!X214</f>
        <v>0</v>
      </c>
      <c r="AE227" s="406">
        <f t="shared" si="151"/>
        <v>0</v>
      </c>
      <c r="AF227" s="402">
        <f t="shared" si="158"/>
        <v>0</v>
      </c>
      <c r="AG227" s="167">
        <v>0</v>
      </c>
      <c r="AH227" s="406">
        <v>0</v>
      </c>
      <c r="AI227" s="957" t="e">
        <f t="shared" si="152"/>
        <v>#DIV/0!</v>
      </c>
      <c r="AJ227" s="957">
        <f t="shared" si="153"/>
        <v>0</v>
      </c>
      <c r="AK227" s="958">
        <f t="shared" si="157"/>
        <v>0</v>
      </c>
      <c r="AL227" s="74"/>
      <c r="AM227" s="52">
        <f t="shared" si="154"/>
        <v>0</v>
      </c>
    </row>
    <row r="228" spans="1:39" ht="33" customHeight="1" outlineLevel="2">
      <c r="A228" s="139" t="s">
        <v>1065</v>
      </c>
      <c r="B228" s="406" t="s">
        <v>1066</v>
      </c>
      <c r="C228" s="198" t="s">
        <v>1067</v>
      </c>
      <c r="D228" s="956" t="s">
        <v>1160</v>
      </c>
      <c r="E228" s="189" t="s">
        <v>1068</v>
      </c>
      <c r="F228" s="149" t="s">
        <v>1069</v>
      </c>
      <c r="G228" s="406" t="s">
        <v>121</v>
      </c>
      <c r="H228" s="406">
        <v>0</v>
      </c>
      <c r="I228" s="406">
        <v>0</v>
      </c>
      <c r="J228" s="406">
        <v>0</v>
      </c>
      <c r="K228" s="406">
        <v>0</v>
      </c>
      <c r="L228" s="406">
        <v>0</v>
      </c>
      <c r="M228" s="406">
        <v>0</v>
      </c>
      <c r="N228" s="406">
        <v>0</v>
      </c>
      <c r="O228" s="406">
        <v>0</v>
      </c>
      <c r="P228" s="406">
        <v>0</v>
      </c>
      <c r="Q228" s="150">
        <v>0</v>
      </c>
      <c r="R228" s="406">
        <v>0</v>
      </c>
      <c r="S228" s="402">
        <v>0</v>
      </c>
      <c r="T228" s="406">
        <f t="shared" si="155"/>
        <v>0</v>
      </c>
      <c r="U228" s="406">
        <f t="shared" si="156"/>
        <v>0</v>
      </c>
      <c r="V228" s="406">
        <v>0</v>
      </c>
      <c r="W228" s="167">
        <v>0</v>
      </c>
      <c r="X228" s="167">
        <v>0</v>
      </c>
      <c r="Y228" s="406">
        <v>0</v>
      </c>
      <c r="Z228" s="406">
        <v>0</v>
      </c>
      <c r="AA228" s="406">
        <v>0</v>
      </c>
      <c r="AB228" s="406">
        <v>0</v>
      </c>
      <c r="AC228" s="403">
        <v>0</v>
      </c>
      <c r="AD228" s="406">
        <f>'[71]2. подк.неподк.'!X215</f>
        <v>0</v>
      </c>
      <c r="AE228" s="406">
        <f t="shared" si="151"/>
        <v>0</v>
      </c>
      <c r="AF228" s="402">
        <f t="shared" si="158"/>
        <v>0</v>
      </c>
      <c r="AG228" s="167">
        <v>0</v>
      </c>
      <c r="AH228" s="406">
        <v>0</v>
      </c>
      <c r="AI228" s="957" t="e">
        <f t="shared" si="152"/>
        <v>#DIV/0!</v>
      </c>
      <c r="AJ228" s="957">
        <f t="shared" si="153"/>
        <v>0</v>
      </c>
      <c r="AK228" s="958">
        <f t="shared" si="157"/>
        <v>0</v>
      </c>
      <c r="AL228" s="74"/>
      <c r="AM228" s="52">
        <f t="shared" si="154"/>
        <v>0</v>
      </c>
    </row>
    <row r="229" spans="1:39" ht="33" customHeight="1" outlineLevel="1">
      <c r="A229" s="139"/>
      <c r="B229" s="409" t="s">
        <v>1033</v>
      </c>
      <c r="C229" s="141"/>
      <c r="D229" s="406"/>
      <c r="E229" s="410" t="s">
        <v>1071</v>
      </c>
      <c r="F229" s="410" t="s">
        <v>1071</v>
      </c>
      <c r="G229" s="406" t="s">
        <v>121</v>
      </c>
      <c r="H229" s="402">
        <f t="shared" ref="H229:N229" si="159">SUM(H230:H234)</f>
        <v>5182.665</v>
      </c>
      <c r="I229" s="402">
        <f t="shared" si="159"/>
        <v>3407.2187800000002</v>
      </c>
      <c r="J229" s="402">
        <f t="shared" si="159"/>
        <v>2548.0699999999997</v>
      </c>
      <c r="K229" s="402">
        <f t="shared" si="159"/>
        <v>5686.8000828244494</v>
      </c>
      <c r="L229" s="402">
        <f t="shared" si="159"/>
        <v>8089.9306999999999</v>
      </c>
      <c r="M229" s="402">
        <f t="shared" si="159"/>
        <v>585.89</v>
      </c>
      <c r="N229" s="402">
        <f t="shared" si="159"/>
        <v>3951.4904896454455</v>
      </c>
      <c r="O229" s="402">
        <f>SUM(O230:O234)</f>
        <v>4228.9970599999997</v>
      </c>
      <c r="P229" s="402">
        <f t="shared" ref="P229:AK229" si="160">SUM(P230:P234)</f>
        <v>4034.8852999999999</v>
      </c>
      <c r="Q229" s="145">
        <f t="shared" si="160"/>
        <v>4034.8852999999999</v>
      </c>
      <c r="R229" s="402">
        <f t="shared" si="160"/>
        <v>4034.8852999999999</v>
      </c>
      <c r="S229" s="402">
        <f t="shared" si="160"/>
        <v>4034.8852999999999</v>
      </c>
      <c r="T229" s="402">
        <f t="shared" si="155"/>
        <v>83.394810354554465</v>
      </c>
      <c r="U229" s="402">
        <f t="shared" si="156"/>
        <v>0</v>
      </c>
      <c r="V229" s="402">
        <f t="shared" si="160"/>
        <v>664.47249624999995</v>
      </c>
      <c r="W229" s="402">
        <f t="shared" si="160"/>
        <v>4772262.2</v>
      </c>
      <c r="X229" s="402">
        <f t="shared" si="160"/>
        <v>4772.2622000000001</v>
      </c>
      <c r="Y229" s="402">
        <f t="shared" si="160"/>
        <v>4772.2621999999992</v>
      </c>
      <c r="Z229" s="168">
        <f t="shared" si="160"/>
        <v>4559.2133100000001</v>
      </c>
      <c r="AA229" s="402">
        <f t="shared" si="160"/>
        <v>163.18639000000002</v>
      </c>
      <c r="AB229" s="402">
        <f t="shared" si="160"/>
        <v>49.862499999999997</v>
      </c>
      <c r="AC229" s="170">
        <f t="shared" si="160"/>
        <v>694.37375858124994</v>
      </c>
      <c r="AD229" s="170">
        <f t="shared" si="160"/>
        <v>4728.9484599999996</v>
      </c>
      <c r="AE229" s="170">
        <f t="shared" si="160"/>
        <v>688.95947675468415</v>
      </c>
      <c r="AF229" s="170">
        <f t="shared" si="160"/>
        <v>688.95947675468415</v>
      </c>
      <c r="AG229" s="170">
        <f t="shared" si="160"/>
        <v>722.14870892449994</v>
      </c>
      <c r="AH229" s="173">
        <f t="shared" si="160"/>
        <v>2436.8737499999997</v>
      </c>
      <c r="AI229" s="974">
        <f t="shared" si="152"/>
        <v>0.5106328294367396</v>
      </c>
      <c r="AJ229" s="975">
        <f t="shared" si="160"/>
        <v>1714.7250410754998</v>
      </c>
      <c r="AK229" s="975">
        <f t="shared" si="160"/>
        <v>2436.8737499999997</v>
      </c>
      <c r="AL229" s="74"/>
    </row>
    <row r="230" spans="1:39" ht="33" customHeight="1" outlineLevel="2">
      <c r="A230" s="139" t="s">
        <v>1072</v>
      </c>
      <c r="B230" s="406" t="s">
        <v>1073</v>
      </c>
      <c r="C230" s="198" t="s">
        <v>1074</v>
      </c>
      <c r="D230" s="956" t="s">
        <v>1165</v>
      </c>
      <c r="E230" s="148" t="s">
        <v>1075</v>
      </c>
      <c r="F230" s="149" t="s">
        <v>1076</v>
      </c>
      <c r="G230" s="406" t="s">
        <v>121</v>
      </c>
      <c r="H230" s="406">
        <v>1691.3325</v>
      </c>
      <c r="I230" s="406">
        <v>455.76078999999999</v>
      </c>
      <c r="J230" s="406">
        <v>455.76</v>
      </c>
      <c r="K230" s="406">
        <v>1855.8540444122248</v>
      </c>
      <c r="L230" s="406">
        <v>585.88513999999998</v>
      </c>
      <c r="M230" s="406">
        <v>585.89</v>
      </c>
      <c r="N230" s="406">
        <v>584.79219924156894</v>
      </c>
      <c r="O230" s="406">
        <v>594.16305</v>
      </c>
      <c r="P230" s="406">
        <v>582.02267000000006</v>
      </c>
      <c r="Q230" s="150">
        <v>582.02267000000006</v>
      </c>
      <c r="R230" s="406">
        <v>582.02267000000006</v>
      </c>
      <c r="S230" s="402">
        <v>582.02267000000006</v>
      </c>
      <c r="T230" s="406">
        <f t="shared" si="155"/>
        <v>-2.7695292415688755</v>
      </c>
      <c r="U230" s="406">
        <f t="shared" si="156"/>
        <v>0</v>
      </c>
      <c r="V230" s="406">
        <v>664.47249624999995</v>
      </c>
      <c r="W230" s="167">
        <v>556396.85</v>
      </c>
      <c r="X230" s="167">
        <v>556.39684999999997</v>
      </c>
      <c r="Y230" s="406">
        <v>556.39684999999997</v>
      </c>
      <c r="Z230" s="406">
        <v>546.62463000000002</v>
      </c>
      <c r="AA230" s="406">
        <v>8.2705900000000003</v>
      </c>
      <c r="AB230" s="406">
        <v>1.50163</v>
      </c>
      <c r="AC230" s="403">
        <v>694.37375858124994</v>
      </c>
      <c r="AD230" s="406">
        <f>'[71]2. подк.неподк.'!X217</f>
        <v>920.91</v>
      </c>
      <c r="AE230" s="406">
        <f>V230*$AD$11</f>
        <v>688.95947675468415</v>
      </c>
      <c r="AF230" s="402">
        <f t="shared" si="158"/>
        <v>688.95947675468415</v>
      </c>
      <c r="AG230" s="167">
        <v>722.14870892449994</v>
      </c>
      <c r="AH230" s="406">
        <v>946.61374999999998</v>
      </c>
      <c r="AI230" s="957">
        <f t="shared" si="152"/>
        <v>1.7013283773982546</v>
      </c>
      <c r="AJ230" s="957">
        <f t="shared" si="153"/>
        <v>224.46504107550004</v>
      </c>
      <c r="AK230" s="958">
        <f>AH230</f>
        <v>946.61374999999998</v>
      </c>
      <c r="AL230" s="74"/>
      <c r="AM230" s="52">
        <f>AH230-AG230</f>
        <v>224.46504107550004</v>
      </c>
    </row>
    <row r="231" spans="1:39" ht="33" customHeight="1" outlineLevel="2">
      <c r="A231" s="139" t="s">
        <v>1077</v>
      </c>
      <c r="B231" s="406" t="s">
        <v>1078</v>
      </c>
      <c r="C231" s="198" t="s">
        <v>1079</v>
      </c>
      <c r="D231" s="956" t="s">
        <v>1170</v>
      </c>
      <c r="E231" s="148" t="s">
        <v>1080</v>
      </c>
      <c r="F231" s="149" t="s">
        <v>1081</v>
      </c>
      <c r="G231" s="406" t="s">
        <v>121</v>
      </c>
      <c r="H231" s="406">
        <v>1691.3325</v>
      </c>
      <c r="I231" s="406">
        <v>859.14836000000003</v>
      </c>
      <c r="J231" s="406">
        <v>0</v>
      </c>
      <c r="K231" s="406">
        <v>1855.8540444122248</v>
      </c>
      <c r="L231" s="406">
        <v>0</v>
      </c>
      <c r="M231" s="406">
        <v>0</v>
      </c>
      <c r="N231" s="406">
        <v>1129.6982904038766</v>
      </c>
      <c r="O231" s="406">
        <v>984.11404000000005</v>
      </c>
      <c r="P231" s="406">
        <v>930.62285999999995</v>
      </c>
      <c r="Q231" s="150">
        <v>930.62285999999995</v>
      </c>
      <c r="R231" s="406">
        <v>930.62285999999995</v>
      </c>
      <c r="S231" s="402">
        <v>930.62285999999995</v>
      </c>
      <c r="T231" s="406">
        <f t="shared" si="155"/>
        <v>-199.07543040387668</v>
      </c>
      <c r="U231" s="406">
        <f t="shared" si="156"/>
        <v>0</v>
      </c>
      <c r="V231" s="406">
        <v>0</v>
      </c>
      <c r="W231" s="167">
        <v>854300.02</v>
      </c>
      <c r="X231" s="167">
        <v>854.30002000000002</v>
      </c>
      <c r="Y231" s="406">
        <v>854.30002000000002</v>
      </c>
      <c r="Z231" s="406">
        <v>806.13731999999993</v>
      </c>
      <c r="AA231" s="406">
        <v>36.040039999999998</v>
      </c>
      <c r="AB231" s="406">
        <v>12.12266</v>
      </c>
      <c r="AC231" s="403">
        <v>0</v>
      </c>
      <c r="AD231" s="406">
        <f>'[71]2. подк.неподк.'!X218</f>
        <v>1166.4000000000001</v>
      </c>
      <c r="AE231" s="406">
        <f>V231*$AD$11</f>
        <v>0</v>
      </c>
      <c r="AF231" s="402">
        <f t="shared" si="158"/>
        <v>0</v>
      </c>
      <c r="AG231" s="167">
        <v>0</v>
      </c>
      <c r="AH231" s="406">
        <v>1030.7999999999997</v>
      </c>
      <c r="AI231" s="957">
        <f t="shared" si="152"/>
        <v>1.2066018680416275</v>
      </c>
      <c r="AJ231" s="957">
        <f t="shared" si="153"/>
        <v>1030.7999999999997</v>
      </c>
      <c r="AK231" s="958">
        <f t="shared" ref="AK231:AK234" si="161">AH231</f>
        <v>1030.7999999999997</v>
      </c>
      <c r="AL231" s="74"/>
      <c r="AM231" s="52">
        <f>AH231-AG231</f>
        <v>1030.7999999999997</v>
      </c>
    </row>
    <row r="232" spans="1:39" ht="33" customHeight="1" outlineLevel="2">
      <c r="A232" s="139" t="s">
        <v>1082</v>
      </c>
      <c r="B232" s="406" t="s">
        <v>1083</v>
      </c>
      <c r="C232" s="198" t="s">
        <v>1084</v>
      </c>
      <c r="D232" s="956" t="s">
        <v>1175</v>
      </c>
      <c r="E232" s="148" t="s">
        <v>1085</v>
      </c>
      <c r="F232" s="410"/>
      <c r="G232" s="406" t="s">
        <v>121</v>
      </c>
      <c r="H232" s="406">
        <v>0</v>
      </c>
      <c r="I232" s="406">
        <v>0</v>
      </c>
      <c r="J232" s="406">
        <v>0</v>
      </c>
      <c r="K232" s="406">
        <v>0</v>
      </c>
      <c r="L232" s="406">
        <v>0</v>
      </c>
      <c r="M232" s="406">
        <v>0</v>
      </c>
      <c r="N232" s="406">
        <v>0</v>
      </c>
      <c r="O232" s="406">
        <v>288.09564</v>
      </c>
      <c r="P232" s="406">
        <v>287.16131000000001</v>
      </c>
      <c r="Q232" s="150">
        <v>287.16131000000001</v>
      </c>
      <c r="R232" s="406">
        <v>287.16131000000001</v>
      </c>
      <c r="S232" s="402">
        <v>287.16131000000001</v>
      </c>
      <c r="T232" s="406">
        <f t="shared" si="155"/>
        <v>287.16131000000001</v>
      </c>
      <c r="U232" s="406">
        <f t="shared" si="156"/>
        <v>0</v>
      </c>
      <c r="V232" s="406">
        <v>0</v>
      </c>
      <c r="W232" s="167">
        <v>334689.48</v>
      </c>
      <c r="X232" s="167">
        <v>334.68948</v>
      </c>
      <c r="Y232" s="406">
        <v>334.68948</v>
      </c>
      <c r="Z232" s="406">
        <v>333.58797999999996</v>
      </c>
      <c r="AA232" s="406">
        <v>0.94894000000000001</v>
      </c>
      <c r="AB232" s="406">
        <v>0.15256</v>
      </c>
      <c r="AC232" s="403">
        <v>0</v>
      </c>
      <c r="AD232" s="406">
        <f>'[71]2. подк.неподк.'!X219</f>
        <v>406.56</v>
      </c>
      <c r="AE232" s="406">
        <f>V232*$AD$11</f>
        <v>0</v>
      </c>
      <c r="AF232" s="402">
        <f t="shared" si="158"/>
        <v>0</v>
      </c>
      <c r="AG232" s="167">
        <v>0</v>
      </c>
      <c r="AH232" s="406">
        <v>459.46</v>
      </c>
      <c r="AI232" s="957">
        <f t="shared" si="152"/>
        <v>1.3727948664535257</v>
      </c>
      <c r="AJ232" s="957">
        <f t="shared" si="153"/>
        <v>459.46</v>
      </c>
      <c r="AK232" s="958">
        <f t="shared" si="161"/>
        <v>459.46</v>
      </c>
      <c r="AL232" s="74"/>
      <c r="AM232" s="52">
        <f>AH232-AG232</f>
        <v>459.46</v>
      </c>
    </row>
    <row r="233" spans="1:39" ht="33" customHeight="1" outlineLevel="2">
      <c r="A233" s="139" t="s">
        <v>1086</v>
      </c>
      <c r="B233" s="406" t="s">
        <v>1087</v>
      </c>
      <c r="C233" s="198" t="s">
        <v>1088</v>
      </c>
      <c r="D233" s="956" t="s">
        <v>1180</v>
      </c>
      <c r="E233" s="148" t="s">
        <v>1089</v>
      </c>
      <c r="F233" s="149" t="s">
        <v>1090</v>
      </c>
      <c r="G233" s="406" t="s">
        <v>121</v>
      </c>
      <c r="H233" s="406">
        <v>1800</v>
      </c>
      <c r="I233" s="406">
        <v>2092.3096300000002</v>
      </c>
      <c r="J233" s="406">
        <v>2092.31</v>
      </c>
      <c r="K233" s="406">
        <v>1975.0919939999999</v>
      </c>
      <c r="L233" s="406">
        <v>0</v>
      </c>
      <c r="M233" s="406">
        <v>0</v>
      </c>
      <c r="N233" s="406">
        <v>2237</v>
      </c>
      <c r="O233" s="406">
        <v>2362.6243300000001</v>
      </c>
      <c r="P233" s="406">
        <v>2235.0784600000002</v>
      </c>
      <c r="Q233" s="150">
        <v>2235.0784600000002</v>
      </c>
      <c r="R233" s="406">
        <v>2235.0784600000002</v>
      </c>
      <c r="S233" s="402">
        <v>2235.0784600000002</v>
      </c>
      <c r="T233" s="406">
        <f t="shared" si="155"/>
        <v>-1.9215399999998226</v>
      </c>
      <c r="U233" s="406">
        <f t="shared" si="156"/>
        <v>0</v>
      </c>
      <c r="V233" s="406">
        <v>0</v>
      </c>
      <c r="W233" s="167">
        <v>3026875.85</v>
      </c>
      <c r="X233" s="167">
        <v>3026.8758499999999</v>
      </c>
      <c r="Y233" s="406">
        <v>3026.8758499999994</v>
      </c>
      <c r="Z233" s="406">
        <v>2872.8633799999998</v>
      </c>
      <c r="AA233" s="406">
        <v>117.92682000000001</v>
      </c>
      <c r="AB233" s="406">
        <v>36.085650000000001</v>
      </c>
      <c r="AC233" s="403">
        <v>0</v>
      </c>
      <c r="AD233" s="406">
        <f>'[71]2. подк.неподк.'!X220</f>
        <v>2235.0784600000002</v>
      </c>
      <c r="AE233" s="406">
        <f>V233*$AD$11</f>
        <v>0</v>
      </c>
      <c r="AF233" s="402">
        <f t="shared" si="158"/>
        <v>0</v>
      </c>
      <c r="AG233" s="167">
        <v>0</v>
      </c>
      <c r="AH233" s="406">
        <v>0</v>
      </c>
      <c r="AI233" s="957">
        <f t="shared" si="152"/>
        <v>0</v>
      </c>
      <c r="AJ233" s="957">
        <f t="shared" si="153"/>
        <v>0</v>
      </c>
      <c r="AK233" s="958">
        <f t="shared" si="161"/>
        <v>0</v>
      </c>
      <c r="AL233" s="74"/>
      <c r="AM233" s="52">
        <f>AH233-AG233</f>
        <v>0</v>
      </c>
    </row>
    <row r="234" spans="1:39" ht="33" customHeight="1" outlineLevel="2">
      <c r="A234" s="139"/>
      <c r="B234" s="406" t="s">
        <v>1091</v>
      </c>
      <c r="C234" s="198" t="s">
        <v>1876</v>
      </c>
      <c r="D234" s="956" t="s">
        <v>1185</v>
      </c>
      <c r="E234" s="148" t="s">
        <v>1093</v>
      </c>
      <c r="F234" s="149"/>
      <c r="G234" s="406" t="s">
        <v>121</v>
      </c>
      <c r="H234" s="406">
        <v>0</v>
      </c>
      <c r="I234" s="406">
        <v>0</v>
      </c>
      <c r="J234" s="406">
        <v>0</v>
      </c>
      <c r="K234" s="406">
        <v>0</v>
      </c>
      <c r="L234" s="406">
        <v>7504.0455599999996</v>
      </c>
      <c r="M234" s="406">
        <v>0</v>
      </c>
      <c r="N234" s="406">
        <v>0</v>
      </c>
      <c r="O234" s="406"/>
      <c r="P234" s="406"/>
      <c r="Q234" s="150">
        <v>0</v>
      </c>
      <c r="R234" s="167">
        <v>0</v>
      </c>
      <c r="S234" s="402">
        <v>0</v>
      </c>
      <c r="T234" s="167">
        <f t="shared" si="155"/>
        <v>0</v>
      </c>
      <c r="U234" s="167">
        <f t="shared" si="156"/>
        <v>0</v>
      </c>
      <c r="V234" s="406">
        <v>0</v>
      </c>
      <c r="W234" s="167">
        <v>0</v>
      </c>
      <c r="X234" s="167">
        <v>0</v>
      </c>
      <c r="Y234" s="406"/>
      <c r="Z234" s="406"/>
      <c r="AA234" s="406"/>
      <c r="AB234" s="406"/>
      <c r="AC234" s="403">
        <v>0</v>
      </c>
      <c r="AD234" s="406">
        <v>0</v>
      </c>
      <c r="AE234" s="406">
        <f>V234*$AD$11</f>
        <v>0</v>
      </c>
      <c r="AF234" s="402">
        <f t="shared" si="158"/>
        <v>0</v>
      </c>
      <c r="AG234" s="167">
        <v>0</v>
      </c>
      <c r="AH234" s="406">
        <v>0</v>
      </c>
      <c r="AI234" s="957" t="e">
        <f t="shared" si="152"/>
        <v>#DIV/0!</v>
      </c>
      <c r="AJ234" s="957">
        <f t="shared" si="153"/>
        <v>0</v>
      </c>
      <c r="AK234" s="958">
        <f t="shared" si="161"/>
        <v>0</v>
      </c>
      <c r="AL234" s="74"/>
      <c r="AM234" s="52">
        <f>AH234-AG234</f>
        <v>0</v>
      </c>
    </row>
    <row r="235" spans="1:39" ht="33" customHeight="1" outlineLevel="1">
      <c r="A235" s="408"/>
      <c r="B235" s="409" t="s">
        <v>1070</v>
      </c>
      <c r="C235" s="141"/>
      <c r="D235" s="406"/>
      <c r="E235" s="410" t="s">
        <v>1095</v>
      </c>
      <c r="F235" s="410" t="s">
        <v>1095</v>
      </c>
      <c r="G235" s="406" t="s">
        <v>121</v>
      </c>
      <c r="H235" s="402">
        <f t="shared" ref="H235:J235" si="162">SUM(H236:H240)</f>
        <v>2775.230507184152</v>
      </c>
      <c r="I235" s="402">
        <f t="shared" si="162"/>
        <v>3185.68833</v>
      </c>
      <c r="J235" s="402">
        <f t="shared" si="162"/>
        <v>3184.78836</v>
      </c>
      <c r="K235" s="402">
        <f>SUM(K236:K240)</f>
        <v>3045.1864201355434</v>
      </c>
      <c r="L235" s="402">
        <f t="shared" ref="L235:AK235" si="163">SUM(L236:L240)</f>
        <v>3129.8628799999997</v>
      </c>
      <c r="M235" s="402">
        <f t="shared" si="163"/>
        <v>3129.8599999999997</v>
      </c>
      <c r="N235" s="402">
        <f t="shared" si="163"/>
        <v>2688.2618994274103</v>
      </c>
      <c r="O235" s="402">
        <f t="shared" si="163"/>
        <v>5074.73369</v>
      </c>
      <c r="P235" s="402">
        <f t="shared" si="163"/>
        <v>4839.0552399999997</v>
      </c>
      <c r="Q235" s="145">
        <f t="shared" si="163"/>
        <v>4839.0552399999997</v>
      </c>
      <c r="R235" s="402">
        <f t="shared" si="163"/>
        <v>4839.0552399999997</v>
      </c>
      <c r="S235" s="402">
        <f t="shared" si="163"/>
        <v>4839.0552399999997</v>
      </c>
      <c r="T235" s="402">
        <f t="shared" si="155"/>
        <v>2150.7933405725894</v>
      </c>
      <c r="U235" s="402">
        <f t="shared" si="156"/>
        <v>0</v>
      </c>
      <c r="V235" s="402">
        <f t="shared" si="163"/>
        <v>3114.3808670829167</v>
      </c>
      <c r="W235" s="402">
        <f t="shared" si="163"/>
        <v>4262123.84</v>
      </c>
      <c r="X235" s="402">
        <f t="shared" si="163"/>
        <v>4262.1238400000002</v>
      </c>
      <c r="Y235" s="402">
        <f t="shared" si="163"/>
        <v>4262.1238400000002</v>
      </c>
      <c r="Z235" s="168">
        <f t="shared" si="163"/>
        <v>4038.1878900000006</v>
      </c>
      <c r="AA235" s="402">
        <f t="shared" si="163"/>
        <v>190.33166</v>
      </c>
      <c r="AB235" s="402">
        <f t="shared" si="163"/>
        <v>33.604289999999999</v>
      </c>
      <c r="AC235" s="170">
        <f t="shared" si="163"/>
        <v>3254.5280061016479</v>
      </c>
      <c r="AD235" s="170">
        <f t="shared" si="163"/>
        <v>5677.5950782500004</v>
      </c>
      <c r="AE235" s="170">
        <f t="shared" si="163"/>
        <v>3229.1512812186556</v>
      </c>
      <c r="AF235" s="170">
        <f t="shared" si="163"/>
        <v>3229.1512812186556</v>
      </c>
      <c r="AG235" s="170">
        <f t="shared" si="163"/>
        <v>3384.7091263457137</v>
      </c>
      <c r="AH235" s="173">
        <f t="shared" si="163"/>
        <v>7471.0120012407824</v>
      </c>
      <c r="AI235" s="974">
        <f t="shared" si="152"/>
        <v>1.7528847780361028</v>
      </c>
      <c r="AJ235" s="975">
        <f t="shared" si="163"/>
        <v>4086.3028748950687</v>
      </c>
      <c r="AK235" s="975">
        <f t="shared" si="163"/>
        <v>6588.2479816703835</v>
      </c>
      <c r="AL235" s="74"/>
    </row>
    <row r="236" spans="1:39" ht="33" customHeight="1" outlineLevel="2">
      <c r="A236" s="139" t="s">
        <v>1096</v>
      </c>
      <c r="B236" s="406" t="s">
        <v>1097</v>
      </c>
      <c r="C236" s="198" t="s">
        <v>1098</v>
      </c>
      <c r="D236" s="956" t="s">
        <v>1190</v>
      </c>
      <c r="E236" s="148" t="s">
        <v>1099</v>
      </c>
      <c r="F236" s="149" t="s">
        <v>1100</v>
      </c>
      <c r="G236" s="406" t="s">
        <v>121</v>
      </c>
      <c r="H236" s="406">
        <v>1200</v>
      </c>
      <c r="I236" s="406">
        <v>935</v>
      </c>
      <c r="J236" s="406">
        <v>935</v>
      </c>
      <c r="K236" s="406">
        <v>1316.7279959999998</v>
      </c>
      <c r="L236" s="406">
        <v>1036.5852199999999</v>
      </c>
      <c r="M236" s="406">
        <v>1036.5899999999999</v>
      </c>
      <c r="N236" s="406">
        <v>786.26208967510627</v>
      </c>
      <c r="O236" s="406">
        <v>1045.5140100000001</v>
      </c>
      <c r="P236" s="406">
        <v>985.90191000000004</v>
      </c>
      <c r="Q236" s="150">
        <v>985.90191000000004</v>
      </c>
      <c r="R236" s="406">
        <v>985.90191000000004</v>
      </c>
      <c r="S236" s="402">
        <v>985.90191000000004</v>
      </c>
      <c r="T236" s="406">
        <f t="shared" si="155"/>
        <v>199.63982032489378</v>
      </c>
      <c r="U236" s="406">
        <f t="shared" si="156"/>
        <v>0</v>
      </c>
      <c r="V236" s="406">
        <v>1175.6226337499997</v>
      </c>
      <c r="W236" s="167">
        <v>1094227.55</v>
      </c>
      <c r="X236" s="167">
        <v>1094.2275500000001</v>
      </c>
      <c r="Y236" s="406">
        <v>1094.2275500000001</v>
      </c>
      <c r="Z236" s="406">
        <v>1018.01241</v>
      </c>
      <c r="AA236" s="406">
        <v>64.284400000000005</v>
      </c>
      <c r="AB236" s="406">
        <v>11.93074</v>
      </c>
      <c r="AC236" s="403">
        <v>1228.5256522687496</v>
      </c>
      <c r="AD236" s="406">
        <f>'[71]2. подк.неподк.'!X223</f>
        <v>1255.9100000000001</v>
      </c>
      <c r="AE236" s="406">
        <f>V236*$AD$11</f>
        <v>1218.9463960967723</v>
      </c>
      <c r="AF236" s="402">
        <f t="shared" si="158"/>
        <v>1218.9463960967723</v>
      </c>
      <c r="AG236" s="167">
        <v>1277.6666783594997</v>
      </c>
      <c r="AH236" s="406">
        <v>1367.9939507623606</v>
      </c>
      <c r="AI236" s="957">
        <f t="shared" si="152"/>
        <v>1.2501914713830413</v>
      </c>
      <c r="AJ236" s="957">
        <f t="shared" si="153"/>
        <v>90.327272402860899</v>
      </c>
      <c r="AK236" s="958">
        <f>AH236</f>
        <v>1367.9939507623606</v>
      </c>
      <c r="AL236" s="74"/>
      <c r="AM236" s="52">
        <f t="shared" ref="AM236:AM242" si="164">AH236-AG236</f>
        <v>90.327272402860899</v>
      </c>
    </row>
    <row r="237" spans="1:39" s="200" customFormat="1" ht="99.6" customHeight="1" outlineLevel="2">
      <c r="A237" s="139" t="s">
        <v>1101</v>
      </c>
      <c r="B237" s="406" t="s">
        <v>1102</v>
      </c>
      <c r="C237" s="198" t="s">
        <v>1103</v>
      </c>
      <c r="D237" s="956" t="s">
        <v>1195</v>
      </c>
      <c r="E237" s="148" t="s">
        <v>1104</v>
      </c>
      <c r="F237" s="149" t="s">
        <v>1105</v>
      </c>
      <c r="G237" s="406" t="s">
        <v>121</v>
      </c>
      <c r="H237" s="406">
        <v>424.93776126163908</v>
      </c>
      <c r="I237" s="406">
        <v>974.90022999999997</v>
      </c>
      <c r="J237" s="406">
        <v>974</v>
      </c>
      <c r="K237" s="406">
        <v>466.27287234230369</v>
      </c>
      <c r="L237" s="406">
        <v>1096.7721899999999</v>
      </c>
      <c r="M237" s="406">
        <v>1096.77</v>
      </c>
      <c r="N237" s="406">
        <v>819.81507172678266</v>
      </c>
      <c r="O237" s="406">
        <v>1147.3548999999998</v>
      </c>
      <c r="P237" s="406">
        <v>1074.1103799999999</v>
      </c>
      <c r="Q237" s="150">
        <v>1074.1103799999999</v>
      </c>
      <c r="R237" s="406">
        <v>1074.1103799999999</v>
      </c>
      <c r="S237" s="402">
        <v>1074.1103799999999</v>
      </c>
      <c r="T237" s="406">
        <f t="shared" si="155"/>
        <v>254.29530827321719</v>
      </c>
      <c r="U237" s="406">
        <f t="shared" si="156"/>
        <v>0</v>
      </c>
      <c r="V237" s="406">
        <v>864.90490067175563</v>
      </c>
      <c r="W237" s="167">
        <v>1160713.95</v>
      </c>
      <c r="X237" s="167">
        <v>1160.7139499999998</v>
      </c>
      <c r="Y237" s="406">
        <v>1160.7139500000003</v>
      </c>
      <c r="Z237" s="406">
        <v>1077.0996100000002</v>
      </c>
      <c r="AA237" s="406">
        <v>70.860559999999992</v>
      </c>
      <c r="AB237" s="406">
        <v>12.753780000000001</v>
      </c>
      <c r="AC237" s="403">
        <v>903.82562120198452</v>
      </c>
      <c r="AD237" s="406">
        <f>'[71]2. подк.неподк.'!X224</f>
        <v>1384.53</v>
      </c>
      <c r="AE237" s="406">
        <f>V237*$AD$11</f>
        <v>896.778167903552</v>
      </c>
      <c r="AF237" s="402">
        <f t="shared" si="158"/>
        <v>896.778167903552</v>
      </c>
      <c r="AG237" s="167">
        <v>939.97864605006396</v>
      </c>
      <c r="AH237" s="406">
        <v>2913.4540309080217</v>
      </c>
      <c r="AI237" s="957">
        <f t="shared" si="152"/>
        <v>2.5100534295362111</v>
      </c>
      <c r="AJ237" s="957">
        <f t="shared" si="153"/>
        <v>1973.4753848579576</v>
      </c>
      <c r="AK237" s="958">
        <f t="shared" ref="AK237:AK240" si="165">AH237</f>
        <v>2913.4540309080217</v>
      </c>
      <c r="AL237" s="999" t="s">
        <v>2161</v>
      </c>
      <c r="AM237" s="52">
        <f t="shared" si="164"/>
        <v>1973.4753848579576</v>
      </c>
    </row>
    <row r="238" spans="1:39" ht="33" customHeight="1" outlineLevel="2">
      <c r="A238" s="139" t="s">
        <v>1106</v>
      </c>
      <c r="B238" s="406" t="s">
        <v>1107</v>
      </c>
      <c r="C238" s="198" t="s">
        <v>1108</v>
      </c>
      <c r="D238" s="956" t="s">
        <v>1200</v>
      </c>
      <c r="E238" s="148" t="s">
        <v>1109</v>
      </c>
      <c r="F238" s="149" t="s">
        <v>1110</v>
      </c>
      <c r="G238" s="406" t="s">
        <v>121</v>
      </c>
      <c r="H238" s="406">
        <v>805.26024439638672</v>
      </c>
      <c r="I238" s="406">
        <v>758.95182999999997</v>
      </c>
      <c r="J238" s="406">
        <v>758.95</v>
      </c>
      <c r="K238" s="406">
        <v>883.590589885437</v>
      </c>
      <c r="L238" s="406">
        <v>803.60307</v>
      </c>
      <c r="M238" s="406">
        <v>803.6</v>
      </c>
      <c r="N238" s="406">
        <v>638.21930675780322</v>
      </c>
      <c r="O238" s="406">
        <v>909.11506000000008</v>
      </c>
      <c r="P238" s="406">
        <v>844.19569999999999</v>
      </c>
      <c r="Q238" s="150">
        <v>844.19569999999999</v>
      </c>
      <c r="R238" s="406">
        <v>844.19569999999999</v>
      </c>
      <c r="S238" s="402">
        <v>844.19569999999999</v>
      </c>
      <c r="T238" s="406">
        <f t="shared" si="155"/>
        <v>205.97639324219676</v>
      </c>
      <c r="U238" s="406">
        <f t="shared" si="156"/>
        <v>0</v>
      </c>
      <c r="V238" s="406">
        <v>911.38284999999996</v>
      </c>
      <c r="W238" s="167">
        <v>716794.64</v>
      </c>
      <c r="X238" s="167">
        <v>716.79463999999996</v>
      </c>
      <c r="Y238" s="406">
        <v>716.79463999999996</v>
      </c>
      <c r="Z238" s="406">
        <v>667.41379000000006</v>
      </c>
      <c r="AA238" s="406">
        <v>42.490589999999997</v>
      </c>
      <c r="AB238" s="406">
        <v>6.8902600000000005</v>
      </c>
      <c r="AC238" s="403">
        <v>952.39507824999987</v>
      </c>
      <c r="AD238" s="406">
        <f>'[71]2. подк.неподк.'!X225</f>
        <v>952.39507824999987</v>
      </c>
      <c r="AE238" s="406">
        <f>V238*$AD$11</f>
        <v>944.96891143399637</v>
      </c>
      <c r="AF238" s="402">
        <f t="shared" si="158"/>
        <v>944.96891143399637</v>
      </c>
      <c r="AG238" s="167">
        <v>990.49088137999991</v>
      </c>
      <c r="AH238" s="406">
        <v>882.76401957040002</v>
      </c>
      <c r="AI238" s="957">
        <f t="shared" si="152"/>
        <v>1.2315438346056831</v>
      </c>
      <c r="AJ238" s="957">
        <f t="shared" si="153"/>
        <v>-107.72686180959988</v>
      </c>
      <c r="AK238" s="965"/>
      <c r="AL238" s="74"/>
      <c r="AM238" s="52">
        <f t="shared" si="164"/>
        <v>-107.72686180959988</v>
      </c>
    </row>
    <row r="239" spans="1:39" ht="33" customHeight="1" outlineLevel="2">
      <c r="A239" s="139" t="s">
        <v>1111</v>
      </c>
      <c r="B239" s="406" t="s">
        <v>1112</v>
      </c>
      <c r="C239" s="198" t="s">
        <v>1113</v>
      </c>
      <c r="D239" s="956" t="s">
        <v>1205</v>
      </c>
      <c r="E239" s="148" t="s">
        <v>1114</v>
      </c>
      <c r="F239" s="149" t="s">
        <v>1115</v>
      </c>
      <c r="G239" s="406" t="s">
        <v>121</v>
      </c>
      <c r="H239" s="406">
        <v>195.0325015261262</v>
      </c>
      <c r="I239" s="406">
        <v>344.81790999999998</v>
      </c>
      <c r="J239" s="406">
        <v>344.82</v>
      </c>
      <c r="K239" s="406">
        <v>214.00396240780256</v>
      </c>
      <c r="L239" s="406">
        <v>0</v>
      </c>
      <c r="M239" s="406">
        <v>0</v>
      </c>
      <c r="N239" s="406">
        <v>289.96497376898685</v>
      </c>
      <c r="O239" s="406">
        <v>1774.1974300000002</v>
      </c>
      <c r="P239" s="406">
        <v>1749.5303200000001</v>
      </c>
      <c r="Q239" s="150">
        <v>1749.5303200000001</v>
      </c>
      <c r="R239" s="406">
        <v>1749.5303200000001</v>
      </c>
      <c r="S239" s="402">
        <v>1749.5303200000001</v>
      </c>
      <c r="T239" s="406">
        <f t="shared" si="155"/>
        <v>1459.5653462310133</v>
      </c>
      <c r="U239" s="406">
        <f t="shared" si="156"/>
        <v>0</v>
      </c>
      <c r="V239" s="406">
        <v>0</v>
      </c>
      <c r="W239" s="167">
        <v>1113301.3500000001</v>
      </c>
      <c r="X239" s="167">
        <v>1113.3013500000002</v>
      </c>
      <c r="Y239" s="406">
        <v>1113.3013500000002</v>
      </c>
      <c r="Z239" s="406">
        <v>1113.3013500000002</v>
      </c>
      <c r="AA239" s="406">
        <v>0</v>
      </c>
      <c r="AB239" s="406">
        <v>0</v>
      </c>
      <c r="AC239" s="403">
        <v>0</v>
      </c>
      <c r="AD239" s="406">
        <f>'[71]2. подк.неподк.'!X226</f>
        <v>1876.63</v>
      </c>
      <c r="AE239" s="406">
        <f>V239*$AD$11</f>
        <v>0</v>
      </c>
      <c r="AF239" s="402">
        <f t="shared" si="158"/>
        <v>0</v>
      </c>
      <c r="AG239" s="167">
        <v>0</v>
      </c>
      <c r="AH239" s="406">
        <v>2111.2800000000002</v>
      </c>
      <c r="AI239" s="957">
        <f t="shared" si="152"/>
        <v>1.8964137607486058</v>
      </c>
      <c r="AJ239" s="957">
        <f t="shared" si="153"/>
        <v>2111.2800000000002</v>
      </c>
      <c r="AK239" s="958">
        <f t="shared" si="165"/>
        <v>2111.2800000000002</v>
      </c>
      <c r="AL239" s="74"/>
      <c r="AM239" s="52">
        <f t="shared" si="164"/>
        <v>2111.2800000000002</v>
      </c>
    </row>
    <row r="240" spans="1:39" ht="33" customHeight="1" outlineLevel="2">
      <c r="A240" s="139" t="s">
        <v>1116</v>
      </c>
      <c r="B240" s="406" t="s">
        <v>1117</v>
      </c>
      <c r="C240" s="198" t="s">
        <v>1118</v>
      </c>
      <c r="D240" s="956" t="s">
        <v>1210</v>
      </c>
      <c r="E240" s="148" t="s">
        <v>1119</v>
      </c>
      <c r="F240" s="149" t="s">
        <v>1120</v>
      </c>
      <c r="G240" s="406" t="s">
        <v>121</v>
      </c>
      <c r="H240" s="406">
        <v>150</v>
      </c>
      <c r="I240" s="406">
        <v>172.01836</v>
      </c>
      <c r="J240" s="406">
        <v>172.01836</v>
      </c>
      <c r="K240" s="179">
        <v>164.59099949999998</v>
      </c>
      <c r="L240" s="179">
        <v>192.9024</v>
      </c>
      <c r="M240" s="179">
        <v>192.9</v>
      </c>
      <c r="N240" s="179">
        <v>154.00045749873112</v>
      </c>
      <c r="O240" s="179">
        <v>198.55228999999997</v>
      </c>
      <c r="P240" s="179">
        <v>185.31692999999999</v>
      </c>
      <c r="Q240" s="180">
        <v>185.31692999999999</v>
      </c>
      <c r="R240" s="179">
        <v>185.31692999999999</v>
      </c>
      <c r="S240" s="402">
        <v>185.31692999999999</v>
      </c>
      <c r="T240" s="179">
        <f t="shared" si="155"/>
        <v>31.316472501268862</v>
      </c>
      <c r="U240" s="179">
        <f t="shared" si="156"/>
        <v>0</v>
      </c>
      <c r="V240" s="406">
        <v>162.47048266116133</v>
      </c>
      <c r="W240" s="167">
        <v>177086.35</v>
      </c>
      <c r="X240" s="167">
        <v>177.08635000000001</v>
      </c>
      <c r="Y240" s="406">
        <v>177.08635000000004</v>
      </c>
      <c r="Z240" s="406">
        <v>162.36073000000002</v>
      </c>
      <c r="AA240" s="406">
        <v>12.696110000000001</v>
      </c>
      <c r="AB240" s="406">
        <v>2.0295100000000001</v>
      </c>
      <c r="AC240" s="403">
        <v>169.78165438091358</v>
      </c>
      <c r="AD240" s="406">
        <f>'[71]2. подк.неподк.'!X227</f>
        <v>208.13</v>
      </c>
      <c r="AE240" s="406">
        <f>V240*$AD$11</f>
        <v>168.45780578433488</v>
      </c>
      <c r="AF240" s="402">
        <f t="shared" si="158"/>
        <v>168.45780578433488</v>
      </c>
      <c r="AG240" s="403">
        <v>176.57292055615014</v>
      </c>
      <c r="AH240" s="179">
        <v>195.52</v>
      </c>
      <c r="AI240" s="976">
        <f t="shared" si="152"/>
        <v>1.1040941326081881</v>
      </c>
      <c r="AJ240" s="976">
        <f t="shared" si="153"/>
        <v>18.947079443849873</v>
      </c>
      <c r="AK240" s="958">
        <f t="shared" si="165"/>
        <v>195.52</v>
      </c>
      <c r="AL240" s="74"/>
      <c r="AM240" s="52">
        <f t="shared" si="164"/>
        <v>18.947079443849873</v>
      </c>
    </row>
    <row r="241" spans="1:40" ht="33" customHeight="1" outlineLevel="1">
      <c r="A241" s="139"/>
      <c r="B241" s="409" t="s">
        <v>1094</v>
      </c>
      <c r="C241" s="141"/>
      <c r="D241" s="406"/>
      <c r="E241" s="410" t="s">
        <v>1122</v>
      </c>
      <c r="F241" s="410" t="s">
        <v>1123</v>
      </c>
      <c r="G241" s="406" t="s">
        <v>121</v>
      </c>
      <c r="H241" s="402">
        <f t="shared" ref="H241:J241" si="166">H242</f>
        <v>0</v>
      </c>
      <c r="I241" s="402">
        <f t="shared" si="166"/>
        <v>14.41</v>
      </c>
      <c r="J241" s="402">
        <f t="shared" si="166"/>
        <v>0</v>
      </c>
      <c r="K241" s="402">
        <f>K242</f>
        <v>0</v>
      </c>
      <c r="L241" s="402">
        <f t="shared" ref="L241:AK241" si="167">L242</f>
        <v>13.22683</v>
      </c>
      <c r="M241" s="402">
        <f t="shared" si="167"/>
        <v>0</v>
      </c>
      <c r="N241" s="402">
        <v>0</v>
      </c>
      <c r="O241" s="402">
        <v>0</v>
      </c>
      <c r="P241" s="402">
        <v>0</v>
      </c>
      <c r="Q241" s="145">
        <v>0</v>
      </c>
      <c r="R241" s="402">
        <v>0</v>
      </c>
      <c r="S241" s="402">
        <v>0</v>
      </c>
      <c r="T241" s="402">
        <f t="shared" si="155"/>
        <v>0</v>
      </c>
      <c r="U241" s="402">
        <f t="shared" si="156"/>
        <v>0</v>
      </c>
      <c r="V241" s="402">
        <f t="shared" si="167"/>
        <v>0</v>
      </c>
      <c r="W241" s="402">
        <f t="shared" si="167"/>
        <v>58939.05</v>
      </c>
      <c r="X241" s="402">
        <f t="shared" si="167"/>
        <v>58.939050000000002</v>
      </c>
      <c r="Y241" s="402">
        <f>Y242</f>
        <v>58.939049999999995</v>
      </c>
      <c r="Z241" s="168">
        <f t="shared" si="167"/>
        <v>58.487209999999997</v>
      </c>
      <c r="AA241" s="402">
        <f t="shared" si="167"/>
        <v>0.41960000000000003</v>
      </c>
      <c r="AB241" s="402">
        <f t="shared" si="167"/>
        <v>3.2240000000000005E-2</v>
      </c>
      <c r="AC241" s="170">
        <f t="shared" si="167"/>
        <v>0</v>
      </c>
      <c r="AD241" s="170">
        <f t="shared" si="167"/>
        <v>0</v>
      </c>
      <c r="AE241" s="170">
        <f t="shared" si="167"/>
        <v>0</v>
      </c>
      <c r="AF241" s="170">
        <f t="shared" si="167"/>
        <v>0</v>
      </c>
      <c r="AG241" s="170">
        <f t="shared" si="167"/>
        <v>0</v>
      </c>
      <c r="AH241" s="173">
        <f t="shared" si="167"/>
        <v>0</v>
      </c>
      <c r="AI241" s="974">
        <f t="shared" si="152"/>
        <v>0</v>
      </c>
      <c r="AJ241" s="975">
        <f t="shared" si="167"/>
        <v>0</v>
      </c>
      <c r="AK241" s="975">
        <f t="shared" si="167"/>
        <v>0</v>
      </c>
      <c r="AL241" s="74"/>
      <c r="AM241" s="52">
        <f t="shared" si="164"/>
        <v>0</v>
      </c>
    </row>
    <row r="242" spans="1:40" ht="33" customHeight="1" outlineLevel="2">
      <c r="A242" s="407" t="s">
        <v>1124</v>
      </c>
      <c r="B242" s="406" t="s">
        <v>1125</v>
      </c>
      <c r="C242" s="978" t="s">
        <v>1126</v>
      </c>
      <c r="D242" s="979" t="s">
        <v>1217</v>
      </c>
      <c r="E242" s="164" t="s">
        <v>1127</v>
      </c>
      <c r="F242" s="149" t="s">
        <v>1128</v>
      </c>
      <c r="G242" s="406" t="s">
        <v>121</v>
      </c>
      <c r="H242" s="406">
        <v>0</v>
      </c>
      <c r="I242" s="406">
        <v>14.41</v>
      </c>
      <c r="J242" s="406">
        <v>0</v>
      </c>
      <c r="K242" s="179">
        <v>0</v>
      </c>
      <c r="L242" s="179">
        <v>13.22683</v>
      </c>
      <c r="M242" s="179">
        <v>0</v>
      </c>
      <c r="N242" s="179">
        <v>0</v>
      </c>
      <c r="O242" s="179">
        <v>0</v>
      </c>
      <c r="P242" s="179">
        <v>0</v>
      </c>
      <c r="Q242" s="180">
        <v>0</v>
      </c>
      <c r="R242" s="179">
        <v>0</v>
      </c>
      <c r="S242" s="402">
        <v>0</v>
      </c>
      <c r="T242" s="179">
        <f t="shared" si="155"/>
        <v>0</v>
      </c>
      <c r="U242" s="179">
        <f t="shared" si="156"/>
        <v>0</v>
      </c>
      <c r="V242" s="406">
        <v>0</v>
      </c>
      <c r="W242" s="167">
        <v>58939.05</v>
      </c>
      <c r="X242" s="167">
        <v>58.939050000000002</v>
      </c>
      <c r="Y242" s="406">
        <v>58.939049999999995</v>
      </c>
      <c r="Z242" s="406">
        <v>58.487209999999997</v>
      </c>
      <c r="AA242" s="406">
        <v>0.41960000000000003</v>
      </c>
      <c r="AB242" s="406">
        <v>3.2240000000000005E-2</v>
      </c>
      <c r="AC242" s="403">
        <v>0</v>
      </c>
      <c r="AD242" s="406">
        <f>'[71]2. подк.неподк.'!X229</f>
        <v>0</v>
      </c>
      <c r="AE242" s="406">
        <f>V242*$AD$11</f>
        <v>0</v>
      </c>
      <c r="AF242" s="402">
        <f t="shared" si="158"/>
        <v>0</v>
      </c>
      <c r="AG242" s="403">
        <v>0</v>
      </c>
      <c r="AH242" s="179">
        <v>0</v>
      </c>
      <c r="AI242" s="976">
        <f t="shared" si="152"/>
        <v>0</v>
      </c>
      <c r="AJ242" s="976">
        <f t="shared" si="153"/>
        <v>0</v>
      </c>
      <c r="AK242" s="977"/>
      <c r="AL242" s="74"/>
      <c r="AM242" s="52">
        <f t="shared" si="164"/>
        <v>0</v>
      </c>
    </row>
    <row r="243" spans="1:40" ht="33" customHeight="1" outlineLevel="2">
      <c r="A243" s="407"/>
      <c r="B243" s="151"/>
      <c r="C243" s="201"/>
      <c r="D243" s="1000"/>
      <c r="E243" s="202" t="s">
        <v>1129</v>
      </c>
      <c r="F243" s="203"/>
      <c r="G243" s="151" t="s">
        <v>121</v>
      </c>
      <c r="H243" s="204">
        <f t="shared" ref="H243:J243" si="168">H244</f>
        <v>122841.85</v>
      </c>
      <c r="I243" s="204">
        <f t="shared" si="168"/>
        <v>365166</v>
      </c>
      <c r="J243" s="204">
        <f t="shared" si="168"/>
        <v>145028.34</v>
      </c>
      <c r="K243" s="204">
        <f>K244</f>
        <v>134791.08677484002</v>
      </c>
      <c r="L243" s="204">
        <f>L244+L245</f>
        <v>379717.01</v>
      </c>
      <c r="M243" s="204">
        <f t="shared" ref="M243:S243" si="169">M244+M245</f>
        <v>134791.09</v>
      </c>
      <c r="N243" s="204">
        <f t="shared" si="169"/>
        <v>139673.22</v>
      </c>
      <c r="O243" s="204">
        <f t="shared" si="169"/>
        <v>427241.94519</v>
      </c>
      <c r="P243" s="204">
        <f t="shared" si="169"/>
        <v>419796.17699000001</v>
      </c>
      <c r="Q243" s="205">
        <f t="shared" si="169"/>
        <v>419796.17699000001</v>
      </c>
      <c r="R243" s="204">
        <f t="shared" si="169"/>
        <v>419796.17699000001</v>
      </c>
      <c r="S243" s="402">
        <f t="shared" si="169"/>
        <v>341262.83999999997</v>
      </c>
      <c r="T243" s="206">
        <f t="shared" si="155"/>
        <v>201589.61999999997</v>
      </c>
      <c r="U243" s="206">
        <f t="shared" si="156"/>
        <v>-78533.33699000004</v>
      </c>
      <c r="V243" s="206">
        <f>'[71]2. подк.неподк.'!V230</f>
        <v>147355.24709999998</v>
      </c>
      <c r="W243" s="206">
        <f>W244+W245</f>
        <v>605590126.40999997</v>
      </c>
      <c r="X243" s="206">
        <f>X244+X245</f>
        <v>605590.12641000003</v>
      </c>
      <c r="Y243" s="206">
        <f t="shared" ref="Y243:AB243" si="170">Y244+Y245</f>
        <v>605590.12641000003</v>
      </c>
      <c r="Z243" s="1042">
        <f t="shared" si="170"/>
        <v>596158.74741999991</v>
      </c>
      <c r="AA243" s="206">
        <f t="shared" si="170"/>
        <v>8020.6499500000009</v>
      </c>
      <c r="AB243" s="206">
        <f t="shared" si="170"/>
        <v>1410.7290400000002</v>
      </c>
      <c r="AC243" s="206">
        <f>'[71]2. подк.неподк.'!W230</f>
        <v>153986.23321949996</v>
      </c>
      <c r="AD243" s="175">
        <f>'[71]2. подк.неподк.'!X230</f>
        <v>1018013</v>
      </c>
      <c r="AE243" s="175">
        <f>AE244+AE245</f>
        <v>152785.54720025128</v>
      </c>
      <c r="AF243" s="206">
        <f t="shared" si="158"/>
        <v>152785.54720025128</v>
      </c>
      <c r="AG243" s="204">
        <f>AG244</f>
        <v>160145.68254827996</v>
      </c>
      <c r="AH243" s="1001">
        <f>AH244+AH245</f>
        <v>650406</v>
      </c>
      <c r="AI243" s="1002">
        <f t="shared" si="152"/>
        <v>1.0740036398143957</v>
      </c>
      <c r="AJ243" s="1002">
        <f t="shared" si="153"/>
        <v>490260.31745172001</v>
      </c>
      <c r="AK243" s="1001">
        <f t="shared" ref="AK243" si="171">AK244</f>
        <v>533301</v>
      </c>
      <c r="AL243" s="74"/>
    </row>
    <row r="244" spans="1:40" ht="33.6" customHeight="1">
      <c r="A244" s="1335" t="s">
        <v>1130</v>
      </c>
      <c r="B244" s="1337" t="s">
        <v>1131</v>
      </c>
      <c r="C244" s="198" t="s">
        <v>1132</v>
      </c>
      <c r="D244" s="956" t="s">
        <v>1222</v>
      </c>
      <c r="E244" s="208" t="s">
        <v>1133</v>
      </c>
      <c r="F244" s="1338" t="s">
        <v>1134</v>
      </c>
      <c r="G244" s="1334" t="s">
        <v>121</v>
      </c>
      <c r="H244" s="1307">
        <v>122841.85</v>
      </c>
      <c r="I244" s="406">
        <v>365166</v>
      </c>
      <c r="J244" s="406">
        <v>145028.34</v>
      </c>
      <c r="K244" s="1328">
        <v>134791.08677484002</v>
      </c>
      <c r="L244" s="402">
        <v>153008.24</v>
      </c>
      <c r="M244" s="402">
        <v>134791.09</v>
      </c>
      <c r="N244" s="402">
        <v>139673.22</v>
      </c>
      <c r="O244" s="402">
        <v>292666.12676000001</v>
      </c>
      <c r="P244" s="402">
        <v>289913.17716000002</v>
      </c>
      <c r="Q244" s="145">
        <v>289913.17716000002</v>
      </c>
      <c r="R244" s="402">
        <v>289913.17716000002</v>
      </c>
      <c r="S244" s="402">
        <v>235675.91</v>
      </c>
      <c r="T244" s="402">
        <f t="shared" si="155"/>
        <v>96002.69</v>
      </c>
      <c r="U244" s="402">
        <f t="shared" si="156"/>
        <v>-54237.267160000018</v>
      </c>
      <c r="V244" s="1819">
        <v>147355.24709999998</v>
      </c>
      <c r="W244" s="953">
        <v>301639939.07999998</v>
      </c>
      <c r="X244" s="953">
        <v>301639.93907999998</v>
      </c>
      <c r="Y244" s="406">
        <v>301639.93907999998</v>
      </c>
      <c r="Z244" s="406">
        <v>298925.15002</v>
      </c>
      <c r="AA244" s="406">
        <v>2329.1464700000001</v>
      </c>
      <c r="AB244" s="406">
        <v>385.64259000000004</v>
      </c>
      <c r="AC244" s="1821">
        <v>153986.23321949996</v>
      </c>
      <c r="AD244" s="402">
        <f>'[71]2. подк.неподк.'!X231</f>
        <v>500000</v>
      </c>
      <c r="AE244" s="1307">
        <f>V244*AD11</f>
        <v>152785.54720025128</v>
      </c>
      <c r="AF244" s="402">
        <f t="shared" si="158"/>
        <v>152785.54720025128</v>
      </c>
      <c r="AG244" s="1821">
        <v>160145.68254827996</v>
      </c>
      <c r="AH244" s="402">
        <v>533301</v>
      </c>
      <c r="AI244" s="954">
        <f t="shared" si="152"/>
        <v>1.7680052635820205</v>
      </c>
      <c r="AJ244" s="954">
        <f t="shared" si="153"/>
        <v>373155.31745172001</v>
      </c>
      <c r="AK244" s="259">
        <f>AH244</f>
        <v>533301</v>
      </c>
      <c r="AL244" s="74"/>
      <c r="AM244" s="52">
        <f>AH244-AG244</f>
        <v>373155.31745172001</v>
      </c>
      <c r="AN244" s="191">
        <f>AH243-AG243</f>
        <v>490260.31745172001</v>
      </c>
    </row>
    <row r="245" spans="1:40" ht="33.6" customHeight="1" collapsed="1">
      <c r="A245" s="1336"/>
      <c r="B245" s="1337"/>
      <c r="C245" s="198" t="s">
        <v>1135</v>
      </c>
      <c r="D245" s="956" t="s">
        <v>1227</v>
      </c>
      <c r="E245" s="208" t="s">
        <v>1136</v>
      </c>
      <c r="F245" s="1338"/>
      <c r="G245" s="1334"/>
      <c r="H245" s="1327"/>
      <c r="I245" s="406">
        <v>0</v>
      </c>
      <c r="J245" s="406">
        <v>0</v>
      </c>
      <c r="K245" s="1328"/>
      <c r="L245" s="402">
        <v>226708.77</v>
      </c>
      <c r="M245" s="402">
        <v>0</v>
      </c>
      <c r="N245" s="402">
        <v>0</v>
      </c>
      <c r="O245" s="402">
        <v>134575.81843000001</v>
      </c>
      <c r="P245" s="402">
        <v>129882.99983</v>
      </c>
      <c r="Q245" s="145">
        <v>129882.99983</v>
      </c>
      <c r="R245" s="402">
        <v>129882.99983</v>
      </c>
      <c r="S245" s="402">
        <v>105586.93</v>
      </c>
      <c r="T245" s="402">
        <f t="shared" si="155"/>
        <v>105586.93</v>
      </c>
      <c r="U245" s="402">
        <f t="shared" si="156"/>
        <v>-24296.069830000008</v>
      </c>
      <c r="V245" s="1820"/>
      <c r="W245" s="1003">
        <v>303950187.32999998</v>
      </c>
      <c r="X245" s="953">
        <v>303950.18732999999</v>
      </c>
      <c r="Y245" s="406">
        <v>303950.18732999999</v>
      </c>
      <c r="Z245" s="406">
        <v>297233.59739999997</v>
      </c>
      <c r="AA245" s="406">
        <v>5691.5034800000003</v>
      </c>
      <c r="AB245" s="406">
        <v>1025.08645</v>
      </c>
      <c r="AC245" s="1821"/>
      <c r="AD245" s="402">
        <f>'[71]2. подк.неподк.'!X232</f>
        <v>518013</v>
      </c>
      <c r="AE245" s="1822"/>
      <c r="AF245" s="402">
        <f t="shared" si="158"/>
        <v>0</v>
      </c>
      <c r="AG245" s="1821"/>
      <c r="AH245" s="402">
        <v>117105</v>
      </c>
      <c r="AI245" s="954">
        <f t="shared" si="152"/>
        <v>0.38527694629402748</v>
      </c>
      <c r="AJ245" s="954">
        <f t="shared" si="153"/>
        <v>117105</v>
      </c>
      <c r="AK245" s="259">
        <f t="shared" ref="AK245:AK246" si="172">AH245</f>
        <v>117105</v>
      </c>
      <c r="AL245" s="74"/>
      <c r="AM245" s="52">
        <f>AH245-AG245</f>
        <v>117105</v>
      </c>
    </row>
    <row r="246" spans="1:40" ht="33.6" customHeight="1">
      <c r="A246" s="139" t="s">
        <v>1137</v>
      </c>
      <c r="B246" s="409" t="s">
        <v>1138</v>
      </c>
      <c r="C246" s="198" t="s">
        <v>1139</v>
      </c>
      <c r="D246" s="956" t="s">
        <v>1232</v>
      </c>
      <c r="E246" s="208" t="s">
        <v>1140</v>
      </c>
      <c r="F246" s="410" t="s">
        <v>1141</v>
      </c>
      <c r="G246" s="406" t="s">
        <v>121</v>
      </c>
      <c r="H246" s="406">
        <v>16762.93</v>
      </c>
      <c r="I246" s="406">
        <v>21298.679769999999</v>
      </c>
      <c r="J246" s="406">
        <v>21298.68</v>
      </c>
      <c r="K246" s="402">
        <v>18393.5</v>
      </c>
      <c r="L246" s="402">
        <v>25196.31407</v>
      </c>
      <c r="M246" s="402">
        <v>25196.31</v>
      </c>
      <c r="N246" s="402">
        <v>21298.679769999999</v>
      </c>
      <c r="O246" s="402">
        <v>28593.266530000001</v>
      </c>
      <c r="P246" s="402">
        <v>28494.76209</v>
      </c>
      <c r="Q246" s="145">
        <v>28494.76209</v>
      </c>
      <c r="R246" s="402">
        <v>28494.76209</v>
      </c>
      <c r="S246" s="402">
        <v>28494.76209</v>
      </c>
      <c r="T246" s="402">
        <f t="shared" si="155"/>
        <v>7196.0823200000013</v>
      </c>
      <c r="U246" s="402">
        <f t="shared" si="156"/>
        <v>0</v>
      </c>
      <c r="V246" s="402">
        <v>22470.107157349998</v>
      </c>
      <c r="W246" s="953">
        <v>32344038.91</v>
      </c>
      <c r="X246" s="953">
        <v>32344.038909999999</v>
      </c>
      <c r="Y246" s="406">
        <v>32344.038909999999</v>
      </c>
      <c r="Z246" s="166">
        <v>32239.048649999997</v>
      </c>
      <c r="AA246" s="406">
        <v>90.940100000000001</v>
      </c>
      <c r="AB246" s="406">
        <v>14.05016</v>
      </c>
      <c r="AC246" s="170">
        <v>23481.261979430747</v>
      </c>
      <c r="AD246" s="402">
        <f>'[71]2. подк.неподк.'!X233</f>
        <v>38592.99</v>
      </c>
      <c r="AE246" s="406">
        <f>V246*$AD$11</f>
        <v>23298.17013814368</v>
      </c>
      <c r="AF246" s="402">
        <f t="shared" si="158"/>
        <v>23298.17013814368</v>
      </c>
      <c r="AG246" s="170">
        <v>24420.512458607976</v>
      </c>
      <c r="AH246" s="402">
        <v>43156.39</v>
      </c>
      <c r="AI246" s="954">
        <f t="shared" si="152"/>
        <v>1.3342919268705518</v>
      </c>
      <c r="AJ246" s="954">
        <f t="shared" si="153"/>
        <v>18735.877541392023</v>
      </c>
      <c r="AK246" s="259">
        <f t="shared" si="172"/>
        <v>43156.39</v>
      </c>
      <c r="AL246" s="74"/>
      <c r="AM246" s="52">
        <f>AH246-AG246</f>
        <v>18735.877541392023</v>
      </c>
    </row>
    <row r="247" spans="1:40" s="214" customFormat="1" ht="21.75" customHeight="1">
      <c r="A247" s="211"/>
      <c r="B247" s="166"/>
      <c r="C247" s="212"/>
      <c r="D247" s="1004"/>
      <c r="E247" s="213" t="s">
        <v>1142</v>
      </c>
      <c r="F247" s="213" t="s">
        <v>1142</v>
      </c>
      <c r="G247" s="168" t="s">
        <v>121</v>
      </c>
      <c r="H247" s="168">
        <f t="shared" ref="H247:J247" si="173">H29+H95+H96+H113+H129+H244+H246</f>
        <v>1612170.9103215688</v>
      </c>
      <c r="I247" s="168">
        <f t="shared" si="173"/>
        <v>1943860.97095</v>
      </c>
      <c r="J247" s="168">
        <f t="shared" si="173"/>
        <v>1602820.2280177155</v>
      </c>
      <c r="K247" s="168">
        <f>K29+K95+K96+K113+K129+K244+K246</f>
        <v>1768857.1430750673</v>
      </c>
      <c r="L247" s="168">
        <f t="shared" ref="L247:S247" si="174">L29+L95+L96+L113+L129+L244+L245+L246</f>
        <v>2059211.8763689999</v>
      </c>
      <c r="M247" s="168">
        <f t="shared" si="174"/>
        <v>1749169.1986700001</v>
      </c>
      <c r="N247" s="168">
        <f t="shared" si="174"/>
        <v>1655457.4148923224</v>
      </c>
      <c r="O247" s="168">
        <f t="shared" si="174"/>
        <v>2252764.3344800002</v>
      </c>
      <c r="P247" s="168">
        <f t="shared" si="174"/>
        <v>2161665.4932500003</v>
      </c>
      <c r="Q247" s="168">
        <f t="shared" si="174"/>
        <v>2117678.8413225324</v>
      </c>
      <c r="R247" s="168">
        <f t="shared" si="174"/>
        <v>2120815.0690725325</v>
      </c>
      <c r="S247" s="168">
        <f t="shared" si="174"/>
        <v>2016701.8244825325</v>
      </c>
      <c r="T247" s="168">
        <f t="shared" si="155"/>
        <v>361244.40959021007</v>
      </c>
      <c r="U247" s="168">
        <f t="shared" si="156"/>
        <v>-144963.66876746784</v>
      </c>
      <c r="V247" s="168">
        <f>V29+V95+V96+V113+V129+V244+V245+V246</f>
        <v>1788344.6121256349</v>
      </c>
      <c r="W247" s="168">
        <f>W29+W95+W96+W113+W129+W244+W245+W246</f>
        <v>2501011612.9129996</v>
      </c>
      <c r="X247" s="168">
        <f>X29+X95+X96+X113+X129+X244+X245+X246</f>
        <v>2501011.6096530003</v>
      </c>
      <c r="Y247" s="168">
        <f t="shared" ref="Y247:AK247" si="175">Y29+Y95+Y96+Y113+Y129+Y244+Y245+Y246</f>
        <v>2501011.6161099998</v>
      </c>
      <c r="Z247" s="168">
        <f t="shared" si="175"/>
        <v>2396659.0879199998</v>
      </c>
      <c r="AA247" s="168">
        <f t="shared" si="175"/>
        <v>75357.000760000024</v>
      </c>
      <c r="AB247" s="168">
        <f t="shared" si="175"/>
        <v>28995.531719999995</v>
      </c>
      <c r="AC247" s="168">
        <f t="shared" si="175"/>
        <v>1868820.1185480736</v>
      </c>
      <c r="AD247" s="168">
        <f t="shared" si="175"/>
        <v>4313752.224070536</v>
      </c>
      <c r="AE247" s="168">
        <f>AE29+AE95+AE96+AE113+AE129+AE244+AE245+AE246</f>
        <v>1854248.2573478469</v>
      </c>
      <c r="AF247" s="168">
        <f>AF29+AF95+AF96+AF113+AF129+AF244+AF245+AF246</f>
        <v>1854248.2573478469</v>
      </c>
      <c r="AG247" s="168">
        <f t="shared" si="175"/>
        <v>1943572.9273249917</v>
      </c>
      <c r="AH247" s="168">
        <f t="shared" si="175"/>
        <v>4963470.6349882791</v>
      </c>
      <c r="AI247" s="1005">
        <f t="shared" si="152"/>
        <v>1.9845852037755753</v>
      </c>
      <c r="AJ247" s="1006">
        <f t="shared" si="175"/>
        <v>3019897.7076632869</v>
      </c>
      <c r="AK247" s="1006">
        <f t="shared" si="175"/>
        <v>4797253.5527352802</v>
      </c>
      <c r="AL247" s="356"/>
      <c r="AM247" s="1007">
        <f>SUM(AM31:AM246)</f>
        <v>3019897.7076632893</v>
      </c>
    </row>
    <row r="248" spans="1:40" ht="33" customHeight="1">
      <c r="A248" s="139" t="s">
        <v>1143</v>
      </c>
      <c r="B248" s="409" t="s">
        <v>1144</v>
      </c>
      <c r="C248" s="240" t="s">
        <v>1145</v>
      </c>
      <c r="D248" s="956" t="s">
        <v>1239</v>
      </c>
      <c r="E248" s="410" t="s">
        <v>1146</v>
      </c>
      <c r="F248" s="410" t="s">
        <v>1147</v>
      </c>
      <c r="G248" s="216" t="s">
        <v>552</v>
      </c>
      <c r="H248" s="411">
        <v>242856.14</v>
      </c>
      <c r="I248" s="411">
        <v>209032.18979999999</v>
      </c>
      <c r="J248" s="411">
        <v>209032.18979999999</v>
      </c>
      <c r="K248" s="402">
        <v>266480.56591900397</v>
      </c>
      <c r="L248" s="402">
        <v>252116.268376013</v>
      </c>
      <c r="M248" s="402">
        <v>252116.27</v>
      </c>
      <c r="N248" s="402">
        <v>267108.12723232195</v>
      </c>
      <c r="O248" s="402">
        <v>283140.83447</v>
      </c>
      <c r="P248" s="402">
        <v>262515.55822000001</v>
      </c>
      <c r="Q248" s="145">
        <v>262515.55822000001</v>
      </c>
      <c r="R248" s="402">
        <v>262515.56</v>
      </c>
      <c r="S248" s="402">
        <v>262515.56</v>
      </c>
      <c r="T248" s="402">
        <f t="shared" si="155"/>
        <v>-4592.5672323219478</v>
      </c>
      <c r="U248" s="402">
        <f t="shared" si="156"/>
        <v>1.7799999914132059E-3</v>
      </c>
      <c r="V248" s="402">
        <v>305659.3041537251</v>
      </c>
      <c r="W248" s="953">
        <v>292804215.25</v>
      </c>
      <c r="X248" s="953">
        <v>292804.21525000001</v>
      </c>
      <c r="Y248" s="406">
        <v>292804.21524999989</v>
      </c>
      <c r="Z248" s="166">
        <v>275720.58220999996</v>
      </c>
      <c r="AA248" s="406">
        <v>11037.935570000001</v>
      </c>
      <c r="AB248" s="406">
        <v>6045.6974700000001</v>
      </c>
      <c r="AC248" s="953">
        <v>319413.97284064273</v>
      </c>
      <c r="AD248" s="402">
        <f>'[71]2. подк.неподк.'!X235</f>
        <v>642070.35919999983</v>
      </c>
      <c r="AE248" s="406">
        <f>(AE95+AE96)*30.4%</f>
        <v>316923.38726345182</v>
      </c>
      <c r="AF248" s="402">
        <f t="shared" si="158"/>
        <v>316923.38726345182</v>
      </c>
      <c r="AG248" s="953">
        <v>332190.53175426839</v>
      </c>
      <c r="AH248" s="402">
        <f>681918.8464+56495.4075</f>
        <v>738414.25390000001</v>
      </c>
      <c r="AI248" s="954">
        <f t="shared" si="152"/>
        <v>2.5218702991332704</v>
      </c>
      <c r="AJ248" s="954">
        <f t="shared" si="153"/>
        <v>406223.72214573162</v>
      </c>
      <c r="AK248" s="259">
        <f>AH248</f>
        <v>738414.25390000001</v>
      </c>
      <c r="AL248" s="74"/>
      <c r="AM248" s="191">
        <f>AH247-AG247</f>
        <v>3019897.7076632874</v>
      </c>
    </row>
    <row r="249" spans="1:40" ht="25.5" customHeight="1">
      <c r="A249" s="407" t="s">
        <v>1148</v>
      </c>
      <c r="B249" s="409" t="s">
        <v>1149</v>
      </c>
      <c r="C249" s="240" t="s">
        <v>1150</v>
      </c>
      <c r="D249" s="956" t="s">
        <v>1276</v>
      </c>
      <c r="E249" s="208" t="s">
        <v>1151</v>
      </c>
      <c r="F249" s="410" t="s">
        <v>1152</v>
      </c>
      <c r="G249" s="404" t="s">
        <v>552</v>
      </c>
      <c r="H249" s="217">
        <v>190618.3</v>
      </c>
      <c r="I249" s="217">
        <v>210670</v>
      </c>
      <c r="J249" s="217">
        <v>206821.41</v>
      </c>
      <c r="K249" s="402">
        <v>320675.59000000003</v>
      </c>
      <c r="L249" s="402">
        <v>297196.01500000001</v>
      </c>
      <c r="M249" s="402">
        <v>297196.01500000001</v>
      </c>
      <c r="N249" s="402">
        <v>206057.33</v>
      </c>
      <c r="O249" s="402">
        <v>321828.63365999999</v>
      </c>
      <c r="P249" s="402">
        <v>320542.03473999997</v>
      </c>
      <c r="Q249" s="145">
        <v>320484.65000000002</v>
      </c>
      <c r="R249" s="402">
        <v>320484.65000000002</v>
      </c>
      <c r="S249" s="168">
        <v>320484.65000000002</v>
      </c>
      <c r="T249" s="402">
        <f t="shared" si="155"/>
        <v>114427.32000000004</v>
      </c>
      <c r="U249" s="402">
        <f t="shared" si="156"/>
        <v>-57.384739999950398</v>
      </c>
      <c r="V249" s="402">
        <v>297196.02</v>
      </c>
      <c r="W249" s="953">
        <v>360665697.98000002</v>
      </c>
      <c r="X249" s="953">
        <v>360665.69798</v>
      </c>
      <c r="Y249" s="406">
        <v>360665.69798</v>
      </c>
      <c r="Z249" s="166">
        <v>360093.47420000006</v>
      </c>
      <c r="AA249" s="406">
        <v>463.89358000000004</v>
      </c>
      <c r="AB249" s="406">
        <v>108.33019999999999</v>
      </c>
      <c r="AC249" s="953">
        <v>334238.02499999997</v>
      </c>
      <c r="AD249" s="402">
        <f>'[71]2. подк.неподк.'!X236</f>
        <v>973491.73</v>
      </c>
      <c r="AE249" s="406">
        <v>356306</v>
      </c>
      <c r="AF249" s="402">
        <f>AE249</f>
        <v>356306</v>
      </c>
      <c r="AG249" s="953">
        <v>347607.54599999997</v>
      </c>
      <c r="AH249" s="402">
        <v>645384.33350938186</v>
      </c>
      <c r="AI249" s="954">
        <f t="shared" si="152"/>
        <v>1.7894253241270823</v>
      </c>
      <c r="AJ249" s="954">
        <f t="shared" si="153"/>
        <v>297776.78750938189</v>
      </c>
      <c r="AK249" s="259">
        <f>AH249</f>
        <v>645384.33350938186</v>
      </c>
      <c r="AL249" s="74"/>
    </row>
    <row r="250" spans="1:40" s="224" customFormat="1" ht="33" customHeight="1">
      <c r="A250" s="218"/>
      <c r="B250" s="219" t="s">
        <v>1153</v>
      </c>
      <c r="C250" s="220"/>
      <c r="D250" s="219"/>
      <c r="E250" s="221" t="s">
        <v>1154</v>
      </c>
      <c r="F250" s="221" t="s">
        <v>1154</v>
      </c>
      <c r="G250" s="222" t="s">
        <v>552</v>
      </c>
      <c r="H250" s="223">
        <f t="shared" ref="H250:J250" si="176">SUM(H251:H262)</f>
        <v>1830295.91</v>
      </c>
      <c r="I250" s="223">
        <f t="shared" si="176"/>
        <v>1773388.9077499995</v>
      </c>
      <c r="J250" s="223">
        <f t="shared" si="176"/>
        <v>1771929.0301799998</v>
      </c>
      <c r="K250" s="223">
        <f>SUM(K251:K262)</f>
        <v>1142089.7710558169</v>
      </c>
      <c r="L250" s="223">
        <f>SUM(L251:L262)</f>
        <v>1610485.2276699999</v>
      </c>
      <c r="M250" s="223">
        <f>SUM(M251:M262)</f>
        <v>1602981.1629900001</v>
      </c>
      <c r="N250" s="223">
        <f t="shared" ref="N250" si="177">SUM(N251:N262)</f>
        <v>1371851.0164803262</v>
      </c>
      <c r="O250" s="223">
        <f>SUM(O251:O262)</f>
        <v>1364948.2011299999</v>
      </c>
      <c r="P250" s="223">
        <f t="shared" ref="P250:AK250" si="178">SUM(P251:P262)</f>
        <v>1362495.0174000002</v>
      </c>
      <c r="Q250" s="223">
        <f t="shared" si="178"/>
        <v>1362495.0174</v>
      </c>
      <c r="R250" s="223">
        <f t="shared" si="178"/>
        <v>1362495.0174</v>
      </c>
      <c r="S250" s="223">
        <f t="shared" si="178"/>
        <v>1362495.0174000002</v>
      </c>
      <c r="T250" s="223">
        <f t="shared" si="155"/>
        <v>-9355.9990803259425</v>
      </c>
      <c r="U250" s="223">
        <f t="shared" si="156"/>
        <v>0</v>
      </c>
      <c r="V250" s="223">
        <f t="shared" si="178"/>
        <v>1263084.8551806</v>
      </c>
      <c r="W250" s="223">
        <f t="shared" si="178"/>
        <v>1269641357.8900003</v>
      </c>
      <c r="X250" s="223">
        <f t="shared" si="178"/>
        <v>1269641.3578900001</v>
      </c>
      <c r="Y250" s="223">
        <f t="shared" si="178"/>
        <v>1269641.3578900001</v>
      </c>
      <c r="Z250" s="168">
        <f t="shared" si="178"/>
        <v>1267298.1950999999</v>
      </c>
      <c r="AA250" s="223">
        <f t="shared" si="178"/>
        <v>1963.20956</v>
      </c>
      <c r="AB250" s="223">
        <f t="shared" si="178"/>
        <v>379.95323000000002</v>
      </c>
      <c r="AC250" s="223">
        <f t="shared" si="178"/>
        <v>1319923.673663727</v>
      </c>
      <c r="AD250" s="223">
        <f t="shared" si="178"/>
        <v>1520064.7667064348</v>
      </c>
      <c r="AE250" s="223">
        <f t="shared" si="178"/>
        <v>1279232.5540322866</v>
      </c>
      <c r="AF250" s="223">
        <f t="shared" si="178"/>
        <v>1309946.4342949539</v>
      </c>
      <c r="AG250" s="223">
        <f t="shared" si="178"/>
        <v>1372720.6206102758</v>
      </c>
      <c r="AH250" s="223">
        <f t="shared" si="178"/>
        <v>1948863.3900000001</v>
      </c>
      <c r="AI250" s="1008">
        <f t="shared" si="152"/>
        <v>1.534971571215032</v>
      </c>
      <c r="AJ250" s="1009">
        <f t="shared" si="178"/>
        <v>576142.76938972378</v>
      </c>
      <c r="AK250" s="1009">
        <f t="shared" si="178"/>
        <v>1948863.3900000001</v>
      </c>
      <c r="AL250" s="1010"/>
    </row>
    <row r="251" spans="1:40" ht="28.5" customHeight="1" outlineLevel="1">
      <c r="A251" s="139" t="s">
        <v>1155</v>
      </c>
      <c r="B251" s="176" t="s">
        <v>1156</v>
      </c>
      <c r="C251" s="240" t="s">
        <v>1157</v>
      </c>
      <c r="D251" s="956" t="s">
        <v>1281</v>
      </c>
      <c r="E251" s="148" t="s">
        <v>1158</v>
      </c>
      <c r="F251" s="225" t="s">
        <v>1159</v>
      </c>
      <c r="G251" s="404" t="s">
        <v>552</v>
      </c>
      <c r="H251" s="404">
        <v>144465.29</v>
      </c>
      <c r="I251" s="404">
        <v>144794.01196999999</v>
      </c>
      <c r="J251" s="404">
        <v>144794.01196999999</v>
      </c>
      <c r="K251" s="406">
        <v>158517.90549375699</v>
      </c>
      <c r="L251" s="406">
        <v>126797.00155</v>
      </c>
      <c r="M251" s="406">
        <v>126797</v>
      </c>
      <c r="N251" s="406">
        <v>110968.17</v>
      </c>
      <c r="O251" s="406">
        <v>110968.16979</v>
      </c>
      <c r="P251" s="406">
        <v>110968.16979</v>
      </c>
      <c r="Q251" s="150">
        <v>110968.16979</v>
      </c>
      <c r="R251" s="406">
        <v>110968.16979</v>
      </c>
      <c r="S251" s="406">
        <v>110968.16979</v>
      </c>
      <c r="T251" s="406">
        <f t="shared" si="155"/>
        <v>-2.0999999833293259E-4</v>
      </c>
      <c r="U251" s="406">
        <f t="shared" si="156"/>
        <v>0</v>
      </c>
      <c r="V251" s="406">
        <v>57418.25</v>
      </c>
      <c r="W251" s="167">
        <v>57418245.68</v>
      </c>
      <c r="X251" s="167">
        <v>57418.24568</v>
      </c>
      <c r="Y251" s="406">
        <v>57418.24568</v>
      </c>
      <c r="Z251" s="406">
        <v>57418.24568</v>
      </c>
      <c r="AA251" s="406">
        <v>0</v>
      </c>
      <c r="AB251" s="406">
        <v>0</v>
      </c>
      <c r="AC251" s="406">
        <v>60002.071249999994</v>
      </c>
      <c r="AD251" s="166">
        <v>0</v>
      </c>
      <c r="AE251" s="406">
        <v>0</v>
      </c>
      <c r="AF251" s="402">
        <f t="shared" si="158"/>
        <v>0</v>
      </c>
      <c r="AG251" s="167">
        <v>62402.154099999992</v>
      </c>
      <c r="AH251" s="406">
        <v>629173.43999999994</v>
      </c>
      <c r="AI251" s="957">
        <f t="shared" si="152"/>
        <v>10.957726634604485</v>
      </c>
      <c r="AJ251" s="957">
        <f t="shared" si="153"/>
        <v>566771.2858999999</v>
      </c>
      <c r="AK251" s="958">
        <f>AH251</f>
        <v>629173.43999999994</v>
      </c>
      <c r="AL251" s="74"/>
    </row>
    <row r="252" spans="1:40" ht="28.5" customHeight="1" outlineLevel="1">
      <c r="A252" s="139" t="s">
        <v>1160</v>
      </c>
      <c r="B252" s="176" t="s">
        <v>1161</v>
      </c>
      <c r="C252" s="240" t="s">
        <v>1162</v>
      </c>
      <c r="D252" s="956" t="s">
        <v>1288</v>
      </c>
      <c r="E252" s="148" t="s">
        <v>1163</v>
      </c>
      <c r="F252" s="225" t="s">
        <v>1164</v>
      </c>
      <c r="G252" s="404" t="s">
        <v>552</v>
      </c>
      <c r="H252" s="404">
        <v>318029.19</v>
      </c>
      <c r="I252" s="404">
        <v>262920.66586000001</v>
      </c>
      <c r="J252" s="404">
        <v>262920.66586000001</v>
      </c>
      <c r="K252" s="406">
        <v>348964.93880762695</v>
      </c>
      <c r="L252" s="406">
        <v>185469.95342000001</v>
      </c>
      <c r="M252" s="406">
        <v>185469.95</v>
      </c>
      <c r="N252" s="406">
        <v>152505.99964000002</v>
      </c>
      <c r="O252" s="406">
        <v>154856.07118</v>
      </c>
      <c r="P252" s="406">
        <v>154856.07118</v>
      </c>
      <c r="Q252" s="150">
        <v>154856.07118</v>
      </c>
      <c r="R252" s="406">
        <v>154856.07118</v>
      </c>
      <c r="S252" s="406">
        <v>154856.07118</v>
      </c>
      <c r="T252" s="406">
        <f t="shared" si="155"/>
        <v>2350.0715399999754</v>
      </c>
      <c r="U252" s="406">
        <f t="shared" si="156"/>
        <v>0</v>
      </c>
      <c r="V252" s="406">
        <v>144204.47825999997</v>
      </c>
      <c r="W252" s="167">
        <v>149846233.33000001</v>
      </c>
      <c r="X252" s="167">
        <v>149846.23333000002</v>
      </c>
      <c r="Y252" s="406">
        <v>149846.23333000002</v>
      </c>
      <c r="Z252" s="406">
        <v>149846.23333000002</v>
      </c>
      <c r="AA252" s="406">
        <v>0</v>
      </c>
      <c r="AB252" s="406">
        <v>0</v>
      </c>
      <c r="AC252" s="406">
        <v>150693.67978169996</v>
      </c>
      <c r="AD252" s="406">
        <f>'[71]2. подк.неподк.'!X239</f>
        <v>320096.00685322029</v>
      </c>
      <c r="AE252" s="406">
        <v>173746.64</v>
      </c>
      <c r="AF252" s="402">
        <f t="shared" si="158"/>
        <v>173746.64</v>
      </c>
      <c r="AG252" s="167">
        <v>156721.42697296795</v>
      </c>
      <c r="AH252" s="406">
        <v>480955.39</v>
      </c>
      <c r="AI252" s="957">
        <f t="shared" si="152"/>
        <v>3.2096595243793171</v>
      </c>
      <c r="AJ252" s="957">
        <f t="shared" si="153"/>
        <v>324233.96302703209</v>
      </c>
      <c r="AK252" s="958">
        <f t="shared" ref="AK252:AK262" si="179">AH252</f>
        <v>480955.39</v>
      </c>
      <c r="AL252" s="74"/>
    </row>
    <row r="253" spans="1:40" ht="28.5" customHeight="1" outlineLevel="1">
      <c r="A253" s="139" t="s">
        <v>1165</v>
      </c>
      <c r="B253" s="176" t="s">
        <v>1166</v>
      </c>
      <c r="C253" s="240" t="s">
        <v>1167</v>
      </c>
      <c r="D253" s="956" t="s">
        <v>2162</v>
      </c>
      <c r="E253" s="148" t="s">
        <v>1168</v>
      </c>
      <c r="F253" s="225" t="s">
        <v>1169</v>
      </c>
      <c r="G253" s="404" t="s">
        <v>552</v>
      </c>
      <c r="H253" s="404">
        <v>113326.77</v>
      </c>
      <c r="I253" s="404">
        <v>83450.859200000006</v>
      </c>
      <c r="J253" s="404">
        <v>83450.859200000006</v>
      </c>
      <c r="K253" s="406">
        <v>124350.43889624099</v>
      </c>
      <c r="L253" s="406">
        <v>100013.73493999999</v>
      </c>
      <c r="M253" s="406">
        <v>100013.73</v>
      </c>
      <c r="N253" s="406">
        <v>90494.064429999984</v>
      </c>
      <c r="O253" s="406">
        <v>90494.061379999999</v>
      </c>
      <c r="P253" s="406">
        <v>90480.068419999996</v>
      </c>
      <c r="Q253" s="150">
        <v>90480.068419999996</v>
      </c>
      <c r="R253" s="406">
        <v>90480.068419999996</v>
      </c>
      <c r="S253" s="406">
        <v>90480.068419999996</v>
      </c>
      <c r="T253" s="406">
        <f t="shared" si="155"/>
        <v>-13.996009999988019</v>
      </c>
      <c r="U253" s="406">
        <f t="shared" si="156"/>
        <v>0</v>
      </c>
      <c r="V253" s="406">
        <v>88888.551999999996</v>
      </c>
      <c r="W253" s="167">
        <v>79629913.709999993</v>
      </c>
      <c r="X253" s="167">
        <v>79629.913709999993</v>
      </c>
      <c r="Y253" s="406">
        <v>79629.913709999993</v>
      </c>
      <c r="Z253" s="406">
        <v>79619.67031999999</v>
      </c>
      <c r="AA253" s="406">
        <v>8.5139999999999993</v>
      </c>
      <c r="AB253" s="406">
        <v>1.7293900000000002</v>
      </c>
      <c r="AC253" s="406">
        <v>92888.536839999986</v>
      </c>
      <c r="AD253" s="166">
        <f>'[71]2. подк.неподк.'!X240+60002.0645</f>
        <v>152890.60133999999</v>
      </c>
      <c r="AE253" s="406">
        <v>134303.46</v>
      </c>
      <c r="AF253" s="402">
        <f t="shared" si="158"/>
        <v>134303.46</v>
      </c>
      <c r="AG253" s="167">
        <v>96604.078313599995</v>
      </c>
      <c r="AH253" s="406">
        <v>279673.31</v>
      </c>
      <c r="AI253" s="957">
        <f t="shared" si="152"/>
        <v>3.5121639214444906</v>
      </c>
      <c r="AJ253" s="957">
        <f t="shared" si="153"/>
        <v>183069.23168640002</v>
      </c>
      <c r="AK253" s="958">
        <f t="shared" si="179"/>
        <v>279673.31</v>
      </c>
      <c r="AL253" s="74"/>
    </row>
    <row r="254" spans="1:40" ht="28.5" customHeight="1" outlineLevel="1">
      <c r="A254" s="139" t="s">
        <v>1170</v>
      </c>
      <c r="B254" s="176" t="s">
        <v>1171</v>
      </c>
      <c r="C254" s="240" t="s">
        <v>1172</v>
      </c>
      <c r="D254" s="956" t="s">
        <v>2163</v>
      </c>
      <c r="E254" s="148" t="s">
        <v>1173</v>
      </c>
      <c r="F254" s="225" t="s">
        <v>1174</v>
      </c>
      <c r="G254" s="404" t="s">
        <v>552</v>
      </c>
      <c r="H254" s="404">
        <v>789452.42</v>
      </c>
      <c r="I254" s="404">
        <v>902596.45401999995</v>
      </c>
      <c r="J254" s="404">
        <v>902596.45401999995</v>
      </c>
      <c r="K254" s="406">
        <v>0</v>
      </c>
      <c r="L254" s="406">
        <v>830969.39298999996</v>
      </c>
      <c r="M254" s="406">
        <v>830969.39298999996</v>
      </c>
      <c r="N254" s="406">
        <v>628510.49</v>
      </c>
      <c r="O254" s="406">
        <v>641206.82625000004</v>
      </c>
      <c r="P254" s="406">
        <v>641206.82625000004</v>
      </c>
      <c r="Q254" s="150">
        <v>641206.82625000004</v>
      </c>
      <c r="R254" s="406">
        <v>641206.82625000004</v>
      </c>
      <c r="S254" s="406">
        <v>641206.82625000004</v>
      </c>
      <c r="T254" s="406">
        <f t="shared" si="155"/>
        <v>12696.336250000051</v>
      </c>
      <c r="U254" s="406">
        <f t="shared" si="156"/>
        <v>0</v>
      </c>
      <c r="V254" s="406">
        <v>564085.91</v>
      </c>
      <c r="W254" s="167">
        <v>581730373.75</v>
      </c>
      <c r="X254" s="167">
        <v>581730.37375000003</v>
      </c>
      <c r="Y254" s="406">
        <v>581730.37375000003</v>
      </c>
      <c r="Z254" s="406">
        <v>581730.37375000003</v>
      </c>
      <c r="AA254" s="406">
        <v>0</v>
      </c>
      <c r="AB254" s="406">
        <v>0</v>
      </c>
      <c r="AC254" s="406">
        <v>589469.77595000004</v>
      </c>
      <c r="AD254" s="406">
        <v>589469.77595000004</v>
      </c>
      <c r="AE254" s="406">
        <v>547641.30000000005</v>
      </c>
      <c r="AF254" s="402">
        <f t="shared" si="158"/>
        <v>547641.30000000005</v>
      </c>
      <c r="AG254" s="167">
        <v>613048.56698800006</v>
      </c>
      <c r="AH254" s="406">
        <v>62752.07</v>
      </c>
      <c r="AI254" s="957">
        <f t="shared" si="152"/>
        <v>0.10787140027687096</v>
      </c>
      <c r="AJ254" s="957">
        <f t="shared" si="153"/>
        <v>-550296.49698800012</v>
      </c>
      <c r="AK254" s="958">
        <f t="shared" si="179"/>
        <v>62752.07</v>
      </c>
      <c r="AL254" s="74"/>
    </row>
    <row r="255" spans="1:40" ht="28.5" customHeight="1" outlineLevel="1">
      <c r="A255" s="139" t="s">
        <v>1175</v>
      </c>
      <c r="B255" s="176" t="s">
        <v>1176</v>
      </c>
      <c r="C255" s="240" t="s">
        <v>1177</v>
      </c>
      <c r="D255" s="956" t="s">
        <v>1299</v>
      </c>
      <c r="E255" s="148" t="s">
        <v>1178</v>
      </c>
      <c r="F255" s="225" t="s">
        <v>1179</v>
      </c>
      <c r="G255" s="404" t="s">
        <v>552</v>
      </c>
      <c r="H255" s="404">
        <v>95936.07</v>
      </c>
      <c r="I255" s="404">
        <v>58235.60961</v>
      </c>
      <c r="J255" s="404">
        <v>58235.60961</v>
      </c>
      <c r="K255" s="406">
        <v>105268.08811793099</v>
      </c>
      <c r="L255" s="406">
        <v>68222.991980000006</v>
      </c>
      <c r="M255" s="406">
        <v>68222.990000000005</v>
      </c>
      <c r="N255" s="406">
        <v>66781.149999999994</v>
      </c>
      <c r="O255" s="406">
        <v>62154.389900000002</v>
      </c>
      <c r="P255" s="406">
        <v>62154.389900000002</v>
      </c>
      <c r="Q255" s="150">
        <v>62154.389900000002</v>
      </c>
      <c r="R255" s="406">
        <v>62154.389900000002</v>
      </c>
      <c r="S255" s="406">
        <v>62154.389900000002</v>
      </c>
      <c r="T255" s="406">
        <f t="shared" si="155"/>
        <v>-4626.7600999999922</v>
      </c>
      <c r="U255" s="406">
        <f t="shared" si="156"/>
        <v>0</v>
      </c>
      <c r="V255" s="406">
        <v>72470.539999999994</v>
      </c>
      <c r="W255" s="167">
        <v>62081940.409999996</v>
      </c>
      <c r="X255" s="167">
        <v>62081.940409999996</v>
      </c>
      <c r="Y255" s="406">
        <v>62081.940409999996</v>
      </c>
      <c r="Z255" s="406">
        <v>62081.940409999996</v>
      </c>
      <c r="AA255" s="406">
        <v>0</v>
      </c>
      <c r="AB255" s="406">
        <v>0</v>
      </c>
      <c r="AC255" s="406">
        <v>75731.714299999992</v>
      </c>
      <c r="AD255" s="406">
        <v>75731.714299999992</v>
      </c>
      <c r="AE255" s="406">
        <f t="shared" ref="AE255:AE262" si="180">V255*$AD$11</f>
        <v>75141.206897665339</v>
      </c>
      <c r="AF255" s="402">
        <f t="shared" si="158"/>
        <v>75141.206897665339</v>
      </c>
      <c r="AG255" s="167">
        <v>78760.982871999993</v>
      </c>
      <c r="AH255" s="406">
        <v>77545.600000000006</v>
      </c>
      <c r="AI255" s="957">
        <f t="shared" si="152"/>
        <v>1.2490846691948625</v>
      </c>
      <c r="AJ255" s="957">
        <f t="shared" si="153"/>
        <v>-1215.3828719999874</v>
      </c>
      <c r="AK255" s="958">
        <f t="shared" si="179"/>
        <v>77545.600000000006</v>
      </c>
      <c r="AL255" s="74"/>
    </row>
    <row r="256" spans="1:40" ht="28.5" customHeight="1" outlineLevel="1">
      <c r="A256" s="139" t="s">
        <v>1180</v>
      </c>
      <c r="B256" s="176" t="s">
        <v>1181</v>
      </c>
      <c r="C256" s="240" t="s">
        <v>1182</v>
      </c>
      <c r="D256" s="956" t="s">
        <v>1307</v>
      </c>
      <c r="E256" s="148" t="s">
        <v>1183</v>
      </c>
      <c r="F256" s="225" t="s">
        <v>1184</v>
      </c>
      <c r="G256" s="404" t="s">
        <v>552</v>
      </c>
      <c r="H256" s="404">
        <v>8560.98</v>
      </c>
      <c r="I256" s="404">
        <v>5121.7745400000003</v>
      </c>
      <c r="J256" s="404">
        <v>5121.7745400000003</v>
      </c>
      <c r="K256" s="406">
        <v>9393.7347758339984</v>
      </c>
      <c r="L256" s="406">
        <v>4631.8183399999998</v>
      </c>
      <c r="M256" s="406">
        <v>4631.82</v>
      </c>
      <c r="N256" s="406">
        <v>4140.7700000000004</v>
      </c>
      <c r="O256" s="406">
        <v>4997.1476199999997</v>
      </c>
      <c r="P256" s="406">
        <v>4995.5531100000007</v>
      </c>
      <c r="Q256" s="150">
        <v>4995.5531100000007</v>
      </c>
      <c r="R256" s="406">
        <v>4995.5531100000007</v>
      </c>
      <c r="S256" s="406">
        <v>4995.5531100000007</v>
      </c>
      <c r="T256" s="406">
        <f t="shared" si="155"/>
        <v>854.78311000000031</v>
      </c>
      <c r="U256" s="406">
        <f t="shared" si="156"/>
        <v>0</v>
      </c>
      <c r="V256" s="406">
        <v>5120.3999999999996</v>
      </c>
      <c r="W256" s="167">
        <v>22739184.77</v>
      </c>
      <c r="X256" s="167">
        <v>22739.18477</v>
      </c>
      <c r="Y256" s="406">
        <v>22739.184770000003</v>
      </c>
      <c r="Z256" s="406">
        <v>22736.02592</v>
      </c>
      <c r="AA256" s="406">
        <v>2.6921200000000001</v>
      </c>
      <c r="AB256" s="406">
        <v>0.46673000000000003</v>
      </c>
      <c r="AC256" s="406">
        <v>5350.8179999999993</v>
      </c>
      <c r="AD256" s="406">
        <v>5508.6079430508489</v>
      </c>
      <c r="AE256" s="406">
        <f t="shared" si="180"/>
        <v>5309.0957484076371</v>
      </c>
      <c r="AF256" s="402">
        <f t="shared" si="158"/>
        <v>5309.0957484076371</v>
      </c>
      <c r="AG256" s="167">
        <v>5564.8507199999995</v>
      </c>
      <c r="AH256" s="406">
        <v>36498.230000000003</v>
      </c>
      <c r="AI256" s="957">
        <f t="shared" si="152"/>
        <v>1.6050808491671358</v>
      </c>
      <c r="AJ256" s="957">
        <f t="shared" si="153"/>
        <v>30933.379280000005</v>
      </c>
      <c r="AK256" s="958">
        <f t="shared" si="179"/>
        <v>36498.230000000003</v>
      </c>
      <c r="AL256" s="74"/>
    </row>
    <row r="257" spans="1:38" ht="28.5" customHeight="1" outlineLevel="1">
      <c r="A257" s="139" t="s">
        <v>1185</v>
      </c>
      <c r="B257" s="176" t="s">
        <v>1186</v>
      </c>
      <c r="C257" s="240" t="s">
        <v>1187</v>
      </c>
      <c r="D257" s="956" t="s">
        <v>1311</v>
      </c>
      <c r="E257" s="148" t="s">
        <v>1188</v>
      </c>
      <c r="F257" s="225" t="s">
        <v>1189</v>
      </c>
      <c r="G257" s="404" t="s">
        <v>552</v>
      </c>
      <c r="H257" s="404">
        <v>2685.21</v>
      </c>
      <c r="I257" s="404">
        <v>13724.02434</v>
      </c>
      <c r="J257" s="404">
        <v>13724.02434</v>
      </c>
      <c r="K257" s="406">
        <v>2946.409237893</v>
      </c>
      <c r="L257" s="406">
        <v>9285.9032700000007</v>
      </c>
      <c r="M257" s="406">
        <v>9285.9</v>
      </c>
      <c r="N257" s="406">
        <v>13727.381290326264</v>
      </c>
      <c r="O257" s="406">
        <v>5782.9227999999994</v>
      </c>
      <c r="P257" s="406">
        <v>5772.8763300000001</v>
      </c>
      <c r="Q257" s="150">
        <v>5772.8763300000001</v>
      </c>
      <c r="R257" s="406">
        <v>5772.8763300000001</v>
      </c>
      <c r="S257" s="406">
        <v>5772.8763300000001</v>
      </c>
      <c r="T257" s="406">
        <f t="shared" si="155"/>
        <v>-7954.5049603262642</v>
      </c>
      <c r="U257" s="406">
        <f t="shared" si="156"/>
        <v>0</v>
      </c>
      <c r="V257" s="406">
        <v>12796.04</v>
      </c>
      <c r="W257" s="167">
        <v>8444741.4499999993</v>
      </c>
      <c r="X257" s="167">
        <v>8444.7414499999995</v>
      </c>
      <c r="Y257" s="406">
        <v>8444.7414499999995</v>
      </c>
      <c r="Z257" s="406">
        <v>8431.7502700000005</v>
      </c>
      <c r="AA257" s="406">
        <v>9.8714099999999991</v>
      </c>
      <c r="AB257" s="406">
        <v>3.1197699999999999</v>
      </c>
      <c r="AC257" s="406">
        <v>13371.861800000001</v>
      </c>
      <c r="AD257" s="406">
        <v>13371.861800000001</v>
      </c>
      <c r="AE257" s="406">
        <f t="shared" si="180"/>
        <v>13267.596586292881</v>
      </c>
      <c r="AF257" s="402">
        <f t="shared" si="158"/>
        <v>13267.596586292881</v>
      </c>
      <c r="AG257" s="167">
        <v>13906.736272000002</v>
      </c>
      <c r="AH257" s="406">
        <v>16902.88</v>
      </c>
      <c r="AI257" s="957">
        <f t="shared" si="152"/>
        <v>2.0015864428863006</v>
      </c>
      <c r="AJ257" s="957">
        <f t="shared" si="153"/>
        <v>2996.1437279999991</v>
      </c>
      <c r="AK257" s="958">
        <f t="shared" si="179"/>
        <v>16902.88</v>
      </c>
      <c r="AL257" s="74"/>
    </row>
    <row r="258" spans="1:38" ht="38.25" customHeight="1" outlineLevel="1">
      <c r="A258" s="139" t="s">
        <v>1190</v>
      </c>
      <c r="B258" s="176" t="s">
        <v>1191</v>
      </c>
      <c r="C258" s="240" t="s">
        <v>1192</v>
      </c>
      <c r="D258" s="956" t="s">
        <v>1316</v>
      </c>
      <c r="E258" s="148" t="s">
        <v>1193</v>
      </c>
      <c r="F258" s="225" t="s">
        <v>1194</v>
      </c>
      <c r="G258" s="404" t="s">
        <v>552</v>
      </c>
      <c r="H258" s="404">
        <v>130725.43</v>
      </c>
      <c r="I258" s="404">
        <v>118666.49163999999</v>
      </c>
      <c r="J258" s="404">
        <v>117206.61407000001</v>
      </c>
      <c r="K258" s="406">
        <v>143441.52397001898</v>
      </c>
      <c r="L258" s="406">
        <v>114062.59647999999</v>
      </c>
      <c r="M258" s="406">
        <v>106558.55</v>
      </c>
      <c r="N258" s="406">
        <v>120738.58112</v>
      </c>
      <c r="O258" s="406">
        <v>117310.68969</v>
      </c>
      <c r="P258" s="406">
        <v>115109.19314</v>
      </c>
      <c r="Q258" s="150">
        <v>115032.44422</v>
      </c>
      <c r="R258" s="167">
        <v>115032.44422</v>
      </c>
      <c r="S258" s="167">
        <v>115109.19314</v>
      </c>
      <c r="T258" s="167">
        <f t="shared" si="155"/>
        <v>-5629.3879799999995</v>
      </c>
      <c r="U258" s="167">
        <f t="shared" si="156"/>
        <v>0</v>
      </c>
      <c r="V258" s="406">
        <v>112419.27122059999</v>
      </c>
      <c r="W258" s="167">
        <v>120149259.04000001</v>
      </c>
      <c r="X258" s="167">
        <v>120149.25904</v>
      </c>
      <c r="Y258" s="406">
        <v>120149.25904</v>
      </c>
      <c r="Z258" s="406">
        <v>118045.64634000001</v>
      </c>
      <c r="AA258" s="406">
        <v>1773.4729</v>
      </c>
      <c r="AB258" s="406">
        <v>330.13979999999998</v>
      </c>
      <c r="AC258" s="406">
        <v>117478.13842552698</v>
      </c>
      <c r="AD258" s="406">
        <v>147275.99940890036</v>
      </c>
      <c r="AE258" s="406">
        <f>V258*$AD$11</f>
        <v>116562.11914623319</v>
      </c>
      <c r="AF258" s="953">
        <v>147275.99940890036</v>
      </c>
      <c r="AG258" s="167">
        <v>122177.26396254807</v>
      </c>
      <c r="AH258" s="406">
        <v>147492.71</v>
      </c>
      <c r="AI258" s="957">
        <f t="shared" si="152"/>
        <v>1.227579022779465</v>
      </c>
      <c r="AJ258" s="957">
        <f t="shared" si="153"/>
        <v>25315.446037451926</v>
      </c>
      <c r="AK258" s="965">
        <f>AH258</f>
        <v>147492.71</v>
      </c>
      <c r="AL258" s="74"/>
    </row>
    <row r="259" spans="1:38" ht="28.5" customHeight="1" outlineLevel="1">
      <c r="A259" s="139" t="s">
        <v>1195</v>
      </c>
      <c r="B259" s="176" t="s">
        <v>1196</v>
      </c>
      <c r="C259" s="240" t="s">
        <v>1197</v>
      </c>
      <c r="D259" s="956" t="s">
        <v>1321</v>
      </c>
      <c r="E259" s="148" t="s">
        <v>1198</v>
      </c>
      <c r="F259" s="225" t="s">
        <v>1199</v>
      </c>
      <c r="G259" s="404" t="s">
        <v>552</v>
      </c>
      <c r="H259" s="404">
        <v>10653.58</v>
      </c>
      <c r="I259" s="404">
        <v>5895.0526200000004</v>
      </c>
      <c r="J259" s="404">
        <v>5895.0526200000004</v>
      </c>
      <c r="K259" s="406">
        <v>11689.888883413998</v>
      </c>
      <c r="L259" s="406">
        <v>1633.3358700000001</v>
      </c>
      <c r="M259" s="406">
        <v>1633.34</v>
      </c>
      <c r="N259" s="406">
        <v>1769.02</v>
      </c>
      <c r="O259" s="406">
        <v>953.08475999999996</v>
      </c>
      <c r="P259" s="406">
        <v>953.08475999999996</v>
      </c>
      <c r="Q259" s="150">
        <v>953.08475999999996</v>
      </c>
      <c r="R259" s="406">
        <v>953.08475999999996</v>
      </c>
      <c r="S259" s="406">
        <v>953.08475999999996</v>
      </c>
      <c r="T259" s="406">
        <f t="shared" si="155"/>
        <v>-815.93524000000002</v>
      </c>
      <c r="U259" s="406">
        <f t="shared" si="156"/>
        <v>0</v>
      </c>
      <c r="V259" s="406">
        <v>1723.1736999999998</v>
      </c>
      <c r="W259" s="167">
        <v>0</v>
      </c>
      <c r="X259" s="167">
        <v>0</v>
      </c>
      <c r="Y259" s="406">
        <v>0</v>
      </c>
      <c r="Z259" s="406">
        <v>0</v>
      </c>
      <c r="AA259" s="406">
        <v>0</v>
      </c>
      <c r="AB259" s="406">
        <v>0</v>
      </c>
      <c r="AC259" s="406">
        <v>1800.7165164999997</v>
      </c>
      <c r="AD259" s="406">
        <v>1800.7165164999997</v>
      </c>
      <c r="AE259" s="406">
        <f t="shared" si="180"/>
        <v>1786.6756824540771</v>
      </c>
      <c r="AF259" s="402">
        <f t="shared" si="158"/>
        <v>1786.6756824540771</v>
      </c>
      <c r="AG259" s="167">
        <v>1872.7451771599997</v>
      </c>
      <c r="AH259" s="406">
        <v>1790.8</v>
      </c>
      <c r="AI259" s="957" t="e">
        <f t="shared" si="152"/>
        <v>#DIV/0!</v>
      </c>
      <c r="AJ259" s="957">
        <f t="shared" si="153"/>
        <v>-81.94517715999973</v>
      </c>
      <c r="AK259" s="965">
        <f>AH259</f>
        <v>1790.8</v>
      </c>
      <c r="AL259" s="74"/>
    </row>
    <row r="260" spans="1:38" ht="28.5" customHeight="1" outlineLevel="1">
      <c r="A260" s="139" t="s">
        <v>1200</v>
      </c>
      <c r="B260" s="176" t="s">
        <v>1201</v>
      </c>
      <c r="C260" s="240" t="s">
        <v>1202</v>
      </c>
      <c r="D260" s="956" t="s">
        <v>1326</v>
      </c>
      <c r="E260" s="148" t="s">
        <v>1203</v>
      </c>
      <c r="F260" s="225" t="s">
        <v>1204</v>
      </c>
      <c r="G260" s="404" t="s">
        <v>552</v>
      </c>
      <c r="H260" s="404">
        <v>44464.07</v>
      </c>
      <c r="I260" s="404">
        <v>33688.11778</v>
      </c>
      <c r="J260" s="404">
        <v>33688.11778</v>
      </c>
      <c r="K260" s="406">
        <v>48789.236820330996</v>
      </c>
      <c r="L260" s="406">
        <v>36127.274089999999</v>
      </c>
      <c r="M260" s="406">
        <v>36127.269999999997</v>
      </c>
      <c r="N260" s="406">
        <v>38351.5</v>
      </c>
      <c r="O260" s="406">
        <v>38174.099550000006</v>
      </c>
      <c r="P260" s="406">
        <v>38047.931859999997</v>
      </c>
      <c r="Q260" s="150">
        <v>38047.931859999997</v>
      </c>
      <c r="R260" s="406">
        <v>38047.931859999997</v>
      </c>
      <c r="S260" s="406">
        <v>38047.931859999997</v>
      </c>
      <c r="T260" s="406">
        <f t="shared" si="155"/>
        <v>-303.56814000000304</v>
      </c>
      <c r="U260" s="406">
        <f t="shared" si="156"/>
        <v>0</v>
      </c>
      <c r="V260" s="406">
        <v>43428.9</v>
      </c>
      <c r="W260" s="167">
        <v>42678772.439999998</v>
      </c>
      <c r="X260" s="167">
        <v>42678.772440000001</v>
      </c>
      <c r="Y260" s="406">
        <v>42678.772440000001</v>
      </c>
      <c r="Z260" s="406">
        <v>42547.889479999998</v>
      </c>
      <c r="AA260" s="406">
        <v>111.71246000000001</v>
      </c>
      <c r="AB260" s="406">
        <v>19.170500000000001</v>
      </c>
      <c r="AC260" s="406">
        <v>45383.200499999999</v>
      </c>
      <c r="AD260" s="406">
        <v>46050.558721627123</v>
      </c>
      <c r="AE260" s="406">
        <f t="shared" si="180"/>
        <v>45029.331370209446</v>
      </c>
      <c r="AF260" s="402">
        <f t="shared" si="158"/>
        <v>45029.331370209446</v>
      </c>
      <c r="AG260" s="167">
        <v>47198.52852</v>
      </c>
      <c r="AH260" s="406">
        <v>47550.57</v>
      </c>
      <c r="AI260" s="957">
        <f t="shared" si="152"/>
        <v>1.1141503675357349</v>
      </c>
      <c r="AJ260" s="957">
        <f t="shared" si="153"/>
        <v>352.04147999999986</v>
      </c>
      <c r="AK260" s="965">
        <f t="shared" si="179"/>
        <v>47550.57</v>
      </c>
      <c r="AL260" s="74"/>
    </row>
    <row r="261" spans="1:38" ht="38.25" customHeight="1" outlineLevel="1">
      <c r="A261" s="139" t="s">
        <v>1205</v>
      </c>
      <c r="B261" s="176" t="s">
        <v>1206</v>
      </c>
      <c r="C261" s="240" t="s">
        <v>1207</v>
      </c>
      <c r="D261" s="956" t="s">
        <v>1331</v>
      </c>
      <c r="E261" s="148" t="s">
        <v>1208</v>
      </c>
      <c r="F261" s="225" t="s">
        <v>1209</v>
      </c>
      <c r="G261" s="404" t="s">
        <v>552</v>
      </c>
      <c r="H261" s="404">
        <v>171996.9</v>
      </c>
      <c r="I261" s="404">
        <v>144295.84617</v>
      </c>
      <c r="J261" s="404">
        <v>144295.84617</v>
      </c>
      <c r="K261" s="406">
        <v>188727.60605276999</v>
      </c>
      <c r="L261" s="406">
        <v>133271.22474000001</v>
      </c>
      <c r="M261" s="406">
        <v>133271.22</v>
      </c>
      <c r="N261" s="406">
        <v>143863.89000000001</v>
      </c>
      <c r="O261" s="406">
        <v>138050.73821000001</v>
      </c>
      <c r="P261" s="406">
        <v>137950.85266</v>
      </c>
      <c r="Q261" s="150">
        <v>137950.85266</v>
      </c>
      <c r="R261" s="406">
        <v>137950.85266</v>
      </c>
      <c r="S261" s="406">
        <v>137950.85266</v>
      </c>
      <c r="T261" s="406">
        <f t="shared" si="155"/>
        <v>-5913.0373400000099</v>
      </c>
      <c r="U261" s="406">
        <f t="shared" si="156"/>
        <v>0</v>
      </c>
      <c r="V261" s="406">
        <v>160529.34</v>
      </c>
      <c r="W261" s="167">
        <v>144911378.89000002</v>
      </c>
      <c r="X261" s="167">
        <v>144911.37889000002</v>
      </c>
      <c r="Y261" s="406">
        <v>144911.37889000002</v>
      </c>
      <c r="Z261" s="406">
        <v>144829.11398000002</v>
      </c>
      <c r="AA261" s="406">
        <v>56.94014</v>
      </c>
      <c r="AB261" s="406">
        <v>25.324770000000001</v>
      </c>
      <c r="AC261" s="406">
        <v>167753.16029999999</v>
      </c>
      <c r="AD261" s="406">
        <v>167753.16029999999</v>
      </c>
      <c r="AE261" s="406">
        <f t="shared" si="180"/>
        <v>166445.12860102416</v>
      </c>
      <c r="AF261" s="402">
        <f t="shared" si="158"/>
        <v>166445.12860102416</v>
      </c>
      <c r="AG261" s="167">
        <v>174463.286712</v>
      </c>
      <c r="AH261" s="406">
        <v>168405.91</v>
      </c>
      <c r="AI261" s="957">
        <f t="shared" si="152"/>
        <v>1.1621303398667837</v>
      </c>
      <c r="AJ261" s="957">
        <f t="shared" si="153"/>
        <v>-6057.3767119999975</v>
      </c>
      <c r="AK261" s="965">
        <f>AH261</f>
        <v>168405.91</v>
      </c>
      <c r="AL261" s="74"/>
    </row>
    <row r="262" spans="1:38" ht="33" customHeight="1" outlineLevel="1">
      <c r="A262" s="139" t="s">
        <v>1210</v>
      </c>
      <c r="B262" s="176" t="s">
        <v>1211</v>
      </c>
      <c r="C262" s="240" t="s">
        <v>1212</v>
      </c>
      <c r="D262" s="956" t="s">
        <v>1335</v>
      </c>
      <c r="E262" s="148" t="s">
        <v>1213</v>
      </c>
      <c r="F262" s="177"/>
      <c r="G262" s="177"/>
      <c r="H262" s="404">
        <v>0</v>
      </c>
      <c r="I262" s="404">
        <v>0</v>
      </c>
      <c r="J262" s="404">
        <v>0</v>
      </c>
      <c r="K262" s="406">
        <v>0</v>
      </c>
      <c r="L262" s="406">
        <v>0</v>
      </c>
      <c r="M262" s="406">
        <v>0</v>
      </c>
      <c r="N262" s="406">
        <v>0</v>
      </c>
      <c r="O262" s="406"/>
      <c r="P262" s="406"/>
      <c r="Q262" s="150">
        <v>76.748919999999998</v>
      </c>
      <c r="R262" s="406">
        <v>76.748919999999998</v>
      </c>
      <c r="S262" s="406">
        <v>0</v>
      </c>
      <c r="T262" s="406">
        <f t="shared" si="155"/>
        <v>0</v>
      </c>
      <c r="U262" s="406">
        <f t="shared" si="156"/>
        <v>0</v>
      </c>
      <c r="V262" s="406">
        <v>0</v>
      </c>
      <c r="W262" s="167">
        <v>11314.42</v>
      </c>
      <c r="X262" s="167">
        <v>11.31442</v>
      </c>
      <c r="Y262" s="406">
        <v>11.314420000000002</v>
      </c>
      <c r="Z262" s="406">
        <v>11.305620000000001</v>
      </c>
      <c r="AA262" s="406">
        <v>6.5300000000000002E-3</v>
      </c>
      <c r="AB262" s="406">
        <v>2.2699999999999999E-3</v>
      </c>
      <c r="AC262" s="406">
        <v>0</v>
      </c>
      <c r="AD262" s="406">
        <v>115.76357313600002</v>
      </c>
      <c r="AE262" s="406">
        <f t="shared" si="180"/>
        <v>0</v>
      </c>
      <c r="AF262" s="402">
        <f t="shared" si="158"/>
        <v>0</v>
      </c>
      <c r="AG262" s="167">
        <v>0</v>
      </c>
      <c r="AH262" s="406">
        <v>122.48</v>
      </c>
      <c r="AI262" s="957">
        <f t="shared" si="152"/>
        <v>10.825124045244918</v>
      </c>
      <c r="AJ262" s="957">
        <f t="shared" si="153"/>
        <v>122.48</v>
      </c>
      <c r="AK262" s="958">
        <f t="shared" si="179"/>
        <v>122.48</v>
      </c>
      <c r="AL262" s="74"/>
    </row>
    <row r="263" spans="1:38" ht="33" customHeight="1">
      <c r="A263" s="139"/>
      <c r="B263" s="409" t="s">
        <v>1214</v>
      </c>
      <c r="C263" s="1011"/>
      <c r="D263" s="167"/>
      <c r="E263" s="142" t="s">
        <v>1215</v>
      </c>
      <c r="F263" s="142" t="s">
        <v>1216</v>
      </c>
      <c r="G263" s="404" t="s">
        <v>552</v>
      </c>
      <c r="H263" s="402">
        <f t="shared" ref="H263:L263" si="181">SUM(H264:H267)</f>
        <v>7541.0651584000007</v>
      </c>
      <c r="I263" s="402">
        <f t="shared" si="181"/>
        <v>9234.7918700000009</v>
      </c>
      <c r="J263" s="402">
        <f t="shared" si="181"/>
        <v>9234.7888199999998</v>
      </c>
      <c r="K263" s="402">
        <f t="shared" si="181"/>
        <v>8274.6096887804197</v>
      </c>
      <c r="L263" s="402">
        <f t="shared" si="181"/>
        <v>22048.092809999998</v>
      </c>
      <c r="M263" s="402">
        <f t="shared" ref="M263:N263" si="182">SUM(M264:M267)</f>
        <v>22048.1</v>
      </c>
      <c r="N263" s="402">
        <f t="shared" si="182"/>
        <v>22999.781288762038</v>
      </c>
      <c r="O263" s="402">
        <f>SUM(O264:O267)</f>
        <v>39436.677009999999</v>
      </c>
      <c r="P263" s="402">
        <f t="shared" ref="P263:AK263" si="183">SUM(P264:P267)</f>
        <v>38017.816229999997</v>
      </c>
      <c r="Q263" s="145">
        <f t="shared" ref="Q263:S263" si="184">P263</f>
        <v>38017.816229999997</v>
      </c>
      <c r="R263" s="402">
        <f t="shared" si="184"/>
        <v>38017.816229999997</v>
      </c>
      <c r="S263" s="402">
        <f t="shared" si="184"/>
        <v>38017.816229999997</v>
      </c>
      <c r="T263" s="402">
        <f t="shared" si="155"/>
        <v>15018.034941237958</v>
      </c>
      <c r="U263" s="402">
        <f t="shared" si="156"/>
        <v>0</v>
      </c>
      <c r="V263" s="402">
        <f t="shared" si="183"/>
        <v>49202.400000000001</v>
      </c>
      <c r="W263" s="402">
        <f t="shared" si="183"/>
        <v>46492296.959999993</v>
      </c>
      <c r="X263" s="402">
        <f t="shared" si="183"/>
        <v>46492.29696</v>
      </c>
      <c r="Y263" s="402">
        <f t="shared" si="183"/>
        <v>46492.296960000007</v>
      </c>
      <c r="Z263" s="168">
        <f t="shared" si="183"/>
        <v>45207.210980000003</v>
      </c>
      <c r="AA263" s="402">
        <f t="shared" si="183"/>
        <v>1184.6402699999999</v>
      </c>
      <c r="AB263" s="402">
        <f t="shared" si="183"/>
        <v>100.44570999999999</v>
      </c>
      <c r="AC263" s="402">
        <f t="shared" si="183"/>
        <v>51416.507999999994</v>
      </c>
      <c r="AD263" s="402">
        <f t="shared" si="183"/>
        <v>86424.864949999988</v>
      </c>
      <c r="AE263" s="402">
        <f t="shared" si="183"/>
        <v>61010.539999999994</v>
      </c>
      <c r="AF263" s="402">
        <f t="shared" si="183"/>
        <v>61010.539999999994</v>
      </c>
      <c r="AG263" s="953">
        <f t="shared" si="183"/>
        <v>53473.16831999999</v>
      </c>
      <c r="AH263" s="402">
        <f t="shared" si="183"/>
        <v>56227.583353904956</v>
      </c>
      <c r="AI263" s="1012">
        <f t="shared" si="152"/>
        <v>1.2093956855321815</v>
      </c>
      <c r="AJ263" s="953">
        <f t="shared" si="183"/>
        <v>2754.415033904962</v>
      </c>
      <c r="AK263" s="953">
        <f t="shared" si="183"/>
        <v>0</v>
      </c>
      <c r="AL263" s="74"/>
    </row>
    <row r="264" spans="1:38" ht="25.5" customHeight="1" outlineLevel="1">
      <c r="A264" s="139" t="s">
        <v>1217</v>
      </c>
      <c r="B264" s="176" t="s">
        <v>1218</v>
      </c>
      <c r="C264" s="240" t="s">
        <v>1219</v>
      </c>
      <c r="D264" s="956" t="s">
        <v>1340</v>
      </c>
      <c r="E264" s="148" t="s">
        <v>1220</v>
      </c>
      <c r="F264" s="226" t="s">
        <v>1221</v>
      </c>
      <c r="G264" s="404" t="s">
        <v>552</v>
      </c>
      <c r="H264" s="404">
        <v>376.06141510000003</v>
      </c>
      <c r="I264" s="404">
        <v>298.79334999999998</v>
      </c>
      <c r="J264" s="404">
        <v>298.79000000000002</v>
      </c>
      <c r="K264" s="406">
        <v>412.64216123128932</v>
      </c>
      <c r="L264" s="406">
        <v>1238.6773400000002</v>
      </c>
      <c r="M264" s="406">
        <v>1238.68</v>
      </c>
      <c r="N264" s="406">
        <v>434.09955361531638</v>
      </c>
      <c r="O264" s="406">
        <v>9193.9609999999993</v>
      </c>
      <c r="P264" s="406">
        <v>8225.2744600000005</v>
      </c>
      <c r="Q264" s="150">
        <v>8225.2744600000005</v>
      </c>
      <c r="R264" s="406">
        <v>8225.2744600000005</v>
      </c>
      <c r="S264" s="406">
        <v>8225.2744600000005</v>
      </c>
      <c r="T264" s="406">
        <f t="shared" si="155"/>
        <v>7791.1749063846837</v>
      </c>
      <c r="U264" s="406">
        <f t="shared" si="156"/>
        <v>0</v>
      </c>
      <c r="V264" s="406">
        <v>8260.75</v>
      </c>
      <c r="W264" s="167">
        <v>9587691.6400000006</v>
      </c>
      <c r="X264" s="167">
        <v>9587.6916400000009</v>
      </c>
      <c r="Y264" s="406">
        <v>9587.6916399999991</v>
      </c>
      <c r="Z264" s="406">
        <v>8856.4818500000001</v>
      </c>
      <c r="AA264" s="406">
        <v>692.8877</v>
      </c>
      <c r="AB264" s="406">
        <v>38.322089999999996</v>
      </c>
      <c r="AC264" s="406">
        <v>8632.4837499999994</v>
      </c>
      <c r="AD264" s="166">
        <f>'[71]2. подк.неподк.'!X251+2000</f>
        <v>11615.84</v>
      </c>
      <c r="AE264" s="406">
        <v>10243.256798550476</v>
      </c>
      <c r="AF264" s="402">
        <f t="shared" si="158"/>
        <v>10243.256798550476</v>
      </c>
      <c r="AG264" s="167">
        <v>8977.7831000000006</v>
      </c>
      <c r="AH264" s="406">
        <v>9797.1902841516021</v>
      </c>
      <c r="AI264" s="957">
        <f t="shared" si="152"/>
        <v>1.0218507907865506</v>
      </c>
      <c r="AJ264" s="957">
        <f t="shared" si="153"/>
        <v>819.40718415160154</v>
      </c>
      <c r="AK264" s="965"/>
      <c r="AL264" s="74"/>
    </row>
    <row r="265" spans="1:38" ht="22.5" customHeight="1" outlineLevel="1">
      <c r="A265" s="139" t="s">
        <v>1222</v>
      </c>
      <c r="B265" s="176" t="s">
        <v>1223</v>
      </c>
      <c r="C265" s="1013" t="s">
        <v>1224</v>
      </c>
      <c r="D265" s="956" t="s">
        <v>2164</v>
      </c>
      <c r="E265" s="162" t="s">
        <v>1225</v>
      </c>
      <c r="F265" s="226" t="s">
        <v>1226</v>
      </c>
      <c r="G265" s="404" t="s">
        <v>552</v>
      </c>
      <c r="H265" s="404">
        <v>69.669200000000004</v>
      </c>
      <c r="I265" s="404">
        <v>0</v>
      </c>
      <c r="J265" s="404">
        <v>0</v>
      </c>
      <c r="K265" s="406">
        <v>76.446155082435993</v>
      </c>
      <c r="L265" s="406">
        <v>936.4</v>
      </c>
      <c r="M265" s="406">
        <v>936.4</v>
      </c>
      <c r="N265" s="406">
        <v>80.421355146722675</v>
      </c>
      <c r="O265" s="406">
        <v>946.83600000000001</v>
      </c>
      <c r="P265" s="406">
        <v>937.53021000000001</v>
      </c>
      <c r="Q265" s="150">
        <v>937.53021000000001</v>
      </c>
      <c r="R265" s="406">
        <v>937.53021000000001</v>
      </c>
      <c r="S265" s="406">
        <v>937.53021000000001</v>
      </c>
      <c r="T265" s="406">
        <f t="shared" si="155"/>
        <v>857.10885485327731</v>
      </c>
      <c r="U265" s="406">
        <f t="shared" si="156"/>
        <v>0</v>
      </c>
      <c r="V265" s="406">
        <v>978.11</v>
      </c>
      <c r="W265" s="167">
        <v>991990</v>
      </c>
      <c r="X265" s="167">
        <v>991.99</v>
      </c>
      <c r="Y265" s="406">
        <v>991.99</v>
      </c>
      <c r="Z265" s="406">
        <v>984.51221999999996</v>
      </c>
      <c r="AA265" s="406">
        <v>7.08589</v>
      </c>
      <c r="AB265" s="406">
        <v>0.39188999999999996</v>
      </c>
      <c r="AC265" s="406">
        <v>1022.1249499999999</v>
      </c>
      <c r="AD265" s="166">
        <f>'[71]2. подк.неподк.'!X252+1000</f>
        <v>2022.1249499999999</v>
      </c>
      <c r="AE265" s="406">
        <v>1212.847732618734</v>
      </c>
      <c r="AF265" s="402">
        <f t="shared" si="158"/>
        <v>1212.847732618734</v>
      </c>
      <c r="AG265" s="167">
        <v>1063.0099479999999</v>
      </c>
      <c r="AH265" s="406">
        <v>1315.8991499999997</v>
      </c>
      <c r="AI265" s="957">
        <f t="shared" si="152"/>
        <v>1.3265246121432672</v>
      </c>
      <c r="AJ265" s="957">
        <f t="shared" si="153"/>
        <v>252.88920199999984</v>
      </c>
      <c r="AK265" s="965"/>
      <c r="AL265" s="74"/>
    </row>
    <row r="266" spans="1:38" s="191" customFormat="1" ht="21" customHeight="1" outlineLevel="1">
      <c r="A266" s="139" t="s">
        <v>1227</v>
      </c>
      <c r="B266" s="176" t="s">
        <v>1228</v>
      </c>
      <c r="C266" s="1013" t="s">
        <v>1229</v>
      </c>
      <c r="D266" s="956" t="s">
        <v>1345</v>
      </c>
      <c r="E266" s="162" t="s">
        <v>1230</v>
      </c>
      <c r="F266" s="226" t="s">
        <v>1231</v>
      </c>
      <c r="G266" s="404" t="s">
        <v>552</v>
      </c>
      <c r="H266" s="404">
        <v>5513.3645433000002</v>
      </c>
      <c r="I266" s="404">
        <v>4609.3688199999997</v>
      </c>
      <c r="J266" s="404">
        <v>4609.3688199999997</v>
      </c>
      <c r="K266" s="406">
        <v>6049.6678826065945</v>
      </c>
      <c r="L266" s="406">
        <v>18373.98547</v>
      </c>
      <c r="M266" s="406">
        <v>18373.990000000002</v>
      </c>
      <c r="N266" s="406">
        <v>21291.119999999999</v>
      </c>
      <c r="O266" s="406">
        <v>27851.028999999999</v>
      </c>
      <c r="P266" s="406">
        <v>27587.461620000002</v>
      </c>
      <c r="Q266" s="150">
        <v>27587.461620000002</v>
      </c>
      <c r="R266" s="406">
        <v>27587.461620000002</v>
      </c>
      <c r="S266" s="406">
        <v>27587.461620000002</v>
      </c>
      <c r="T266" s="406">
        <f t="shared" si="155"/>
        <v>6296.3416200000029</v>
      </c>
      <c r="U266" s="406">
        <f t="shared" si="156"/>
        <v>0</v>
      </c>
      <c r="V266" s="406">
        <v>38611.82</v>
      </c>
      <c r="W266" s="167">
        <v>34094284.159999996</v>
      </c>
      <c r="X266" s="167">
        <v>34094.284159999996</v>
      </c>
      <c r="Y266" s="406">
        <v>34094.284160000003</v>
      </c>
      <c r="Z266" s="406">
        <v>33774.398510000006</v>
      </c>
      <c r="AA266" s="406">
        <v>281.01673</v>
      </c>
      <c r="AB266" s="406">
        <v>38.868919999999996</v>
      </c>
      <c r="AC266" s="406">
        <v>40349.351899999994</v>
      </c>
      <c r="AD266" s="166">
        <f>'[71]2. подк.неподк.'!X253-4000</f>
        <v>70315.759999999995</v>
      </c>
      <c r="AE266" s="406">
        <v>47878.314646903396</v>
      </c>
      <c r="AF266" s="402">
        <v>47878.314646903396</v>
      </c>
      <c r="AG266" s="167">
        <v>41963.325975999993</v>
      </c>
      <c r="AH266" s="406">
        <v>43106.993919753353</v>
      </c>
      <c r="AI266" s="957">
        <f t="shared" si="152"/>
        <v>1.2643466487654615</v>
      </c>
      <c r="AJ266" s="957">
        <f t="shared" si="153"/>
        <v>1143.6679437533603</v>
      </c>
      <c r="AK266" s="965"/>
      <c r="AL266" s="991"/>
    </row>
    <row r="267" spans="1:38" ht="36" customHeight="1" outlineLevel="1">
      <c r="A267" s="139" t="s">
        <v>1232</v>
      </c>
      <c r="B267" s="176" t="s">
        <v>1233</v>
      </c>
      <c r="C267" s="1013" t="s">
        <v>1234</v>
      </c>
      <c r="D267" s="956" t="s">
        <v>1350</v>
      </c>
      <c r="E267" s="162" t="s">
        <v>1235</v>
      </c>
      <c r="F267" s="226" t="s">
        <v>1236</v>
      </c>
      <c r="G267" s="404" t="s">
        <v>552</v>
      </c>
      <c r="H267" s="404">
        <v>1581.97</v>
      </c>
      <c r="I267" s="404">
        <v>4326.6297000000004</v>
      </c>
      <c r="J267" s="404">
        <v>4326.63</v>
      </c>
      <c r="K267" s="406">
        <v>1735.8534898600999</v>
      </c>
      <c r="L267" s="406">
        <v>1499.03</v>
      </c>
      <c r="M267" s="406">
        <v>1499.03</v>
      </c>
      <c r="N267" s="406">
        <v>1194.1403800000001</v>
      </c>
      <c r="O267" s="406">
        <v>1444.8510100000001</v>
      </c>
      <c r="P267" s="406">
        <v>1267.5499399999999</v>
      </c>
      <c r="Q267" s="150">
        <v>1267.5499399999999</v>
      </c>
      <c r="R267" s="406">
        <v>1267.5499399999999</v>
      </c>
      <c r="S267" s="406">
        <v>1267.5499399999999</v>
      </c>
      <c r="T267" s="406">
        <f t="shared" si="155"/>
        <v>73.409559999999829</v>
      </c>
      <c r="U267" s="406">
        <f t="shared" si="156"/>
        <v>0</v>
      </c>
      <c r="V267" s="406">
        <v>1351.72</v>
      </c>
      <c r="W267" s="167">
        <v>1818331.16</v>
      </c>
      <c r="X267" s="167">
        <v>1818.33116</v>
      </c>
      <c r="Y267" s="406">
        <v>1818.33116</v>
      </c>
      <c r="Z267" s="406">
        <v>1591.8183999999999</v>
      </c>
      <c r="AA267" s="406">
        <v>203.64995000000002</v>
      </c>
      <c r="AB267" s="406">
        <v>22.86281</v>
      </c>
      <c r="AC267" s="406">
        <v>1412.5473999999999</v>
      </c>
      <c r="AD267" s="166">
        <f>'[71]2. подк.неподк.'!X254+1000</f>
        <v>2471.1400000000003</v>
      </c>
      <c r="AE267" s="406">
        <v>1676.1208219273856</v>
      </c>
      <c r="AF267" s="402">
        <f t="shared" si="158"/>
        <v>1676.1208219273856</v>
      </c>
      <c r="AG267" s="167">
        <v>1469.0492959999999</v>
      </c>
      <c r="AH267" s="406">
        <v>2007.5</v>
      </c>
      <c r="AI267" s="957">
        <f t="shared" si="152"/>
        <v>1.1040343168292843</v>
      </c>
      <c r="AJ267" s="957">
        <f t="shared" si="153"/>
        <v>538.45070400000009</v>
      </c>
      <c r="AK267" s="965"/>
      <c r="AL267" s="74"/>
    </row>
    <row r="268" spans="1:38" s="224" customFormat="1" ht="33" customHeight="1">
      <c r="A268" s="228"/>
      <c r="B268" s="229" t="s">
        <v>1237</v>
      </c>
      <c r="C268" s="230"/>
      <c r="D268" s="1014"/>
      <c r="E268" s="231" t="s">
        <v>1238</v>
      </c>
      <c r="F268" s="231" t="s">
        <v>1238</v>
      </c>
      <c r="G268" s="222" t="s">
        <v>552</v>
      </c>
      <c r="H268" s="223">
        <f t="shared" ref="H268:N268" si="185">H269+H270+H271+H272</f>
        <v>97268.786800749993</v>
      </c>
      <c r="I268" s="223">
        <f t="shared" si="185"/>
        <v>114535</v>
      </c>
      <c r="J268" s="223">
        <f t="shared" si="185"/>
        <v>33984.17</v>
      </c>
      <c r="K268" s="223">
        <f t="shared" si="185"/>
        <v>120732.58128418244</v>
      </c>
      <c r="L268" s="223">
        <f t="shared" si="185"/>
        <v>42563.4</v>
      </c>
      <c r="M268" s="223">
        <f t="shared" si="185"/>
        <v>10914.799442499998</v>
      </c>
      <c r="N268" s="223">
        <f t="shared" si="185"/>
        <v>33181.1325</v>
      </c>
      <c r="O268" s="223">
        <f>O269+O270+O271+O272</f>
        <v>14303.000000000005</v>
      </c>
      <c r="P268" s="223">
        <f t="shared" ref="P268:S268" si="186">P269+P270+P271+P272</f>
        <v>-33146</v>
      </c>
      <c r="Q268" s="223">
        <f t="shared" si="186"/>
        <v>30598.419227500006</v>
      </c>
      <c r="R268" s="223">
        <f t="shared" si="186"/>
        <v>30598.419227500006</v>
      </c>
      <c r="S268" s="223">
        <f t="shared" si="186"/>
        <v>29017.512530000004</v>
      </c>
      <c r="T268" s="223">
        <f t="shared" si="155"/>
        <v>-4163.6199699999961</v>
      </c>
      <c r="U268" s="223">
        <f>SUM(U269:U275)</f>
        <v>-17593.821715723974</v>
      </c>
      <c r="V268" s="223">
        <f>V269+V270+V271+V272</f>
        <v>94894.848929852014</v>
      </c>
      <c r="W268" s="223">
        <f>W269+W270+W271+W272+W273+W274+W275</f>
        <v>134032623.39</v>
      </c>
      <c r="X268" s="223">
        <f>X269+X270+X271+X272+X273+X274+X275</f>
        <v>134032.62338999999</v>
      </c>
      <c r="Y268" s="223">
        <f t="shared" ref="Y268:AB268" si="187">Y269+Y270+Y271+Y272+Y273+Y274+Y275</f>
        <v>0</v>
      </c>
      <c r="Z268" s="223">
        <f>Z269+Z270+Z271+Z272+Z273+Z274+Z275</f>
        <v>0</v>
      </c>
      <c r="AA268" s="223">
        <f t="shared" si="187"/>
        <v>0</v>
      </c>
      <c r="AB268" s="223">
        <f t="shared" si="187"/>
        <v>0</v>
      </c>
      <c r="AC268" s="223">
        <f>AC269+AC270+AC271+AC272</f>
        <v>99875.162665224314</v>
      </c>
      <c r="AD268" s="223">
        <f t="shared" ref="AD268:AK268" si="188">AD269+AD270+AD271+AD272</f>
        <v>240747.37227624294</v>
      </c>
      <c r="AE268" s="223">
        <f t="shared" si="188"/>
        <v>100136.47299469695</v>
      </c>
      <c r="AF268" s="223">
        <f t="shared" si="188"/>
        <v>101034.89390476303</v>
      </c>
      <c r="AG268" s="223">
        <f t="shared" si="188"/>
        <v>103870.16916088315</v>
      </c>
      <c r="AH268" s="223">
        <f t="shared" si="188"/>
        <v>263661.57188421319</v>
      </c>
      <c r="AI268" s="1008">
        <f t="shared" si="152"/>
        <v>1.9671447533860973</v>
      </c>
      <c r="AJ268" s="1009">
        <f t="shared" si="188"/>
        <v>159791.40272333004</v>
      </c>
      <c r="AK268" s="1009">
        <f t="shared" si="188"/>
        <v>248701.69551662324</v>
      </c>
      <c r="AL268" s="1010"/>
    </row>
    <row r="269" spans="1:38" ht="33" customHeight="1" outlineLevel="1">
      <c r="A269" s="139" t="s">
        <v>1239</v>
      </c>
      <c r="B269" s="176" t="s">
        <v>1240</v>
      </c>
      <c r="C269" s="240" t="s">
        <v>1241</v>
      </c>
      <c r="D269" s="956" t="s">
        <v>1354</v>
      </c>
      <c r="E269" s="148" t="s">
        <v>1242</v>
      </c>
      <c r="F269" s="232" t="s">
        <v>1243</v>
      </c>
      <c r="G269" s="404" t="s">
        <v>552</v>
      </c>
      <c r="H269" s="404">
        <v>97268.786800749993</v>
      </c>
      <c r="I269" s="404">
        <v>114535</v>
      </c>
      <c r="J269" s="404">
        <v>33984.17</v>
      </c>
      <c r="K269" s="406">
        <v>120732.58128418244</v>
      </c>
      <c r="L269" s="406">
        <v>30763.669316423468</v>
      </c>
      <c r="M269" s="406">
        <v>10914.799442499998</v>
      </c>
      <c r="N269" s="406">
        <v>33181.1325</v>
      </c>
      <c r="O269" s="406">
        <v>14761.000000000004</v>
      </c>
      <c r="P269" s="406">
        <v>-34207.376494441727</v>
      </c>
      <c r="Q269" s="150">
        <v>30598.419227500006</v>
      </c>
      <c r="R269" s="406">
        <v>30598.419227500006</v>
      </c>
      <c r="S269" s="406">
        <v>29017.512530000004</v>
      </c>
      <c r="T269" s="406">
        <f t="shared" si="155"/>
        <v>-4163.6199699999961</v>
      </c>
      <c r="U269" s="406">
        <v>0</v>
      </c>
      <c r="V269" s="406">
        <v>94894.848929852014</v>
      </c>
      <c r="W269" s="167">
        <v>32284348.370000001</v>
      </c>
      <c r="X269" s="167">
        <v>32284.34837</v>
      </c>
      <c r="Y269" s="406">
        <v>0</v>
      </c>
      <c r="Z269" s="406">
        <v>0</v>
      </c>
      <c r="AA269" s="406">
        <v>0</v>
      </c>
      <c r="AB269" s="406">
        <v>0</v>
      </c>
      <c r="AC269" s="406">
        <v>99875.162665224314</v>
      </c>
      <c r="AD269" s="406">
        <f>'[71]2. подк.неподк.'!X256</f>
        <v>240747.37227624294</v>
      </c>
      <c r="AE269" s="406">
        <f>AE385</f>
        <v>100136.47299469695</v>
      </c>
      <c r="AF269" s="402">
        <v>101034.89390476303</v>
      </c>
      <c r="AG269" s="406">
        <v>103870.16916088315</v>
      </c>
      <c r="AH269" s="406">
        <v>263661.57188421319</v>
      </c>
      <c r="AI269" s="957">
        <f t="shared" si="152"/>
        <v>8.1668543797903883</v>
      </c>
      <c r="AJ269" s="957">
        <f t="shared" si="153"/>
        <v>159791.40272333004</v>
      </c>
      <c r="AK269" s="958">
        <v>248701.69551662324</v>
      </c>
      <c r="AL269" s="74"/>
    </row>
    <row r="270" spans="1:38" ht="33" customHeight="1" outlineLevel="1">
      <c r="A270" s="139" t="s">
        <v>1244</v>
      </c>
      <c r="B270" s="176" t="s">
        <v>1245</v>
      </c>
      <c r="C270" s="243" t="s">
        <v>1246</v>
      </c>
      <c r="D270" s="956" t="s">
        <v>1359</v>
      </c>
      <c r="E270" s="148" t="s">
        <v>1247</v>
      </c>
      <c r="F270" s="177"/>
      <c r="G270" s="404" t="s">
        <v>552</v>
      </c>
      <c r="H270" s="404">
        <v>0</v>
      </c>
      <c r="I270" s="404">
        <v>0</v>
      </c>
      <c r="J270" s="404">
        <v>0</v>
      </c>
      <c r="K270" s="406">
        <v>0</v>
      </c>
      <c r="L270" s="406">
        <v>10212.206836832402</v>
      </c>
      <c r="M270" s="406">
        <v>0</v>
      </c>
      <c r="N270" s="406">
        <v>0</v>
      </c>
      <c r="O270" s="406">
        <v>-2194</v>
      </c>
      <c r="P270" s="406">
        <v>5084.4105432426759</v>
      </c>
      <c r="Q270" s="150">
        <v>0</v>
      </c>
      <c r="R270" s="406">
        <v>0</v>
      </c>
      <c r="S270" s="406">
        <v>0</v>
      </c>
      <c r="T270" s="406">
        <f t="shared" si="155"/>
        <v>0</v>
      </c>
      <c r="U270" s="406">
        <f t="shared" si="156"/>
        <v>-5084.4105432426759</v>
      </c>
      <c r="V270" s="406">
        <v>0</v>
      </c>
      <c r="W270" s="167">
        <v>18735034.75</v>
      </c>
      <c r="X270" s="167">
        <v>18735.034749999999</v>
      </c>
      <c r="Y270" s="406">
        <v>0</v>
      </c>
      <c r="Z270" s="406">
        <v>0</v>
      </c>
      <c r="AA270" s="406">
        <v>0</v>
      </c>
      <c r="AB270" s="406">
        <v>0</v>
      </c>
      <c r="AC270" s="406">
        <v>0</v>
      </c>
      <c r="AD270" s="406">
        <f>'[71]2. подк.неподк.'!X257</f>
        <v>0</v>
      </c>
      <c r="AE270" s="406">
        <f t="shared" ref="AE270:AE275" si="189">V270*$AD$11</f>
        <v>0</v>
      </c>
      <c r="AF270" s="402">
        <f t="shared" si="158"/>
        <v>0</v>
      </c>
      <c r="AG270" s="406">
        <v>0</v>
      </c>
      <c r="AH270" s="406">
        <v>0</v>
      </c>
      <c r="AI270" s="957">
        <f t="shared" si="152"/>
        <v>0</v>
      </c>
      <c r="AJ270" s="957">
        <f t="shared" si="153"/>
        <v>0</v>
      </c>
      <c r="AK270" s="958">
        <f>AH270</f>
        <v>0</v>
      </c>
      <c r="AL270" s="74"/>
    </row>
    <row r="271" spans="1:38" ht="33" customHeight="1" outlineLevel="1">
      <c r="A271" s="139" t="s">
        <v>1248</v>
      </c>
      <c r="B271" s="176" t="s">
        <v>1249</v>
      </c>
      <c r="C271" s="243" t="s">
        <v>1250</v>
      </c>
      <c r="D271" s="956" t="s">
        <v>1364</v>
      </c>
      <c r="E271" s="148" t="s">
        <v>1251</v>
      </c>
      <c r="F271" s="177"/>
      <c r="G271" s="404" t="s">
        <v>552</v>
      </c>
      <c r="H271" s="404">
        <v>0</v>
      </c>
      <c r="I271" s="404">
        <v>0</v>
      </c>
      <c r="J271" s="404">
        <v>0</v>
      </c>
      <c r="K271" s="406">
        <v>0</v>
      </c>
      <c r="L271" s="406">
        <v>-846.7541713965179</v>
      </c>
      <c r="M271" s="406">
        <v>0</v>
      </c>
      <c r="N271" s="406">
        <v>0</v>
      </c>
      <c r="O271" s="406">
        <v>-5397.9999999999991</v>
      </c>
      <c r="P271" s="406">
        <v>12509.411172481299</v>
      </c>
      <c r="Q271" s="150">
        <v>0</v>
      </c>
      <c r="R271" s="406">
        <v>0</v>
      </c>
      <c r="S271" s="406">
        <v>0</v>
      </c>
      <c r="T271" s="406">
        <f t="shared" si="155"/>
        <v>0</v>
      </c>
      <c r="U271" s="406">
        <f t="shared" si="156"/>
        <v>-12509.411172481299</v>
      </c>
      <c r="V271" s="406">
        <v>0</v>
      </c>
      <c r="W271" s="167">
        <v>-4816411.3600000003</v>
      </c>
      <c r="X271" s="167">
        <v>-4816.4113600000001</v>
      </c>
      <c r="Y271" s="406">
        <v>0</v>
      </c>
      <c r="Z271" s="406">
        <v>0</v>
      </c>
      <c r="AA271" s="406">
        <v>0</v>
      </c>
      <c r="AB271" s="406">
        <v>0</v>
      </c>
      <c r="AC271" s="406">
        <v>0</v>
      </c>
      <c r="AD271" s="406">
        <f>'[71]2. подк.неподк.'!X258</f>
        <v>0</v>
      </c>
      <c r="AE271" s="406">
        <f t="shared" si="189"/>
        <v>0</v>
      </c>
      <c r="AF271" s="402">
        <f t="shared" si="158"/>
        <v>0</v>
      </c>
      <c r="AG271" s="406">
        <v>0</v>
      </c>
      <c r="AH271" s="406">
        <v>0</v>
      </c>
      <c r="AI271" s="957">
        <f t="shared" si="152"/>
        <v>0</v>
      </c>
      <c r="AJ271" s="957">
        <f t="shared" si="153"/>
        <v>0</v>
      </c>
      <c r="AK271" s="958">
        <f t="shared" ref="AK271:AK275" si="190">AH271</f>
        <v>0</v>
      </c>
      <c r="AL271" s="74"/>
    </row>
    <row r="272" spans="1:38" ht="33" customHeight="1" outlineLevel="1">
      <c r="A272" s="139" t="s">
        <v>1252</v>
      </c>
      <c r="B272" s="176" t="s">
        <v>1253</v>
      </c>
      <c r="C272" s="243" t="s">
        <v>1254</v>
      </c>
      <c r="D272" s="956" t="s">
        <v>1368</v>
      </c>
      <c r="E272" s="148" t="s">
        <v>1255</v>
      </c>
      <c r="F272" s="177"/>
      <c r="G272" s="404" t="s">
        <v>552</v>
      </c>
      <c r="H272" s="404">
        <v>0</v>
      </c>
      <c r="I272" s="404">
        <v>0</v>
      </c>
      <c r="J272" s="404">
        <v>0</v>
      </c>
      <c r="K272" s="406">
        <v>0</v>
      </c>
      <c r="L272" s="406">
        <v>2434.2780181406461</v>
      </c>
      <c r="M272" s="406">
        <v>0</v>
      </c>
      <c r="N272" s="406">
        <v>0</v>
      </c>
      <c r="O272" s="406">
        <v>7134.0000000000009</v>
      </c>
      <c r="P272" s="406">
        <v>-16532.445221282251</v>
      </c>
      <c r="Q272" s="150">
        <v>0</v>
      </c>
      <c r="R272" s="406">
        <v>0</v>
      </c>
      <c r="S272" s="406">
        <v>0</v>
      </c>
      <c r="T272" s="406">
        <f t="shared" si="155"/>
        <v>0</v>
      </c>
      <c r="U272" s="406">
        <v>0</v>
      </c>
      <c r="V272" s="406">
        <v>0</v>
      </c>
      <c r="W272" s="167">
        <v>0</v>
      </c>
      <c r="X272" s="167">
        <v>0</v>
      </c>
      <c r="Y272" s="406">
        <v>0</v>
      </c>
      <c r="Z272" s="406">
        <v>0</v>
      </c>
      <c r="AA272" s="406">
        <v>0</v>
      </c>
      <c r="AB272" s="406">
        <v>0</v>
      </c>
      <c r="AC272" s="406">
        <v>0</v>
      </c>
      <c r="AD272" s="406">
        <f>'[71]2. подк.неподк.'!X259</f>
        <v>0</v>
      </c>
      <c r="AE272" s="406">
        <f t="shared" si="189"/>
        <v>0</v>
      </c>
      <c r="AF272" s="402">
        <f t="shared" si="158"/>
        <v>0</v>
      </c>
      <c r="AG272" s="406">
        <v>0</v>
      </c>
      <c r="AH272" s="406">
        <v>0</v>
      </c>
      <c r="AI272" s="957" t="e">
        <f t="shared" si="152"/>
        <v>#DIV/0!</v>
      </c>
      <c r="AJ272" s="957">
        <f t="shared" si="153"/>
        <v>0</v>
      </c>
      <c r="AK272" s="958">
        <f t="shared" si="190"/>
        <v>0</v>
      </c>
      <c r="AL272" s="74"/>
    </row>
    <row r="273" spans="1:38" ht="33" customHeight="1" outlineLevel="1">
      <c r="A273" s="139" t="s">
        <v>1256</v>
      </c>
      <c r="B273" s="176" t="s">
        <v>1257</v>
      </c>
      <c r="C273" s="243" t="s">
        <v>1258</v>
      </c>
      <c r="D273" s="956" t="s">
        <v>1594</v>
      </c>
      <c r="E273" s="148" t="s">
        <v>1259</v>
      </c>
      <c r="F273" s="177"/>
      <c r="G273" s="404" t="s">
        <v>552</v>
      </c>
      <c r="H273" s="404">
        <v>0</v>
      </c>
      <c r="I273" s="404">
        <v>0</v>
      </c>
      <c r="J273" s="404">
        <v>0</v>
      </c>
      <c r="K273" s="406">
        <v>0</v>
      </c>
      <c r="L273" s="406">
        <v>0</v>
      </c>
      <c r="M273" s="406">
        <v>0</v>
      </c>
      <c r="N273" s="406">
        <v>0</v>
      </c>
      <c r="O273" s="406">
        <v>0</v>
      </c>
      <c r="P273" s="406">
        <v>0</v>
      </c>
      <c r="Q273" s="150">
        <v>0</v>
      </c>
      <c r="R273" s="406">
        <v>0</v>
      </c>
      <c r="S273" s="406">
        <v>0</v>
      </c>
      <c r="T273" s="406">
        <f t="shared" si="155"/>
        <v>0</v>
      </c>
      <c r="U273" s="406">
        <f t="shared" si="156"/>
        <v>0</v>
      </c>
      <c r="V273" s="406">
        <v>0</v>
      </c>
      <c r="W273" s="167">
        <v>55624000</v>
      </c>
      <c r="X273" s="167">
        <v>55624</v>
      </c>
      <c r="Y273" s="406">
        <v>0</v>
      </c>
      <c r="Z273" s="406">
        <v>0</v>
      </c>
      <c r="AA273" s="406">
        <v>0</v>
      </c>
      <c r="AB273" s="406">
        <v>0</v>
      </c>
      <c r="AC273" s="406">
        <v>0</v>
      </c>
      <c r="AD273" s="406">
        <f>'[71]2. подк.неподк.'!X260</f>
        <v>0</v>
      </c>
      <c r="AE273" s="406">
        <f t="shared" si="189"/>
        <v>0</v>
      </c>
      <c r="AF273" s="402">
        <f t="shared" si="158"/>
        <v>0</v>
      </c>
      <c r="AG273" s="406">
        <v>0</v>
      </c>
      <c r="AH273" s="406">
        <v>0</v>
      </c>
      <c r="AI273" s="957">
        <f t="shared" si="152"/>
        <v>0</v>
      </c>
      <c r="AJ273" s="957">
        <f t="shared" si="153"/>
        <v>0</v>
      </c>
      <c r="AK273" s="958">
        <f t="shared" si="190"/>
        <v>0</v>
      </c>
      <c r="AL273" s="74"/>
    </row>
    <row r="274" spans="1:38" ht="33" customHeight="1" outlineLevel="1">
      <c r="A274" s="139" t="s">
        <v>1260</v>
      </c>
      <c r="B274" s="176" t="s">
        <v>1261</v>
      </c>
      <c r="C274" s="243" t="s">
        <v>1262</v>
      </c>
      <c r="D274" s="956" t="s">
        <v>1372</v>
      </c>
      <c r="E274" s="148" t="s">
        <v>1263</v>
      </c>
      <c r="F274" s="232" t="s">
        <v>1264</v>
      </c>
      <c r="G274" s="404" t="s">
        <v>552</v>
      </c>
      <c r="H274" s="404">
        <v>0</v>
      </c>
      <c r="I274" s="404">
        <v>0</v>
      </c>
      <c r="J274" s="404">
        <v>0</v>
      </c>
      <c r="K274" s="406">
        <v>0</v>
      </c>
      <c r="L274" s="406">
        <v>0</v>
      </c>
      <c r="M274" s="406">
        <v>0</v>
      </c>
      <c r="N274" s="406">
        <v>0</v>
      </c>
      <c r="O274" s="406">
        <v>0</v>
      </c>
      <c r="P274" s="406">
        <v>0</v>
      </c>
      <c r="Q274" s="150">
        <v>0</v>
      </c>
      <c r="R274" s="406">
        <v>0</v>
      </c>
      <c r="S274" s="406">
        <v>0</v>
      </c>
      <c r="T274" s="406">
        <f t="shared" si="155"/>
        <v>0</v>
      </c>
      <c r="U274" s="406">
        <f t="shared" si="156"/>
        <v>0</v>
      </c>
      <c r="V274" s="406">
        <v>0</v>
      </c>
      <c r="W274" s="167">
        <v>0</v>
      </c>
      <c r="X274" s="167">
        <v>0</v>
      </c>
      <c r="Y274" s="406">
        <v>0</v>
      </c>
      <c r="Z274" s="406">
        <v>0</v>
      </c>
      <c r="AA274" s="406">
        <v>0</v>
      </c>
      <c r="AB274" s="406">
        <v>0</v>
      </c>
      <c r="AC274" s="406">
        <v>0</v>
      </c>
      <c r="AD274" s="406">
        <f>'[71]2. подк.неподк.'!X261</f>
        <v>0</v>
      </c>
      <c r="AE274" s="406">
        <f t="shared" si="189"/>
        <v>0</v>
      </c>
      <c r="AF274" s="402">
        <f t="shared" si="158"/>
        <v>0</v>
      </c>
      <c r="AG274" s="406">
        <v>0</v>
      </c>
      <c r="AH274" s="406">
        <v>0</v>
      </c>
      <c r="AI274" s="957" t="e">
        <f t="shared" si="152"/>
        <v>#DIV/0!</v>
      </c>
      <c r="AJ274" s="957">
        <f t="shared" si="153"/>
        <v>0</v>
      </c>
      <c r="AK274" s="958">
        <f t="shared" si="190"/>
        <v>0</v>
      </c>
      <c r="AL274" s="74"/>
    </row>
    <row r="275" spans="1:38" ht="33" customHeight="1" outlineLevel="1">
      <c r="A275" s="139" t="s">
        <v>1265</v>
      </c>
      <c r="B275" s="176" t="s">
        <v>1266</v>
      </c>
      <c r="C275" s="243" t="s">
        <v>1267</v>
      </c>
      <c r="D275" s="956" t="s">
        <v>1377</v>
      </c>
      <c r="E275" s="148" t="s">
        <v>1268</v>
      </c>
      <c r="F275" s="177"/>
      <c r="G275" s="404" t="s">
        <v>552</v>
      </c>
      <c r="H275" s="404">
        <v>0</v>
      </c>
      <c r="I275" s="404">
        <v>0</v>
      </c>
      <c r="J275" s="404">
        <v>0</v>
      </c>
      <c r="K275" s="406">
        <v>0</v>
      </c>
      <c r="L275" s="406">
        <v>0</v>
      </c>
      <c r="M275" s="406">
        <v>0</v>
      </c>
      <c r="N275" s="406">
        <v>0</v>
      </c>
      <c r="O275" s="406">
        <v>0</v>
      </c>
      <c r="P275" s="406">
        <v>0</v>
      </c>
      <c r="Q275" s="150">
        <v>0</v>
      </c>
      <c r="R275" s="406">
        <v>0</v>
      </c>
      <c r="S275" s="406">
        <v>0</v>
      </c>
      <c r="T275" s="406">
        <f t="shared" si="155"/>
        <v>0</v>
      </c>
      <c r="U275" s="406">
        <f t="shared" si="156"/>
        <v>0</v>
      </c>
      <c r="V275" s="406">
        <v>0</v>
      </c>
      <c r="W275" s="167">
        <v>32205651.629999999</v>
      </c>
      <c r="X275" s="167">
        <v>32205.65163</v>
      </c>
      <c r="Y275" s="406">
        <v>0</v>
      </c>
      <c r="Z275" s="406">
        <v>0</v>
      </c>
      <c r="AA275" s="406">
        <v>0</v>
      </c>
      <c r="AB275" s="406">
        <v>0</v>
      </c>
      <c r="AC275" s="406">
        <v>0</v>
      </c>
      <c r="AD275" s="406">
        <f>'[71]2. подк.неподк.'!X262</f>
        <v>0</v>
      </c>
      <c r="AE275" s="406">
        <f t="shared" si="189"/>
        <v>0</v>
      </c>
      <c r="AF275" s="402">
        <f t="shared" si="158"/>
        <v>0</v>
      </c>
      <c r="AG275" s="406">
        <v>0</v>
      </c>
      <c r="AH275" s="406">
        <v>0</v>
      </c>
      <c r="AI275" s="957">
        <f t="shared" si="152"/>
        <v>0</v>
      </c>
      <c r="AJ275" s="957">
        <f t="shared" si="153"/>
        <v>0</v>
      </c>
      <c r="AK275" s="958">
        <f t="shared" si="190"/>
        <v>0</v>
      </c>
      <c r="AL275" s="74"/>
    </row>
    <row r="276" spans="1:38" s="237" customFormat="1" ht="33" customHeight="1">
      <c r="A276" s="228"/>
      <c r="B276" s="219" t="s">
        <v>1269</v>
      </c>
      <c r="C276" s="234"/>
      <c r="D276" s="956" t="s">
        <v>1381</v>
      </c>
      <c r="E276" s="235" t="s">
        <v>1270</v>
      </c>
      <c r="F276" s="221" t="s">
        <v>1271</v>
      </c>
      <c r="G276" s="236" t="s">
        <v>552</v>
      </c>
      <c r="H276" s="236">
        <v>217326.59</v>
      </c>
      <c r="I276" s="236">
        <v>0</v>
      </c>
      <c r="J276" s="236">
        <v>-1503.8</v>
      </c>
      <c r="K276" s="223">
        <v>450143.9</v>
      </c>
      <c r="L276" s="223">
        <v>0</v>
      </c>
      <c r="M276" s="223">
        <v>0</v>
      </c>
      <c r="N276" s="223">
        <v>341940.25276786846</v>
      </c>
      <c r="O276" s="223">
        <v>0</v>
      </c>
      <c r="P276" s="223">
        <v>0</v>
      </c>
      <c r="Q276" s="223">
        <v>0</v>
      </c>
      <c r="R276" s="223">
        <v>0</v>
      </c>
      <c r="S276" s="223">
        <v>0</v>
      </c>
      <c r="T276" s="223">
        <f t="shared" si="155"/>
        <v>-341940.25276786846</v>
      </c>
      <c r="U276" s="223">
        <f t="shared" si="156"/>
        <v>0</v>
      </c>
      <c r="V276" s="223">
        <f>'[71]2. подк.неподк.'!V263</f>
        <v>345140.29777159984</v>
      </c>
      <c r="W276" s="269"/>
      <c r="X276" s="223"/>
      <c r="Y276" s="223"/>
      <c r="Z276" s="223"/>
      <c r="AA276" s="223"/>
      <c r="AB276" s="223"/>
      <c r="AC276" s="223">
        <f>'[71]2. подк.неподк.'!W263</f>
        <v>333453.19945632201</v>
      </c>
      <c r="AD276" s="223">
        <f>'[71]2. подк.неподк.'!X263</f>
        <v>5341487.6500000004</v>
      </c>
      <c r="AE276" s="223">
        <f>'[70]4. Выпадающие 2012_2015'!AB91</f>
        <v>0</v>
      </c>
      <c r="AF276" s="223">
        <f t="shared" si="158"/>
        <v>0</v>
      </c>
      <c r="AG276" s="223">
        <v>346791.31743457401</v>
      </c>
      <c r="AH276" s="223"/>
      <c r="AI276" s="1008" t="e">
        <f t="shared" si="152"/>
        <v>#DIV/0!</v>
      </c>
      <c r="AJ276" s="1008">
        <f t="shared" si="153"/>
        <v>-346791.31743457401</v>
      </c>
      <c r="AK276" s="1009">
        <f>AH276</f>
        <v>0</v>
      </c>
      <c r="AL276" s="1015"/>
    </row>
    <row r="277" spans="1:38" s="224" customFormat="1" ht="33" customHeight="1">
      <c r="A277" s="218"/>
      <c r="B277" s="219" t="s">
        <v>1272</v>
      </c>
      <c r="C277" s="238"/>
      <c r="D277" s="956" t="s">
        <v>1385</v>
      </c>
      <c r="E277" s="221" t="s">
        <v>1273</v>
      </c>
      <c r="F277" s="221" t="s">
        <v>1273</v>
      </c>
      <c r="G277" s="222" t="s">
        <v>552</v>
      </c>
      <c r="H277" s="223">
        <v>326829.46999999997</v>
      </c>
      <c r="I277" s="223">
        <v>94491</v>
      </c>
      <c r="J277" s="223">
        <v>0</v>
      </c>
      <c r="K277" s="223">
        <v>414629.91919286898</v>
      </c>
      <c r="L277" s="223">
        <v>81519.929999999993</v>
      </c>
      <c r="M277" s="223">
        <v>0</v>
      </c>
      <c r="N277" s="223">
        <v>64196.78</v>
      </c>
      <c r="O277" s="223">
        <v>262313.280030002</v>
      </c>
      <c r="P277" s="223">
        <v>101736.78313000068</v>
      </c>
      <c r="Q277" s="223">
        <v>64196.78</v>
      </c>
      <c r="R277" s="223">
        <v>64196.78</v>
      </c>
      <c r="S277" s="223">
        <v>64196.78</v>
      </c>
      <c r="T277" s="223">
        <f t="shared" si="155"/>
        <v>0</v>
      </c>
      <c r="U277" s="223">
        <f t="shared" si="156"/>
        <v>-37540.003130000681</v>
      </c>
      <c r="V277" s="223">
        <f>'[71]2. подк.неподк.'!V264</f>
        <v>336598.63571940805</v>
      </c>
      <c r="W277" s="223">
        <v>96981775.886998996</v>
      </c>
      <c r="X277" s="223">
        <v>96981.775886998992</v>
      </c>
      <c r="Y277" s="223">
        <v>231014.39857772301</v>
      </c>
      <c r="Z277" s="168">
        <v>-61273.425802276135</v>
      </c>
      <c r="AA277" s="223">
        <v>226107.90055999995</v>
      </c>
      <c r="AB277" s="223">
        <v>66179.923820000025</v>
      </c>
      <c r="AC277" s="223">
        <f>'[71]2. подк.неподк.'!W264</f>
        <v>354585.75646089728</v>
      </c>
      <c r="AD277" s="223">
        <f>'[71]2. подк.неподк.'!X264</f>
        <v>775756.23813897197</v>
      </c>
      <c r="AE277" s="223">
        <v>355981.21535599872</v>
      </c>
      <c r="AF277" s="223">
        <v>359574.89899626304</v>
      </c>
      <c r="AG277" s="223">
        <v>368769.1866755326</v>
      </c>
      <c r="AH277" s="223">
        <v>831264.87253649521</v>
      </c>
      <c r="AI277" s="1008">
        <f t="shared" si="152"/>
        <v>8.5713513176441172</v>
      </c>
      <c r="AJ277" s="1008">
        <f t="shared" si="153"/>
        <v>462495.68586096261</v>
      </c>
      <c r="AK277" s="1009">
        <v>772920.3670661354</v>
      </c>
      <c r="AL277" s="1010"/>
    </row>
    <row r="278" spans="1:38" ht="26.25" customHeight="1">
      <c r="A278" s="139"/>
      <c r="B278" s="409" t="s">
        <v>1274</v>
      </c>
      <c r="C278" s="177"/>
      <c r="D278" s="956"/>
      <c r="E278" s="172" t="s">
        <v>1275</v>
      </c>
      <c r="F278" s="172" t="s">
        <v>1275</v>
      </c>
      <c r="G278" s="406" t="s">
        <v>121</v>
      </c>
      <c r="H278" s="402">
        <f t="shared" ref="H278:M278" si="191">H279</f>
        <v>6015.91</v>
      </c>
      <c r="I278" s="402">
        <f t="shared" si="191"/>
        <v>4521.5244199999997</v>
      </c>
      <c r="J278" s="402">
        <f t="shared" si="191"/>
        <v>4521.5200000000004</v>
      </c>
      <c r="K278" s="402">
        <f t="shared" si="191"/>
        <v>6601.1</v>
      </c>
      <c r="L278" s="402">
        <f t="shared" si="191"/>
        <v>4119.4361200000003</v>
      </c>
      <c r="M278" s="402">
        <f t="shared" si="191"/>
        <v>4119.4399999999996</v>
      </c>
      <c r="N278" s="402">
        <f>N279</f>
        <v>2462.2300300000002</v>
      </c>
      <c r="O278" s="402">
        <f>O279</f>
        <v>5039.1831000000002</v>
      </c>
      <c r="P278" s="402">
        <f t="shared" ref="P278:AK278" si="192">P279</f>
        <v>4628.4464700000008</v>
      </c>
      <c r="Q278" s="145">
        <f t="shared" si="192"/>
        <v>4628.4464700000008</v>
      </c>
      <c r="R278" s="402">
        <f t="shared" si="192"/>
        <v>4628.4464700000008</v>
      </c>
      <c r="S278" s="402">
        <f t="shared" si="192"/>
        <v>4628.4464700000008</v>
      </c>
      <c r="T278" s="402">
        <f t="shared" si="155"/>
        <v>2166.2164400000006</v>
      </c>
      <c r="U278" s="402">
        <f t="shared" si="156"/>
        <v>0</v>
      </c>
      <c r="V278" s="402">
        <f t="shared" si="192"/>
        <v>4671.9598899999992</v>
      </c>
      <c r="W278" s="402">
        <f t="shared" si="192"/>
        <v>5459004.4299999997</v>
      </c>
      <c r="X278" s="402">
        <f t="shared" si="192"/>
        <v>5459.00443</v>
      </c>
      <c r="Y278" s="402">
        <f t="shared" si="192"/>
        <v>5459.00443</v>
      </c>
      <c r="Z278" s="168">
        <f t="shared" si="192"/>
        <v>5073.2844999999998</v>
      </c>
      <c r="AA278" s="402">
        <f t="shared" si="192"/>
        <v>330.23453999999998</v>
      </c>
      <c r="AB278" s="402">
        <f t="shared" si="192"/>
        <v>55.485390000000002</v>
      </c>
      <c r="AC278" s="402">
        <f t="shared" si="192"/>
        <v>4882.1980850499986</v>
      </c>
      <c r="AD278" s="402">
        <f t="shared" si="192"/>
        <v>5116.54</v>
      </c>
      <c r="AE278" s="402">
        <f t="shared" si="192"/>
        <v>4844.1298314057512</v>
      </c>
      <c r="AF278" s="402">
        <f t="shared" si="192"/>
        <v>4844.1298314057512</v>
      </c>
      <c r="AG278" s="402">
        <f t="shared" si="192"/>
        <v>5077.4860084519987</v>
      </c>
      <c r="AH278" s="402">
        <f t="shared" si="192"/>
        <v>6768.9245282915927</v>
      </c>
      <c r="AI278" s="1012">
        <f t="shared" si="152"/>
        <v>1.2399558591843078</v>
      </c>
      <c r="AJ278" s="1012">
        <f t="shared" si="153"/>
        <v>1691.4385198395939</v>
      </c>
      <c r="AK278" s="402">
        <f t="shared" si="192"/>
        <v>6768.9245282915927</v>
      </c>
      <c r="AL278" s="74"/>
    </row>
    <row r="279" spans="1:38" ht="33" customHeight="1" outlineLevel="1">
      <c r="A279" s="139" t="s">
        <v>1276</v>
      </c>
      <c r="B279" s="176" t="s">
        <v>1277</v>
      </c>
      <c r="C279" s="240" t="s">
        <v>1278</v>
      </c>
      <c r="D279" s="956" t="s">
        <v>1390</v>
      </c>
      <c r="E279" s="149" t="s">
        <v>1279</v>
      </c>
      <c r="F279" s="149" t="s">
        <v>1280</v>
      </c>
      <c r="G279" s="406" t="s">
        <v>121</v>
      </c>
      <c r="H279" s="406">
        <v>6015.91</v>
      </c>
      <c r="I279" s="406">
        <v>4521.5244199999997</v>
      </c>
      <c r="J279" s="406">
        <v>4521.5200000000004</v>
      </c>
      <c r="K279" s="406">
        <v>6601.1</v>
      </c>
      <c r="L279" s="406">
        <v>4119.4361200000003</v>
      </c>
      <c r="M279" s="406">
        <v>4119.4399999999996</v>
      </c>
      <c r="N279" s="406">
        <v>2462.2300300000002</v>
      </c>
      <c r="O279" s="406">
        <v>5039.1831000000002</v>
      </c>
      <c r="P279" s="406">
        <v>4628.4464700000008</v>
      </c>
      <c r="Q279" s="150">
        <v>4628.4464700000008</v>
      </c>
      <c r="R279" s="406">
        <v>4628.4464700000008</v>
      </c>
      <c r="S279" s="406">
        <v>4628.4464700000008</v>
      </c>
      <c r="T279" s="406">
        <f t="shared" si="155"/>
        <v>2166.2164400000006</v>
      </c>
      <c r="U279" s="406">
        <f t="shared" si="156"/>
        <v>0</v>
      </c>
      <c r="V279" s="406">
        <v>4671.9598899999992</v>
      </c>
      <c r="W279" s="167">
        <v>5459004.4299999997</v>
      </c>
      <c r="X279" s="167">
        <v>5459.00443</v>
      </c>
      <c r="Y279" s="406">
        <v>5459.00443</v>
      </c>
      <c r="Z279" s="406">
        <v>5073.2844999999998</v>
      </c>
      <c r="AA279" s="406">
        <v>330.23453999999998</v>
      </c>
      <c r="AB279" s="406">
        <v>55.485390000000002</v>
      </c>
      <c r="AC279" s="406">
        <v>4882.1980850499986</v>
      </c>
      <c r="AD279" s="406">
        <f>'[71]2. подк.неподк.'!X266</f>
        <v>5116.54</v>
      </c>
      <c r="AE279" s="406">
        <f>V279*$AD$11</f>
        <v>4844.1298314057512</v>
      </c>
      <c r="AF279" s="402">
        <f t="shared" si="158"/>
        <v>4844.1298314057512</v>
      </c>
      <c r="AG279" s="406">
        <v>5077.4860084519987</v>
      </c>
      <c r="AH279" s="406">
        <v>6768.9245282915927</v>
      </c>
      <c r="AI279" s="957">
        <f t="shared" si="152"/>
        <v>1.2399558591843078</v>
      </c>
      <c r="AJ279" s="957">
        <f t="shared" si="153"/>
        <v>1691.4385198395939</v>
      </c>
      <c r="AK279" s="958">
        <f>AH279</f>
        <v>6768.9245282915927</v>
      </c>
      <c r="AL279" s="74"/>
    </row>
    <row r="280" spans="1:38" ht="24" customHeight="1">
      <c r="A280" s="139" t="s">
        <v>1281</v>
      </c>
      <c r="B280" s="239" t="s">
        <v>1282</v>
      </c>
      <c r="C280" s="240" t="s">
        <v>1283</v>
      </c>
      <c r="D280" s="956" t="s">
        <v>2165</v>
      </c>
      <c r="E280" s="241" t="s">
        <v>1284</v>
      </c>
      <c r="F280" s="142" t="s">
        <v>1285</v>
      </c>
      <c r="G280" s="404" t="s">
        <v>552</v>
      </c>
      <c r="H280" s="217">
        <v>20800</v>
      </c>
      <c r="I280" s="217">
        <v>0</v>
      </c>
      <c r="J280" s="217">
        <v>0</v>
      </c>
      <c r="K280" s="402">
        <v>22823.2853</v>
      </c>
      <c r="L280" s="402">
        <v>7247.24802</v>
      </c>
      <c r="M280" s="402">
        <v>7247.25</v>
      </c>
      <c r="N280" s="402">
        <v>20800</v>
      </c>
      <c r="O280" s="402">
        <v>7560.8363399999998</v>
      </c>
      <c r="P280" s="402">
        <v>7088.4152899999999</v>
      </c>
      <c r="Q280" s="145">
        <v>7088.4152899999999</v>
      </c>
      <c r="R280" s="402">
        <v>7088.4152899999999</v>
      </c>
      <c r="S280" s="402">
        <v>7088.4152899999999</v>
      </c>
      <c r="T280" s="402">
        <f t="shared" si="155"/>
        <v>-13711.584709999999</v>
      </c>
      <c r="U280" s="402">
        <f t="shared" si="156"/>
        <v>0</v>
      </c>
      <c r="V280" s="402">
        <f>'[71]2. подк.неподк.'!V267</f>
        <v>20800</v>
      </c>
      <c r="W280" s="953">
        <v>9631023.0399999991</v>
      </c>
      <c r="X280" s="953">
        <v>9631.0230399999982</v>
      </c>
      <c r="Y280" s="402">
        <v>9631.0230399999982</v>
      </c>
      <c r="Z280" s="168">
        <v>8964.0206199999993</v>
      </c>
      <c r="AA280" s="402">
        <v>562.96753000000001</v>
      </c>
      <c r="AB280" s="402">
        <v>104.03489</v>
      </c>
      <c r="AC280" s="402">
        <f>'[71]2. подк.неподк.'!W267</f>
        <v>21736</v>
      </c>
      <c r="AD280" s="402">
        <f>'[71]2. подк.неподк.'!X267</f>
        <v>21736</v>
      </c>
      <c r="AE280" s="402">
        <f>V280</f>
        <v>20800</v>
      </c>
      <c r="AF280" s="402">
        <f>AE280</f>
        <v>20800</v>
      </c>
      <c r="AG280" s="402">
        <v>22605.440000000002</v>
      </c>
      <c r="AH280" s="402">
        <v>8934.82</v>
      </c>
      <c r="AI280" s="954">
        <f t="shared" si="152"/>
        <v>0.92771245203043362</v>
      </c>
      <c r="AJ280" s="954">
        <f t="shared" si="153"/>
        <v>-13670.620000000003</v>
      </c>
      <c r="AK280" s="259">
        <f>AH280</f>
        <v>8934.82</v>
      </c>
      <c r="AL280" s="74"/>
    </row>
    <row r="281" spans="1:38" ht="19.5" customHeight="1">
      <c r="A281" s="139"/>
      <c r="B281" s="409" t="s">
        <v>1286</v>
      </c>
      <c r="C281" s="1011"/>
      <c r="D281" s="167"/>
      <c r="E281" s="410" t="s">
        <v>1287</v>
      </c>
      <c r="F281" s="410" t="s">
        <v>1287</v>
      </c>
      <c r="G281" s="404" t="s">
        <v>552</v>
      </c>
      <c r="H281" s="402">
        <f>H282+H283+H284+H285</f>
        <v>4161.644397</v>
      </c>
      <c r="I281" s="402">
        <f t="shared" ref="I281:J281" si="193">I282+I283+I284+I285</f>
        <v>67230</v>
      </c>
      <c r="J281" s="402">
        <f t="shared" si="193"/>
        <v>4273</v>
      </c>
      <c r="K281" s="402">
        <f>SUM(K282+K285)</f>
        <v>4531.2451859056318</v>
      </c>
      <c r="L281" s="402">
        <f t="shared" ref="L281:AK281" si="194">SUM(L282+L285+L283)</f>
        <v>33081.443930000001</v>
      </c>
      <c r="M281" s="402">
        <f t="shared" si="194"/>
        <v>3674.79</v>
      </c>
      <c r="N281" s="402">
        <f t="shared" si="194"/>
        <v>4748.74</v>
      </c>
      <c r="O281" s="402">
        <f>SUM(O282+O285+O283)</f>
        <v>367781.34206000005</v>
      </c>
      <c r="P281" s="402">
        <f t="shared" si="194"/>
        <v>332686.40981000004</v>
      </c>
      <c r="Q281" s="145">
        <f t="shared" si="194"/>
        <v>1984.5105799999999</v>
      </c>
      <c r="R281" s="402">
        <f t="shared" si="194"/>
        <v>1984.5105799999999</v>
      </c>
      <c r="S281" s="402">
        <f t="shared" si="194"/>
        <v>1984.5105799999999</v>
      </c>
      <c r="T281" s="402">
        <f t="shared" si="155"/>
        <v>-2764.2294199999997</v>
      </c>
      <c r="U281" s="402">
        <f t="shared" si="156"/>
        <v>-330701.89923000004</v>
      </c>
      <c r="V281" s="402">
        <f t="shared" si="194"/>
        <v>3097.21</v>
      </c>
      <c r="W281" s="402">
        <f t="shared" si="194"/>
        <v>565861539.88</v>
      </c>
      <c r="X281" s="402">
        <f t="shared" si="194"/>
        <v>565861.53987999994</v>
      </c>
      <c r="Y281" s="402">
        <f t="shared" si="194"/>
        <v>565861.53987999982</v>
      </c>
      <c r="Z281" s="402">
        <f t="shared" si="194"/>
        <v>560204.12034999998</v>
      </c>
      <c r="AA281" s="402">
        <f t="shared" si="194"/>
        <v>4142.34458</v>
      </c>
      <c r="AB281" s="402">
        <f t="shared" si="194"/>
        <v>1515.0749500000002</v>
      </c>
      <c r="AC281" s="402">
        <f t="shared" si="194"/>
        <v>3236.5844499999998</v>
      </c>
      <c r="AD281" s="402">
        <f t="shared" si="194"/>
        <v>3639.7289999999998</v>
      </c>
      <c r="AE281" s="402">
        <f t="shared" si="194"/>
        <v>3211.347637474732</v>
      </c>
      <c r="AF281" s="402">
        <f t="shared" si="194"/>
        <v>3211.347637474732</v>
      </c>
      <c r="AG281" s="402">
        <f>SUM(AG282+AG285+AG283)</f>
        <v>3366.0478279999998</v>
      </c>
      <c r="AH281" s="402">
        <f t="shared" si="194"/>
        <v>16893.93</v>
      </c>
      <c r="AI281" s="1012">
        <f t="shared" si="152"/>
        <v>2.9855236324388877E-2</v>
      </c>
      <c r="AJ281" s="402">
        <f t="shared" si="194"/>
        <v>13527.882172000003</v>
      </c>
      <c r="AK281" s="402">
        <f t="shared" si="194"/>
        <v>16840.400000000001</v>
      </c>
      <c r="AL281" s="74"/>
    </row>
    <row r="282" spans="1:38" ht="33" customHeight="1" outlineLevel="1">
      <c r="A282" s="139" t="s">
        <v>1288</v>
      </c>
      <c r="B282" s="176" t="s">
        <v>1289</v>
      </c>
      <c r="C282" s="240" t="s">
        <v>1290</v>
      </c>
      <c r="D282" s="956" t="s">
        <v>2166</v>
      </c>
      <c r="E282" s="196" t="s">
        <v>1291</v>
      </c>
      <c r="F282" s="196" t="s">
        <v>1292</v>
      </c>
      <c r="G282" s="404" t="s">
        <v>552</v>
      </c>
      <c r="H282" s="404">
        <v>3241.5643970000001</v>
      </c>
      <c r="I282" s="404">
        <v>4273</v>
      </c>
      <c r="J282" s="404">
        <v>4273</v>
      </c>
      <c r="K282" s="406">
        <v>3556.8821603056317</v>
      </c>
      <c r="L282" s="406">
        <v>3504.11085</v>
      </c>
      <c r="M282" s="406">
        <v>3504.11</v>
      </c>
      <c r="N282" s="406">
        <v>3739.0899999999997</v>
      </c>
      <c r="O282" s="406">
        <v>2091.12228</v>
      </c>
      <c r="P282" s="406">
        <v>1876.4972399999999</v>
      </c>
      <c r="Q282" s="150">
        <v>1876.4972399999999</v>
      </c>
      <c r="R282" s="406">
        <v>1876.4972399999999</v>
      </c>
      <c r="S282" s="406">
        <v>1876.4972399999999</v>
      </c>
      <c r="T282" s="406">
        <f t="shared" si="155"/>
        <v>-1862.5927599999998</v>
      </c>
      <c r="U282" s="406">
        <f t="shared" si="156"/>
        <v>0</v>
      </c>
      <c r="V282" s="406">
        <v>2949.29</v>
      </c>
      <c r="W282" s="167">
        <v>4341717.3600000003</v>
      </c>
      <c r="X282" s="167">
        <v>4341.7173600000006</v>
      </c>
      <c r="Y282" s="406">
        <v>4341.7173600000006</v>
      </c>
      <c r="Z282" s="166">
        <v>3947.60833</v>
      </c>
      <c r="AA282" s="406">
        <v>349.29611999999997</v>
      </c>
      <c r="AB282" s="406">
        <v>44.812910000000002</v>
      </c>
      <c r="AC282" s="406">
        <v>3082.0080499999999</v>
      </c>
      <c r="AD282" s="406">
        <f>'[71]2. подк.неподк.'!X269</f>
        <v>3485.1525999999999</v>
      </c>
      <c r="AE282" s="406">
        <f>V282*$AD$11</f>
        <v>3057.9765252365364</v>
      </c>
      <c r="AF282" s="402">
        <f t="shared" si="158"/>
        <v>3057.9765252365364</v>
      </c>
      <c r="AG282" s="406">
        <v>3205.288372</v>
      </c>
      <c r="AH282" s="406">
        <v>16840.400000000001</v>
      </c>
      <c r="AI282" s="957">
        <f t="shared" si="152"/>
        <v>3.8787416599591826</v>
      </c>
      <c r="AJ282" s="957">
        <f t="shared" si="153"/>
        <v>13635.111628000002</v>
      </c>
      <c r="AK282" s="958">
        <f>AH282</f>
        <v>16840.400000000001</v>
      </c>
      <c r="AL282" s="74"/>
    </row>
    <row r="283" spans="1:38" ht="33" customHeight="1" outlineLevel="1">
      <c r="A283" s="139"/>
      <c r="B283" s="176" t="s">
        <v>1293</v>
      </c>
      <c r="C283" s="240" t="s">
        <v>1969</v>
      </c>
      <c r="D283" s="956" t="s">
        <v>1394</v>
      </c>
      <c r="E283" s="196" t="s">
        <v>1294</v>
      </c>
      <c r="F283" s="196" t="s">
        <v>1295</v>
      </c>
      <c r="G283" s="404" t="s">
        <v>552</v>
      </c>
      <c r="H283" s="404">
        <v>920.08</v>
      </c>
      <c r="I283" s="404">
        <v>62957</v>
      </c>
      <c r="J283" s="404">
        <v>0</v>
      </c>
      <c r="K283" s="406">
        <v>0</v>
      </c>
      <c r="L283" s="406">
        <v>29406.651000000002</v>
      </c>
      <c r="M283" s="406">
        <v>0</v>
      </c>
      <c r="N283" s="406">
        <v>0</v>
      </c>
      <c r="O283" s="406">
        <v>365568.57398000004</v>
      </c>
      <c r="P283" s="406">
        <v>330701.89923000004</v>
      </c>
      <c r="Q283" s="150">
        <v>0</v>
      </c>
      <c r="R283" s="406">
        <v>0</v>
      </c>
      <c r="S283" s="406">
        <v>0</v>
      </c>
      <c r="T283" s="406">
        <f t="shared" si="155"/>
        <v>0</v>
      </c>
      <c r="U283" s="406">
        <f t="shared" si="156"/>
        <v>-330701.89923000004</v>
      </c>
      <c r="V283" s="406">
        <v>0</v>
      </c>
      <c r="W283" s="167">
        <v>561436366.48000002</v>
      </c>
      <c r="X283" s="167">
        <v>561436.36647999997</v>
      </c>
      <c r="Y283" s="406">
        <v>561436.36647999985</v>
      </c>
      <c r="Z283" s="166">
        <v>556178.09529999993</v>
      </c>
      <c r="AA283" s="406">
        <v>3788.8983800000001</v>
      </c>
      <c r="AB283" s="406">
        <v>1469.3728000000001</v>
      </c>
      <c r="AC283" s="406">
        <v>0</v>
      </c>
      <c r="AD283" s="406">
        <f>'[71]2. подк.неподк.'!X270</f>
        <v>0</v>
      </c>
      <c r="AE283" s="406">
        <f>V283*$AD$11</f>
        <v>0</v>
      </c>
      <c r="AF283" s="402">
        <f t="shared" si="158"/>
        <v>0</v>
      </c>
      <c r="AG283" s="406">
        <v>0</v>
      </c>
      <c r="AH283" s="406">
        <v>0</v>
      </c>
      <c r="AI283" s="957">
        <f t="shared" si="152"/>
        <v>0</v>
      </c>
      <c r="AJ283" s="957">
        <f t="shared" si="153"/>
        <v>0</v>
      </c>
      <c r="AK283" s="958">
        <f t="shared" ref="AK283:AK284" si="195">AH283</f>
        <v>0</v>
      </c>
      <c r="AL283" s="74"/>
    </row>
    <row r="284" spans="1:38" ht="33" customHeight="1" outlineLevel="1">
      <c r="A284" s="139"/>
      <c r="B284" s="176" t="s">
        <v>1296</v>
      </c>
      <c r="C284" s="240" t="s">
        <v>1970</v>
      </c>
      <c r="D284" s="956" t="s">
        <v>1400</v>
      </c>
      <c r="E284" s="196" t="s">
        <v>1297</v>
      </c>
      <c r="F284" s="196" t="s">
        <v>1298</v>
      </c>
      <c r="G284" s="404" t="s">
        <v>552</v>
      </c>
      <c r="H284" s="404">
        <v>0</v>
      </c>
      <c r="I284" s="404">
        <v>0</v>
      </c>
      <c r="J284" s="404">
        <v>0</v>
      </c>
      <c r="K284" s="406"/>
      <c r="L284" s="406"/>
      <c r="M284" s="406"/>
      <c r="N284" s="406"/>
      <c r="O284" s="406">
        <v>0</v>
      </c>
      <c r="P284" s="406">
        <v>0</v>
      </c>
      <c r="Q284" s="150">
        <v>0</v>
      </c>
      <c r="R284" s="406">
        <v>0</v>
      </c>
      <c r="S284" s="406">
        <v>0</v>
      </c>
      <c r="T284" s="406">
        <f t="shared" si="155"/>
        <v>0</v>
      </c>
      <c r="U284" s="406">
        <f t="shared" si="156"/>
        <v>0</v>
      </c>
      <c r="V284" s="406">
        <v>0</v>
      </c>
      <c r="W284" s="167">
        <v>0</v>
      </c>
      <c r="X284" s="167">
        <v>0</v>
      </c>
      <c r="Y284" s="406">
        <v>0</v>
      </c>
      <c r="Z284" s="406">
        <v>0</v>
      </c>
      <c r="AA284" s="406">
        <v>0</v>
      </c>
      <c r="AB284" s="406">
        <v>0</v>
      </c>
      <c r="AC284" s="406">
        <v>1</v>
      </c>
      <c r="AD284" s="406">
        <f>'[71]2. подк.неподк.'!X271</f>
        <v>0</v>
      </c>
      <c r="AE284" s="406">
        <f>V284*$AD$11</f>
        <v>0</v>
      </c>
      <c r="AF284" s="402">
        <f t="shared" si="158"/>
        <v>0</v>
      </c>
      <c r="AG284" s="406">
        <v>0</v>
      </c>
      <c r="AH284" s="406">
        <v>0</v>
      </c>
      <c r="AI284" s="957" t="e">
        <f t="shared" si="152"/>
        <v>#DIV/0!</v>
      </c>
      <c r="AJ284" s="957">
        <f t="shared" si="153"/>
        <v>0</v>
      </c>
      <c r="AK284" s="958">
        <f t="shared" si="195"/>
        <v>0</v>
      </c>
      <c r="AL284" s="74"/>
    </row>
    <row r="285" spans="1:38" ht="33" customHeight="1" outlineLevel="1">
      <c r="A285" s="139" t="s">
        <v>1299</v>
      </c>
      <c r="B285" s="176" t="s">
        <v>1300</v>
      </c>
      <c r="C285" s="240" t="s">
        <v>1301</v>
      </c>
      <c r="D285" s="956" t="s">
        <v>1404</v>
      </c>
      <c r="E285" s="196" t="s">
        <v>1302</v>
      </c>
      <c r="F285" s="196" t="s">
        <v>1303</v>
      </c>
      <c r="G285" s="404" t="s">
        <v>552</v>
      </c>
      <c r="H285" s="404">
        <v>0</v>
      </c>
      <c r="I285" s="404">
        <v>0</v>
      </c>
      <c r="J285" s="404">
        <v>0</v>
      </c>
      <c r="K285" s="406">
        <v>974.36302560000013</v>
      </c>
      <c r="L285" s="406">
        <v>170.68207999999998</v>
      </c>
      <c r="M285" s="406">
        <v>170.68</v>
      </c>
      <c r="N285" s="406">
        <v>1009.65</v>
      </c>
      <c r="O285" s="406">
        <v>121.64580000000001</v>
      </c>
      <c r="P285" s="406">
        <v>108.01334</v>
      </c>
      <c r="Q285" s="150">
        <v>108.01334</v>
      </c>
      <c r="R285" s="406">
        <v>108.01334</v>
      </c>
      <c r="S285" s="406">
        <v>108.01334</v>
      </c>
      <c r="T285" s="406">
        <f t="shared" si="155"/>
        <v>-901.63666000000001</v>
      </c>
      <c r="U285" s="406">
        <f t="shared" si="156"/>
        <v>0</v>
      </c>
      <c r="V285" s="406">
        <v>147.91999999999999</v>
      </c>
      <c r="W285" s="167">
        <v>83456.039999999994</v>
      </c>
      <c r="X285" s="167">
        <v>83.456039999999987</v>
      </c>
      <c r="Y285" s="406">
        <v>83.456040000000002</v>
      </c>
      <c r="Z285" s="166">
        <v>78.416719999999998</v>
      </c>
      <c r="AA285" s="406">
        <v>4.15008</v>
      </c>
      <c r="AB285" s="406">
        <v>0.88924000000000003</v>
      </c>
      <c r="AC285" s="406">
        <v>154.57639999999998</v>
      </c>
      <c r="AD285" s="406">
        <f>'[71]2. подк.неподк.'!X272</f>
        <v>154.57639999999998</v>
      </c>
      <c r="AE285" s="406">
        <f>V285*$AD$11</f>
        <v>153.37111223819576</v>
      </c>
      <c r="AF285" s="402">
        <f t="shared" si="158"/>
        <v>153.37111223819576</v>
      </c>
      <c r="AG285" s="406">
        <v>160.75945599999997</v>
      </c>
      <c r="AH285" s="406">
        <v>53.53</v>
      </c>
      <c r="AI285" s="957">
        <f t="shared" si="152"/>
        <v>0.64141552846264938</v>
      </c>
      <c r="AJ285" s="957">
        <f t="shared" si="153"/>
        <v>-107.22945599999997</v>
      </c>
      <c r="AK285" s="965"/>
      <c r="AL285" s="74"/>
    </row>
    <row r="286" spans="1:38" ht="20.25" customHeight="1">
      <c r="A286" s="139"/>
      <c r="B286" s="409" t="s">
        <v>1304</v>
      </c>
      <c r="C286" s="215"/>
      <c r="D286" s="1016"/>
      <c r="E286" s="142" t="s">
        <v>1305</v>
      </c>
      <c r="F286" s="142" t="s">
        <v>1306</v>
      </c>
      <c r="G286" s="404" t="s">
        <v>552</v>
      </c>
      <c r="H286" s="402">
        <f>SUM(H287:H317)</f>
        <v>1637.41</v>
      </c>
      <c r="I286" s="402">
        <f t="shared" ref="I286:N286" si="196">SUM(I287:I317)</f>
        <v>97751</v>
      </c>
      <c r="J286" s="402">
        <f t="shared" si="196"/>
        <v>4317.2299999999996</v>
      </c>
      <c r="K286" s="402">
        <f t="shared" si="196"/>
        <v>4737.0626746223861</v>
      </c>
      <c r="L286" s="402">
        <f t="shared" si="196"/>
        <v>143220.65036</v>
      </c>
      <c r="M286" s="402">
        <f t="shared" si="196"/>
        <v>0</v>
      </c>
      <c r="N286" s="402">
        <f t="shared" si="196"/>
        <v>4964.441683004261</v>
      </c>
      <c r="O286" s="402">
        <f>SUM(O287:O323)</f>
        <v>248782.46003999995</v>
      </c>
      <c r="P286" s="402">
        <f>SUM(P287:P323)</f>
        <v>127325.39408999997</v>
      </c>
      <c r="Q286" s="145">
        <f>SUM(Q287:Q323)</f>
        <v>21063.618310000002</v>
      </c>
      <c r="R286" s="402">
        <f>SUM(R287:R323)</f>
        <v>21063.618310000002</v>
      </c>
      <c r="S286" s="402">
        <f>SUM(S287:S323)</f>
        <v>12074.092410000001</v>
      </c>
      <c r="T286" s="402">
        <f t="shared" si="155"/>
        <v>7109.6507269957401</v>
      </c>
      <c r="U286" s="402">
        <f t="shared" si="156"/>
        <v>-115251.30167999998</v>
      </c>
      <c r="V286" s="402">
        <f>SUM(V287:V323)</f>
        <v>0</v>
      </c>
      <c r="W286" s="402">
        <f>SUM(W287:W323)</f>
        <v>265789471.40999997</v>
      </c>
      <c r="X286" s="402">
        <f>SUM(X287:X323)</f>
        <v>265789.47141000006</v>
      </c>
      <c r="Y286" s="402">
        <f t="shared" ref="Y286:AK286" si="197">SUM(Y287:Y323)</f>
        <v>265789.4714122758</v>
      </c>
      <c r="Z286" s="168">
        <f t="shared" si="197"/>
        <v>192004.51217227566</v>
      </c>
      <c r="AA286" s="402">
        <f t="shared" si="197"/>
        <v>47511.397970000005</v>
      </c>
      <c r="AB286" s="402">
        <f t="shared" si="197"/>
        <v>26273.561270000006</v>
      </c>
      <c r="AC286" s="402">
        <f t="shared" si="197"/>
        <v>0</v>
      </c>
      <c r="AD286" s="402">
        <f t="shared" si="197"/>
        <v>36527.200965999997</v>
      </c>
      <c r="AE286" s="402">
        <f t="shared" si="197"/>
        <v>0</v>
      </c>
      <c r="AF286" s="402">
        <f t="shared" si="197"/>
        <v>0</v>
      </c>
      <c r="AG286" s="402">
        <f t="shared" si="197"/>
        <v>0</v>
      </c>
      <c r="AH286" s="402">
        <f t="shared" si="197"/>
        <v>93895.280857602993</v>
      </c>
      <c r="AI286" s="1012">
        <f t="shared" ref="AI286:AI323" si="198">AH286/X286</f>
        <v>0.35326937654638141</v>
      </c>
      <c r="AJ286" s="402">
        <f t="shared" si="197"/>
        <v>93895.280857602993</v>
      </c>
      <c r="AK286" s="402">
        <f t="shared" si="197"/>
        <v>71105.030857602993</v>
      </c>
      <c r="AL286" s="74"/>
    </row>
    <row r="287" spans="1:38" ht="33" customHeight="1" outlineLevel="1">
      <c r="A287" s="139" t="s">
        <v>1307</v>
      </c>
      <c r="B287" s="242" t="s">
        <v>1308</v>
      </c>
      <c r="C287" s="240" t="s">
        <v>1309</v>
      </c>
      <c r="D287" s="956" t="s">
        <v>1408</v>
      </c>
      <c r="E287" s="199" t="s">
        <v>1310</v>
      </c>
      <c r="F287" s="148" t="s">
        <v>1305</v>
      </c>
      <c r="G287" s="404" t="s">
        <v>552</v>
      </c>
      <c r="H287" s="404">
        <v>0</v>
      </c>
      <c r="I287" s="404">
        <v>1753</v>
      </c>
      <c r="J287" s="404">
        <v>0</v>
      </c>
      <c r="K287" s="406">
        <v>4737.0626746223861</v>
      </c>
      <c r="L287" s="406">
        <v>34282.24005</v>
      </c>
      <c r="M287" s="406">
        <v>0</v>
      </c>
      <c r="N287" s="406">
        <v>4964.441683004261</v>
      </c>
      <c r="O287" s="406">
        <v>6383.3005499999999</v>
      </c>
      <c r="P287" s="406">
        <v>4017.1843699999999</v>
      </c>
      <c r="Q287" s="150">
        <v>4017.1843699999999</v>
      </c>
      <c r="R287" s="167">
        <v>4017.1843699999999</v>
      </c>
      <c r="S287" s="167">
        <v>4017.1843699999999</v>
      </c>
      <c r="T287" s="167">
        <f t="shared" ref="T287:T324" si="199">S287-N287</f>
        <v>-947.25731300426105</v>
      </c>
      <c r="U287" s="167">
        <f t="shared" ref="U287:U345" si="200">S287-P287</f>
        <v>0</v>
      </c>
      <c r="V287" s="406">
        <v>0</v>
      </c>
      <c r="W287" s="167">
        <v>7019041.9899999993</v>
      </c>
      <c r="X287" s="167">
        <v>7019.0419899999997</v>
      </c>
      <c r="Y287" s="406">
        <v>7019.0719922757498</v>
      </c>
      <c r="Z287" s="406">
        <v>5853.1444322757498</v>
      </c>
      <c r="AA287" s="406">
        <v>103.0947</v>
      </c>
      <c r="AB287" s="406">
        <v>1062.8328600000002</v>
      </c>
      <c r="AC287" s="406">
        <v>0</v>
      </c>
      <c r="AD287" s="406">
        <v>0</v>
      </c>
      <c r="AE287" s="406">
        <f t="shared" ref="AE287:AE323" si="201">V287*$AD$11</f>
        <v>0</v>
      </c>
      <c r="AF287" s="402">
        <f t="shared" ref="AF287:AF323" si="202">AE287</f>
        <v>0</v>
      </c>
      <c r="AG287" s="406">
        <v>0</v>
      </c>
      <c r="AH287" s="406">
        <v>0</v>
      </c>
      <c r="AI287" s="957">
        <f t="shared" si="198"/>
        <v>0</v>
      </c>
      <c r="AJ287" s="957">
        <f t="shared" ref="AJ287:AJ350" si="203">AH287-AG287</f>
        <v>0</v>
      </c>
      <c r="AK287" s="958">
        <f>AH287</f>
        <v>0</v>
      </c>
      <c r="AL287" s="74"/>
    </row>
    <row r="288" spans="1:38" ht="33" customHeight="1" outlineLevel="1">
      <c r="A288" s="139" t="s">
        <v>1311</v>
      </c>
      <c r="B288" s="242" t="s">
        <v>1312</v>
      </c>
      <c r="C288" s="243" t="s">
        <v>1313</v>
      </c>
      <c r="D288" s="956" t="s">
        <v>1412</v>
      </c>
      <c r="E288" s="199" t="s">
        <v>1314</v>
      </c>
      <c r="F288" s="232" t="s">
        <v>1315</v>
      </c>
      <c r="G288" s="404" t="s">
        <v>552</v>
      </c>
      <c r="H288" s="404">
        <v>0</v>
      </c>
      <c r="I288" s="404">
        <v>0</v>
      </c>
      <c r="J288" s="404">
        <v>0</v>
      </c>
      <c r="K288" s="406">
        <v>0</v>
      </c>
      <c r="L288" s="406">
        <v>0</v>
      </c>
      <c r="M288" s="406">
        <v>0</v>
      </c>
      <c r="N288" s="406">
        <v>0</v>
      </c>
      <c r="O288" s="406">
        <v>9749.808070000001</v>
      </c>
      <c r="P288" s="406"/>
      <c r="Q288" s="150">
        <v>0</v>
      </c>
      <c r="R288" s="167">
        <v>0</v>
      </c>
      <c r="S288" s="167">
        <v>0</v>
      </c>
      <c r="T288" s="167">
        <f t="shared" si="199"/>
        <v>0</v>
      </c>
      <c r="U288" s="167">
        <f t="shared" si="200"/>
        <v>0</v>
      </c>
      <c r="V288" s="406">
        <v>0</v>
      </c>
      <c r="W288" s="167">
        <v>10164878.780000001</v>
      </c>
      <c r="X288" s="167">
        <v>10164.878780000001</v>
      </c>
      <c r="Y288" s="406">
        <v>10164.878779999999</v>
      </c>
      <c r="Z288" s="406">
        <v>32.888640000000002</v>
      </c>
      <c r="AA288" s="406">
        <v>3.7667100000000002</v>
      </c>
      <c r="AB288" s="406">
        <v>10128.22343</v>
      </c>
      <c r="AC288" s="406">
        <v>0</v>
      </c>
      <c r="AD288" s="406">
        <v>0</v>
      </c>
      <c r="AE288" s="406">
        <f t="shared" si="201"/>
        <v>0</v>
      </c>
      <c r="AF288" s="402">
        <f t="shared" si="202"/>
        <v>0</v>
      </c>
      <c r="AG288" s="406">
        <v>0</v>
      </c>
      <c r="AH288" s="406">
        <v>10230.129999999999</v>
      </c>
      <c r="AI288" s="957">
        <f t="shared" si="198"/>
        <v>1.0064192816670263</v>
      </c>
      <c r="AJ288" s="957">
        <f t="shared" si="203"/>
        <v>10230.129999999999</v>
      </c>
      <c r="AK288" s="958">
        <v>0</v>
      </c>
      <c r="AL288" s="74"/>
    </row>
    <row r="289" spans="1:38" ht="33" customHeight="1" outlineLevel="1">
      <c r="A289" s="139" t="s">
        <v>1316</v>
      </c>
      <c r="B289" s="242" t="s">
        <v>1317</v>
      </c>
      <c r="C289" s="243" t="s">
        <v>1318</v>
      </c>
      <c r="D289" s="956" t="s">
        <v>548</v>
      </c>
      <c r="E289" s="199" t="s">
        <v>1319</v>
      </c>
      <c r="F289" s="232" t="s">
        <v>1320</v>
      </c>
      <c r="G289" s="404" t="s">
        <v>552</v>
      </c>
      <c r="H289" s="404">
        <v>0</v>
      </c>
      <c r="I289" s="404">
        <v>0</v>
      </c>
      <c r="J289" s="404">
        <v>0</v>
      </c>
      <c r="K289" s="406">
        <v>0</v>
      </c>
      <c r="L289" s="406">
        <v>898.95402999999999</v>
      </c>
      <c r="M289" s="406">
        <v>0</v>
      </c>
      <c r="N289" s="406">
        <v>0</v>
      </c>
      <c r="O289" s="406">
        <v>3605.5514400000002</v>
      </c>
      <c r="P289" s="406"/>
      <c r="Q289" s="150">
        <v>0</v>
      </c>
      <c r="R289" s="167">
        <v>0</v>
      </c>
      <c r="S289" s="167">
        <v>0</v>
      </c>
      <c r="T289" s="167">
        <f t="shared" si="199"/>
        <v>0</v>
      </c>
      <c r="U289" s="167">
        <f t="shared" si="200"/>
        <v>0</v>
      </c>
      <c r="V289" s="406">
        <v>0</v>
      </c>
      <c r="W289" s="167">
        <v>2277426.34</v>
      </c>
      <c r="X289" s="167">
        <v>2277.42634</v>
      </c>
      <c r="Y289" s="406">
        <v>2277.42634</v>
      </c>
      <c r="Z289" s="406">
        <v>0</v>
      </c>
      <c r="AA289" s="406">
        <v>0</v>
      </c>
      <c r="AB289" s="406">
        <v>2277.42634</v>
      </c>
      <c r="AC289" s="406">
        <v>0</v>
      </c>
      <c r="AD289" s="406">
        <v>0</v>
      </c>
      <c r="AE289" s="406">
        <f t="shared" si="201"/>
        <v>0</v>
      </c>
      <c r="AF289" s="402">
        <f t="shared" si="202"/>
        <v>0</v>
      </c>
      <c r="AG289" s="406">
        <v>0</v>
      </c>
      <c r="AH289" s="406">
        <v>2178.98</v>
      </c>
      <c r="AI289" s="957">
        <f t="shared" si="198"/>
        <v>0.95677298612432837</v>
      </c>
      <c r="AJ289" s="957">
        <f t="shared" si="203"/>
        <v>2178.98</v>
      </c>
      <c r="AK289" s="958">
        <v>0</v>
      </c>
      <c r="AL289" s="74"/>
    </row>
    <row r="290" spans="1:38" ht="33" customHeight="1" outlineLevel="1">
      <c r="A290" s="139" t="s">
        <v>1321</v>
      </c>
      <c r="B290" s="176" t="s">
        <v>1322</v>
      </c>
      <c r="C290" s="243" t="s">
        <v>1323</v>
      </c>
      <c r="D290" s="956" t="s">
        <v>1416</v>
      </c>
      <c r="E290" s="148" t="s">
        <v>1324</v>
      </c>
      <c r="F290" s="232" t="s">
        <v>1325</v>
      </c>
      <c r="G290" s="404" t="s">
        <v>552</v>
      </c>
      <c r="H290" s="404">
        <v>0</v>
      </c>
      <c r="I290" s="404">
        <v>0</v>
      </c>
      <c r="J290" s="404">
        <v>0</v>
      </c>
      <c r="K290" s="406">
        <v>0</v>
      </c>
      <c r="L290" s="406">
        <v>0</v>
      </c>
      <c r="M290" s="406">
        <v>0</v>
      </c>
      <c r="N290" s="406">
        <v>0</v>
      </c>
      <c r="O290" s="406">
        <v>147.60840999999999</v>
      </c>
      <c r="P290" s="406"/>
      <c r="Q290" s="150">
        <v>0</v>
      </c>
      <c r="R290" s="167">
        <v>0</v>
      </c>
      <c r="S290" s="167">
        <v>0</v>
      </c>
      <c r="T290" s="167">
        <f t="shared" si="199"/>
        <v>0</v>
      </c>
      <c r="U290" s="167">
        <f t="shared" si="200"/>
        <v>0</v>
      </c>
      <c r="V290" s="406">
        <v>0</v>
      </c>
      <c r="W290" s="167">
        <v>472088.03</v>
      </c>
      <c r="X290" s="167">
        <v>472.08803</v>
      </c>
      <c r="Y290" s="406">
        <v>472.08803</v>
      </c>
      <c r="Z290" s="406">
        <v>0</v>
      </c>
      <c r="AA290" s="406">
        <v>0</v>
      </c>
      <c r="AB290" s="406">
        <v>472.08803</v>
      </c>
      <c r="AC290" s="406">
        <v>0</v>
      </c>
      <c r="AD290" s="406">
        <v>0</v>
      </c>
      <c r="AE290" s="406">
        <f t="shared" si="201"/>
        <v>0</v>
      </c>
      <c r="AF290" s="402">
        <f t="shared" si="202"/>
        <v>0</v>
      </c>
      <c r="AG290" s="406">
        <v>0</v>
      </c>
      <c r="AH290" s="406">
        <v>162.16</v>
      </c>
      <c r="AI290" s="957">
        <f t="shared" si="198"/>
        <v>0.34349525871266001</v>
      </c>
      <c r="AJ290" s="957">
        <f t="shared" si="203"/>
        <v>162.16</v>
      </c>
      <c r="AK290" s="958">
        <v>0</v>
      </c>
      <c r="AL290" s="74"/>
    </row>
    <row r="291" spans="1:38" ht="33" customHeight="1" outlineLevel="1">
      <c r="A291" s="139" t="s">
        <v>1326</v>
      </c>
      <c r="B291" s="176" t="s">
        <v>1327</v>
      </c>
      <c r="C291" s="243" t="s">
        <v>1328</v>
      </c>
      <c r="D291" s="956" t="s">
        <v>1420</v>
      </c>
      <c r="E291" s="148" t="s">
        <v>1329</v>
      </c>
      <c r="F291" s="232" t="s">
        <v>1330</v>
      </c>
      <c r="G291" s="404" t="s">
        <v>552</v>
      </c>
      <c r="H291" s="404">
        <v>0</v>
      </c>
      <c r="I291" s="404">
        <v>0</v>
      </c>
      <c r="J291" s="404">
        <v>0</v>
      </c>
      <c r="K291" s="406">
        <v>0</v>
      </c>
      <c r="L291" s="406">
        <v>0</v>
      </c>
      <c r="M291" s="406">
        <v>0</v>
      </c>
      <c r="N291" s="406">
        <v>0</v>
      </c>
      <c r="O291" s="406">
        <v>79320.149999999994</v>
      </c>
      <c r="P291" s="406"/>
      <c r="Q291" s="150">
        <v>0</v>
      </c>
      <c r="R291" s="167">
        <v>0</v>
      </c>
      <c r="S291" s="167">
        <v>0</v>
      </c>
      <c r="T291" s="167">
        <f t="shared" si="199"/>
        <v>0</v>
      </c>
      <c r="U291" s="167">
        <f t="shared" si="200"/>
        <v>0</v>
      </c>
      <c r="V291" s="406">
        <v>0</v>
      </c>
      <c r="W291" s="167">
        <v>0</v>
      </c>
      <c r="X291" s="167">
        <v>0</v>
      </c>
      <c r="Y291" s="406">
        <v>0</v>
      </c>
      <c r="Z291" s="406">
        <v>0</v>
      </c>
      <c r="AA291" s="406">
        <v>0</v>
      </c>
      <c r="AB291" s="406">
        <v>0</v>
      </c>
      <c r="AC291" s="406">
        <v>0</v>
      </c>
      <c r="AD291" s="406">
        <v>0</v>
      </c>
      <c r="AE291" s="406">
        <f t="shared" si="201"/>
        <v>0</v>
      </c>
      <c r="AF291" s="402">
        <f t="shared" si="202"/>
        <v>0</v>
      </c>
      <c r="AG291" s="406">
        <v>0</v>
      </c>
      <c r="AH291" s="406">
        <v>0</v>
      </c>
      <c r="AI291" s="957" t="e">
        <f t="shared" si="198"/>
        <v>#DIV/0!</v>
      </c>
      <c r="AJ291" s="957">
        <f t="shared" si="203"/>
        <v>0</v>
      </c>
      <c r="AK291" s="958">
        <f>AH291</f>
        <v>0</v>
      </c>
      <c r="AL291" s="74"/>
    </row>
    <row r="292" spans="1:38" ht="33" customHeight="1" outlineLevel="1">
      <c r="A292" s="139" t="s">
        <v>1331</v>
      </c>
      <c r="B292" s="176" t="s">
        <v>1332</v>
      </c>
      <c r="C292" s="243" t="s">
        <v>1333</v>
      </c>
      <c r="D292" s="956" t="s">
        <v>553</v>
      </c>
      <c r="E292" s="148" t="s">
        <v>1334</v>
      </c>
      <c r="F292" s="142"/>
      <c r="G292" s="404" t="s">
        <v>552</v>
      </c>
      <c r="H292" s="404">
        <v>0</v>
      </c>
      <c r="I292" s="404">
        <v>0</v>
      </c>
      <c r="J292" s="404">
        <v>0</v>
      </c>
      <c r="K292" s="406">
        <v>0</v>
      </c>
      <c r="L292" s="406">
        <v>0</v>
      </c>
      <c r="M292" s="406">
        <v>0</v>
      </c>
      <c r="N292" s="406">
        <v>0</v>
      </c>
      <c r="O292" s="406">
        <v>0</v>
      </c>
      <c r="P292" s="406"/>
      <c r="Q292" s="150">
        <v>0</v>
      </c>
      <c r="R292" s="167">
        <v>0</v>
      </c>
      <c r="S292" s="167">
        <v>0</v>
      </c>
      <c r="T292" s="167">
        <f t="shared" si="199"/>
        <v>0</v>
      </c>
      <c r="U292" s="167">
        <f t="shared" si="200"/>
        <v>0</v>
      </c>
      <c r="V292" s="406">
        <v>0</v>
      </c>
      <c r="W292" s="167">
        <v>0</v>
      </c>
      <c r="X292" s="167">
        <v>0</v>
      </c>
      <c r="Y292" s="406">
        <v>0</v>
      </c>
      <c r="Z292" s="406">
        <v>0</v>
      </c>
      <c r="AA292" s="406">
        <v>0</v>
      </c>
      <c r="AB292" s="406">
        <v>0</v>
      </c>
      <c r="AC292" s="406">
        <v>0</v>
      </c>
      <c r="AD292" s="406">
        <v>0</v>
      </c>
      <c r="AE292" s="406">
        <f t="shared" si="201"/>
        <v>0</v>
      </c>
      <c r="AF292" s="402">
        <f t="shared" si="202"/>
        <v>0</v>
      </c>
      <c r="AG292" s="406">
        <v>0</v>
      </c>
      <c r="AH292" s="406">
        <v>0</v>
      </c>
      <c r="AI292" s="957" t="e">
        <f t="shared" si="198"/>
        <v>#DIV/0!</v>
      </c>
      <c r="AJ292" s="957">
        <f t="shared" si="203"/>
        <v>0</v>
      </c>
      <c r="AK292" s="958">
        <f>AH292</f>
        <v>0</v>
      </c>
      <c r="AL292" s="74"/>
    </row>
    <row r="293" spans="1:38" ht="33" customHeight="1" outlineLevel="1">
      <c r="A293" s="139" t="s">
        <v>1335</v>
      </c>
      <c r="B293" s="242" t="s">
        <v>1336</v>
      </c>
      <c r="C293" s="243" t="s">
        <v>1337</v>
      </c>
      <c r="D293" s="956" t="s">
        <v>1428</v>
      </c>
      <c r="E293" s="199" t="s">
        <v>1338</v>
      </c>
      <c r="F293" s="232" t="s">
        <v>1339</v>
      </c>
      <c r="G293" s="404" t="s">
        <v>552</v>
      </c>
      <c r="H293" s="404">
        <v>0</v>
      </c>
      <c r="I293" s="404">
        <v>10642</v>
      </c>
      <c r="J293" s="404">
        <v>0</v>
      </c>
      <c r="K293" s="406">
        <v>0</v>
      </c>
      <c r="L293" s="406">
        <v>0</v>
      </c>
      <c r="M293" s="406">
        <v>0</v>
      </c>
      <c r="N293" s="406">
        <v>0</v>
      </c>
      <c r="O293" s="406">
        <v>171.64151999999999</v>
      </c>
      <c r="P293" s="406">
        <v>171.64151999999999</v>
      </c>
      <c r="Q293" s="150">
        <v>0</v>
      </c>
      <c r="R293" s="406">
        <v>0</v>
      </c>
      <c r="S293" s="406">
        <v>0</v>
      </c>
      <c r="T293" s="406">
        <f t="shared" si="199"/>
        <v>0</v>
      </c>
      <c r="U293" s="406">
        <f t="shared" si="200"/>
        <v>-171.64151999999999</v>
      </c>
      <c r="V293" s="406">
        <v>0</v>
      </c>
      <c r="W293" s="167">
        <v>543996.09</v>
      </c>
      <c r="X293" s="167">
        <v>543.99608999999998</v>
      </c>
      <c r="Y293" s="406">
        <v>543.99608999999998</v>
      </c>
      <c r="Z293" s="406">
        <v>543.99608999999998</v>
      </c>
      <c r="AA293" s="406">
        <v>0</v>
      </c>
      <c r="AB293" s="406">
        <v>0</v>
      </c>
      <c r="AC293" s="406">
        <v>0</v>
      </c>
      <c r="AD293" s="406">
        <f>'[71]2. подк.неподк.'!X280</f>
        <v>0</v>
      </c>
      <c r="AE293" s="406">
        <f t="shared" si="201"/>
        <v>0</v>
      </c>
      <c r="AF293" s="402">
        <f t="shared" si="202"/>
        <v>0</v>
      </c>
      <c r="AG293" s="406">
        <v>0</v>
      </c>
      <c r="AH293" s="406">
        <v>193.98</v>
      </c>
      <c r="AI293" s="957">
        <f t="shared" si="198"/>
        <v>0.35658344529645425</v>
      </c>
      <c r="AJ293" s="957">
        <f t="shared" si="203"/>
        <v>193.98</v>
      </c>
      <c r="AK293" s="958">
        <v>0</v>
      </c>
      <c r="AL293" s="74"/>
    </row>
    <row r="294" spans="1:38" ht="33" customHeight="1" outlineLevel="1">
      <c r="A294" s="139" t="s">
        <v>1340</v>
      </c>
      <c r="B294" s="242" t="s">
        <v>1341</v>
      </c>
      <c r="C294" s="243" t="s">
        <v>1342</v>
      </c>
      <c r="D294" s="956" t="s">
        <v>1433</v>
      </c>
      <c r="E294" s="199" t="s">
        <v>1343</v>
      </c>
      <c r="F294" s="232" t="s">
        <v>1344</v>
      </c>
      <c r="G294" s="404" t="s">
        <v>552</v>
      </c>
      <c r="H294" s="404">
        <v>0</v>
      </c>
      <c r="I294" s="404">
        <v>0</v>
      </c>
      <c r="J294" s="404">
        <v>0</v>
      </c>
      <c r="K294" s="406">
        <v>0</v>
      </c>
      <c r="L294" s="406">
        <v>399.34</v>
      </c>
      <c r="M294" s="406">
        <v>0</v>
      </c>
      <c r="N294" s="406">
        <v>0</v>
      </c>
      <c r="O294" s="406">
        <v>322.9153</v>
      </c>
      <c r="P294" s="406">
        <v>290.23509999999999</v>
      </c>
      <c r="Q294" s="150">
        <v>0</v>
      </c>
      <c r="R294" s="406">
        <v>0</v>
      </c>
      <c r="S294" s="406">
        <v>0</v>
      </c>
      <c r="T294" s="406">
        <f t="shared" si="199"/>
        <v>0</v>
      </c>
      <c r="U294" s="406">
        <f t="shared" si="200"/>
        <v>-290.23509999999999</v>
      </c>
      <c r="V294" s="406">
        <v>0</v>
      </c>
      <c r="W294" s="167">
        <v>374232.25</v>
      </c>
      <c r="X294" s="167">
        <v>374.23225000000002</v>
      </c>
      <c r="Y294" s="406">
        <v>374.23225000000002</v>
      </c>
      <c r="Z294" s="406">
        <v>349.61371000000003</v>
      </c>
      <c r="AA294" s="406">
        <v>20.614609999999999</v>
      </c>
      <c r="AB294" s="406">
        <v>4.0039299999999995</v>
      </c>
      <c r="AC294" s="406">
        <v>0</v>
      </c>
      <c r="AD294" s="406">
        <f>'[71]2. подк.неподк.'!X281</f>
        <v>400</v>
      </c>
      <c r="AE294" s="406">
        <f t="shared" si="201"/>
        <v>0</v>
      </c>
      <c r="AF294" s="402">
        <f t="shared" si="202"/>
        <v>0</v>
      </c>
      <c r="AG294" s="406">
        <v>0</v>
      </c>
      <c r="AH294" s="406">
        <v>432.39</v>
      </c>
      <c r="AI294" s="957">
        <f t="shared" si="198"/>
        <v>1.155405500194064</v>
      </c>
      <c r="AJ294" s="957">
        <f t="shared" si="203"/>
        <v>432.39</v>
      </c>
      <c r="AK294" s="958">
        <f>AH294</f>
        <v>432.39</v>
      </c>
      <c r="AL294" s="74"/>
    </row>
    <row r="295" spans="1:38" ht="33" customHeight="1" outlineLevel="1">
      <c r="A295" s="139"/>
      <c r="B295" s="242" t="s">
        <v>1346</v>
      </c>
      <c r="C295" s="198" t="s">
        <v>968</v>
      </c>
      <c r="D295" s="956" t="s">
        <v>1244</v>
      </c>
      <c r="E295" s="199" t="s">
        <v>969</v>
      </c>
      <c r="F295" s="149" t="s">
        <v>970</v>
      </c>
      <c r="G295" s="404" t="s">
        <v>552</v>
      </c>
      <c r="H295" s="404"/>
      <c r="I295" s="404"/>
      <c r="J295" s="404"/>
      <c r="K295" s="406"/>
      <c r="L295" s="406"/>
      <c r="M295" s="406"/>
      <c r="N295" s="406"/>
      <c r="O295" s="406"/>
      <c r="P295" s="406"/>
      <c r="Q295" s="150"/>
      <c r="R295" s="406"/>
      <c r="S295" s="406"/>
      <c r="T295" s="406"/>
      <c r="U295" s="406"/>
      <c r="V295" s="406">
        <v>0</v>
      </c>
      <c r="W295" s="167">
        <v>4709652.62</v>
      </c>
      <c r="X295" s="167">
        <v>4709.6526199999998</v>
      </c>
      <c r="Y295" s="406">
        <v>4709.6526199999998</v>
      </c>
      <c r="Z295" s="406">
        <v>4562.6158500000001</v>
      </c>
      <c r="AA295" s="406">
        <v>90.999470000000002</v>
      </c>
      <c r="AB295" s="406">
        <v>56.037299999999995</v>
      </c>
      <c r="AC295" s="406">
        <v>0</v>
      </c>
      <c r="AD295" s="406">
        <v>246.69</v>
      </c>
      <c r="AE295" s="406"/>
      <c r="AF295" s="402">
        <v>0</v>
      </c>
      <c r="AG295" s="406">
        <v>0</v>
      </c>
      <c r="AH295" s="406">
        <v>5015.8</v>
      </c>
      <c r="AI295" s="957">
        <f t="shared" si="198"/>
        <v>1.0650042380408091</v>
      </c>
      <c r="AJ295" s="957">
        <f t="shared" si="203"/>
        <v>5015.8</v>
      </c>
      <c r="AK295" s="958">
        <f>AH295</f>
        <v>5015.8</v>
      </c>
      <c r="AL295" s="74"/>
    </row>
    <row r="296" spans="1:38" ht="33" customHeight="1" outlineLevel="1">
      <c r="A296" s="139" t="s">
        <v>1345</v>
      </c>
      <c r="B296" s="242" t="s">
        <v>1351</v>
      </c>
      <c r="C296" s="243" t="s">
        <v>1347</v>
      </c>
      <c r="D296" s="969" t="s">
        <v>1248</v>
      </c>
      <c r="E296" s="199" t="s">
        <v>1348</v>
      </c>
      <c r="F296" s="232" t="s">
        <v>1349</v>
      </c>
      <c r="G296" s="404" t="s">
        <v>552</v>
      </c>
      <c r="H296" s="404">
        <v>0</v>
      </c>
      <c r="I296" s="404">
        <v>0</v>
      </c>
      <c r="J296" s="404">
        <v>0</v>
      </c>
      <c r="K296" s="406">
        <v>0</v>
      </c>
      <c r="L296" s="406">
        <v>0</v>
      </c>
      <c r="M296" s="406">
        <v>0</v>
      </c>
      <c r="N296" s="406">
        <v>0</v>
      </c>
      <c r="O296" s="406">
        <v>133.88426000000001</v>
      </c>
      <c r="P296" s="406">
        <v>129.16819000000001</v>
      </c>
      <c r="Q296" s="150">
        <v>0</v>
      </c>
      <c r="R296" s="406">
        <v>0</v>
      </c>
      <c r="S296" s="406">
        <v>0</v>
      </c>
      <c r="T296" s="406">
        <f t="shared" si="199"/>
        <v>0</v>
      </c>
      <c r="U296" s="406">
        <f t="shared" si="200"/>
        <v>-129.16819000000001</v>
      </c>
      <c r="V296" s="406">
        <v>0</v>
      </c>
      <c r="W296" s="167">
        <v>521291.58</v>
      </c>
      <c r="X296" s="167">
        <v>521.29158000000007</v>
      </c>
      <c r="Y296" s="406">
        <v>521.29158000000007</v>
      </c>
      <c r="Z296" s="406">
        <v>0</v>
      </c>
      <c r="AA296" s="406">
        <v>521.29158000000007</v>
      </c>
      <c r="AB296" s="406">
        <v>0</v>
      </c>
      <c r="AC296" s="406">
        <v>0</v>
      </c>
      <c r="AD296" s="406">
        <f>'[71]2. подк.неподк.'!X282</f>
        <v>0</v>
      </c>
      <c r="AE296" s="406">
        <f t="shared" si="201"/>
        <v>0</v>
      </c>
      <c r="AF296" s="402">
        <f t="shared" si="202"/>
        <v>0</v>
      </c>
      <c r="AG296" s="406">
        <v>0</v>
      </c>
      <c r="AH296" s="406">
        <v>10000</v>
      </c>
      <c r="AI296" s="957">
        <f t="shared" si="198"/>
        <v>19.183122044672196</v>
      </c>
      <c r="AJ296" s="957">
        <f t="shared" si="203"/>
        <v>10000</v>
      </c>
      <c r="AK296" s="958">
        <v>0</v>
      </c>
      <c r="AL296" s="74"/>
    </row>
    <row r="297" spans="1:38" ht="33" customHeight="1" outlineLevel="1">
      <c r="A297" s="139" t="s">
        <v>1350</v>
      </c>
      <c r="B297" s="242" t="s">
        <v>1355</v>
      </c>
      <c r="C297" s="243" t="s">
        <v>1352</v>
      </c>
      <c r="D297" s="956" t="s">
        <v>1252</v>
      </c>
      <c r="E297" s="199" t="s">
        <v>1353</v>
      </c>
      <c r="F297" s="142"/>
      <c r="G297" s="404" t="s">
        <v>552</v>
      </c>
      <c r="H297" s="404">
        <v>0</v>
      </c>
      <c r="I297" s="404">
        <v>0</v>
      </c>
      <c r="J297" s="404">
        <v>0</v>
      </c>
      <c r="K297" s="406">
        <v>0</v>
      </c>
      <c r="L297" s="406">
        <v>1420.36887</v>
      </c>
      <c r="M297" s="406">
        <v>0</v>
      </c>
      <c r="N297" s="406">
        <v>0</v>
      </c>
      <c r="O297" s="406">
        <v>1773.89723</v>
      </c>
      <c r="P297" s="406">
        <v>983.84157999999991</v>
      </c>
      <c r="Q297" s="150">
        <v>0</v>
      </c>
      <c r="R297" s="406">
        <v>0</v>
      </c>
      <c r="S297" s="406">
        <v>0</v>
      </c>
      <c r="T297" s="406">
        <f t="shared" si="199"/>
        <v>0</v>
      </c>
      <c r="U297" s="406">
        <f t="shared" si="200"/>
        <v>-983.84157999999991</v>
      </c>
      <c r="V297" s="406">
        <v>0</v>
      </c>
      <c r="W297" s="167">
        <v>630570.4</v>
      </c>
      <c r="X297" s="167">
        <v>630.57040000000006</v>
      </c>
      <c r="Y297" s="406">
        <v>630.57039999999995</v>
      </c>
      <c r="Z297" s="406">
        <v>479.42865999999998</v>
      </c>
      <c r="AA297" s="406">
        <v>5.5667300000000006</v>
      </c>
      <c r="AB297" s="406">
        <v>145.57500999999999</v>
      </c>
      <c r="AC297" s="406">
        <v>0</v>
      </c>
      <c r="AD297" s="406">
        <f>'[71]2. подк.неподк.'!X283</f>
        <v>1958.3825400000001</v>
      </c>
      <c r="AE297" s="406">
        <f t="shared" si="201"/>
        <v>0</v>
      </c>
      <c r="AF297" s="402">
        <f t="shared" si="202"/>
        <v>0</v>
      </c>
      <c r="AG297" s="406">
        <v>0</v>
      </c>
      <c r="AH297" s="406">
        <v>712.54</v>
      </c>
      <c r="AI297" s="957">
        <f t="shared" si="198"/>
        <v>1.1299927811391082</v>
      </c>
      <c r="AJ297" s="957">
        <f t="shared" si="203"/>
        <v>712.54</v>
      </c>
      <c r="AK297" s="958">
        <f>AH297</f>
        <v>712.54</v>
      </c>
      <c r="AL297" s="74"/>
    </row>
    <row r="298" spans="1:38" ht="33" customHeight="1" outlineLevel="1">
      <c r="A298" s="139" t="s">
        <v>1354</v>
      </c>
      <c r="B298" s="242" t="s">
        <v>1360</v>
      </c>
      <c r="C298" s="243" t="s">
        <v>1356</v>
      </c>
      <c r="D298" s="956" t="s">
        <v>1256</v>
      </c>
      <c r="E298" s="199" t="s">
        <v>1357</v>
      </c>
      <c r="F298" s="232" t="s">
        <v>1358</v>
      </c>
      <c r="G298" s="404" t="s">
        <v>552</v>
      </c>
      <c r="H298" s="404">
        <v>1637.41</v>
      </c>
      <c r="I298" s="404">
        <v>85356</v>
      </c>
      <c r="J298" s="404">
        <v>4317.2299999999996</v>
      </c>
      <c r="K298" s="406">
        <v>0</v>
      </c>
      <c r="L298" s="406">
        <v>69622.929000000004</v>
      </c>
      <c r="M298" s="406">
        <v>0</v>
      </c>
      <c r="N298" s="406">
        <v>0</v>
      </c>
      <c r="O298" s="406">
        <v>83353.972290000005</v>
      </c>
      <c r="P298" s="406">
        <v>82760.428840000008</v>
      </c>
      <c r="Q298" s="150">
        <v>0</v>
      </c>
      <c r="R298" s="406">
        <v>0</v>
      </c>
      <c r="S298" s="406">
        <v>0</v>
      </c>
      <c r="T298" s="406">
        <f t="shared" si="199"/>
        <v>0</v>
      </c>
      <c r="U298" s="406">
        <f t="shared" si="200"/>
        <v>-82760.428840000008</v>
      </c>
      <c r="V298" s="406">
        <v>0</v>
      </c>
      <c r="W298" s="167">
        <v>178921961.57999998</v>
      </c>
      <c r="X298" s="167">
        <v>178921.96157999997</v>
      </c>
      <c r="Y298" s="406">
        <v>178921.96157999997</v>
      </c>
      <c r="Z298" s="406">
        <v>147919.48778999998</v>
      </c>
      <c r="AA298" s="406">
        <v>27509.143350000002</v>
      </c>
      <c r="AB298" s="406">
        <v>3493.3304399999997</v>
      </c>
      <c r="AC298" s="406">
        <v>0</v>
      </c>
      <c r="AD298" s="406">
        <f>'[71]2. подк.неподк.'!X284</f>
        <v>0</v>
      </c>
      <c r="AE298" s="406">
        <f t="shared" si="201"/>
        <v>0</v>
      </c>
      <c r="AF298" s="402">
        <f t="shared" si="202"/>
        <v>0</v>
      </c>
      <c r="AG298" s="406">
        <v>0</v>
      </c>
      <c r="AH298" s="406">
        <v>0</v>
      </c>
      <c r="AI298" s="957">
        <f t="shared" si="198"/>
        <v>0</v>
      </c>
      <c r="AJ298" s="957">
        <f t="shared" si="203"/>
        <v>0</v>
      </c>
      <c r="AK298" s="958">
        <f>AH298</f>
        <v>0</v>
      </c>
      <c r="AL298" s="74"/>
    </row>
    <row r="299" spans="1:38" s="244" customFormat="1" ht="33" customHeight="1" outlineLevel="1">
      <c r="A299" s="139" t="s">
        <v>1359</v>
      </c>
      <c r="B299" s="242" t="s">
        <v>1365</v>
      </c>
      <c r="C299" s="243" t="s">
        <v>1361</v>
      </c>
      <c r="D299" s="956" t="s">
        <v>1260</v>
      </c>
      <c r="E299" s="199" t="s">
        <v>1362</v>
      </c>
      <c r="F299" s="232" t="s">
        <v>1363</v>
      </c>
      <c r="G299" s="404" t="s">
        <v>552</v>
      </c>
      <c r="H299" s="404">
        <v>0</v>
      </c>
      <c r="I299" s="404">
        <v>0</v>
      </c>
      <c r="J299" s="404">
        <v>0</v>
      </c>
      <c r="K299" s="406">
        <v>0</v>
      </c>
      <c r="L299" s="406">
        <v>630.92899999999997</v>
      </c>
      <c r="M299" s="406">
        <v>0</v>
      </c>
      <c r="N299" s="406">
        <v>0</v>
      </c>
      <c r="O299" s="406">
        <v>109.25556</v>
      </c>
      <c r="P299" s="406">
        <v>108.9982</v>
      </c>
      <c r="Q299" s="150">
        <v>108.9982</v>
      </c>
      <c r="R299" s="406">
        <v>108.9982</v>
      </c>
      <c r="S299" s="406">
        <v>108.9982</v>
      </c>
      <c r="T299" s="406">
        <f t="shared" si="199"/>
        <v>108.9982</v>
      </c>
      <c r="U299" s="406">
        <f t="shared" si="200"/>
        <v>0</v>
      </c>
      <c r="V299" s="406">
        <v>0</v>
      </c>
      <c r="W299" s="167">
        <v>33510</v>
      </c>
      <c r="X299" s="167">
        <v>33.51</v>
      </c>
      <c r="Y299" s="406">
        <v>33.51</v>
      </c>
      <c r="Z299" s="406">
        <v>28.741400000000002</v>
      </c>
      <c r="AA299" s="406">
        <v>4.4284600000000003</v>
      </c>
      <c r="AB299" s="406">
        <v>0.34014</v>
      </c>
      <c r="AC299" s="406">
        <v>0</v>
      </c>
      <c r="AD299" s="406">
        <f>'[71]2. подк.неподк.'!X285</f>
        <v>0</v>
      </c>
      <c r="AE299" s="406">
        <f t="shared" si="201"/>
        <v>0</v>
      </c>
      <c r="AF299" s="402">
        <f t="shared" si="202"/>
        <v>0</v>
      </c>
      <c r="AG299" s="406">
        <v>0</v>
      </c>
      <c r="AH299" s="406">
        <v>0</v>
      </c>
      <c r="AI299" s="957">
        <f t="shared" si="198"/>
        <v>0</v>
      </c>
      <c r="AJ299" s="957">
        <f t="shared" si="203"/>
        <v>0</v>
      </c>
      <c r="AK299" s="958">
        <f t="shared" ref="AK299:AK306" si="204">AH299</f>
        <v>0</v>
      </c>
      <c r="AL299" s="1017"/>
    </row>
    <row r="300" spans="1:38" ht="33" customHeight="1" outlineLevel="1">
      <c r="A300" s="139" t="s">
        <v>1364</v>
      </c>
      <c r="B300" s="242" t="s">
        <v>1369</v>
      </c>
      <c r="C300" s="243" t="s">
        <v>1366</v>
      </c>
      <c r="D300" s="956" t="s">
        <v>1265</v>
      </c>
      <c r="E300" s="148" t="s">
        <v>1367</v>
      </c>
      <c r="F300" s="142"/>
      <c r="G300" s="404" t="s">
        <v>552</v>
      </c>
      <c r="H300" s="404">
        <v>0</v>
      </c>
      <c r="I300" s="404">
        <v>0</v>
      </c>
      <c r="J300" s="404">
        <v>0</v>
      </c>
      <c r="K300" s="406">
        <v>0</v>
      </c>
      <c r="L300" s="406">
        <v>0</v>
      </c>
      <c r="M300" s="406">
        <v>0</v>
      </c>
      <c r="N300" s="406">
        <v>0</v>
      </c>
      <c r="O300" s="406">
        <v>0</v>
      </c>
      <c r="P300" s="406">
        <v>0</v>
      </c>
      <c r="Q300" s="150">
        <v>0</v>
      </c>
      <c r="R300" s="406">
        <v>0</v>
      </c>
      <c r="S300" s="406">
        <v>0</v>
      </c>
      <c r="T300" s="406">
        <f t="shared" si="199"/>
        <v>0</v>
      </c>
      <c r="U300" s="406">
        <f t="shared" si="200"/>
        <v>0</v>
      </c>
      <c r="V300" s="406">
        <v>0</v>
      </c>
      <c r="W300" s="167">
        <v>0</v>
      </c>
      <c r="X300" s="167">
        <v>0</v>
      </c>
      <c r="Y300" s="406">
        <v>0</v>
      </c>
      <c r="Z300" s="406">
        <v>0</v>
      </c>
      <c r="AA300" s="406">
        <v>0</v>
      </c>
      <c r="AB300" s="406">
        <v>0</v>
      </c>
      <c r="AC300" s="406">
        <v>0</v>
      </c>
      <c r="AD300" s="406">
        <f>'[71]2. подк.неподк.'!X286</f>
        <v>0</v>
      </c>
      <c r="AE300" s="406">
        <f t="shared" si="201"/>
        <v>0</v>
      </c>
      <c r="AF300" s="402">
        <f t="shared" si="202"/>
        <v>0</v>
      </c>
      <c r="AG300" s="406">
        <v>0</v>
      </c>
      <c r="AH300" s="406">
        <v>0</v>
      </c>
      <c r="AI300" s="957" t="e">
        <f t="shared" si="198"/>
        <v>#DIV/0!</v>
      </c>
      <c r="AJ300" s="957">
        <f t="shared" si="203"/>
        <v>0</v>
      </c>
      <c r="AK300" s="958">
        <f t="shared" si="204"/>
        <v>0</v>
      </c>
      <c r="AL300" s="74"/>
    </row>
    <row r="301" spans="1:38" ht="33" customHeight="1" outlineLevel="1">
      <c r="A301" s="139" t="s">
        <v>1368</v>
      </c>
      <c r="B301" s="242" t="s">
        <v>1373</v>
      </c>
      <c r="C301" s="243" t="s">
        <v>1370</v>
      </c>
      <c r="D301" s="956" t="s">
        <v>2167</v>
      </c>
      <c r="E301" s="199" t="s">
        <v>1371</v>
      </c>
      <c r="F301" s="142"/>
      <c r="G301" s="404" t="s">
        <v>552</v>
      </c>
      <c r="H301" s="404">
        <v>0</v>
      </c>
      <c r="I301" s="404">
        <v>0</v>
      </c>
      <c r="J301" s="404">
        <v>0</v>
      </c>
      <c r="K301" s="406">
        <v>0</v>
      </c>
      <c r="L301" s="406">
        <v>11596.027900000001</v>
      </c>
      <c r="M301" s="406">
        <v>0</v>
      </c>
      <c r="N301" s="406">
        <v>0</v>
      </c>
      <c r="O301" s="406">
        <v>8303.9612300000008</v>
      </c>
      <c r="P301" s="406">
        <v>958.96831999999995</v>
      </c>
      <c r="Q301" s="150">
        <v>0</v>
      </c>
      <c r="R301" s="406">
        <v>0</v>
      </c>
      <c r="S301" s="406">
        <v>0</v>
      </c>
      <c r="T301" s="406">
        <f t="shared" si="199"/>
        <v>0</v>
      </c>
      <c r="U301" s="406">
        <f t="shared" si="200"/>
        <v>-958.96831999999995</v>
      </c>
      <c r="V301" s="406">
        <v>0</v>
      </c>
      <c r="W301" s="167">
        <v>5595766.0199999996</v>
      </c>
      <c r="X301" s="167">
        <v>5595.7660199999991</v>
      </c>
      <c r="Y301" s="406">
        <v>5595.7660199999991</v>
      </c>
      <c r="Z301" s="406">
        <v>35.558959999999999</v>
      </c>
      <c r="AA301" s="406">
        <v>2.37839</v>
      </c>
      <c r="AB301" s="406">
        <v>5557.8286699999999</v>
      </c>
      <c r="AC301" s="406">
        <v>0</v>
      </c>
      <c r="AD301" s="406">
        <f>'[71]2. подк.неподк.'!X287</f>
        <v>0</v>
      </c>
      <c r="AE301" s="406">
        <f t="shared" si="201"/>
        <v>0</v>
      </c>
      <c r="AF301" s="402">
        <f t="shared" si="202"/>
        <v>0</v>
      </c>
      <c r="AG301" s="406">
        <v>0</v>
      </c>
      <c r="AH301" s="406">
        <v>0</v>
      </c>
      <c r="AI301" s="957">
        <f t="shared" si="198"/>
        <v>0</v>
      </c>
      <c r="AJ301" s="957">
        <f t="shared" si="203"/>
        <v>0</v>
      </c>
      <c r="AK301" s="958">
        <f t="shared" si="204"/>
        <v>0</v>
      </c>
      <c r="AL301" s="74"/>
    </row>
    <row r="302" spans="1:38" ht="33" customHeight="1" outlineLevel="1">
      <c r="A302" s="139" t="s">
        <v>1372</v>
      </c>
      <c r="B302" s="242" t="s">
        <v>1378</v>
      </c>
      <c r="C302" s="243" t="s">
        <v>1374</v>
      </c>
      <c r="D302" s="956" t="s">
        <v>2168</v>
      </c>
      <c r="E302" s="199" t="s">
        <v>1375</v>
      </c>
      <c r="F302" s="232" t="s">
        <v>1376</v>
      </c>
      <c r="G302" s="404" t="s">
        <v>552</v>
      </c>
      <c r="H302" s="404">
        <v>0</v>
      </c>
      <c r="I302" s="404">
        <v>0</v>
      </c>
      <c r="J302" s="404">
        <v>0</v>
      </c>
      <c r="K302" s="406">
        <v>0</v>
      </c>
      <c r="L302" s="406">
        <v>4314.96191</v>
      </c>
      <c r="M302" s="406">
        <v>0</v>
      </c>
      <c r="N302" s="406">
        <v>0</v>
      </c>
      <c r="O302" s="406">
        <v>5275.9599200000002</v>
      </c>
      <c r="P302" s="406">
        <v>2890.5173199999999</v>
      </c>
      <c r="Q302" s="150">
        <v>0</v>
      </c>
      <c r="R302" s="406">
        <v>0</v>
      </c>
      <c r="S302" s="406">
        <v>0</v>
      </c>
      <c r="T302" s="406">
        <f t="shared" si="199"/>
        <v>0</v>
      </c>
      <c r="U302" s="406">
        <f t="shared" si="200"/>
        <v>-2890.5173199999999</v>
      </c>
      <c r="V302" s="406">
        <v>0</v>
      </c>
      <c r="W302" s="167">
        <v>2542047.41</v>
      </c>
      <c r="X302" s="167">
        <v>2542.0474100000001</v>
      </c>
      <c r="Y302" s="406">
        <v>2542.0474100000001</v>
      </c>
      <c r="Z302" s="406">
        <v>2016.91408</v>
      </c>
      <c r="AA302" s="406">
        <v>432.64479000000006</v>
      </c>
      <c r="AB302" s="406">
        <v>92.48854</v>
      </c>
      <c r="AC302" s="406">
        <v>0</v>
      </c>
      <c r="AD302" s="406">
        <f>'[71]2. подк.неподк.'!X288</f>
        <v>5825.4</v>
      </c>
      <c r="AE302" s="406">
        <f t="shared" si="201"/>
        <v>0</v>
      </c>
      <c r="AF302" s="402">
        <f t="shared" si="202"/>
        <v>0</v>
      </c>
      <c r="AG302" s="406">
        <v>0</v>
      </c>
      <c r="AH302" s="406">
        <v>3252.8807273050006</v>
      </c>
      <c r="AI302" s="957">
        <f t="shared" si="198"/>
        <v>1.2796302360485874</v>
      </c>
      <c r="AJ302" s="957">
        <f t="shared" si="203"/>
        <v>3252.8807273050006</v>
      </c>
      <c r="AK302" s="958">
        <f t="shared" si="204"/>
        <v>3252.8807273050006</v>
      </c>
      <c r="AL302" s="74"/>
    </row>
    <row r="303" spans="1:38" ht="33" customHeight="1" outlineLevel="1">
      <c r="A303" s="139" t="s">
        <v>1377</v>
      </c>
      <c r="B303" s="242" t="s">
        <v>1382</v>
      </c>
      <c r="C303" s="243" t="s">
        <v>1379</v>
      </c>
      <c r="D303" s="956" t="s">
        <v>2169</v>
      </c>
      <c r="E303" s="199" t="s">
        <v>1380</v>
      </c>
      <c r="F303" s="142"/>
      <c r="G303" s="404" t="s">
        <v>552</v>
      </c>
      <c r="H303" s="404">
        <v>0</v>
      </c>
      <c r="I303" s="404">
        <v>0</v>
      </c>
      <c r="J303" s="404">
        <v>0</v>
      </c>
      <c r="K303" s="406">
        <v>0</v>
      </c>
      <c r="L303" s="406">
        <v>2021.8932299999999</v>
      </c>
      <c r="M303" s="406">
        <v>0</v>
      </c>
      <c r="N303" s="406">
        <v>0</v>
      </c>
      <c r="O303" s="406">
        <v>1564.3558400000002</v>
      </c>
      <c r="P303" s="406">
        <v>1260.02998</v>
      </c>
      <c r="Q303" s="150">
        <v>0</v>
      </c>
      <c r="R303" s="406">
        <v>0</v>
      </c>
      <c r="S303" s="406">
        <v>0</v>
      </c>
      <c r="T303" s="406">
        <f t="shared" si="199"/>
        <v>0</v>
      </c>
      <c r="U303" s="406">
        <f t="shared" si="200"/>
        <v>-1260.02998</v>
      </c>
      <c r="V303" s="406">
        <v>0</v>
      </c>
      <c r="W303" s="167">
        <v>1341539.24</v>
      </c>
      <c r="X303" s="167">
        <v>1341.5392400000001</v>
      </c>
      <c r="Y303" s="406">
        <v>1341.5392400000003</v>
      </c>
      <c r="Z303" s="406">
        <v>1215.16057</v>
      </c>
      <c r="AA303" s="406">
        <v>111.77285999999999</v>
      </c>
      <c r="AB303" s="406">
        <v>14.60581</v>
      </c>
      <c r="AC303" s="406">
        <v>0</v>
      </c>
      <c r="AD303" s="406">
        <f>'[71]2. подк.неподк.'!X289</f>
        <v>1821.58</v>
      </c>
      <c r="AE303" s="406">
        <f t="shared" si="201"/>
        <v>0</v>
      </c>
      <c r="AF303" s="402">
        <f t="shared" si="202"/>
        <v>0</v>
      </c>
      <c r="AG303" s="406">
        <v>0</v>
      </c>
      <c r="AH303" s="406">
        <v>1518.2032380524997</v>
      </c>
      <c r="AI303" s="957">
        <f t="shared" si="198"/>
        <v>1.1316875368121917</v>
      </c>
      <c r="AJ303" s="957">
        <f t="shared" si="203"/>
        <v>1518.2032380524997</v>
      </c>
      <c r="AK303" s="958">
        <f t="shared" si="204"/>
        <v>1518.2032380524997</v>
      </c>
      <c r="AL303" s="74"/>
    </row>
    <row r="304" spans="1:38" ht="33" customHeight="1" outlineLevel="1">
      <c r="A304" s="139" t="s">
        <v>1381</v>
      </c>
      <c r="B304" s="242" t="s">
        <v>1386</v>
      </c>
      <c r="C304" s="243" t="s">
        <v>1383</v>
      </c>
      <c r="D304" s="956" t="s">
        <v>2170</v>
      </c>
      <c r="E304" s="199" t="s">
        <v>1384</v>
      </c>
      <c r="F304" s="142"/>
      <c r="G304" s="404" t="s">
        <v>552</v>
      </c>
      <c r="H304" s="404">
        <v>0</v>
      </c>
      <c r="I304" s="404">
        <v>0</v>
      </c>
      <c r="J304" s="404">
        <v>0</v>
      </c>
      <c r="K304" s="406">
        <v>0</v>
      </c>
      <c r="L304" s="406">
        <v>946.94</v>
      </c>
      <c r="M304" s="406">
        <v>0</v>
      </c>
      <c r="N304" s="406">
        <v>0</v>
      </c>
      <c r="O304" s="406">
        <v>957.34492</v>
      </c>
      <c r="P304" s="406">
        <v>555.33811000000003</v>
      </c>
      <c r="Q304" s="150">
        <v>0</v>
      </c>
      <c r="R304" s="406">
        <v>0</v>
      </c>
      <c r="S304" s="406">
        <v>0</v>
      </c>
      <c r="T304" s="406">
        <f t="shared" si="199"/>
        <v>0</v>
      </c>
      <c r="U304" s="406">
        <f t="shared" si="200"/>
        <v>-555.33811000000003</v>
      </c>
      <c r="V304" s="406">
        <v>0</v>
      </c>
      <c r="W304" s="167">
        <v>1016400</v>
      </c>
      <c r="X304" s="167">
        <v>1016.4</v>
      </c>
      <c r="Y304" s="406">
        <v>1016.4</v>
      </c>
      <c r="Z304" s="406">
        <v>802.29806999999994</v>
      </c>
      <c r="AA304" s="406">
        <v>202.98949999999999</v>
      </c>
      <c r="AB304" s="406">
        <v>11.11243</v>
      </c>
      <c r="AC304" s="406">
        <v>0</v>
      </c>
      <c r="AD304" s="406">
        <f>'[71]2. подк.неподк.'!X290</f>
        <v>1061.49</v>
      </c>
      <c r="AE304" s="406">
        <f t="shared" si="201"/>
        <v>0</v>
      </c>
      <c r="AF304" s="402">
        <f t="shared" si="202"/>
        <v>0</v>
      </c>
      <c r="AG304" s="406">
        <v>0</v>
      </c>
      <c r="AH304" s="406">
        <v>1158.2386199999999</v>
      </c>
      <c r="AI304" s="957">
        <f t="shared" si="198"/>
        <v>1.1395499999999998</v>
      </c>
      <c r="AJ304" s="957">
        <f t="shared" si="203"/>
        <v>1158.2386199999999</v>
      </c>
      <c r="AK304" s="958">
        <f t="shared" si="204"/>
        <v>1158.2386199999999</v>
      </c>
      <c r="AL304" s="74"/>
    </row>
    <row r="305" spans="1:38" ht="33" customHeight="1" outlineLevel="1">
      <c r="A305" s="139" t="s">
        <v>1385</v>
      </c>
      <c r="B305" s="242" t="s">
        <v>1391</v>
      </c>
      <c r="C305" s="243" t="s">
        <v>1387</v>
      </c>
      <c r="D305" s="956" t="s">
        <v>2171</v>
      </c>
      <c r="E305" s="199" t="s">
        <v>1388</v>
      </c>
      <c r="F305" s="232" t="s">
        <v>1389</v>
      </c>
      <c r="G305" s="404" t="s">
        <v>552</v>
      </c>
      <c r="H305" s="404">
        <v>0</v>
      </c>
      <c r="I305" s="404">
        <v>0</v>
      </c>
      <c r="J305" s="404">
        <v>0</v>
      </c>
      <c r="K305" s="406">
        <v>0</v>
      </c>
      <c r="L305" s="406">
        <v>3279.3604300000002</v>
      </c>
      <c r="M305" s="406">
        <v>0</v>
      </c>
      <c r="N305" s="406">
        <v>0</v>
      </c>
      <c r="O305" s="406">
        <v>3608.1098900000002</v>
      </c>
      <c r="P305" s="406">
        <v>1848.6675400000001</v>
      </c>
      <c r="Q305" s="150">
        <v>1848.6675400000001</v>
      </c>
      <c r="R305" s="406">
        <v>1848.6675400000001</v>
      </c>
      <c r="S305" s="406">
        <v>1848.6675400000001</v>
      </c>
      <c r="T305" s="406">
        <f t="shared" si="199"/>
        <v>1848.6675400000001</v>
      </c>
      <c r="U305" s="406">
        <f t="shared" si="200"/>
        <v>0</v>
      </c>
      <c r="V305" s="406">
        <v>0</v>
      </c>
      <c r="W305" s="167">
        <v>5956797.7699999996</v>
      </c>
      <c r="X305" s="167">
        <v>5956.7977699999992</v>
      </c>
      <c r="Y305" s="406">
        <v>5956.7677699999995</v>
      </c>
      <c r="Z305" s="406">
        <v>2887.38906</v>
      </c>
      <c r="AA305" s="406">
        <v>186.85825</v>
      </c>
      <c r="AB305" s="406">
        <v>2882.5204600000002</v>
      </c>
      <c r="AC305" s="406">
        <v>0</v>
      </c>
      <c r="AD305" s="406">
        <f>'[71]2. подк.неподк.'!X291</f>
        <v>3983.35</v>
      </c>
      <c r="AE305" s="406">
        <f t="shared" si="201"/>
        <v>0</v>
      </c>
      <c r="AF305" s="402">
        <f t="shared" si="202"/>
        <v>0</v>
      </c>
      <c r="AG305" s="406">
        <v>0</v>
      </c>
      <c r="AH305" s="406">
        <v>6731.18</v>
      </c>
      <c r="AI305" s="957">
        <f t="shared" si="198"/>
        <v>1.129999751527573</v>
      </c>
      <c r="AJ305" s="957">
        <f t="shared" si="203"/>
        <v>6731.18</v>
      </c>
      <c r="AK305" s="958">
        <f t="shared" si="204"/>
        <v>6731.18</v>
      </c>
      <c r="AL305" s="74"/>
    </row>
    <row r="306" spans="1:38" ht="33" customHeight="1" outlineLevel="1">
      <c r="A306" s="139" t="s">
        <v>1390</v>
      </c>
      <c r="B306" s="242" t="s">
        <v>1395</v>
      </c>
      <c r="C306" s="243" t="s">
        <v>1392</v>
      </c>
      <c r="D306" s="956" t="s">
        <v>1598</v>
      </c>
      <c r="E306" s="199" t="s">
        <v>1393</v>
      </c>
      <c r="F306" s="142"/>
      <c r="G306" s="404" t="s">
        <v>552</v>
      </c>
      <c r="H306" s="404">
        <v>0</v>
      </c>
      <c r="I306" s="404">
        <v>0</v>
      </c>
      <c r="J306" s="404">
        <v>0</v>
      </c>
      <c r="K306" s="406">
        <v>0</v>
      </c>
      <c r="L306" s="406">
        <v>1865.1919399999999</v>
      </c>
      <c r="M306" s="406">
        <v>0</v>
      </c>
      <c r="N306" s="406">
        <v>0</v>
      </c>
      <c r="O306" s="406">
        <v>12479.986210000001</v>
      </c>
      <c r="P306" s="406">
        <v>5662.7112100000004</v>
      </c>
      <c r="Q306" s="150">
        <v>0</v>
      </c>
      <c r="R306" s="406">
        <v>0</v>
      </c>
      <c r="S306" s="406">
        <v>0</v>
      </c>
      <c r="T306" s="406">
        <f t="shared" si="199"/>
        <v>0</v>
      </c>
      <c r="U306" s="406">
        <f t="shared" si="200"/>
        <v>-5662.7112100000004</v>
      </c>
      <c r="V306" s="406">
        <v>0</v>
      </c>
      <c r="W306" s="167">
        <v>20329774.300000001</v>
      </c>
      <c r="X306" s="167">
        <v>20329.774300000001</v>
      </c>
      <c r="Y306" s="406">
        <v>20329.774300000001</v>
      </c>
      <c r="Z306" s="406">
        <v>2429.2743</v>
      </c>
      <c r="AA306" s="406">
        <v>17900</v>
      </c>
      <c r="AB306" s="406">
        <v>0.5</v>
      </c>
      <c r="AC306" s="406">
        <v>0</v>
      </c>
      <c r="AD306" s="406">
        <f>'[71]2. подк.неподк.'!X292</f>
        <v>13777.9</v>
      </c>
      <c r="AE306" s="406">
        <f t="shared" si="201"/>
        <v>0</v>
      </c>
      <c r="AF306" s="402">
        <f t="shared" si="202"/>
        <v>0</v>
      </c>
      <c r="AG306" s="406">
        <v>0</v>
      </c>
      <c r="AH306" s="406">
        <v>22972.639999999999</v>
      </c>
      <c r="AI306" s="957">
        <f t="shared" si="198"/>
        <v>1.1299997560720583</v>
      </c>
      <c r="AJ306" s="957">
        <f t="shared" si="203"/>
        <v>22972.639999999999</v>
      </c>
      <c r="AK306" s="958">
        <f t="shared" si="204"/>
        <v>22972.639999999999</v>
      </c>
      <c r="AL306" s="74"/>
    </row>
    <row r="307" spans="1:38" ht="33" customHeight="1" outlineLevel="1">
      <c r="A307" s="139" t="s">
        <v>1394</v>
      </c>
      <c r="B307" s="242" t="s">
        <v>1398</v>
      </c>
      <c r="C307" s="243" t="s">
        <v>1396</v>
      </c>
      <c r="D307" s="956" t="s">
        <v>2172</v>
      </c>
      <c r="E307" s="148" t="s">
        <v>1397</v>
      </c>
      <c r="F307" s="177"/>
      <c r="G307" s="404" t="s">
        <v>552</v>
      </c>
      <c r="H307" s="404">
        <v>0</v>
      </c>
      <c r="I307" s="404">
        <v>0</v>
      </c>
      <c r="J307" s="404">
        <v>0</v>
      </c>
      <c r="K307" s="406">
        <v>0</v>
      </c>
      <c r="L307" s="406">
        <v>0</v>
      </c>
      <c r="M307" s="406">
        <v>0</v>
      </c>
      <c r="N307" s="406">
        <v>0</v>
      </c>
      <c r="O307" s="406">
        <v>0</v>
      </c>
      <c r="P307" s="406">
        <v>0</v>
      </c>
      <c r="Q307" s="150">
        <v>0</v>
      </c>
      <c r="R307" s="406">
        <v>0</v>
      </c>
      <c r="S307" s="406">
        <v>0</v>
      </c>
      <c r="T307" s="406">
        <f t="shared" si="199"/>
        <v>0</v>
      </c>
      <c r="U307" s="406">
        <f t="shared" si="200"/>
        <v>0</v>
      </c>
      <c r="V307" s="406">
        <v>0</v>
      </c>
      <c r="W307" s="167">
        <v>0</v>
      </c>
      <c r="X307" s="167">
        <v>0</v>
      </c>
      <c r="Y307" s="406">
        <v>0</v>
      </c>
      <c r="Z307" s="406">
        <v>0</v>
      </c>
      <c r="AA307" s="406">
        <v>0</v>
      </c>
      <c r="AB307" s="406">
        <v>0</v>
      </c>
      <c r="AC307" s="406">
        <v>0</v>
      </c>
      <c r="AD307" s="406">
        <f>'[71]2. подк.неподк.'!X293</f>
        <v>750</v>
      </c>
      <c r="AE307" s="406">
        <f t="shared" si="201"/>
        <v>0</v>
      </c>
      <c r="AF307" s="402">
        <f t="shared" si="202"/>
        <v>0</v>
      </c>
      <c r="AG307" s="406">
        <v>0</v>
      </c>
      <c r="AH307" s="406">
        <v>25</v>
      </c>
      <c r="AI307" s="957" t="e">
        <f t="shared" si="198"/>
        <v>#DIV/0!</v>
      </c>
      <c r="AJ307" s="957">
        <f t="shared" si="203"/>
        <v>25</v>
      </c>
      <c r="AK307" s="958">
        <v>0</v>
      </c>
      <c r="AL307" s="74"/>
    </row>
    <row r="308" spans="1:38" ht="33" customHeight="1" outlineLevel="1">
      <c r="A308" s="139"/>
      <c r="B308" s="242" t="s">
        <v>1401</v>
      </c>
      <c r="C308" s="243" t="s">
        <v>1961</v>
      </c>
      <c r="D308" s="956" t="s">
        <v>2173</v>
      </c>
      <c r="E308" s="148" t="s">
        <v>1399</v>
      </c>
      <c r="F308" s="177"/>
      <c r="G308" s="404"/>
      <c r="H308" s="404">
        <v>0</v>
      </c>
      <c r="I308" s="404">
        <v>0</v>
      </c>
      <c r="J308" s="404">
        <v>0</v>
      </c>
      <c r="K308" s="406"/>
      <c r="L308" s="406"/>
      <c r="M308" s="406"/>
      <c r="N308" s="406"/>
      <c r="O308" s="406">
        <v>5000</v>
      </c>
      <c r="P308" s="406"/>
      <c r="Q308" s="150">
        <v>0</v>
      </c>
      <c r="R308" s="406"/>
      <c r="S308" s="406"/>
      <c r="T308" s="406">
        <f t="shared" si="199"/>
        <v>0</v>
      </c>
      <c r="U308" s="406">
        <f t="shared" si="200"/>
        <v>0</v>
      </c>
      <c r="V308" s="406">
        <v>0</v>
      </c>
      <c r="W308" s="167">
        <v>0</v>
      </c>
      <c r="X308" s="167">
        <v>0</v>
      </c>
      <c r="Y308" s="406">
        <v>0</v>
      </c>
      <c r="Z308" s="406">
        <v>0</v>
      </c>
      <c r="AA308" s="406">
        <v>0</v>
      </c>
      <c r="AB308" s="406">
        <v>0</v>
      </c>
      <c r="AC308" s="406">
        <v>0</v>
      </c>
      <c r="AD308" s="406">
        <v>0</v>
      </c>
      <c r="AE308" s="406">
        <f t="shared" si="201"/>
        <v>0</v>
      </c>
      <c r="AF308" s="402">
        <f t="shared" si="202"/>
        <v>0</v>
      </c>
      <c r="AG308" s="406">
        <v>0</v>
      </c>
      <c r="AH308" s="406">
        <v>0</v>
      </c>
      <c r="AI308" s="957" t="e">
        <f t="shared" si="198"/>
        <v>#DIV/0!</v>
      </c>
      <c r="AJ308" s="957">
        <f t="shared" si="203"/>
        <v>0</v>
      </c>
      <c r="AK308" s="958">
        <f>AH308</f>
        <v>0</v>
      </c>
      <c r="AL308" s="74"/>
    </row>
    <row r="309" spans="1:38" ht="33" customHeight="1" outlineLevel="1">
      <c r="A309" s="139" t="s">
        <v>1400</v>
      </c>
      <c r="B309" s="242" t="s">
        <v>1405</v>
      </c>
      <c r="C309" s="243" t="s">
        <v>1402</v>
      </c>
      <c r="D309" s="956" t="s">
        <v>2174</v>
      </c>
      <c r="E309" s="148" t="s">
        <v>1403</v>
      </c>
      <c r="F309" s="177"/>
      <c r="G309" s="404" t="s">
        <v>552</v>
      </c>
      <c r="H309" s="404">
        <v>0</v>
      </c>
      <c r="I309" s="404">
        <v>0</v>
      </c>
      <c r="J309" s="404">
        <v>0</v>
      </c>
      <c r="K309" s="406">
        <v>0</v>
      </c>
      <c r="L309" s="406">
        <v>0</v>
      </c>
      <c r="M309" s="406">
        <v>0</v>
      </c>
      <c r="N309" s="406">
        <v>0</v>
      </c>
      <c r="O309" s="406">
        <v>0</v>
      </c>
      <c r="P309" s="406"/>
      <c r="Q309" s="150">
        <v>0</v>
      </c>
      <c r="R309" s="406">
        <v>0</v>
      </c>
      <c r="S309" s="406">
        <v>0</v>
      </c>
      <c r="T309" s="406">
        <f t="shared" si="199"/>
        <v>0</v>
      </c>
      <c r="U309" s="406">
        <f t="shared" si="200"/>
        <v>0</v>
      </c>
      <c r="V309" s="406">
        <v>0</v>
      </c>
      <c r="W309" s="167">
        <v>0</v>
      </c>
      <c r="X309" s="167">
        <v>0</v>
      </c>
      <c r="Y309" s="406">
        <v>0</v>
      </c>
      <c r="Z309" s="406">
        <v>0</v>
      </c>
      <c r="AA309" s="406">
        <v>0</v>
      </c>
      <c r="AB309" s="406">
        <v>0</v>
      </c>
      <c r="AC309" s="406">
        <v>0</v>
      </c>
      <c r="AD309" s="406">
        <v>0</v>
      </c>
      <c r="AE309" s="406">
        <f t="shared" si="201"/>
        <v>0</v>
      </c>
      <c r="AF309" s="402">
        <f t="shared" si="202"/>
        <v>0</v>
      </c>
      <c r="AG309" s="406">
        <v>0</v>
      </c>
      <c r="AH309" s="406">
        <v>0</v>
      </c>
      <c r="AI309" s="957" t="e">
        <f t="shared" si="198"/>
        <v>#DIV/0!</v>
      </c>
      <c r="AJ309" s="957">
        <f t="shared" si="203"/>
        <v>0</v>
      </c>
      <c r="AK309" s="958">
        <f t="shared" ref="AK309:AK323" si="205">AH309</f>
        <v>0</v>
      </c>
      <c r="AL309" s="74"/>
    </row>
    <row r="310" spans="1:38" ht="33" customHeight="1" outlineLevel="1">
      <c r="A310" s="139" t="s">
        <v>1404</v>
      </c>
      <c r="B310" s="242" t="s">
        <v>1409</v>
      </c>
      <c r="C310" s="243" t="s">
        <v>1406</v>
      </c>
      <c r="D310" s="956" t="s">
        <v>2175</v>
      </c>
      <c r="E310" s="199" t="s">
        <v>1407</v>
      </c>
      <c r="F310" s="177"/>
      <c r="G310" s="404" t="s">
        <v>552</v>
      </c>
      <c r="H310" s="404">
        <v>0</v>
      </c>
      <c r="I310" s="404">
        <v>0</v>
      </c>
      <c r="J310" s="404">
        <v>0</v>
      </c>
      <c r="K310" s="406">
        <v>0</v>
      </c>
      <c r="L310" s="406">
        <v>616.96</v>
      </c>
      <c r="M310" s="406">
        <v>0</v>
      </c>
      <c r="N310" s="406">
        <v>0</v>
      </c>
      <c r="O310" s="406">
        <v>63.142710000000001</v>
      </c>
      <c r="P310" s="406">
        <v>60.339199999999998</v>
      </c>
      <c r="Q310" s="150">
        <v>60.339199999999998</v>
      </c>
      <c r="R310" s="406">
        <v>60.339199999999998</v>
      </c>
      <c r="S310" s="406">
        <v>60.339199999999998</v>
      </c>
      <c r="T310" s="406">
        <f t="shared" si="199"/>
        <v>60.339199999999998</v>
      </c>
      <c r="U310" s="406">
        <f t="shared" si="200"/>
        <v>0</v>
      </c>
      <c r="V310" s="406">
        <v>0</v>
      </c>
      <c r="W310" s="167">
        <v>102800</v>
      </c>
      <c r="X310" s="167">
        <v>102.8</v>
      </c>
      <c r="Y310" s="406">
        <v>102.80000000000001</v>
      </c>
      <c r="Z310" s="406">
        <v>99.511769999999999</v>
      </c>
      <c r="AA310" s="406">
        <v>2.4542100000000002</v>
      </c>
      <c r="AB310" s="406">
        <v>0.83401999999999998</v>
      </c>
      <c r="AC310" s="406">
        <v>0</v>
      </c>
      <c r="AD310" s="406">
        <v>0</v>
      </c>
      <c r="AE310" s="406">
        <f t="shared" si="201"/>
        <v>0</v>
      </c>
      <c r="AF310" s="402">
        <f t="shared" si="202"/>
        <v>0</v>
      </c>
      <c r="AG310" s="406">
        <v>0</v>
      </c>
      <c r="AH310" s="406">
        <v>0</v>
      </c>
      <c r="AI310" s="957">
        <f t="shared" si="198"/>
        <v>0</v>
      </c>
      <c r="AJ310" s="957">
        <f t="shared" si="203"/>
        <v>0</v>
      </c>
      <c r="AK310" s="958">
        <f t="shared" si="205"/>
        <v>0</v>
      </c>
      <c r="AL310" s="74"/>
    </row>
    <row r="311" spans="1:38" ht="33" customHeight="1" outlineLevel="1">
      <c r="A311" s="139" t="s">
        <v>1408</v>
      </c>
      <c r="B311" s="242" t="s">
        <v>1413</v>
      </c>
      <c r="C311" s="243" t="s">
        <v>1410</v>
      </c>
      <c r="D311" s="956" t="s">
        <v>2176</v>
      </c>
      <c r="E311" s="199" t="s">
        <v>1411</v>
      </c>
      <c r="F311" s="177"/>
      <c r="G311" s="404" t="s">
        <v>552</v>
      </c>
      <c r="H311" s="404">
        <v>0</v>
      </c>
      <c r="I311" s="404">
        <v>0</v>
      </c>
      <c r="J311" s="404">
        <v>0</v>
      </c>
      <c r="K311" s="406">
        <v>0</v>
      </c>
      <c r="L311" s="406">
        <v>101.74</v>
      </c>
      <c r="M311" s="406">
        <v>0</v>
      </c>
      <c r="N311" s="406">
        <v>0</v>
      </c>
      <c r="O311" s="406">
        <v>0</v>
      </c>
      <c r="P311" s="406"/>
      <c r="Q311" s="150">
        <v>0</v>
      </c>
      <c r="R311" s="406">
        <v>0</v>
      </c>
      <c r="S311" s="406">
        <v>0</v>
      </c>
      <c r="T311" s="406">
        <f t="shared" si="199"/>
        <v>0</v>
      </c>
      <c r="U311" s="406">
        <f t="shared" si="200"/>
        <v>0</v>
      </c>
      <c r="V311" s="406">
        <v>0</v>
      </c>
      <c r="W311" s="167">
        <v>31201.759999999998</v>
      </c>
      <c r="X311" s="167">
        <v>31.20176</v>
      </c>
      <c r="Y311" s="406">
        <v>31.20176</v>
      </c>
      <c r="Z311" s="406">
        <v>30.130459999999999</v>
      </c>
      <c r="AA311" s="406">
        <v>0.76121000000000005</v>
      </c>
      <c r="AB311" s="406">
        <v>0.31008999999999998</v>
      </c>
      <c r="AC311" s="406">
        <v>0</v>
      </c>
      <c r="AD311" s="406">
        <v>0</v>
      </c>
      <c r="AE311" s="406">
        <f t="shared" si="201"/>
        <v>0</v>
      </c>
      <c r="AF311" s="402">
        <f t="shared" si="202"/>
        <v>0</v>
      </c>
      <c r="AG311" s="406">
        <v>0</v>
      </c>
      <c r="AH311" s="406">
        <v>0</v>
      </c>
      <c r="AI311" s="957">
        <f t="shared" si="198"/>
        <v>0</v>
      </c>
      <c r="AJ311" s="957">
        <f t="shared" si="203"/>
        <v>0</v>
      </c>
      <c r="AK311" s="958">
        <f t="shared" si="205"/>
        <v>0</v>
      </c>
      <c r="AL311" s="74"/>
    </row>
    <row r="312" spans="1:38" ht="33" customHeight="1" outlineLevel="1">
      <c r="A312" s="139" t="s">
        <v>1412</v>
      </c>
      <c r="B312" s="242" t="s">
        <v>1417</v>
      </c>
      <c r="C312" s="243" t="s">
        <v>1414</v>
      </c>
      <c r="D312" s="956" t="s">
        <v>2177</v>
      </c>
      <c r="E312" s="199" t="s">
        <v>1415</v>
      </c>
      <c r="F312" s="177"/>
      <c r="G312" s="404" t="s">
        <v>552</v>
      </c>
      <c r="H312" s="404">
        <v>0</v>
      </c>
      <c r="I312" s="404">
        <v>0</v>
      </c>
      <c r="J312" s="404">
        <v>0</v>
      </c>
      <c r="K312" s="406">
        <v>0</v>
      </c>
      <c r="L312" s="406">
        <v>3205.41</v>
      </c>
      <c r="M312" s="406">
        <v>0</v>
      </c>
      <c r="N312" s="406">
        <v>0</v>
      </c>
      <c r="O312" s="406">
        <v>6172.3715000000002</v>
      </c>
      <c r="P312" s="406">
        <v>6038.9030999999995</v>
      </c>
      <c r="Q312" s="150">
        <v>6038.9030999999995</v>
      </c>
      <c r="R312" s="406">
        <v>6038.9030999999995</v>
      </c>
      <c r="S312" s="406">
        <v>6038.9030999999995</v>
      </c>
      <c r="T312" s="406">
        <f t="shared" si="199"/>
        <v>6038.9030999999995</v>
      </c>
      <c r="U312" s="406">
        <f t="shared" si="200"/>
        <v>0</v>
      </c>
      <c r="V312" s="406">
        <v>0</v>
      </c>
      <c r="W312" s="167">
        <v>4374472.7</v>
      </c>
      <c r="X312" s="167">
        <v>4374.4727000000003</v>
      </c>
      <c r="Y312" s="406">
        <v>4374.4727000000003</v>
      </c>
      <c r="Z312" s="406">
        <v>4307.4105799999998</v>
      </c>
      <c r="AA312" s="406">
        <v>50.880400000000002</v>
      </c>
      <c r="AB312" s="406">
        <v>16.181719999999999</v>
      </c>
      <c r="AC312" s="406">
        <v>0</v>
      </c>
      <c r="AD312" s="406">
        <f>'[71]2. подк.неподк.'!X298</f>
        <v>0</v>
      </c>
      <c r="AE312" s="406">
        <f t="shared" si="201"/>
        <v>0</v>
      </c>
      <c r="AF312" s="402">
        <f t="shared" si="202"/>
        <v>0</v>
      </c>
      <c r="AG312" s="406">
        <v>0</v>
      </c>
      <c r="AH312" s="406">
        <v>6968.6074235000006</v>
      </c>
      <c r="AI312" s="957">
        <f t="shared" si="198"/>
        <v>1.5930165534008247</v>
      </c>
      <c r="AJ312" s="957">
        <f t="shared" si="203"/>
        <v>6968.6074235000006</v>
      </c>
      <c r="AK312" s="958">
        <f t="shared" si="205"/>
        <v>6968.6074235000006</v>
      </c>
      <c r="AL312" s="74"/>
    </row>
    <row r="313" spans="1:38" ht="33" customHeight="1" outlineLevel="1">
      <c r="A313" s="139" t="s">
        <v>1416</v>
      </c>
      <c r="B313" s="242" t="s">
        <v>1421</v>
      </c>
      <c r="C313" s="243" t="s">
        <v>1418</v>
      </c>
      <c r="D313" s="956" t="s">
        <v>2178</v>
      </c>
      <c r="E313" s="199" t="s">
        <v>1419</v>
      </c>
      <c r="F313" s="177"/>
      <c r="G313" s="404" t="s">
        <v>552</v>
      </c>
      <c r="H313" s="404">
        <v>0</v>
      </c>
      <c r="I313" s="404">
        <v>0</v>
      </c>
      <c r="J313" s="404">
        <v>0</v>
      </c>
      <c r="K313" s="406">
        <v>0</v>
      </c>
      <c r="L313" s="406">
        <v>1337.51</v>
      </c>
      <c r="M313" s="406">
        <v>0</v>
      </c>
      <c r="N313" s="406">
        <v>0</v>
      </c>
      <c r="O313" s="406">
        <v>1487.4</v>
      </c>
      <c r="P313" s="406">
        <v>1314.06493</v>
      </c>
      <c r="Q313" s="150">
        <v>0</v>
      </c>
      <c r="R313" s="406">
        <v>0</v>
      </c>
      <c r="S313" s="406">
        <v>0</v>
      </c>
      <c r="T313" s="406">
        <f t="shared" si="199"/>
        <v>0</v>
      </c>
      <c r="U313" s="406">
        <f t="shared" si="200"/>
        <v>-1314.06493</v>
      </c>
      <c r="V313" s="406">
        <v>0</v>
      </c>
      <c r="W313" s="167">
        <v>1617699</v>
      </c>
      <c r="X313" s="167">
        <v>1617.6990000000001</v>
      </c>
      <c r="Y313" s="406">
        <v>1617.6990000000003</v>
      </c>
      <c r="Z313" s="406">
        <v>1470.44381</v>
      </c>
      <c r="AA313" s="406">
        <v>128.84136000000001</v>
      </c>
      <c r="AB313" s="406">
        <v>18.413830000000001</v>
      </c>
      <c r="AC313" s="406">
        <v>0</v>
      </c>
      <c r="AD313" s="406">
        <f>'[71]2. подк.неподк.'!X299</f>
        <v>4258.62</v>
      </c>
      <c r="AE313" s="406">
        <f t="shared" si="201"/>
        <v>0</v>
      </c>
      <c r="AF313" s="402">
        <f t="shared" si="202"/>
        <v>0</v>
      </c>
      <c r="AG313" s="406">
        <v>0</v>
      </c>
      <c r="AH313" s="406">
        <v>4706.1000000000004</v>
      </c>
      <c r="AI313" s="957">
        <f t="shared" si="198"/>
        <v>2.9091320449601565</v>
      </c>
      <c r="AJ313" s="957">
        <f t="shared" si="203"/>
        <v>4706.1000000000004</v>
      </c>
      <c r="AK313" s="958">
        <f t="shared" si="205"/>
        <v>4706.1000000000004</v>
      </c>
      <c r="AL313" s="74"/>
    </row>
    <row r="314" spans="1:38" ht="33" customHeight="1" outlineLevel="1">
      <c r="A314" s="139" t="s">
        <v>1420</v>
      </c>
      <c r="B314" s="242" t="s">
        <v>1424</v>
      </c>
      <c r="C314" s="243" t="s">
        <v>1422</v>
      </c>
      <c r="D314" s="956" t="s">
        <v>2179</v>
      </c>
      <c r="E314" s="199" t="s">
        <v>1423</v>
      </c>
      <c r="F314" s="177"/>
      <c r="G314" s="404" t="s">
        <v>552</v>
      </c>
      <c r="H314" s="404">
        <v>0</v>
      </c>
      <c r="I314" s="404">
        <v>0</v>
      </c>
      <c r="J314" s="404">
        <v>0</v>
      </c>
      <c r="K314" s="406">
        <v>0</v>
      </c>
      <c r="L314" s="406">
        <v>78.524000000000001</v>
      </c>
      <c r="M314" s="406">
        <v>0</v>
      </c>
      <c r="N314" s="406">
        <v>0</v>
      </c>
      <c r="O314" s="406">
        <v>267.3</v>
      </c>
      <c r="P314" s="406">
        <v>233.21495000000002</v>
      </c>
      <c r="Q314" s="150">
        <v>0</v>
      </c>
      <c r="R314" s="406">
        <v>0</v>
      </c>
      <c r="S314" s="406">
        <v>0</v>
      </c>
      <c r="T314" s="406">
        <f t="shared" si="199"/>
        <v>0</v>
      </c>
      <c r="U314" s="406">
        <f t="shared" si="200"/>
        <v>-233.21495000000002</v>
      </c>
      <c r="V314" s="406">
        <v>0</v>
      </c>
      <c r="W314" s="167">
        <v>172044</v>
      </c>
      <c r="X314" s="167">
        <v>172.04400000000001</v>
      </c>
      <c r="Y314" s="406">
        <v>172.04400000000001</v>
      </c>
      <c r="Z314" s="406">
        <v>154.54242000000002</v>
      </c>
      <c r="AA314" s="406">
        <v>15.73624</v>
      </c>
      <c r="AB314" s="406">
        <v>1.7653399999999999</v>
      </c>
      <c r="AC314" s="406">
        <v>0</v>
      </c>
      <c r="AD314" s="406">
        <f>'[71]2. подк.неподк.'!X300</f>
        <v>225.49</v>
      </c>
      <c r="AE314" s="406">
        <f t="shared" si="201"/>
        <v>0</v>
      </c>
      <c r="AF314" s="402">
        <f t="shared" si="202"/>
        <v>0</v>
      </c>
      <c r="AG314" s="406">
        <v>0</v>
      </c>
      <c r="AH314" s="406">
        <v>162.078</v>
      </c>
      <c r="AI314" s="957">
        <f t="shared" si="198"/>
        <v>0.94207295808049096</v>
      </c>
      <c r="AJ314" s="957">
        <f t="shared" si="203"/>
        <v>162.078</v>
      </c>
      <c r="AK314" s="958">
        <f t="shared" si="205"/>
        <v>162.078</v>
      </c>
      <c r="AL314" s="74"/>
    </row>
    <row r="315" spans="1:38" s="244" customFormat="1" ht="33" customHeight="1" outlineLevel="1">
      <c r="A315" s="139"/>
      <c r="B315" s="242" t="s">
        <v>1429</v>
      </c>
      <c r="C315" s="245" t="s">
        <v>1425</v>
      </c>
      <c r="D315" s="956" t="s">
        <v>2180</v>
      </c>
      <c r="E315" s="246" t="s">
        <v>1426</v>
      </c>
      <c r="F315" s="149" t="s">
        <v>1427</v>
      </c>
      <c r="G315" s="406" t="s">
        <v>121</v>
      </c>
      <c r="H315" s="404">
        <v>0</v>
      </c>
      <c r="I315" s="404">
        <v>0</v>
      </c>
      <c r="J315" s="404">
        <v>0</v>
      </c>
      <c r="K315" s="406">
        <v>0</v>
      </c>
      <c r="L315" s="406">
        <v>6601.37</v>
      </c>
      <c r="M315" s="406">
        <v>0</v>
      </c>
      <c r="N315" s="406">
        <v>0</v>
      </c>
      <c r="O315" s="406">
        <v>8490.477359999999</v>
      </c>
      <c r="P315" s="406">
        <v>8419.0388000000003</v>
      </c>
      <c r="Q315" s="150">
        <v>0</v>
      </c>
      <c r="R315" s="406">
        <v>0</v>
      </c>
      <c r="S315" s="406">
        <v>0</v>
      </c>
      <c r="T315" s="406">
        <f t="shared" si="199"/>
        <v>0</v>
      </c>
      <c r="U315" s="406">
        <f t="shared" si="200"/>
        <v>-8419.0388000000003</v>
      </c>
      <c r="V315" s="406">
        <v>0</v>
      </c>
      <c r="W315" s="167">
        <v>13968786.73</v>
      </c>
      <c r="X315" s="167">
        <v>13968.78673</v>
      </c>
      <c r="Y315" s="406">
        <v>13968.78673</v>
      </c>
      <c r="Z315" s="406">
        <v>13968.78673</v>
      </c>
      <c r="AA315" s="406">
        <v>0</v>
      </c>
      <c r="AB315" s="406">
        <v>0</v>
      </c>
      <c r="AC315" s="406">
        <v>0</v>
      </c>
      <c r="AD315" s="406">
        <f>'[71]2. подк.неподк.'!X301</f>
        <v>0</v>
      </c>
      <c r="AE315" s="406">
        <f t="shared" si="201"/>
        <v>0</v>
      </c>
      <c r="AF315" s="402">
        <f t="shared" si="202"/>
        <v>0</v>
      </c>
      <c r="AG315" s="406">
        <v>0</v>
      </c>
      <c r="AH315" s="406">
        <v>13968.787</v>
      </c>
      <c r="AI315" s="957">
        <f t="shared" si="198"/>
        <v>1.0000000193288083</v>
      </c>
      <c r="AJ315" s="957">
        <f t="shared" si="203"/>
        <v>13968.787</v>
      </c>
      <c r="AK315" s="958">
        <f t="shared" si="205"/>
        <v>13968.787</v>
      </c>
      <c r="AL315" s="1017"/>
    </row>
    <row r="316" spans="1:38" ht="33" customHeight="1" outlineLevel="1">
      <c r="A316" s="139" t="s">
        <v>1428</v>
      </c>
      <c r="B316" s="242" t="s">
        <v>1434</v>
      </c>
      <c r="C316" s="1018" t="s">
        <v>1430</v>
      </c>
      <c r="D316" s="956" t="s">
        <v>1600</v>
      </c>
      <c r="E316" s="199" t="s">
        <v>1431</v>
      </c>
      <c r="F316" s="232" t="s">
        <v>1432</v>
      </c>
      <c r="G316" s="404" t="s">
        <v>552</v>
      </c>
      <c r="H316" s="404">
        <v>0</v>
      </c>
      <c r="I316" s="404">
        <v>0</v>
      </c>
      <c r="J316" s="404">
        <v>0</v>
      </c>
      <c r="K316" s="406">
        <v>0</v>
      </c>
      <c r="L316" s="406">
        <v>0</v>
      </c>
      <c r="M316" s="406">
        <v>0</v>
      </c>
      <c r="N316" s="406">
        <v>0</v>
      </c>
      <c r="O316" s="406">
        <v>9325.6830600000012</v>
      </c>
      <c r="P316" s="406">
        <v>8989.5259000000005</v>
      </c>
      <c r="Q316" s="150">
        <v>8989.5259000000005</v>
      </c>
      <c r="R316" s="406">
        <v>8989.5259000000005</v>
      </c>
      <c r="S316" s="406">
        <v>0</v>
      </c>
      <c r="T316" s="406">
        <f t="shared" si="199"/>
        <v>0</v>
      </c>
      <c r="U316" s="406">
        <f t="shared" si="200"/>
        <v>-8989.5259000000005</v>
      </c>
      <c r="V316" s="406">
        <v>0</v>
      </c>
      <c r="W316" s="167">
        <v>0</v>
      </c>
      <c r="X316" s="167">
        <v>0</v>
      </c>
      <c r="Y316" s="406">
        <v>0</v>
      </c>
      <c r="Z316" s="406">
        <v>0</v>
      </c>
      <c r="AA316" s="406">
        <v>0</v>
      </c>
      <c r="AB316" s="406">
        <v>0</v>
      </c>
      <c r="AC316" s="406">
        <v>0</v>
      </c>
      <c r="AD316" s="406">
        <f>'[71]2. подк.неподк.'!X302</f>
        <v>0</v>
      </c>
      <c r="AE316" s="406">
        <f t="shared" si="201"/>
        <v>0</v>
      </c>
      <c r="AF316" s="402">
        <f t="shared" si="202"/>
        <v>0</v>
      </c>
      <c r="AG316" s="406">
        <v>0</v>
      </c>
      <c r="AH316" s="406">
        <v>0</v>
      </c>
      <c r="AI316" s="957" t="e">
        <f t="shared" si="198"/>
        <v>#DIV/0!</v>
      </c>
      <c r="AJ316" s="957">
        <f t="shared" si="203"/>
        <v>0</v>
      </c>
      <c r="AK316" s="958">
        <f t="shared" si="205"/>
        <v>0</v>
      </c>
      <c r="AL316" s="74"/>
    </row>
    <row r="317" spans="1:38" ht="33" customHeight="1" outlineLevel="1">
      <c r="A317" s="139" t="s">
        <v>1433</v>
      </c>
      <c r="B317" s="242" t="s">
        <v>1437</v>
      </c>
      <c r="C317" s="1018" t="s">
        <v>1435</v>
      </c>
      <c r="D317" s="956" t="s">
        <v>2181</v>
      </c>
      <c r="E317" s="199" t="s">
        <v>1436</v>
      </c>
      <c r="F317" s="177"/>
      <c r="G317" s="404" t="s">
        <v>552</v>
      </c>
      <c r="H317" s="404">
        <v>0</v>
      </c>
      <c r="I317" s="404">
        <v>0</v>
      </c>
      <c r="J317" s="404">
        <v>0</v>
      </c>
      <c r="K317" s="406">
        <v>0</v>
      </c>
      <c r="L317" s="406">
        <v>0</v>
      </c>
      <c r="M317" s="406">
        <v>0</v>
      </c>
      <c r="N317" s="406">
        <v>0</v>
      </c>
      <c r="O317" s="406">
        <v>0</v>
      </c>
      <c r="P317" s="406"/>
      <c r="Q317" s="150">
        <v>0</v>
      </c>
      <c r="R317" s="406">
        <v>0</v>
      </c>
      <c r="S317" s="406">
        <v>0</v>
      </c>
      <c r="T317" s="406">
        <f t="shared" si="199"/>
        <v>0</v>
      </c>
      <c r="U317" s="406">
        <f t="shared" si="200"/>
        <v>0</v>
      </c>
      <c r="V317" s="406">
        <v>0</v>
      </c>
      <c r="W317" s="167">
        <v>0</v>
      </c>
      <c r="X317" s="167">
        <v>0</v>
      </c>
      <c r="Y317" s="406">
        <v>0</v>
      </c>
      <c r="Z317" s="406">
        <v>0</v>
      </c>
      <c r="AA317" s="406">
        <v>0</v>
      </c>
      <c r="AB317" s="406">
        <v>0</v>
      </c>
      <c r="AC317" s="406">
        <v>0</v>
      </c>
      <c r="AD317" s="406">
        <v>0</v>
      </c>
      <c r="AE317" s="406">
        <f t="shared" si="201"/>
        <v>0</v>
      </c>
      <c r="AF317" s="402">
        <f t="shared" si="202"/>
        <v>0</v>
      </c>
      <c r="AG317" s="406">
        <v>0</v>
      </c>
      <c r="AH317" s="406">
        <v>0</v>
      </c>
      <c r="AI317" s="957" t="e">
        <f t="shared" si="198"/>
        <v>#DIV/0!</v>
      </c>
      <c r="AJ317" s="957">
        <f t="shared" si="203"/>
        <v>0</v>
      </c>
      <c r="AK317" s="958">
        <f t="shared" si="205"/>
        <v>0</v>
      </c>
      <c r="AL317" s="74"/>
    </row>
    <row r="318" spans="1:38" ht="33" customHeight="1" outlineLevel="1">
      <c r="A318" s="139"/>
      <c r="B318" s="242" t="s">
        <v>1439</v>
      </c>
      <c r="C318" s="1018" t="s">
        <v>1966</v>
      </c>
      <c r="D318" s="956" t="s">
        <v>2182</v>
      </c>
      <c r="E318" s="199" t="s">
        <v>1438</v>
      </c>
      <c r="F318" s="177"/>
      <c r="G318" s="404" t="s">
        <v>552</v>
      </c>
      <c r="H318" s="404">
        <v>0</v>
      </c>
      <c r="I318" s="404">
        <v>0</v>
      </c>
      <c r="J318" s="404">
        <v>0</v>
      </c>
      <c r="K318" s="406"/>
      <c r="L318" s="406"/>
      <c r="M318" s="406"/>
      <c r="N318" s="406"/>
      <c r="O318" s="406">
        <v>276.44400000000002</v>
      </c>
      <c r="P318" s="406">
        <v>263.07453000000004</v>
      </c>
      <c r="Q318" s="150">
        <v>0</v>
      </c>
      <c r="R318" s="406"/>
      <c r="S318" s="406"/>
      <c r="T318" s="406">
        <f t="shared" si="199"/>
        <v>0</v>
      </c>
      <c r="U318" s="406">
        <f t="shared" si="200"/>
        <v>-263.07453000000004</v>
      </c>
      <c r="V318" s="406">
        <v>0</v>
      </c>
      <c r="W318" s="167">
        <v>450000</v>
      </c>
      <c r="X318" s="167">
        <v>450</v>
      </c>
      <c r="Y318" s="406">
        <v>450</v>
      </c>
      <c r="Z318" s="406">
        <v>374.73270000000002</v>
      </c>
      <c r="AA318" s="406">
        <v>69.898250000000004</v>
      </c>
      <c r="AB318" s="406">
        <v>5.3690500000000005</v>
      </c>
      <c r="AC318" s="406">
        <v>0</v>
      </c>
      <c r="AD318" s="406">
        <f>'[71]2. подк.неподк.'!X304</f>
        <v>211.19417600000003</v>
      </c>
      <c r="AE318" s="406">
        <f t="shared" si="201"/>
        <v>0</v>
      </c>
      <c r="AF318" s="402">
        <f t="shared" si="202"/>
        <v>0</v>
      </c>
      <c r="AG318" s="406">
        <v>0</v>
      </c>
      <c r="AH318" s="406">
        <v>496.8</v>
      </c>
      <c r="AI318" s="957">
        <f t="shared" si="198"/>
        <v>1.1040000000000001</v>
      </c>
      <c r="AJ318" s="957">
        <f t="shared" si="203"/>
        <v>496.8</v>
      </c>
      <c r="AK318" s="958">
        <f t="shared" si="205"/>
        <v>496.8</v>
      </c>
      <c r="AL318" s="74"/>
    </row>
    <row r="319" spans="1:38" ht="33" customHeight="1" outlineLevel="1">
      <c r="A319" s="139"/>
      <c r="B319" s="242" t="s">
        <v>1441</v>
      </c>
      <c r="C319" s="1018" t="s">
        <v>1976</v>
      </c>
      <c r="D319" s="956" t="s">
        <v>2183</v>
      </c>
      <c r="E319" s="199" t="s">
        <v>1440</v>
      </c>
      <c r="F319" s="177"/>
      <c r="G319" s="404" t="s">
        <v>552</v>
      </c>
      <c r="H319" s="404">
        <v>0</v>
      </c>
      <c r="I319" s="404">
        <v>0</v>
      </c>
      <c r="J319" s="404">
        <v>0</v>
      </c>
      <c r="K319" s="406"/>
      <c r="L319" s="406"/>
      <c r="M319" s="406"/>
      <c r="N319" s="406"/>
      <c r="O319" s="406">
        <v>224.57900000000001</v>
      </c>
      <c r="P319" s="406">
        <v>178.12549999999999</v>
      </c>
      <c r="Q319" s="150">
        <v>0</v>
      </c>
      <c r="R319" s="406">
        <v>0</v>
      </c>
      <c r="S319" s="406">
        <v>0</v>
      </c>
      <c r="T319" s="406">
        <f t="shared" si="199"/>
        <v>0</v>
      </c>
      <c r="U319" s="406">
        <f t="shared" si="200"/>
        <v>-178.12549999999999</v>
      </c>
      <c r="V319" s="406">
        <v>0</v>
      </c>
      <c r="W319" s="167">
        <v>409645.93</v>
      </c>
      <c r="X319" s="167">
        <v>409.64593000000002</v>
      </c>
      <c r="Y319" s="406">
        <v>409.64593000000002</v>
      </c>
      <c r="Z319" s="406">
        <v>363.28638000000001</v>
      </c>
      <c r="AA319" s="406">
        <v>41.576860000000003</v>
      </c>
      <c r="AB319" s="406">
        <v>4.7826900000000006</v>
      </c>
      <c r="AC319" s="406">
        <v>0</v>
      </c>
      <c r="AD319" s="406">
        <f>'[71]2. подк.неподк.'!X305</f>
        <v>50.954250000000002</v>
      </c>
      <c r="AE319" s="406">
        <f t="shared" si="201"/>
        <v>0</v>
      </c>
      <c r="AF319" s="402">
        <f t="shared" si="202"/>
        <v>0</v>
      </c>
      <c r="AG319" s="406">
        <v>0</v>
      </c>
      <c r="AH319" s="406">
        <v>437.83</v>
      </c>
      <c r="AI319" s="957">
        <f t="shared" si="198"/>
        <v>1.0688010497260401</v>
      </c>
      <c r="AJ319" s="957">
        <f t="shared" si="203"/>
        <v>437.83</v>
      </c>
      <c r="AK319" s="958">
        <f t="shared" si="205"/>
        <v>437.83</v>
      </c>
      <c r="AL319" s="74"/>
    </row>
    <row r="320" spans="1:38" ht="33" customHeight="1" outlineLevel="1">
      <c r="A320" s="139"/>
      <c r="B320" s="242" t="s">
        <v>1443</v>
      </c>
      <c r="C320" s="1018" t="s">
        <v>1977</v>
      </c>
      <c r="D320" s="956" t="s">
        <v>2184</v>
      </c>
      <c r="E320" s="199" t="s">
        <v>1442</v>
      </c>
      <c r="F320" s="177"/>
      <c r="G320" s="404" t="s">
        <v>552</v>
      </c>
      <c r="H320" s="404">
        <v>0</v>
      </c>
      <c r="I320" s="404">
        <v>0</v>
      </c>
      <c r="J320" s="404">
        <v>0</v>
      </c>
      <c r="K320" s="406"/>
      <c r="L320" s="406"/>
      <c r="M320" s="406"/>
      <c r="N320" s="406"/>
      <c r="O320" s="406">
        <v>213.35977</v>
      </c>
      <c r="P320" s="406">
        <v>191.37690000000001</v>
      </c>
      <c r="Q320" s="150">
        <v>0</v>
      </c>
      <c r="R320" s="406"/>
      <c r="S320" s="406"/>
      <c r="T320" s="406">
        <f t="shared" si="199"/>
        <v>0</v>
      </c>
      <c r="U320" s="406">
        <f t="shared" si="200"/>
        <v>-191.37690000000001</v>
      </c>
      <c r="V320" s="406">
        <v>0</v>
      </c>
      <c r="W320" s="167">
        <v>97961.01</v>
      </c>
      <c r="X320" s="167">
        <v>97.961010000000002</v>
      </c>
      <c r="Y320" s="406">
        <v>97.961010000000002</v>
      </c>
      <c r="Z320" s="406">
        <v>89.019139999999993</v>
      </c>
      <c r="AA320" s="406">
        <v>7.8517200000000003</v>
      </c>
      <c r="AB320" s="406">
        <v>1.0901500000000002</v>
      </c>
      <c r="AC320" s="406">
        <v>0</v>
      </c>
      <c r="AD320" s="406">
        <f>'[71]2. подк.неподк.'!X306</f>
        <v>224.24</v>
      </c>
      <c r="AE320" s="406">
        <f t="shared" si="201"/>
        <v>0</v>
      </c>
      <c r="AF320" s="402">
        <f t="shared" si="202"/>
        <v>0</v>
      </c>
      <c r="AG320" s="406">
        <v>0</v>
      </c>
      <c r="AH320" s="406">
        <v>168.60896894550001</v>
      </c>
      <c r="AI320" s="957">
        <f t="shared" si="198"/>
        <v>1.7211844686523752</v>
      </c>
      <c r="AJ320" s="957">
        <f t="shared" si="203"/>
        <v>168.60896894550001</v>
      </c>
      <c r="AK320" s="958">
        <f t="shared" si="205"/>
        <v>168.60896894550001</v>
      </c>
      <c r="AL320" s="74"/>
    </row>
    <row r="321" spans="1:38" ht="33" customHeight="1" outlineLevel="1">
      <c r="A321" s="139"/>
      <c r="B321" s="242" t="s">
        <v>1445</v>
      </c>
      <c r="C321" s="1018" t="s">
        <v>1979</v>
      </c>
      <c r="D321" s="956" t="s">
        <v>2185</v>
      </c>
      <c r="E321" s="148" t="s">
        <v>1444</v>
      </c>
      <c r="F321" s="177"/>
      <c r="G321" s="404" t="s">
        <v>552</v>
      </c>
      <c r="H321" s="404">
        <v>0</v>
      </c>
      <c r="I321" s="404">
        <v>0</v>
      </c>
      <c r="J321" s="404">
        <v>0</v>
      </c>
      <c r="K321" s="406"/>
      <c r="L321" s="406"/>
      <c r="M321" s="406"/>
      <c r="N321" s="406"/>
      <c r="O321" s="406">
        <v>0</v>
      </c>
      <c r="P321" s="406">
        <v>0</v>
      </c>
      <c r="Q321" s="150">
        <v>0</v>
      </c>
      <c r="R321" s="406"/>
      <c r="S321" s="406"/>
      <c r="T321" s="406">
        <f t="shared" si="199"/>
        <v>0</v>
      </c>
      <c r="U321" s="406">
        <f t="shared" si="200"/>
        <v>0</v>
      </c>
      <c r="V321" s="406">
        <v>0</v>
      </c>
      <c r="W321" s="167">
        <v>1208356</v>
      </c>
      <c r="X321" s="167">
        <v>1208.356</v>
      </c>
      <c r="Y321" s="406">
        <v>1208.356</v>
      </c>
      <c r="Z321" s="406">
        <v>1164.7482399999999</v>
      </c>
      <c r="AA321" s="406">
        <v>28.530269999999998</v>
      </c>
      <c r="AB321" s="406">
        <v>15.077489999999999</v>
      </c>
      <c r="AC321" s="406">
        <v>0</v>
      </c>
      <c r="AD321" s="406">
        <f>'[71]2. подк.неподк.'!X307</f>
        <v>1731.91</v>
      </c>
      <c r="AE321" s="406">
        <f t="shared" si="201"/>
        <v>0</v>
      </c>
      <c r="AF321" s="402">
        <f t="shared" si="202"/>
        <v>0</v>
      </c>
      <c r="AG321" s="406">
        <v>0</v>
      </c>
      <c r="AH321" s="406">
        <v>1377.6668798000001</v>
      </c>
      <c r="AI321" s="957">
        <f t="shared" si="198"/>
        <v>1.1401167204035898</v>
      </c>
      <c r="AJ321" s="957">
        <f t="shared" si="203"/>
        <v>1377.6668798000001</v>
      </c>
      <c r="AK321" s="958">
        <f t="shared" si="205"/>
        <v>1377.6668798000001</v>
      </c>
      <c r="AL321" s="74"/>
    </row>
    <row r="322" spans="1:38" ht="45.75" customHeight="1" outlineLevel="1">
      <c r="A322" s="139"/>
      <c r="B322" s="242" t="s">
        <v>2186</v>
      </c>
      <c r="C322" s="1018" t="s">
        <v>1980</v>
      </c>
      <c r="D322" s="956" t="s">
        <v>2187</v>
      </c>
      <c r="E322" s="148" t="s">
        <v>1981</v>
      </c>
      <c r="F322" s="177"/>
      <c r="G322" s="404" t="s">
        <v>552</v>
      </c>
      <c r="H322" s="404"/>
      <c r="I322" s="404"/>
      <c r="J322" s="404"/>
      <c r="K322" s="406"/>
      <c r="L322" s="406"/>
      <c r="M322" s="406"/>
      <c r="N322" s="406"/>
      <c r="O322" s="406"/>
      <c r="P322" s="406"/>
      <c r="Q322" s="150"/>
      <c r="R322" s="406"/>
      <c r="S322" s="406"/>
      <c r="T322" s="406"/>
      <c r="U322" s="406"/>
      <c r="V322" s="406">
        <v>0</v>
      </c>
      <c r="W322" s="167">
        <v>19859.88</v>
      </c>
      <c r="X322" s="167">
        <v>19.85988</v>
      </c>
      <c r="Y322" s="406">
        <v>19.859879999999997</v>
      </c>
      <c r="Z322" s="406">
        <v>19.200689999999998</v>
      </c>
      <c r="AA322" s="406">
        <v>0.41252</v>
      </c>
      <c r="AB322" s="406">
        <v>0.24667000000000003</v>
      </c>
      <c r="AC322" s="406">
        <v>0</v>
      </c>
      <c r="AD322" s="406">
        <v>0</v>
      </c>
      <c r="AE322" s="406">
        <f t="shared" si="201"/>
        <v>0</v>
      </c>
      <c r="AF322" s="402">
        <f t="shared" si="202"/>
        <v>0</v>
      </c>
      <c r="AG322" s="406">
        <v>0</v>
      </c>
      <c r="AH322" s="406">
        <v>0</v>
      </c>
      <c r="AI322" s="957">
        <f t="shared" si="198"/>
        <v>0</v>
      </c>
      <c r="AJ322" s="957">
        <f t="shared" si="203"/>
        <v>0</v>
      </c>
      <c r="AK322" s="958">
        <f t="shared" si="205"/>
        <v>0</v>
      </c>
      <c r="AL322" s="74"/>
    </row>
    <row r="323" spans="1:38" ht="33" customHeight="1" outlineLevel="1">
      <c r="A323" s="139"/>
      <c r="B323" s="242" t="s">
        <v>2188</v>
      </c>
      <c r="C323" s="1018" t="s">
        <v>1982</v>
      </c>
      <c r="D323" s="956" t="s">
        <v>2189</v>
      </c>
      <c r="E323" s="148" t="s">
        <v>1446</v>
      </c>
      <c r="F323" s="177"/>
      <c r="G323" s="404" t="s">
        <v>552</v>
      </c>
      <c r="H323" s="404">
        <v>0</v>
      </c>
      <c r="I323" s="404">
        <v>0</v>
      </c>
      <c r="J323" s="404">
        <v>0</v>
      </c>
      <c r="K323" s="406"/>
      <c r="L323" s="406"/>
      <c r="M323" s="406"/>
      <c r="N323" s="406"/>
      <c r="O323" s="406">
        <v>0</v>
      </c>
      <c r="P323" s="406">
        <v>0</v>
      </c>
      <c r="Q323" s="150">
        <v>0</v>
      </c>
      <c r="R323" s="406"/>
      <c r="S323" s="406"/>
      <c r="T323" s="406">
        <f t="shared" si="199"/>
        <v>0</v>
      </c>
      <c r="U323" s="406">
        <f t="shared" si="200"/>
        <v>0</v>
      </c>
      <c r="V323" s="406">
        <v>0</v>
      </c>
      <c r="W323" s="167">
        <v>885670</v>
      </c>
      <c r="X323" s="167">
        <v>885.67</v>
      </c>
      <c r="Y323" s="406">
        <v>885.67</v>
      </c>
      <c r="Z323" s="406">
        <v>806.18763999999999</v>
      </c>
      <c r="AA323" s="406">
        <v>68.905529999999999</v>
      </c>
      <c r="AB323" s="406">
        <v>10.576829999999999</v>
      </c>
      <c r="AC323" s="406">
        <v>0</v>
      </c>
      <c r="AD323" s="406">
        <f>'[71]2. подк.неподк.'!X308</f>
        <v>0</v>
      </c>
      <c r="AE323" s="406">
        <f t="shared" si="201"/>
        <v>0</v>
      </c>
      <c r="AF323" s="402">
        <f t="shared" si="202"/>
        <v>0</v>
      </c>
      <c r="AG323" s="406">
        <v>0</v>
      </c>
      <c r="AH323" s="406">
        <v>1024.68</v>
      </c>
      <c r="AI323" s="957">
        <f t="shared" si="198"/>
        <v>1.1569546219246447</v>
      </c>
      <c r="AJ323" s="957">
        <f t="shared" si="203"/>
        <v>1024.68</v>
      </c>
      <c r="AK323" s="958">
        <f t="shared" si="205"/>
        <v>1024.68</v>
      </c>
      <c r="AL323" s="74"/>
    </row>
    <row r="324" spans="1:38" s="214" customFormat="1" ht="33" customHeight="1">
      <c r="A324" s="211"/>
      <c r="B324" s="166"/>
      <c r="C324" s="249"/>
      <c r="D324" s="166"/>
      <c r="E324" s="213" t="s">
        <v>1447</v>
      </c>
      <c r="F324" s="213" t="s">
        <v>1447</v>
      </c>
      <c r="G324" s="213" t="s">
        <v>552</v>
      </c>
      <c r="H324" s="168">
        <f>H248+H249+H250+H263+H269+H276+H277+H278+H280+H281+H286</f>
        <v>2945351.2263561506</v>
      </c>
      <c r="I324" s="168">
        <f>I248+I249+I250+I263+I269+I276+I277+I278+I280+I281+I286</f>
        <v>2580854.4138399996</v>
      </c>
      <c r="J324" s="168">
        <f>J248+J249+J250+J263+J269+J276+J277+J278+J280+J281+J286</f>
        <v>2242609.5387999997</v>
      </c>
      <c r="K324" s="168">
        <f>K248+K249+K250+K263+K269+K276+K277+K278+K280+K281+K287</f>
        <v>2761719.6303011812</v>
      </c>
      <c r="L324" s="168">
        <f t="shared" ref="L324:S324" si="206">L248+L249+L250+L263+L268+L276+L277+L278+L280+L281+L286</f>
        <v>2493597.7122860127</v>
      </c>
      <c r="M324" s="168">
        <f t="shared" si="206"/>
        <v>2200297.8274325002</v>
      </c>
      <c r="N324" s="168">
        <f t="shared" si="206"/>
        <v>2340309.8319822834</v>
      </c>
      <c r="O324" s="168">
        <f t="shared" si="206"/>
        <v>2915134.4478400019</v>
      </c>
      <c r="P324" s="168">
        <f t="shared" si="206"/>
        <v>2523889.875380001</v>
      </c>
      <c r="Q324" s="168">
        <f t="shared" si="206"/>
        <v>2113073.2317275</v>
      </c>
      <c r="R324" s="168">
        <f t="shared" si="206"/>
        <v>2113073.2335075</v>
      </c>
      <c r="S324" s="168">
        <f t="shared" si="206"/>
        <v>2102502.8009100002</v>
      </c>
      <c r="T324" s="168">
        <f t="shared" si="199"/>
        <v>-237807.03107228316</v>
      </c>
      <c r="U324" s="168">
        <f t="shared" si="200"/>
        <v>-421387.07447000081</v>
      </c>
      <c r="V324" s="168">
        <f>V248+V249+V250+V263+V268+V276+V277+V278+V280+V281+V286</f>
        <v>2720345.5316451848</v>
      </c>
      <c r="W324" s="168">
        <f>W248+W249+W250+W263+W268+W276+W277+W278+W280+W281+W286</f>
        <v>3047359006.1169991</v>
      </c>
      <c r="X324" s="168">
        <f>X248+X249+X250+X263+X268+X276+X277+X278+X280+X281+X286</f>
        <v>3047359.0061169993</v>
      </c>
      <c r="Y324" s="168">
        <f t="shared" ref="Y324:AK324" si="207">Y248+Y249+Y250+Y263+Y268+Y276+Y277+Y278+Y280+Y281+Y286</f>
        <v>3047359.0054199984</v>
      </c>
      <c r="Z324" s="168">
        <f t="shared" si="207"/>
        <v>2653291.9743299992</v>
      </c>
      <c r="AA324" s="168">
        <f t="shared" si="207"/>
        <v>293304.52415999997</v>
      </c>
      <c r="AB324" s="168">
        <f t="shared" si="207"/>
        <v>100762.50693000002</v>
      </c>
      <c r="AC324" s="168">
        <f t="shared" si="207"/>
        <v>2842761.0806218632</v>
      </c>
      <c r="AD324" s="168">
        <f t="shared" si="207"/>
        <v>9647062.4512376487</v>
      </c>
      <c r="AE324" s="168">
        <f t="shared" si="207"/>
        <v>2498445.6471153144</v>
      </c>
      <c r="AF324" s="168">
        <f t="shared" si="207"/>
        <v>2533651.6319283121</v>
      </c>
      <c r="AG324" s="168">
        <f t="shared" si="207"/>
        <v>2956471.5137919858</v>
      </c>
      <c r="AH324" s="168">
        <f t="shared" si="207"/>
        <v>4610308.9605698893</v>
      </c>
      <c r="AI324" s="1006"/>
      <c r="AJ324" s="1006">
        <f t="shared" si="207"/>
        <v>1653837.4467779035</v>
      </c>
      <c r="AK324" s="1006">
        <f t="shared" si="207"/>
        <v>4457933.2153780358</v>
      </c>
      <c r="AL324" s="356"/>
    </row>
    <row r="325" spans="1:38" ht="33" customHeight="1" outlineLevel="1">
      <c r="A325" s="139"/>
      <c r="B325" s="406"/>
      <c r="C325" s="177"/>
      <c r="D325" s="177"/>
      <c r="E325" s="196" t="s">
        <v>1448</v>
      </c>
      <c r="F325" s="196" t="s">
        <v>1448</v>
      </c>
      <c r="G325" s="404" t="s">
        <v>552</v>
      </c>
      <c r="H325" s="404"/>
      <c r="I325" s="404"/>
      <c r="J325" s="404"/>
      <c r="K325" s="177"/>
      <c r="L325" s="177"/>
      <c r="M325" s="177"/>
      <c r="N325" s="177"/>
      <c r="O325" s="177"/>
      <c r="P325" s="177"/>
      <c r="Q325" s="250"/>
      <c r="R325" s="177"/>
      <c r="S325" s="406"/>
      <c r="T325" s="141"/>
      <c r="U325" s="141"/>
      <c r="V325" s="177"/>
      <c r="W325" s="177"/>
      <c r="X325" s="177"/>
      <c r="Y325" s="177"/>
      <c r="Z325" s="177"/>
      <c r="AA325" s="177"/>
      <c r="AB325" s="177"/>
      <c r="AC325" s="177"/>
      <c r="AD325" s="177"/>
      <c r="AE325" s="177"/>
      <c r="AF325" s="177"/>
      <c r="AG325" s="177"/>
      <c r="AH325" s="177"/>
      <c r="AI325" s="177"/>
      <c r="AJ325" s="177"/>
      <c r="AK325" s="177"/>
    </row>
    <row r="326" spans="1:38" ht="15" customHeight="1">
      <c r="A326" s="139"/>
      <c r="B326" s="406"/>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c r="AF326" s="177"/>
      <c r="AG326" s="177"/>
      <c r="AH326" s="177"/>
      <c r="AI326" s="177"/>
      <c r="AJ326" s="177"/>
      <c r="AK326" s="177"/>
    </row>
    <row r="327" spans="1:38" s="256" customFormat="1" ht="55.5" customHeight="1">
      <c r="A327" s="252"/>
      <c r="B327" s="146"/>
      <c r="C327" s="253"/>
      <c r="D327" s="253"/>
      <c r="E327" s="254" t="s">
        <v>1449</v>
      </c>
      <c r="F327" s="254" t="s">
        <v>1449</v>
      </c>
      <c r="G327" s="255" t="s">
        <v>552</v>
      </c>
      <c r="H327" s="146">
        <f t="shared" ref="H327:S327" si="208">H324-H276</f>
        <v>2728024.6363561507</v>
      </c>
      <c r="I327" s="146">
        <f t="shared" si="208"/>
        <v>2580854.4138399996</v>
      </c>
      <c r="J327" s="146">
        <f t="shared" si="208"/>
        <v>2244113.3387999996</v>
      </c>
      <c r="K327" s="146">
        <f t="shared" si="208"/>
        <v>2311575.7303011813</v>
      </c>
      <c r="L327" s="146">
        <f t="shared" si="208"/>
        <v>2493597.7122860127</v>
      </c>
      <c r="M327" s="146">
        <f t="shared" si="208"/>
        <v>2200297.8274325002</v>
      </c>
      <c r="N327" s="146">
        <f t="shared" si="208"/>
        <v>1998369.579214415</v>
      </c>
      <c r="O327" s="146">
        <f t="shared" si="208"/>
        <v>2915134.4478400019</v>
      </c>
      <c r="P327" s="146">
        <f t="shared" si="208"/>
        <v>2523889.875380001</v>
      </c>
      <c r="Q327" s="146">
        <f t="shared" si="208"/>
        <v>2113073.2317275</v>
      </c>
      <c r="R327" s="146">
        <f t="shared" si="208"/>
        <v>2113073.2335075</v>
      </c>
      <c r="S327" s="146">
        <f t="shared" si="208"/>
        <v>2102502.8009100002</v>
      </c>
      <c r="T327" s="146">
        <f t="shared" ref="T327:T330" si="209">S327-N327</f>
        <v>104133.22169558518</v>
      </c>
      <c r="U327" s="146">
        <f t="shared" si="200"/>
        <v>-421387.07447000081</v>
      </c>
      <c r="V327" s="146">
        <f>V324-V276</f>
        <v>2375205.2338735852</v>
      </c>
      <c r="W327" s="146">
        <f>W324-W276</f>
        <v>3047359006.1169991</v>
      </c>
      <c r="X327" s="146">
        <f>X324-X276</f>
        <v>3047359.0061169993</v>
      </c>
      <c r="Y327" s="146">
        <f t="shared" ref="Y327:AK327" si="210">Y324-Y276</f>
        <v>3047359.0054199984</v>
      </c>
      <c r="Z327" s="146">
        <f t="shared" si="210"/>
        <v>2653291.9743299992</v>
      </c>
      <c r="AA327" s="146">
        <f t="shared" si="210"/>
        <v>293304.52415999997</v>
      </c>
      <c r="AB327" s="146">
        <f t="shared" si="210"/>
        <v>100762.50693000002</v>
      </c>
      <c r="AC327" s="146">
        <f t="shared" si="210"/>
        <v>2509307.8811655412</v>
      </c>
      <c r="AD327" s="146">
        <f t="shared" si="210"/>
        <v>4305574.8012376484</v>
      </c>
      <c r="AE327" s="146">
        <f t="shared" si="210"/>
        <v>2498445.6471153144</v>
      </c>
      <c r="AF327" s="146">
        <f t="shared" si="210"/>
        <v>2533651.6319283121</v>
      </c>
      <c r="AG327" s="146">
        <f t="shared" si="210"/>
        <v>2609680.1963574118</v>
      </c>
      <c r="AH327" s="146">
        <f t="shared" si="210"/>
        <v>4610308.9605698893</v>
      </c>
      <c r="AI327" s="146"/>
      <c r="AJ327" s="146">
        <f t="shared" si="210"/>
        <v>2000628.7642124775</v>
      </c>
      <c r="AK327" s="146">
        <f t="shared" si="210"/>
        <v>4457933.2153780358</v>
      </c>
    </row>
    <row r="328" spans="1:38" s="214" customFormat="1" ht="33" customHeight="1">
      <c r="A328" s="211"/>
      <c r="B328" s="168"/>
      <c r="C328" s="249"/>
      <c r="D328" s="249"/>
      <c r="E328" s="257" t="s">
        <v>1450</v>
      </c>
      <c r="F328" s="257" t="s">
        <v>1450</v>
      </c>
      <c r="G328" s="213" t="s">
        <v>1451</v>
      </c>
      <c r="H328" s="168">
        <f t="shared" ref="H328:J328" si="211">SUM(H329:H330)</f>
        <v>4557522.1366777197</v>
      </c>
      <c r="I328" s="168">
        <f t="shared" si="211"/>
        <v>4524715.3847899996</v>
      </c>
      <c r="J328" s="168">
        <f t="shared" si="211"/>
        <v>3845429.766817715</v>
      </c>
      <c r="K328" s="168">
        <f>SUM(K329:K330)</f>
        <v>4530576.7733762488</v>
      </c>
      <c r="L328" s="168">
        <f t="shared" ref="L328:N328" si="212">SUM(L329:L330)</f>
        <v>4552809.5886550127</v>
      </c>
      <c r="M328" s="168">
        <f t="shared" si="212"/>
        <v>3949467.0261025</v>
      </c>
      <c r="N328" s="168">
        <f t="shared" si="212"/>
        <v>3995767.2468746058</v>
      </c>
      <c r="O328" s="168">
        <f>SUM(O329:O330)</f>
        <v>5167898.7823200021</v>
      </c>
      <c r="P328" s="168">
        <f t="shared" ref="P328:S328" si="213">SUM(P329:P330)</f>
        <v>4685555.3686300013</v>
      </c>
      <c r="Q328" s="168">
        <f t="shared" si="213"/>
        <v>4230752.0730500324</v>
      </c>
      <c r="R328" s="168">
        <f t="shared" si="213"/>
        <v>4233888.3025800325</v>
      </c>
      <c r="S328" s="168">
        <f t="shared" si="213"/>
        <v>4119204.6253925329</v>
      </c>
      <c r="T328" s="168">
        <f t="shared" si="209"/>
        <v>123437.37851792714</v>
      </c>
      <c r="U328" s="168">
        <f t="shared" si="200"/>
        <v>-566350.74323746841</v>
      </c>
      <c r="V328" s="168">
        <f>SUM(V329:V330)</f>
        <v>4508690.1437708195</v>
      </c>
      <c r="W328" s="168">
        <f t="shared" ref="W328" si="214">SUM(W329:W330)</f>
        <v>5548370619.0299988</v>
      </c>
      <c r="X328" s="168">
        <f>SUM(X329:X330)</f>
        <v>5548370.6157699991</v>
      </c>
      <c r="Y328" s="168">
        <f t="shared" ref="Y328:AB328" si="215">SUM(Y329:Y330)</f>
        <v>5548370.6215299983</v>
      </c>
      <c r="Z328" s="168">
        <f t="shared" si="215"/>
        <v>5049951.0622499995</v>
      </c>
      <c r="AA328" s="168">
        <f t="shared" si="215"/>
        <v>368661.52492</v>
      </c>
      <c r="AB328" s="168">
        <f t="shared" si="215"/>
        <v>129758.03865000002</v>
      </c>
      <c r="AC328" s="168">
        <f>SUM(AC329:AC330)</f>
        <v>4711581.1991699366</v>
      </c>
      <c r="AD328" s="1019">
        <f t="shared" ref="AD328:AK328" si="216">SUM(AD329:AD330)</f>
        <v>13960814.675308185</v>
      </c>
      <c r="AE328" s="168">
        <f t="shared" si="216"/>
        <v>4352693.9044631608</v>
      </c>
      <c r="AF328" s="168">
        <f>SUM(AF329:AF330)</f>
        <v>4387899.889276159</v>
      </c>
      <c r="AG328" s="168">
        <f t="shared" si="216"/>
        <v>4900044.4411169775</v>
      </c>
      <c r="AH328" s="168">
        <f t="shared" si="216"/>
        <v>9573779.5955581684</v>
      </c>
      <c r="AI328" s="168"/>
      <c r="AJ328" s="168">
        <f t="shared" si="216"/>
        <v>4673735.1544411909</v>
      </c>
      <c r="AK328" s="168">
        <f t="shared" si="216"/>
        <v>9255186.7681133151</v>
      </c>
    </row>
    <row r="329" spans="1:38" ht="30" customHeight="1">
      <c r="A329" s="139"/>
      <c r="B329" s="402"/>
      <c r="C329" s="177"/>
      <c r="D329" s="177"/>
      <c r="E329" s="409" t="s">
        <v>1452</v>
      </c>
      <c r="F329" s="409" t="s">
        <v>1452</v>
      </c>
      <c r="G329" s="217" t="s">
        <v>1451</v>
      </c>
      <c r="H329" s="402">
        <f t="shared" ref="H329:S329" si="217">H247</f>
        <v>1612170.9103215688</v>
      </c>
      <c r="I329" s="402">
        <f t="shared" si="217"/>
        <v>1943860.97095</v>
      </c>
      <c r="J329" s="402">
        <f t="shared" si="217"/>
        <v>1602820.2280177155</v>
      </c>
      <c r="K329" s="402">
        <f t="shared" si="217"/>
        <v>1768857.1430750673</v>
      </c>
      <c r="L329" s="402">
        <f t="shared" si="217"/>
        <v>2059211.8763689999</v>
      </c>
      <c r="M329" s="402">
        <f t="shared" si="217"/>
        <v>1749169.1986700001</v>
      </c>
      <c r="N329" s="402">
        <f t="shared" si="217"/>
        <v>1655457.4148923224</v>
      </c>
      <c r="O329" s="402">
        <f t="shared" si="217"/>
        <v>2252764.3344800002</v>
      </c>
      <c r="P329" s="402">
        <f t="shared" si="217"/>
        <v>2161665.4932500003</v>
      </c>
      <c r="Q329" s="402">
        <f t="shared" si="217"/>
        <v>2117678.8413225324</v>
      </c>
      <c r="R329" s="402">
        <f t="shared" si="217"/>
        <v>2120815.0690725325</v>
      </c>
      <c r="S329" s="402">
        <f t="shared" si="217"/>
        <v>2016701.8244825325</v>
      </c>
      <c r="T329" s="402">
        <f t="shared" si="209"/>
        <v>361244.40959021007</v>
      </c>
      <c r="U329" s="402">
        <f t="shared" si="200"/>
        <v>-144963.66876746784</v>
      </c>
      <c r="V329" s="402">
        <f>V247</f>
        <v>1788344.6121256349</v>
      </c>
      <c r="W329" s="402">
        <f>W247</f>
        <v>2501011612.9129996</v>
      </c>
      <c r="X329" s="402">
        <f>X247</f>
        <v>2501011.6096530003</v>
      </c>
      <c r="Y329" s="402">
        <f t="shared" ref="Y329:Z329" si="218">Y247</f>
        <v>2501011.6161099998</v>
      </c>
      <c r="Z329" s="402">
        <f t="shared" si="218"/>
        <v>2396659.0879199998</v>
      </c>
      <c r="AA329" s="402">
        <f>AA247</f>
        <v>75357.000760000024</v>
      </c>
      <c r="AB329" s="402">
        <f t="shared" ref="AB329:AK329" si="219">AB247</f>
        <v>28995.531719999995</v>
      </c>
      <c r="AC329" s="402">
        <f t="shared" si="219"/>
        <v>1868820.1185480736</v>
      </c>
      <c r="AD329" s="173">
        <f t="shared" si="219"/>
        <v>4313752.224070536</v>
      </c>
      <c r="AE329" s="402">
        <f t="shared" si="219"/>
        <v>1854248.2573478469</v>
      </c>
      <c r="AF329" s="402">
        <f t="shared" si="219"/>
        <v>1854248.2573478469</v>
      </c>
      <c r="AG329" s="402">
        <f t="shared" si="219"/>
        <v>1943572.9273249917</v>
      </c>
      <c r="AH329" s="402">
        <f t="shared" si="219"/>
        <v>4963470.6349882791</v>
      </c>
      <c r="AI329" s="402"/>
      <c r="AJ329" s="402">
        <f t="shared" si="203"/>
        <v>3019897.7076632874</v>
      </c>
      <c r="AK329" s="402">
        <f t="shared" si="219"/>
        <v>4797253.5527352802</v>
      </c>
    </row>
    <row r="330" spans="1:38" ht="25.95" customHeight="1">
      <c r="A330" s="139"/>
      <c r="B330" s="402"/>
      <c r="C330" s="177"/>
      <c r="D330" s="177"/>
      <c r="E330" s="409" t="s">
        <v>1453</v>
      </c>
      <c r="F330" s="409" t="s">
        <v>1453</v>
      </c>
      <c r="G330" s="217" t="s">
        <v>1451</v>
      </c>
      <c r="H330" s="402">
        <f t="shared" ref="H330:AK330" si="220">H324</f>
        <v>2945351.2263561506</v>
      </c>
      <c r="I330" s="402">
        <f t="shared" si="220"/>
        <v>2580854.4138399996</v>
      </c>
      <c r="J330" s="402">
        <f t="shared" si="220"/>
        <v>2242609.5387999997</v>
      </c>
      <c r="K330" s="402">
        <f t="shared" si="220"/>
        <v>2761719.6303011812</v>
      </c>
      <c r="L330" s="402">
        <f t="shared" si="220"/>
        <v>2493597.7122860127</v>
      </c>
      <c r="M330" s="402">
        <f t="shared" si="220"/>
        <v>2200297.8274325002</v>
      </c>
      <c r="N330" s="402">
        <f t="shared" si="220"/>
        <v>2340309.8319822834</v>
      </c>
      <c r="O330" s="402">
        <f t="shared" si="220"/>
        <v>2915134.4478400019</v>
      </c>
      <c r="P330" s="402">
        <f t="shared" si="220"/>
        <v>2523889.875380001</v>
      </c>
      <c r="Q330" s="402">
        <f t="shared" si="220"/>
        <v>2113073.2317275</v>
      </c>
      <c r="R330" s="402">
        <f t="shared" si="220"/>
        <v>2113073.2335075</v>
      </c>
      <c r="S330" s="402">
        <f t="shared" si="220"/>
        <v>2102502.8009100002</v>
      </c>
      <c r="T330" s="402">
        <f t="shared" si="209"/>
        <v>-237807.03107228316</v>
      </c>
      <c r="U330" s="402">
        <f t="shared" si="200"/>
        <v>-421387.07447000081</v>
      </c>
      <c r="V330" s="402">
        <f t="shared" si="220"/>
        <v>2720345.5316451848</v>
      </c>
      <c r="W330" s="402">
        <f t="shared" si="220"/>
        <v>3047359006.1169991</v>
      </c>
      <c r="X330" s="402">
        <f t="shared" si="220"/>
        <v>3047359.0061169993</v>
      </c>
      <c r="Y330" s="402">
        <f t="shared" si="220"/>
        <v>3047359.0054199984</v>
      </c>
      <c r="Z330" s="402">
        <f t="shared" si="220"/>
        <v>2653291.9743299992</v>
      </c>
      <c r="AA330" s="402">
        <f t="shared" si="220"/>
        <v>293304.52415999997</v>
      </c>
      <c r="AB330" s="402">
        <f t="shared" si="220"/>
        <v>100762.50693000002</v>
      </c>
      <c r="AC330" s="402">
        <f t="shared" si="220"/>
        <v>2842761.0806218632</v>
      </c>
      <c r="AD330" s="173">
        <f t="shared" si="220"/>
        <v>9647062.4512376487</v>
      </c>
      <c r="AE330" s="402">
        <f t="shared" si="220"/>
        <v>2498445.6471153144</v>
      </c>
      <c r="AF330" s="402">
        <f t="shared" si="220"/>
        <v>2533651.6319283121</v>
      </c>
      <c r="AG330" s="402">
        <f t="shared" si="220"/>
        <v>2956471.5137919858</v>
      </c>
      <c r="AH330" s="402">
        <f t="shared" si="220"/>
        <v>4610308.9605698893</v>
      </c>
      <c r="AI330" s="402"/>
      <c r="AJ330" s="402">
        <f t="shared" si="203"/>
        <v>1653837.4467779035</v>
      </c>
      <c r="AK330" s="402">
        <f t="shared" si="220"/>
        <v>4457933.2153780358</v>
      </c>
    </row>
    <row r="331" spans="1:38" ht="25.95" customHeight="1">
      <c r="A331" s="258"/>
      <c r="B331" s="259"/>
      <c r="C331" s="260"/>
      <c r="D331" s="260"/>
      <c r="E331" s="261"/>
      <c r="F331" s="409"/>
      <c r="G331" s="217"/>
      <c r="H331" s="402"/>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c r="AG331" s="402"/>
      <c r="AH331" s="402"/>
      <c r="AI331" s="402"/>
      <c r="AJ331" s="402">
        <f t="shared" si="203"/>
        <v>0</v>
      </c>
      <c r="AK331" s="402"/>
    </row>
    <row r="332" spans="1:38" ht="25.95" customHeight="1">
      <c r="A332" s="258"/>
      <c r="B332" s="259"/>
      <c r="C332" s="260"/>
      <c r="D332" s="260"/>
      <c r="E332" s="1020" t="s">
        <v>1454</v>
      </c>
      <c r="F332" s="409"/>
      <c r="G332" s="217" t="s">
        <v>1451</v>
      </c>
      <c r="H332" s="402"/>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f>AF333+AF334</f>
        <v>5731.1727849999988</v>
      </c>
      <c r="AG332" s="402"/>
      <c r="AH332" s="269"/>
      <c r="AI332" s="402"/>
      <c r="AJ332" s="402">
        <f t="shared" si="203"/>
        <v>0</v>
      </c>
      <c r="AK332" s="402"/>
    </row>
    <row r="333" spans="1:38" ht="25.95" customHeight="1">
      <c r="A333" s="258"/>
      <c r="B333" s="259"/>
      <c r="C333" s="260"/>
      <c r="D333" s="260"/>
      <c r="E333" s="261" t="s">
        <v>1455</v>
      </c>
      <c r="F333" s="409"/>
      <c r="G333" s="217" t="s">
        <v>1451</v>
      </c>
      <c r="H333" s="402"/>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f>'[70]1. инд. тарифы'!T91</f>
        <v>4460.0326499999992</v>
      </c>
      <c r="AG333" s="402"/>
      <c r="AH333" s="269"/>
      <c r="AI333" s="402"/>
      <c r="AJ333" s="402">
        <f t="shared" si="203"/>
        <v>0</v>
      </c>
      <c r="AK333" s="402"/>
    </row>
    <row r="334" spans="1:38" ht="25.95" customHeight="1">
      <c r="A334" s="258"/>
      <c r="B334" s="259"/>
      <c r="C334" s="260"/>
      <c r="D334" s="260"/>
      <c r="E334" s="261" t="s">
        <v>1456</v>
      </c>
      <c r="F334" s="409"/>
      <c r="G334" s="217" t="s">
        <v>1451</v>
      </c>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f>'[70]1. инд. тарифы'!T94</f>
        <v>1271.1401349999999</v>
      </c>
      <c r="AG334" s="402"/>
      <c r="AH334" s="269"/>
      <c r="AI334" s="402"/>
      <c r="AJ334" s="402">
        <f t="shared" si="203"/>
        <v>0</v>
      </c>
      <c r="AK334" s="402"/>
    </row>
    <row r="335" spans="1:38" ht="25.95" customHeight="1">
      <c r="A335" s="258"/>
      <c r="B335" s="259"/>
      <c r="C335" s="260"/>
      <c r="D335" s="260"/>
      <c r="E335" s="261"/>
      <c r="F335" s="409"/>
      <c r="G335" s="217"/>
      <c r="H335" s="402"/>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c r="AG335" s="402"/>
      <c r="AH335" s="402"/>
      <c r="AI335" s="402"/>
      <c r="AJ335" s="402">
        <f t="shared" si="203"/>
        <v>0</v>
      </c>
      <c r="AK335" s="402"/>
    </row>
    <row r="336" spans="1:38" s="270" customFormat="1" ht="25.95" customHeight="1">
      <c r="A336" s="262"/>
      <c r="B336" s="263"/>
      <c r="C336" s="264"/>
      <c r="D336" s="264"/>
      <c r="E336" s="265" t="s">
        <v>1450</v>
      </c>
      <c r="F336" s="266" t="s">
        <v>1450</v>
      </c>
      <c r="G336" s="267" t="s">
        <v>1451</v>
      </c>
      <c r="H336" s="268">
        <v>4557522.1366777197</v>
      </c>
      <c r="I336" s="268">
        <v>4524715.3847899996</v>
      </c>
      <c r="J336" s="268">
        <v>3845429.766817715</v>
      </c>
      <c r="K336" s="268">
        <v>4530576.7733762488</v>
      </c>
      <c r="L336" s="268">
        <v>4552809.5886550127</v>
      </c>
      <c r="M336" s="268">
        <v>3949467.0261025</v>
      </c>
      <c r="N336" s="268"/>
      <c r="O336" s="268"/>
      <c r="P336" s="268"/>
      <c r="Q336" s="268"/>
      <c r="R336" s="268"/>
      <c r="S336" s="268"/>
      <c r="T336" s="268"/>
      <c r="U336" s="268"/>
      <c r="V336" s="268">
        <f>V328</f>
        <v>4508690.1437708195</v>
      </c>
      <c r="W336" s="268">
        <f t="shared" ref="W336:AE336" si="221">W328</f>
        <v>5548370619.0299988</v>
      </c>
      <c r="X336" s="268">
        <f t="shared" si="221"/>
        <v>5548370.6157699991</v>
      </c>
      <c r="Y336" s="268">
        <f t="shared" si="221"/>
        <v>5548370.6215299983</v>
      </c>
      <c r="Z336" s="268">
        <f t="shared" si="221"/>
        <v>5049951.0622499995</v>
      </c>
      <c r="AA336" s="268">
        <f t="shared" si="221"/>
        <v>368661.52492</v>
      </c>
      <c r="AB336" s="268">
        <f t="shared" si="221"/>
        <v>129758.03865000002</v>
      </c>
      <c r="AC336" s="268">
        <f t="shared" si="221"/>
        <v>4711581.1991699366</v>
      </c>
      <c r="AD336" s="268">
        <f t="shared" si="221"/>
        <v>13960814.675308185</v>
      </c>
      <c r="AE336" s="268">
        <f t="shared" si="221"/>
        <v>4352693.9044631608</v>
      </c>
      <c r="AF336" s="402">
        <f>AF328+AF332</f>
        <v>4393631.0620611589</v>
      </c>
      <c r="AG336" s="268">
        <f t="shared" ref="AG336:AK336" si="222">AG328+AG332</f>
        <v>4900044.4411169775</v>
      </c>
      <c r="AH336" s="268">
        <f t="shared" si="222"/>
        <v>9573779.5955581684</v>
      </c>
      <c r="AI336" s="268"/>
      <c r="AJ336" s="268">
        <f t="shared" si="222"/>
        <v>4673735.1544411909</v>
      </c>
      <c r="AK336" s="268">
        <f t="shared" si="222"/>
        <v>9255186.7681133151</v>
      </c>
    </row>
    <row r="337" spans="1:37" ht="25.95" customHeight="1">
      <c r="A337" s="258"/>
      <c r="B337" s="259"/>
      <c r="C337" s="260"/>
      <c r="D337" s="260"/>
      <c r="E337" s="261"/>
      <c r="F337" s="409"/>
      <c r="G337" s="217"/>
      <c r="H337" s="402"/>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c r="AG337" s="402"/>
      <c r="AH337" s="402"/>
      <c r="AI337" s="402"/>
      <c r="AJ337" s="402">
        <f t="shared" si="203"/>
        <v>0</v>
      </c>
      <c r="AK337" s="402"/>
    </row>
    <row r="338" spans="1:37" ht="12.75" hidden="1" customHeight="1">
      <c r="B338" s="1324" t="s">
        <v>1457</v>
      </c>
      <c r="C338" s="1325"/>
      <c r="D338" s="1325"/>
      <c r="E338" s="1326"/>
      <c r="F338" s="271"/>
      <c r="G338" s="271"/>
      <c r="H338" s="271"/>
      <c r="I338" s="271"/>
      <c r="J338" s="271"/>
      <c r="K338" s="271"/>
      <c r="L338" s="271"/>
      <c r="M338" s="272"/>
      <c r="N338" s="272"/>
      <c r="O338" s="272"/>
      <c r="P338" s="272"/>
      <c r="Q338" s="273"/>
      <c r="R338" s="272"/>
      <c r="S338" s="274"/>
      <c r="T338" s="274"/>
      <c r="U338" s="274"/>
      <c r="V338" s="272"/>
      <c r="W338" s="272"/>
      <c r="X338" s="272"/>
      <c r="Y338" s="272"/>
      <c r="Z338" s="272"/>
      <c r="AA338" s="272"/>
      <c r="AB338" s="272"/>
      <c r="AC338" s="272"/>
      <c r="AD338" s="272"/>
      <c r="AE338" s="272"/>
      <c r="AF338" s="272"/>
      <c r="AG338" s="272"/>
      <c r="AH338" s="272"/>
      <c r="AI338" s="272"/>
      <c r="AJ338" s="272">
        <f t="shared" si="203"/>
        <v>0</v>
      </c>
      <c r="AK338" s="272"/>
    </row>
    <row r="339" spans="1:37" ht="24.75" hidden="1" customHeight="1" outlineLevel="1">
      <c r="B339" s="1021"/>
      <c r="C339" s="277"/>
      <c r="D339" s="277"/>
      <c r="E339" s="1022"/>
      <c r="F339" s="1022"/>
      <c r="G339" s="1023"/>
      <c r="H339" s="1023"/>
      <c r="I339" s="1023"/>
      <c r="J339" s="1023"/>
      <c r="K339" s="280"/>
      <c r="L339" s="281"/>
      <c r="M339" s="281"/>
      <c r="N339" s="281"/>
      <c r="O339" s="281"/>
      <c r="P339" s="281"/>
      <c r="Q339" s="281"/>
      <c r="R339" s="281"/>
      <c r="S339" s="281"/>
      <c r="T339" s="281"/>
      <c r="U339" s="281"/>
      <c r="V339" s="283"/>
      <c r="W339" s="283"/>
      <c r="X339" s="283"/>
      <c r="Y339" s="283"/>
      <c r="Z339" s="283"/>
      <c r="AA339" s="283"/>
      <c r="AB339" s="283"/>
      <c r="AC339" s="283"/>
      <c r="AD339" s="283"/>
      <c r="AE339" s="283"/>
      <c r="AF339" s="283"/>
      <c r="AG339" s="281"/>
      <c r="AH339" s="281"/>
      <c r="AI339" s="281"/>
      <c r="AJ339" s="281">
        <f t="shared" si="203"/>
        <v>0</v>
      </c>
      <c r="AK339" s="281"/>
    </row>
    <row r="340" spans="1:37" s="214" customFormat="1" ht="43.95" customHeight="1" collapsed="1">
      <c r="A340" s="211"/>
      <c r="B340" s="168"/>
      <c r="C340" s="249"/>
      <c r="D340" s="249"/>
      <c r="E340" s="284" t="s">
        <v>1458</v>
      </c>
      <c r="F340" s="284" t="s">
        <v>1458</v>
      </c>
      <c r="G340" s="213" t="s">
        <v>1451</v>
      </c>
      <c r="H340" s="168">
        <f t="shared" ref="H340:W340" si="223">H341+H342</f>
        <v>4340195.5466777198</v>
      </c>
      <c r="I340" s="168">
        <f t="shared" si="223"/>
        <v>4524715.3847899996</v>
      </c>
      <c r="J340" s="168">
        <f t="shared" si="223"/>
        <v>3846933.5668177148</v>
      </c>
      <c r="K340" s="168">
        <f t="shared" si="223"/>
        <v>4080432.8733762484</v>
      </c>
      <c r="L340" s="168">
        <f t="shared" si="223"/>
        <v>4552809.5886550127</v>
      </c>
      <c r="M340" s="168">
        <f t="shared" si="223"/>
        <v>3949467.0261025</v>
      </c>
      <c r="N340" s="168">
        <f t="shared" si="223"/>
        <v>3653826.9941067374</v>
      </c>
      <c r="O340" s="168">
        <f t="shared" si="223"/>
        <v>5167898.7823200021</v>
      </c>
      <c r="P340" s="168">
        <f t="shared" si="223"/>
        <v>4685555.3686300013</v>
      </c>
      <c r="Q340" s="168">
        <f t="shared" si="223"/>
        <v>4230752.0730500324</v>
      </c>
      <c r="R340" s="168">
        <f t="shared" si="223"/>
        <v>4233888.3025800325</v>
      </c>
      <c r="S340" s="168">
        <f t="shared" si="223"/>
        <v>4119204.6253925329</v>
      </c>
      <c r="T340" s="168">
        <f>S340-N340</f>
        <v>465377.63128579548</v>
      </c>
      <c r="U340" s="168">
        <f t="shared" si="200"/>
        <v>-566350.74323746841</v>
      </c>
      <c r="V340" s="168">
        <f>V341+V342</f>
        <v>4163549.8459992204</v>
      </c>
      <c r="W340" s="168">
        <f t="shared" si="223"/>
        <v>5548370619.0299988</v>
      </c>
      <c r="X340" s="168">
        <f>X341+X342</f>
        <v>5548370.6157699991</v>
      </c>
      <c r="Y340" s="168">
        <f t="shared" ref="Y340:AK340" si="224">Y341+Y342</f>
        <v>5548370.6215299983</v>
      </c>
      <c r="Z340" s="168">
        <f t="shared" si="224"/>
        <v>5049951.0622499995</v>
      </c>
      <c r="AA340" s="168">
        <f t="shared" si="224"/>
        <v>368661.52492</v>
      </c>
      <c r="AB340" s="168">
        <f t="shared" si="224"/>
        <v>129758.03865000002</v>
      </c>
      <c r="AC340" s="168">
        <f t="shared" si="224"/>
        <v>4378127.9997136146</v>
      </c>
      <c r="AD340" s="168">
        <f t="shared" si="224"/>
        <v>8619327.0253081843</v>
      </c>
      <c r="AE340" s="168">
        <f t="shared" si="224"/>
        <v>4352693.9044631608</v>
      </c>
      <c r="AF340" s="168">
        <f t="shared" si="224"/>
        <v>4387899.889276159</v>
      </c>
      <c r="AG340" s="168">
        <f t="shared" si="224"/>
        <v>4553253.1236824039</v>
      </c>
      <c r="AH340" s="168">
        <f t="shared" si="224"/>
        <v>9573779.5955581684</v>
      </c>
      <c r="AI340" s="168"/>
      <c r="AJ340" s="168">
        <f t="shared" si="224"/>
        <v>5020526.4718757644</v>
      </c>
      <c r="AK340" s="168">
        <f t="shared" si="224"/>
        <v>9255186.7681133151</v>
      </c>
    </row>
    <row r="341" spans="1:37" ht="25.95" customHeight="1">
      <c r="A341" s="139"/>
      <c r="B341" s="406"/>
      <c r="C341" s="177"/>
      <c r="D341" s="177"/>
      <c r="E341" s="409" t="s">
        <v>1452</v>
      </c>
      <c r="F341" s="409" t="s">
        <v>1452</v>
      </c>
      <c r="G341" s="217" t="s">
        <v>1451</v>
      </c>
      <c r="H341" s="402">
        <f t="shared" ref="H341:S341" si="225">H247</f>
        <v>1612170.9103215688</v>
      </c>
      <c r="I341" s="402">
        <f t="shared" si="225"/>
        <v>1943860.97095</v>
      </c>
      <c r="J341" s="402">
        <f t="shared" si="225"/>
        <v>1602820.2280177155</v>
      </c>
      <c r="K341" s="402">
        <f t="shared" si="225"/>
        <v>1768857.1430750673</v>
      </c>
      <c r="L341" s="402">
        <f t="shared" si="225"/>
        <v>2059211.8763689999</v>
      </c>
      <c r="M341" s="402">
        <f t="shared" si="225"/>
        <v>1749169.1986700001</v>
      </c>
      <c r="N341" s="402">
        <f t="shared" si="225"/>
        <v>1655457.4148923224</v>
      </c>
      <c r="O341" s="402">
        <f t="shared" si="225"/>
        <v>2252764.3344800002</v>
      </c>
      <c r="P341" s="402">
        <f t="shared" si="225"/>
        <v>2161665.4932500003</v>
      </c>
      <c r="Q341" s="402">
        <f t="shared" si="225"/>
        <v>2117678.8413225324</v>
      </c>
      <c r="R341" s="402">
        <f t="shared" si="225"/>
        <v>2120815.0690725325</v>
      </c>
      <c r="S341" s="402">
        <f t="shared" si="225"/>
        <v>2016701.8244825325</v>
      </c>
      <c r="T341" s="402">
        <f t="shared" ref="T341:T345" si="226">S341-N341</f>
        <v>361244.40959021007</v>
      </c>
      <c r="U341" s="402">
        <f t="shared" si="200"/>
        <v>-144963.66876746784</v>
      </c>
      <c r="V341" s="402">
        <f>V247</f>
        <v>1788344.6121256349</v>
      </c>
      <c r="W341" s="402">
        <f>W247</f>
        <v>2501011612.9129996</v>
      </c>
      <c r="X341" s="402">
        <f>X247</f>
        <v>2501011.6096530003</v>
      </c>
      <c r="Y341" s="402">
        <f t="shared" ref="Y341:AK341" si="227">Y247</f>
        <v>2501011.6161099998</v>
      </c>
      <c r="Z341" s="402">
        <f t="shared" si="227"/>
        <v>2396659.0879199998</v>
      </c>
      <c r="AA341" s="402">
        <f t="shared" si="227"/>
        <v>75357.000760000024</v>
      </c>
      <c r="AB341" s="402">
        <f t="shared" si="227"/>
        <v>28995.531719999995</v>
      </c>
      <c r="AC341" s="402">
        <f t="shared" si="227"/>
        <v>1868820.1185480736</v>
      </c>
      <c r="AD341" s="402">
        <f t="shared" si="227"/>
        <v>4313752.224070536</v>
      </c>
      <c r="AE341" s="402">
        <f t="shared" si="227"/>
        <v>1854248.2573478469</v>
      </c>
      <c r="AF341" s="402">
        <f t="shared" si="227"/>
        <v>1854248.2573478469</v>
      </c>
      <c r="AG341" s="402">
        <f t="shared" si="227"/>
        <v>1943572.9273249917</v>
      </c>
      <c r="AH341" s="402">
        <f t="shared" si="227"/>
        <v>4963470.6349882791</v>
      </c>
      <c r="AI341" s="402"/>
      <c r="AJ341" s="402">
        <f t="shared" si="203"/>
        <v>3019897.7076632874</v>
      </c>
      <c r="AK341" s="402">
        <f t="shared" si="227"/>
        <v>4797253.5527352802</v>
      </c>
    </row>
    <row r="342" spans="1:37" ht="21" customHeight="1">
      <c r="A342" s="139"/>
      <c r="B342" s="406"/>
      <c r="C342" s="177"/>
      <c r="D342" s="177"/>
      <c r="E342" s="409" t="s">
        <v>1453</v>
      </c>
      <c r="F342" s="409" t="s">
        <v>1453</v>
      </c>
      <c r="G342" s="217" t="s">
        <v>1451</v>
      </c>
      <c r="H342" s="402">
        <f>H327</f>
        <v>2728024.6363561507</v>
      </c>
      <c r="I342" s="402">
        <f t="shared" ref="I342:J342" si="228">I327</f>
        <v>2580854.4138399996</v>
      </c>
      <c r="J342" s="402">
        <f t="shared" si="228"/>
        <v>2244113.3387999996</v>
      </c>
      <c r="K342" s="402">
        <f>K327</f>
        <v>2311575.7303011813</v>
      </c>
      <c r="L342" s="402">
        <f>L327</f>
        <v>2493597.7122860127</v>
      </c>
      <c r="M342" s="402">
        <f>M327</f>
        <v>2200297.8274325002</v>
      </c>
      <c r="N342" s="402">
        <f>N327</f>
        <v>1998369.579214415</v>
      </c>
      <c r="O342" s="402">
        <f t="shared" ref="O342:AF342" si="229">O327</f>
        <v>2915134.4478400019</v>
      </c>
      <c r="P342" s="402">
        <f t="shared" si="229"/>
        <v>2523889.875380001</v>
      </c>
      <c r="Q342" s="402">
        <f t="shared" si="229"/>
        <v>2113073.2317275</v>
      </c>
      <c r="R342" s="402">
        <f t="shared" si="229"/>
        <v>2113073.2335075</v>
      </c>
      <c r="S342" s="402">
        <f t="shared" si="229"/>
        <v>2102502.8009100002</v>
      </c>
      <c r="T342" s="402">
        <f t="shared" si="226"/>
        <v>104133.22169558518</v>
      </c>
      <c r="U342" s="402">
        <f t="shared" si="200"/>
        <v>-421387.07447000081</v>
      </c>
      <c r="V342" s="402">
        <f t="shared" si="229"/>
        <v>2375205.2338735852</v>
      </c>
      <c r="W342" s="402">
        <f t="shared" si="229"/>
        <v>3047359006.1169991</v>
      </c>
      <c r="X342" s="402">
        <f t="shared" si="229"/>
        <v>3047359.0061169993</v>
      </c>
      <c r="Y342" s="402">
        <f t="shared" si="229"/>
        <v>3047359.0054199984</v>
      </c>
      <c r="Z342" s="402">
        <f t="shared" si="229"/>
        <v>2653291.9743299992</v>
      </c>
      <c r="AA342" s="402">
        <f t="shared" si="229"/>
        <v>293304.52415999997</v>
      </c>
      <c r="AB342" s="402">
        <f t="shared" si="229"/>
        <v>100762.50693000002</v>
      </c>
      <c r="AC342" s="402">
        <f t="shared" si="229"/>
        <v>2509307.8811655412</v>
      </c>
      <c r="AD342" s="402">
        <f t="shared" si="229"/>
        <v>4305574.8012376484</v>
      </c>
      <c r="AE342" s="402">
        <f t="shared" si="229"/>
        <v>2498445.6471153144</v>
      </c>
      <c r="AF342" s="402">
        <f t="shared" si="229"/>
        <v>2533651.6319283121</v>
      </c>
      <c r="AG342" s="402">
        <f>AG327</f>
        <v>2609680.1963574118</v>
      </c>
      <c r="AH342" s="402">
        <f t="shared" ref="AH342:AK342" si="230">AH327</f>
        <v>4610308.9605698893</v>
      </c>
      <c r="AI342" s="402"/>
      <c r="AJ342" s="402">
        <f t="shared" si="203"/>
        <v>2000628.7642124775</v>
      </c>
      <c r="AK342" s="402">
        <f t="shared" si="230"/>
        <v>4457933.2153780358</v>
      </c>
    </row>
    <row r="343" spans="1:37" s="214" customFormat="1" ht="66.75" customHeight="1" collapsed="1">
      <c r="A343" s="211"/>
      <c r="B343" s="168"/>
      <c r="C343" s="249"/>
      <c r="D343" s="249"/>
      <c r="E343" s="284" t="s">
        <v>1459</v>
      </c>
      <c r="F343" s="284" t="s">
        <v>1459</v>
      </c>
      <c r="G343" s="213" t="s">
        <v>1451</v>
      </c>
      <c r="H343" s="168">
        <f t="shared" ref="H343" si="231">H344+H345</f>
        <v>4013366.0766777201</v>
      </c>
      <c r="I343" s="168">
        <f>I344+I345</f>
        <v>4430224.3847899996</v>
      </c>
      <c r="J343" s="168">
        <f t="shared" ref="J343" si="232">J344+J345</f>
        <v>3846933.5668177148</v>
      </c>
      <c r="K343" s="168">
        <f>K344+K345</f>
        <v>3665802.9541833797</v>
      </c>
      <c r="L343" s="168">
        <f>L344+L345</f>
        <v>4471289.658655012</v>
      </c>
      <c r="M343" s="168">
        <f t="shared" ref="M343:AK343" si="233">M344+M345</f>
        <v>3949467.0261025</v>
      </c>
      <c r="N343" s="168">
        <f t="shared" si="233"/>
        <v>3589630.2141067376</v>
      </c>
      <c r="O343" s="168">
        <f t="shared" si="233"/>
        <v>4905585.5022900002</v>
      </c>
      <c r="P343" s="168">
        <f t="shared" si="233"/>
        <v>4583818.5855</v>
      </c>
      <c r="Q343" s="168">
        <f t="shared" si="233"/>
        <v>4166555.2930500321</v>
      </c>
      <c r="R343" s="168">
        <f t="shared" si="233"/>
        <v>4169691.5225800322</v>
      </c>
      <c r="S343" s="168">
        <f t="shared" si="233"/>
        <v>4055007.8453925326</v>
      </c>
      <c r="T343" s="168">
        <f t="shared" si="226"/>
        <v>465377.63128579501</v>
      </c>
      <c r="U343" s="168">
        <f t="shared" si="200"/>
        <v>-528810.7401074674</v>
      </c>
      <c r="V343" s="168">
        <f t="shared" si="233"/>
        <v>3826951.2102798121</v>
      </c>
      <c r="W343" s="168">
        <f t="shared" si="233"/>
        <v>5451388843.1429996</v>
      </c>
      <c r="X343" s="168">
        <f t="shared" si="233"/>
        <v>5451388.8398830006</v>
      </c>
      <c r="Y343" s="168">
        <f t="shared" si="233"/>
        <v>5317356.2229522746</v>
      </c>
      <c r="Z343" s="168">
        <f t="shared" si="233"/>
        <v>5111224.488052275</v>
      </c>
      <c r="AA343" s="168">
        <f t="shared" si="233"/>
        <v>142553.62436000005</v>
      </c>
      <c r="AB343" s="168">
        <f t="shared" si="233"/>
        <v>63578.114829999991</v>
      </c>
      <c r="AC343" s="168">
        <f t="shared" si="233"/>
        <v>4023542.2432527179</v>
      </c>
      <c r="AD343" s="168">
        <f t="shared" si="233"/>
        <v>7843570.7871692125</v>
      </c>
      <c r="AE343" s="168">
        <f t="shared" si="233"/>
        <v>3996712.6891071624</v>
      </c>
      <c r="AF343" s="168">
        <f t="shared" si="233"/>
        <v>4028324.9902798957</v>
      </c>
      <c r="AG343" s="168">
        <f t="shared" si="233"/>
        <v>4184483.9370068708</v>
      </c>
      <c r="AH343" s="168">
        <f t="shared" si="233"/>
        <v>8742514.723021673</v>
      </c>
      <c r="AI343" s="168"/>
      <c r="AJ343" s="168">
        <f t="shared" si="233"/>
        <v>4558030.7860148028</v>
      </c>
      <c r="AK343" s="168">
        <f t="shared" si="233"/>
        <v>8482266.4010471813</v>
      </c>
    </row>
    <row r="344" spans="1:37" ht="25.95" customHeight="1">
      <c r="A344" s="139"/>
      <c r="B344" s="406"/>
      <c r="C344" s="177"/>
      <c r="D344" s="177"/>
      <c r="E344" s="409" t="s">
        <v>1452</v>
      </c>
      <c r="F344" s="409" t="s">
        <v>1452</v>
      </c>
      <c r="G344" s="217" t="s">
        <v>1451</v>
      </c>
      <c r="H344" s="402">
        <f t="shared" ref="H344:S344" si="234">H247</f>
        <v>1612170.9103215688</v>
      </c>
      <c r="I344" s="402">
        <f t="shared" si="234"/>
        <v>1943860.97095</v>
      </c>
      <c r="J344" s="402">
        <f t="shared" si="234"/>
        <v>1602820.2280177155</v>
      </c>
      <c r="K344" s="402">
        <f t="shared" si="234"/>
        <v>1768857.1430750673</v>
      </c>
      <c r="L344" s="402">
        <f t="shared" si="234"/>
        <v>2059211.8763689999</v>
      </c>
      <c r="M344" s="402">
        <f t="shared" si="234"/>
        <v>1749169.1986700001</v>
      </c>
      <c r="N344" s="402">
        <f t="shared" si="234"/>
        <v>1655457.4148923224</v>
      </c>
      <c r="O344" s="402">
        <f t="shared" si="234"/>
        <v>2252764.3344800002</v>
      </c>
      <c r="P344" s="402">
        <f t="shared" si="234"/>
        <v>2161665.4932500003</v>
      </c>
      <c r="Q344" s="402">
        <f t="shared" si="234"/>
        <v>2117678.8413225324</v>
      </c>
      <c r="R344" s="402">
        <f t="shared" si="234"/>
        <v>2120815.0690725325</v>
      </c>
      <c r="S344" s="402">
        <f t="shared" si="234"/>
        <v>2016701.8244825325</v>
      </c>
      <c r="T344" s="402">
        <f t="shared" si="226"/>
        <v>361244.40959021007</v>
      </c>
      <c r="U344" s="402">
        <f t="shared" si="200"/>
        <v>-144963.66876746784</v>
      </c>
      <c r="V344" s="402">
        <f>V247</f>
        <v>1788344.6121256349</v>
      </c>
      <c r="W344" s="402">
        <f>W247</f>
        <v>2501011612.9129996</v>
      </c>
      <c r="X344" s="402">
        <f>X247</f>
        <v>2501011.6096530003</v>
      </c>
      <c r="Y344" s="402">
        <f t="shared" ref="Y344:AK344" si="235">Y247</f>
        <v>2501011.6161099998</v>
      </c>
      <c r="Z344" s="402">
        <f t="shared" si="235"/>
        <v>2396659.0879199998</v>
      </c>
      <c r="AA344" s="402">
        <f t="shared" si="235"/>
        <v>75357.000760000024</v>
      </c>
      <c r="AB344" s="402">
        <f t="shared" si="235"/>
        <v>28995.531719999995</v>
      </c>
      <c r="AC344" s="402">
        <f t="shared" si="235"/>
        <v>1868820.1185480736</v>
      </c>
      <c r="AD344" s="953">
        <f t="shared" si="235"/>
        <v>4313752.224070536</v>
      </c>
      <c r="AE344" s="402">
        <f t="shared" si="235"/>
        <v>1854248.2573478469</v>
      </c>
      <c r="AF344" s="402">
        <f t="shared" si="235"/>
        <v>1854248.2573478469</v>
      </c>
      <c r="AG344" s="402">
        <f t="shared" si="235"/>
        <v>1943572.9273249917</v>
      </c>
      <c r="AH344" s="402">
        <f t="shared" si="235"/>
        <v>4963470.6349882791</v>
      </c>
      <c r="AI344" s="402"/>
      <c r="AJ344" s="402">
        <f t="shared" si="203"/>
        <v>3019897.7076632874</v>
      </c>
      <c r="AK344" s="402">
        <f t="shared" si="235"/>
        <v>4797253.5527352802</v>
      </c>
    </row>
    <row r="345" spans="1:37" ht="22.95" customHeight="1">
      <c r="A345" s="139"/>
      <c r="B345" s="406"/>
      <c r="C345" s="177"/>
      <c r="D345" s="177"/>
      <c r="E345" s="409" t="s">
        <v>1453</v>
      </c>
      <c r="F345" s="409" t="s">
        <v>1453</v>
      </c>
      <c r="G345" s="217" t="s">
        <v>1451</v>
      </c>
      <c r="H345" s="402">
        <f t="shared" ref="H345:S345" si="236">H324-H276-H277</f>
        <v>2401195.166356151</v>
      </c>
      <c r="I345" s="402">
        <f t="shared" si="236"/>
        <v>2486363.4138399996</v>
      </c>
      <c r="J345" s="402">
        <f t="shared" si="236"/>
        <v>2244113.3387999996</v>
      </c>
      <c r="K345" s="402">
        <f t="shared" si="236"/>
        <v>1896945.8111083123</v>
      </c>
      <c r="L345" s="402">
        <f t="shared" si="236"/>
        <v>2412077.7822860125</v>
      </c>
      <c r="M345" s="402">
        <f t="shared" si="236"/>
        <v>2200297.8274325002</v>
      </c>
      <c r="N345" s="402">
        <f t="shared" si="236"/>
        <v>1934172.799214415</v>
      </c>
      <c r="O345" s="402">
        <f t="shared" si="236"/>
        <v>2652821.16781</v>
      </c>
      <c r="P345" s="402">
        <f t="shared" si="236"/>
        <v>2422153.0922500002</v>
      </c>
      <c r="Q345" s="402">
        <f t="shared" si="236"/>
        <v>2048876.4517275</v>
      </c>
      <c r="R345" s="402">
        <f t="shared" si="236"/>
        <v>2048876.4535075</v>
      </c>
      <c r="S345" s="402">
        <f t="shared" si="236"/>
        <v>2038306.0209100002</v>
      </c>
      <c r="T345" s="402">
        <f t="shared" si="226"/>
        <v>104133.22169558518</v>
      </c>
      <c r="U345" s="402">
        <f t="shared" si="200"/>
        <v>-383847.07134000002</v>
      </c>
      <c r="V345" s="402">
        <f>V324-V276-V277</f>
        <v>2038606.5981541772</v>
      </c>
      <c r="W345" s="402">
        <f>W324-W276-W277</f>
        <v>2950377230.23</v>
      </c>
      <c r="X345" s="402">
        <f>X324-X276-X277</f>
        <v>2950377.2302300003</v>
      </c>
      <c r="Y345" s="402">
        <f t="shared" ref="Y345:AK345" si="237">Y324-Y276-Y277</f>
        <v>2816344.6068422752</v>
      </c>
      <c r="Z345" s="402">
        <f t="shared" si="237"/>
        <v>2714565.4001322752</v>
      </c>
      <c r="AA345" s="402">
        <f t="shared" si="237"/>
        <v>67196.623600000021</v>
      </c>
      <c r="AB345" s="402">
        <f t="shared" si="237"/>
        <v>34582.583109999992</v>
      </c>
      <c r="AC345" s="402">
        <f t="shared" si="237"/>
        <v>2154722.1247046441</v>
      </c>
      <c r="AD345" s="402">
        <f t="shared" si="237"/>
        <v>3529818.5630986765</v>
      </c>
      <c r="AE345" s="402">
        <f t="shared" si="237"/>
        <v>2142464.4317593155</v>
      </c>
      <c r="AF345" s="402">
        <f t="shared" si="237"/>
        <v>2174076.7329320488</v>
      </c>
      <c r="AG345" s="402">
        <f t="shared" si="237"/>
        <v>2240911.0096818791</v>
      </c>
      <c r="AH345" s="402">
        <f t="shared" si="237"/>
        <v>3779044.088033394</v>
      </c>
      <c r="AI345" s="402"/>
      <c r="AJ345" s="402">
        <f t="shared" si="203"/>
        <v>1538133.0783515149</v>
      </c>
      <c r="AK345" s="402">
        <f t="shared" si="237"/>
        <v>3685012.8483119002</v>
      </c>
    </row>
    <row r="346" spans="1:37" ht="33" hidden="1" customHeight="1" outlineLevel="1">
      <c r="A346" s="285"/>
      <c r="B346" s="286"/>
      <c r="C346" s="287"/>
      <c r="D346" s="287"/>
      <c r="E346" s="287" t="s">
        <v>1460</v>
      </c>
      <c r="F346" s="288"/>
      <c r="G346" s="289"/>
      <c r="H346" s="290">
        <f t="shared" ref="H346:S346" si="238">H29+H95+H113+H129-H202-H203-H204-H205+H246+H248+H249+H250+H263+H279+H280</f>
        <v>3750327.9354799693</v>
      </c>
      <c r="I346" s="290">
        <f t="shared" si="238"/>
        <v>3729222.3847899996</v>
      </c>
      <c r="J346" s="290">
        <f t="shared" si="238"/>
        <v>3622202.3768177154</v>
      </c>
      <c r="K346" s="290">
        <f t="shared" si="238"/>
        <v>3360270.9382638289</v>
      </c>
      <c r="L346" s="290">
        <f t="shared" si="238"/>
        <v>3828852.9561360129</v>
      </c>
      <c r="M346" s="290">
        <f t="shared" si="238"/>
        <v>3756427.1488900003</v>
      </c>
      <c r="N346" s="290">
        <f t="shared" si="238"/>
        <v>3366322.6399237332</v>
      </c>
      <c r="O346" s="290">
        <f t="shared" si="238"/>
        <v>3793847.75538</v>
      </c>
      <c r="P346" s="290">
        <f t="shared" si="238"/>
        <v>3690864.4627100006</v>
      </c>
      <c r="Q346" s="290">
        <f t="shared" si="238"/>
        <v>3646820.4260425325</v>
      </c>
      <c r="R346" s="290">
        <f t="shared" si="238"/>
        <v>3649956.6555725327</v>
      </c>
      <c r="S346" s="290">
        <f t="shared" si="238"/>
        <v>3630700.3747625328</v>
      </c>
      <c r="T346" s="290"/>
      <c r="U346" s="290"/>
      <c r="V346" s="290">
        <f>V29+V95+V113+V129-V202-V203-V204-V205+V246+V248+V249+V250+V263+V279+V280</f>
        <v>3538623.1442499598</v>
      </c>
      <c r="W346" s="290">
        <f>W29+W95+W113+W129-W202-W203-W204-W205+W246+W248+W249+W250+W263+W279+W280</f>
        <v>3812346771.723</v>
      </c>
      <c r="X346" s="290">
        <f>X29+X95+X113+X129-X202-X203-X204-X205+X246+X248+X249+X250+X263+X279+X280</f>
        <v>3812346.7684630002</v>
      </c>
      <c r="Y346" s="290">
        <f t="shared" ref="Y346:Z346" si="239">Y29+Y95+Y113+Y129-Y202-Y203-Y204-Y205+Y246+Y248+Y249+Y250+Y263+Y279+Y280</f>
        <v>3812346.7749199998</v>
      </c>
      <c r="Z346" s="290">
        <f t="shared" si="239"/>
        <v>3706938.2051700004</v>
      </c>
      <c r="AA346" s="290"/>
      <c r="AB346" s="290"/>
      <c r="AC346" s="290">
        <f t="shared" ref="AC346:AG346" si="240">AC29+AC95+AC113+AC129-AC202-AC203-AC204-AC205+AC246+AC248+AC249+AC250+AC263+AC279+AC280</f>
        <v>3721529.3687179936</v>
      </c>
      <c r="AD346" s="290">
        <f t="shared" si="240"/>
        <v>6393937.4349269709</v>
      </c>
      <c r="AE346" s="290">
        <f t="shared" si="240"/>
        <v>3696014.6446519508</v>
      </c>
      <c r="AF346" s="290">
        <f t="shared" si="240"/>
        <v>3726728.5249146181</v>
      </c>
      <c r="AG346" s="290">
        <f t="shared" si="240"/>
        <v>3870390.5475017079</v>
      </c>
      <c r="AH346" s="290"/>
      <c r="AI346" s="290"/>
      <c r="AJ346" s="290">
        <f t="shared" si="203"/>
        <v>-3870390.5475017079</v>
      </c>
      <c r="AK346" s="290"/>
    </row>
    <row r="347" spans="1:37" ht="33" hidden="1" customHeight="1" outlineLevel="1">
      <c r="A347" s="285"/>
      <c r="B347" s="286"/>
      <c r="C347" s="287"/>
      <c r="D347" s="287"/>
      <c r="E347" s="287"/>
      <c r="F347" s="288"/>
      <c r="G347" s="289"/>
      <c r="H347" s="290"/>
      <c r="I347" s="290"/>
      <c r="J347" s="290"/>
      <c r="K347" s="290"/>
      <c r="L347" s="290"/>
      <c r="M347" s="290"/>
      <c r="N347" s="290">
        <f>'[72]3. НВВ '!M234</f>
        <v>3366322.6399237323</v>
      </c>
      <c r="O347" s="290">
        <f>'[72]3. НВВ '!N234</f>
        <v>3793845.75538</v>
      </c>
      <c r="P347" s="290">
        <f>'[72]3. НВВ '!O234</f>
        <v>3690864.4627100006</v>
      </c>
      <c r="Q347" s="290">
        <f>'[72]3. НВВ '!P234</f>
        <v>3646820.4260425325</v>
      </c>
      <c r="R347" s="290">
        <f>'[72]3. НВВ '!Q234</f>
        <v>3649956.6555725327</v>
      </c>
      <c r="S347" s="290">
        <f>'[72]3. НВВ '!R234</f>
        <v>3630700.3747625328</v>
      </c>
      <c r="T347" s="290"/>
      <c r="U347" s="290"/>
      <c r="V347" s="290"/>
      <c r="W347" s="290"/>
      <c r="X347" s="290"/>
      <c r="Y347" s="290"/>
      <c r="Z347" s="290"/>
      <c r="AA347" s="290"/>
      <c r="AB347" s="290"/>
      <c r="AC347" s="290"/>
      <c r="AD347" s="290"/>
      <c r="AG347" s="290"/>
      <c r="AH347" s="290"/>
      <c r="AI347" s="290"/>
      <c r="AJ347" s="290">
        <f t="shared" si="203"/>
        <v>0</v>
      </c>
      <c r="AK347" s="290"/>
    </row>
    <row r="348" spans="1:37" ht="29.25" customHeight="1" collapsed="1" thickBot="1">
      <c r="A348" s="285"/>
      <c r="B348" s="1309" t="s">
        <v>1461</v>
      </c>
      <c r="C348" s="1309"/>
      <c r="D348" s="1309"/>
      <c r="E348" s="1309"/>
      <c r="F348" s="1309"/>
      <c r="G348" s="1309"/>
      <c r="H348" s="1309"/>
      <c r="I348" s="1309"/>
      <c r="J348" s="1309"/>
      <c r="K348" s="1309"/>
      <c r="L348" s="1309"/>
      <c r="M348" s="1309"/>
      <c r="N348" s="1309"/>
      <c r="O348" s="1309"/>
      <c r="P348" s="1309"/>
      <c r="Q348" s="1309"/>
      <c r="R348" s="1309"/>
      <c r="S348" s="1309"/>
      <c r="T348" s="1309"/>
      <c r="U348" s="1309"/>
      <c r="V348" s="1309"/>
      <c r="W348" s="1309"/>
      <c r="X348" s="1309"/>
      <c r="Y348" s="1309"/>
      <c r="Z348" s="1309"/>
      <c r="AA348" s="1309"/>
      <c r="AB348" s="1309"/>
      <c r="AC348" s="1309"/>
      <c r="AD348" s="1309"/>
      <c r="AE348" s="1309"/>
      <c r="AF348" s="401"/>
    </row>
    <row r="349" spans="1:37" ht="33" customHeight="1">
      <c r="A349" s="258"/>
      <c r="B349" s="292" t="s">
        <v>1</v>
      </c>
      <c r="C349" s="293"/>
      <c r="D349" s="293"/>
      <c r="E349" s="294" t="s">
        <v>1462</v>
      </c>
      <c r="F349" s="294" t="s">
        <v>1462</v>
      </c>
      <c r="G349" s="295" t="s">
        <v>1451</v>
      </c>
      <c r="H349" s="295"/>
      <c r="I349" s="295"/>
      <c r="J349" s="295"/>
      <c r="K349" s="296">
        <f>K248</f>
        <v>266480.56591900397</v>
      </c>
      <c r="L349" s="296">
        <f>L248</f>
        <v>252116.268376013</v>
      </c>
      <c r="M349" s="296">
        <f>M248</f>
        <v>252116.27</v>
      </c>
      <c r="N349" s="296">
        <f t="shared" ref="N349:Z349" si="241">N249</f>
        <v>206057.33</v>
      </c>
      <c r="O349" s="296">
        <f t="shared" si="241"/>
        <v>321828.63365999999</v>
      </c>
      <c r="P349" s="296">
        <f t="shared" si="241"/>
        <v>320542.03473999997</v>
      </c>
      <c r="Q349" s="296">
        <f t="shared" si="241"/>
        <v>320484.65000000002</v>
      </c>
      <c r="R349" s="296">
        <f t="shared" si="241"/>
        <v>320484.65000000002</v>
      </c>
      <c r="S349" s="296">
        <f t="shared" si="241"/>
        <v>320484.65000000002</v>
      </c>
      <c r="T349" s="296">
        <f t="shared" si="241"/>
        <v>114427.32000000004</v>
      </c>
      <c r="U349" s="296">
        <f t="shared" si="241"/>
        <v>-57.384739999950398</v>
      </c>
      <c r="V349" s="296">
        <f t="shared" si="241"/>
        <v>297196.02</v>
      </c>
      <c r="W349" s="296">
        <f t="shared" si="241"/>
        <v>360665697.98000002</v>
      </c>
      <c r="X349" s="296">
        <f t="shared" si="241"/>
        <v>360665.69798</v>
      </c>
      <c r="Y349" s="296">
        <f t="shared" si="241"/>
        <v>360665.69798</v>
      </c>
      <c r="Z349" s="296">
        <f t="shared" si="241"/>
        <v>360093.47420000006</v>
      </c>
      <c r="AA349" s="296"/>
      <c r="AB349" s="296"/>
      <c r="AC349" s="296">
        <f t="shared" ref="AC349:AK349" si="242">AC249</f>
        <v>334238.02499999997</v>
      </c>
      <c r="AD349" s="296">
        <f t="shared" si="242"/>
        <v>973491.73</v>
      </c>
      <c r="AE349" s="296">
        <f t="shared" si="242"/>
        <v>356306</v>
      </c>
      <c r="AF349" s="296">
        <f t="shared" si="242"/>
        <v>356306</v>
      </c>
      <c r="AG349" s="296">
        <f t="shared" si="242"/>
        <v>347607.54599999997</v>
      </c>
      <c r="AH349" s="296">
        <f t="shared" si="242"/>
        <v>645384.33350938186</v>
      </c>
      <c r="AI349" s="296"/>
      <c r="AJ349" s="296">
        <f t="shared" si="203"/>
        <v>297776.78750938189</v>
      </c>
      <c r="AK349" s="296">
        <f t="shared" si="242"/>
        <v>645384.33350938186</v>
      </c>
    </row>
    <row r="350" spans="1:37" ht="33" customHeight="1">
      <c r="A350" s="258"/>
      <c r="B350" s="297" t="s">
        <v>6</v>
      </c>
      <c r="C350" s="177"/>
      <c r="D350" s="177"/>
      <c r="E350" s="232" t="s">
        <v>1463</v>
      </c>
      <c r="F350" s="232" t="s">
        <v>1463</v>
      </c>
      <c r="G350" s="404" t="s">
        <v>1451</v>
      </c>
      <c r="H350" s="404"/>
      <c r="I350" s="404"/>
      <c r="J350" s="404"/>
      <c r="K350" s="406">
        <f>K276</f>
        <v>450143.9</v>
      </c>
      <c r="L350" s="406">
        <f>L276</f>
        <v>0</v>
      </c>
      <c r="M350" s="406">
        <f>M276</f>
        <v>0</v>
      </c>
      <c r="N350" s="406">
        <f t="shared" ref="N350:Z350" si="243">N277</f>
        <v>64196.78</v>
      </c>
      <c r="O350" s="406">
        <f t="shared" si="243"/>
        <v>262313.280030002</v>
      </c>
      <c r="P350" s="406">
        <f t="shared" si="243"/>
        <v>101736.78313000068</v>
      </c>
      <c r="Q350" s="406">
        <f t="shared" si="243"/>
        <v>64196.78</v>
      </c>
      <c r="R350" s="406">
        <f t="shared" si="243"/>
        <v>64196.78</v>
      </c>
      <c r="S350" s="406">
        <f t="shared" si="243"/>
        <v>64196.78</v>
      </c>
      <c r="T350" s="406">
        <f t="shared" si="243"/>
        <v>0</v>
      </c>
      <c r="U350" s="406">
        <f t="shared" si="243"/>
        <v>-37540.003130000681</v>
      </c>
      <c r="V350" s="406">
        <f t="shared" si="243"/>
        <v>336598.63571940805</v>
      </c>
      <c r="W350" s="406">
        <f t="shared" si="243"/>
        <v>96981775.886998996</v>
      </c>
      <c r="X350" s="406">
        <f t="shared" si="243"/>
        <v>96981.775886998992</v>
      </c>
      <c r="Y350" s="406">
        <f t="shared" si="243"/>
        <v>231014.39857772301</v>
      </c>
      <c r="Z350" s="406">
        <f t="shared" si="243"/>
        <v>-61273.425802276135</v>
      </c>
      <c r="AA350" s="406"/>
      <c r="AB350" s="406"/>
      <c r="AC350" s="406">
        <f t="shared" ref="AC350:AK350" si="244">AC277</f>
        <v>354585.75646089728</v>
      </c>
      <c r="AD350" s="406">
        <f t="shared" si="244"/>
        <v>775756.23813897197</v>
      </c>
      <c r="AE350" s="406">
        <f t="shared" si="244"/>
        <v>355981.21535599872</v>
      </c>
      <c r="AF350" s="406">
        <f t="shared" si="244"/>
        <v>359574.89899626304</v>
      </c>
      <c r="AG350" s="406">
        <f t="shared" si="244"/>
        <v>368769.1866755326</v>
      </c>
      <c r="AH350" s="406">
        <f t="shared" si="244"/>
        <v>831264.87253649521</v>
      </c>
      <c r="AI350" s="406"/>
      <c r="AJ350" s="406">
        <f t="shared" si="203"/>
        <v>462495.68586096261</v>
      </c>
      <c r="AK350" s="406">
        <f t="shared" si="244"/>
        <v>772920.3670661354</v>
      </c>
    </row>
    <row r="351" spans="1:37">
      <c r="A351" s="258"/>
      <c r="B351" s="297"/>
      <c r="C351" s="177"/>
      <c r="D351" s="177"/>
      <c r="E351" s="298" t="s">
        <v>1464</v>
      </c>
      <c r="F351" s="142" t="s">
        <v>1464</v>
      </c>
      <c r="G351" s="217" t="s">
        <v>1451</v>
      </c>
      <c r="H351" s="217"/>
      <c r="I351" s="217"/>
      <c r="J351" s="217"/>
      <c r="K351" s="402">
        <f>K349+K350</f>
        <v>716624.46591900405</v>
      </c>
      <c r="L351" s="402">
        <f t="shared" ref="L351:S352" si="245">L349+L350</f>
        <v>252116.268376013</v>
      </c>
      <c r="M351" s="402">
        <f t="shared" si="245"/>
        <v>252116.27</v>
      </c>
      <c r="N351" s="402">
        <f t="shared" si="245"/>
        <v>270254.11</v>
      </c>
      <c r="O351" s="402">
        <f t="shared" si="245"/>
        <v>584141.91369000194</v>
      </c>
      <c r="P351" s="402">
        <f t="shared" si="245"/>
        <v>422278.81787000067</v>
      </c>
      <c r="Q351" s="402">
        <f t="shared" si="245"/>
        <v>384681.43000000005</v>
      </c>
      <c r="R351" s="402">
        <f t="shared" si="245"/>
        <v>384681.43000000005</v>
      </c>
      <c r="S351" s="402">
        <f t="shared" si="245"/>
        <v>384681.43000000005</v>
      </c>
      <c r="T351" s="402">
        <f t="shared" ref="T351" si="246">S351-N351</f>
        <v>114427.32000000007</v>
      </c>
      <c r="U351" s="402">
        <f t="shared" ref="U351" si="247">S351-P351</f>
        <v>-37597.387870000617</v>
      </c>
      <c r="V351" s="402">
        <f t="shared" ref="V351:Z351" si="248">V349+V350</f>
        <v>633794.65571940807</v>
      </c>
      <c r="W351" s="402">
        <f t="shared" si="248"/>
        <v>457647473.86699903</v>
      </c>
      <c r="X351" s="402">
        <f t="shared" si="248"/>
        <v>457647.47386699897</v>
      </c>
      <c r="Y351" s="402">
        <f t="shared" si="248"/>
        <v>591680.09655772301</v>
      </c>
      <c r="Z351" s="402">
        <f t="shared" si="248"/>
        <v>298820.04839772393</v>
      </c>
      <c r="AA351" s="402"/>
      <c r="AB351" s="402"/>
      <c r="AC351" s="402">
        <f t="shared" ref="AC351:AK351" si="249">AC349+AC350</f>
        <v>688823.7814608973</v>
      </c>
      <c r="AD351" s="402">
        <f t="shared" si="249"/>
        <v>1749247.9681389718</v>
      </c>
      <c r="AE351" s="402">
        <f t="shared" si="249"/>
        <v>712287.21535599872</v>
      </c>
      <c r="AF351" s="402">
        <f t="shared" si="249"/>
        <v>715880.89899626304</v>
      </c>
      <c r="AG351" s="402">
        <f t="shared" si="249"/>
        <v>716376.73267553258</v>
      </c>
      <c r="AH351" s="402">
        <f t="shared" si="249"/>
        <v>1476649.2060458772</v>
      </c>
      <c r="AI351" s="402"/>
      <c r="AJ351" s="402">
        <f t="shared" ref="AJ351:AJ353" si="250">AH351-AG351</f>
        <v>760272.47337034461</v>
      </c>
      <c r="AK351" s="402">
        <f t="shared" si="249"/>
        <v>1418304.7005755173</v>
      </c>
    </row>
    <row r="352" spans="1:37" ht="33" customHeight="1">
      <c r="A352" s="258"/>
      <c r="B352" s="297" t="s">
        <v>16</v>
      </c>
      <c r="C352" s="177"/>
      <c r="D352" s="177"/>
      <c r="E352" s="232" t="s">
        <v>65</v>
      </c>
      <c r="F352" s="142" t="s">
        <v>1464</v>
      </c>
      <c r="G352" s="404" t="s">
        <v>1451</v>
      </c>
      <c r="H352" s="404"/>
      <c r="I352" s="404"/>
      <c r="J352" s="404"/>
      <c r="K352" s="406">
        <f>K350+K351</f>
        <v>1166768.3659190042</v>
      </c>
      <c r="L352" s="406">
        <f t="shared" si="245"/>
        <v>252116.268376013</v>
      </c>
      <c r="M352" s="406">
        <f t="shared" si="245"/>
        <v>252116.27</v>
      </c>
      <c r="N352" s="406">
        <f t="shared" ref="N352:Z352" si="251">N251+N252+N253+N254</f>
        <v>982478.72407</v>
      </c>
      <c r="O352" s="406">
        <f t="shared" si="251"/>
        <v>997525.12860000005</v>
      </c>
      <c r="P352" s="406">
        <f t="shared" si="251"/>
        <v>997511.13563999999</v>
      </c>
      <c r="Q352" s="406">
        <f t="shared" si="251"/>
        <v>997511.13563999999</v>
      </c>
      <c r="R352" s="406">
        <f t="shared" si="251"/>
        <v>997511.13563999999</v>
      </c>
      <c r="S352" s="406">
        <f t="shared" si="251"/>
        <v>997511.13563999999</v>
      </c>
      <c r="T352" s="406">
        <f t="shared" si="251"/>
        <v>15032.41157000004</v>
      </c>
      <c r="U352" s="406">
        <f t="shared" si="251"/>
        <v>0</v>
      </c>
      <c r="V352" s="406">
        <f t="shared" si="251"/>
        <v>854597.19026000006</v>
      </c>
      <c r="W352" s="406">
        <f t="shared" si="251"/>
        <v>868624766.47000003</v>
      </c>
      <c r="X352" s="406">
        <f t="shared" si="251"/>
        <v>868624.76647000003</v>
      </c>
      <c r="Y352" s="406">
        <f t="shared" si="251"/>
        <v>868624.76647000003</v>
      </c>
      <c r="Z352" s="406">
        <f t="shared" si="251"/>
        <v>868614.52307999996</v>
      </c>
      <c r="AA352" s="406"/>
      <c r="AB352" s="406"/>
      <c r="AC352" s="406">
        <f t="shared" ref="AC352:AK352" si="252">AC251+AC252+AC253+AC254</f>
        <v>893054.06382169994</v>
      </c>
      <c r="AD352" s="406">
        <f t="shared" si="252"/>
        <v>1062456.3841432203</v>
      </c>
      <c r="AE352" s="406">
        <f t="shared" si="252"/>
        <v>855691.4</v>
      </c>
      <c r="AF352" s="406">
        <f t="shared" si="252"/>
        <v>855691.4</v>
      </c>
      <c r="AG352" s="406">
        <f t="shared" si="252"/>
        <v>928776.22637456795</v>
      </c>
      <c r="AH352" s="406">
        <f t="shared" si="252"/>
        <v>1452554.2100000002</v>
      </c>
      <c r="AI352" s="406"/>
      <c r="AJ352" s="406">
        <f t="shared" si="250"/>
        <v>523777.98362543224</v>
      </c>
      <c r="AK352" s="406">
        <f t="shared" si="252"/>
        <v>1452554.2100000002</v>
      </c>
    </row>
    <row r="353" spans="1:37" ht="17.25" customHeight="1" collapsed="1" thickBot="1">
      <c r="B353" s="297"/>
      <c r="C353" s="177"/>
      <c r="D353" s="177"/>
      <c r="E353" s="298" t="s">
        <v>1465</v>
      </c>
      <c r="F353" s="300"/>
      <c r="G353" s="217" t="s">
        <v>1451</v>
      </c>
      <c r="H353" s="217"/>
      <c r="I353" s="217"/>
      <c r="J353" s="217"/>
      <c r="K353" s="402"/>
      <c r="L353" s="402"/>
      <c r="M353" s="402"/>
      <c r="N353" s="402">
        <f>N351+N352</f>
        <v>1252732.8340699999</v>
      </c>
      <c r="O353" s="402">
        <f t="shared" ref="O353:AK353" si="253">O351+O352</f>
        <v>1581667.0422900021</v>
      </c>
      <c r="P353" s="402">
        <f t="shared" si="253"/>
        <v>1419789.9535100006</v>
      </c>
      <c r="Q353" s="402">
        <f t="shared" si="253"/>
        <v>1382192.5656400002</v>
      </c>
      <c r="R353" s="402">
        <f t="shared" si="253"/>
        <v>1382192.5656400002</v>
      </c>
      <c r="S353" s="402">
        <f t="shared" si="253"/>
        <v>1382192.5656400002</v>
      </c>
      <c r="T353" s="402">
        <f t="shared" si="253"/>
        <v>129459.73157000011</v>
      </c>
      <c r="U353" s="402">
        <f t="shared" si="253"/>
        <v>-37597.387870000617</v>
      </c>
      <c r="V353" s="402">
        <f t="shared" si="253"/>
        <v>1488391.8459794081</v>
      </c>
      <c r="W353" s="402">
        <f t="shared" si="253"/>
        <v>1326272240.3369989</v>
      </c>
      <c r="X353" s="402">
        <f t="shared" si="253"/>
        <v>1326272.2403369991</v>
      </c>
      <c r="Y353" s="402">
        <f t="shared" si="253"/>
        <v>1460304.863027723</v>
      </c>
      <c r="Z353" s="402">
        <f t="shared" si="253"/>
        <v>1167434.5714777238</v>
      </c>
      <c r="AA353" s="402"/>
      <c r="AB353" s="402"/>
      <c r="AC353" s="402">
        <f t="shared" si="253"/>
        <v>1581877.8452825972</v>
      </c>
      <c r="AD353" s="402">
        <f t="shared" si="253"/>
        <v>2811704.3522821921</v>
      </c>
      <c r="AE353" s="402">
        <f t="shared" si="253"/>
        <v>1567978.6153559987</v>
      </c>
      <c r="AF353" s="402">
        <f t="shared" si="253"/>
        <v>1571572.2989962632</v>
      </c>
      <c r="AG353" s="402">
        <f t="shared" si="253"/>
        <v>1645152.9590501005</v>
      </c>
      <c r="AH353" s="402">
        <f t="shared" si="253"/>
        <v>2929203.4160458772</v>
      </c>
      <c r="AI353" s="402"/>
      <c r="AJ353" s="402">
        <f t="shared" si="250"/>
        <v>1284050.4569957766</v>
      </c>
      <c r="AK353" s="402">
        <f t="shared" si="253"/>
        <v>2870858.9105755175</v>
      </c>
    </row>
    <row r="354" spans="1:37" s="305" customFormat="1" ht="42.75" hidden="1" customHeight="1">
      <c r="A354" s="301"/>
      <c r="B354" s="1803" t="s">
        <v>110</v>
      </c>
      <c r="C354" s="1805" t="s">
        <v>1466</v>
      </c>
      <c r="D354" s="1806"/>
      <c r="E354" s="1807"/>
      <c r="F354" s="1808"/>
      <c r="G354" s="1803" t="s">
        <v>255</v>
      </c>
      <c r="H354" s="1024"/>
      <c r="I354" s="1024"/>
      <c r="J354" s="1024"/>
      <c r="K354" s="1318">
        <v>2014</v>
      </c>
      <c r="L354" s="1813" t="s">
        <v>1467</v>
      </c>
      <c r="M354" s="1810"/>
      <c r="N354" s="1810"/>
      <c r="O354" s="1810"/>
      <c r="P354" s="1810"/>
      <c r="Q354" s="1810"/>
      <c r="R354" s="1810"/>
      <c r="S354" s="1810"/>
      <c r="T354" s="1810"/>
      <c r="U354" s="1810"/>
      <c r="V354" s="1810"/>
      <c r="W354" s="1025"/>
      <c r="X354" s="1025"/>
      <c r="Y354" s="1025"/>
      <c r="Z354" s="1025"/>
      <c r="AA354" s="1025"/>
      <c r="AB354" s="1025"/>
      <c r="AC354" s="1025"/>
      <c r="AD354" s="304"/>
      <c r="AE354" s="304"/>
      <c r="AF354" s="304"/>
    </row>
    <row r="355" spans="1:37" ht="17.25" hidden="1" customHeight="1">
      <c r="B355" s="1803"/>
      <c r="C355" s="1805"/>
      <c r="D355" s="1806"/>
      <c r="E355" s="1807"/>
      <c r="F355" s="1808"/>
      <c r="G355" s="1803"/>
      <c r="H355" s="1024"/>
      <c r="I355" s="1024"/>
      <c r="J355" s="1024"/>
      <c r="K355" s="1318"/>
      <c r="L355" s="1814">
        <v>2015</v>
      </c>
      <c r="M355" s="1816"/>
      <c r="N355" s="1026"/>
      <c r="O355" s="1026"/>
      <c r="P355" s="1026"/>
      <c r="Q355" s="1026"/>
      <c r="R355" s="1026"/>
      <c r="S355" s="1026"/>
      <c r="T355" s="1026"/>
      <c r="U355" s="1026"/>
      <c r="V355" s="1027"/>
      <c r="W355" s="1027"/>
      <c r="X355" s="1027"/>
      <c r="Y355" s="1027"/>
      <c r="Z355" s="1027"/>
      <c r="AA355" s="1027"/>
      <c r="AB355" s="1027"/>
      <c r="AC355" s="1027"/>
      <c r="AD355" s="1027"/>
      <c r="AE355" s="1027"/>
      <c r="AF355" s="1028"/>
      <c r="AG355" s="1026"/>
      <c r="AH355" s="1026"/>
      <c r="AI355" s="1026"/>
      <c r="AJ355" s="1026"/>
      <c r="AK355" s="1026"/>
    </row>
    <row r="356" spans="1:37" ht="17.25" hidden="1" customHeight="1">
      <c r="B356" s="1803"/>
      <c r="C356" s="1805"/>
      <c r="D356" s="1806"/>
      <c r="E356" s="1807"/>
      <c r="F356" s="1808"/>
      <c r="G356" s="1803"/>
      <c r="H356" s="1024"/>
      <c r="I356" s="1024"/>
      <c r="J356" s="1024"/>
      <c r="K356" s="1318"/>
      <c r="L356" s="1815"/>
      <c r="M356" s="1810"/>
      <c r="N356" s="1029"/>
      <c r="O356" s="1029"/>
      <c r="P356" s="1029"/>
      <c r="Q356" s="1029"/>
      <c r="R356" s="1029"/>
      <c r="S356" s="1029"/>
      <c r="T356" s="1029"/>
      <c r="U356" s="1029"/>
      <c r="V356" s="1029"/>
      <c r="W356" s="1029"/>
      <c r="X356" s="1029"/>
      <c r="Y356" s="1029"/>
      <c r="Z356" s="1029"/>
      <c r="AA356" s="1029"/>
      <c r="AB356" s="1029"/>
      <c r="AC356" s="1029"/>
      <c r="AD356" s="1029"/>
      <c r="AE356" s="1029"/>
      <c r="AF356" s="1025"/>
      <c r="AG356" s="1029"/>
      <c r="AH356" s="1029"/>
      <c r="AI356" s="1029"/>
      <c r="AJ356" s="1029"/>
      <c r="AK356" s="1029"/>
    </row>
    <row r="357" spans="1:37" ht="17.25" hidden="1" customHeight="1">
      <c r="B357" s="1804"/>
      <c r="C357" s="1809"/>
      <c r="D357" s="1810"/>
      <c r="E357" s="1810"/>
      <c r="F357" s="1811"/>
      <c r="G357" s="1804"/>
      <c r="H357" s="1030"/>
      <c r="I357" s="1030"/>
      <c r="J357" s="1030"/>
      <c r="K357" s="1812"/>
      <c r="L357" s="1804"/>
      <c r="M357" s="1031"/>
      <c r="N357" s="1032"/>
      <c r="O357" s="1032"/>
      <c r="P357" s="1032"/>
      <c r="Q357" s="1032"/>
      <c r="R357" s="1033"/>
      <c r="S357" s="1033"/>
      <c r="T357" s="1033"/>
      <c r="U357" s="1033"/>
      <c r="V357" s="1034"/>
      <c r="W357" s="1034"/>
      <c r="X357" s="1034"/>
      <c r="Y357" s="1034"/>
      <c r="Z357" s="1034"/>
      <c r="AA357" s="1034"/>
      <c r="AB357" s="1034"/>
      <c r="AC357" s="1034"/>
      <c r="AD357" s="1034"/>
      <c r="AE357" s="1034"/>
      <c r="AF357" s="1025"/>
      <c r="AG357" s="1032"/>
      <c r="AH357" s="1032"/>
      <c r="AI357" s="1032"/>
      <c r="AJ357" s="1032"/>
      <c r="AK357" s="1032"/>
    </row>
    <row r="358" spans="1:37" ht="17.25" hidden="1" customHeight="1">
      <c r="B358" s="1035" t="s">
        <v>1468</v>
      </c>
      <c r="C358" s="1302" t="s">
        <v>244</v>
      </c>
      <c r="D358" s="1798"/>
      <c r="E358" s="1799"/>
      <c r="F358" s="1800"/>
      <c r="G358" s="1035" t="s">
        <v>202</v>
      </c>
      <c r="H358" s="1035"/>
      <c r="I358" s="1035"/>
      <c r="J358" s="1035"/>
      <c r="K358" s="316"/>
      <c r="L358" s="1035">
        <v>106.7</v>
      </c>
      <c r="M358" s="1035"/>
      <c r="N358" s="1035"/>
      <c r="O358" s="1035"/>
      <c r="P358" s="1035"/>
      <c r="Q358" s="1035"/>
      <c r="R358" s="1035"/>
      <c r="S358" s="1035"/>
      <c r="T358" s="1035"/>
      <c r="U358" s="1035"/>
      <c r="V358" s="317"/>
      <c r="W358" s="317"/>
      <c r="X358" s="317"/>
      <c r="Y358" s="317"/>
      <c r="Z358" s="317"/>
      <c r="AA358" s="317"/>
      <c r="AB358" s="317"/>
      <c r="AC358" s="317"/>
      <c r="AD358" s="317"/>
      <c r="AE358" s="317"/>
      <c r="AF358" s="318"/>
      <c r="AG358" s="1035"/>
      <c r="AH358" s="1035"/>
      <c r="AI358" s="1035"/>
      <c r="AJ358" s="1035"/>
      <c r="AK358" s="1035"/>
    </row>
    <row r="359" spans="1:37" hidden="1">
      <c r="B359" s="1035" t="s">
        <v>6</v>
      </c>
      <c r="C359" s="1302" t="s">
        <v>245</v>
      </c>
      <c r="D359" s="1798"/>
      <c r="E359" s="1799"/>
      <c r="F359" s="1800"/>
      <c r="G359" s="1035" t="s">
        <v>202</v>
      </c>
      <c r="H359" s="1035"/>
      <c r="I359" s="1035"/>
      <c r="J359" s="1035"/>
      <c r="K359" s="316"/>
      <c r="L359" s="1036">
        <v>75</v>
      </c>
      <c r="M359" s="1036"/>
      <c r="N359" s="1036"/>
      <c r="O359" s="1036"/>
      <c r="P359" s="1036"/>
      <c r="Q359" s="1036"/>
      <c r="R359" s="1036"/>
      <c r="S359" s="1036"/>
      <c r="T359" s="1036"/>
      <c r="U359" s="1036"/>
      <c r="V359" s="1036"/>
      <c r="W359" s="1036"/>
      <c r="X359" s="1036"/>
      <c r="Y359" s="1036"/>
      <c r="Z359" s="1036"/>
      <c r="AA359" s="1036"/>
      <c r="AB359" s="1036"/>
      <c r="AC359" s="1036"/>
      <c r="AD359" s="1036"/>
      <c r="AE359" s="1036"/>
      <c r="AF359" s="1028"/>
      <c r="AG359" s="1036"/>
      <c r="AH359" s="1036"/>
      <c r="AI359" s="1036"/>
      <c r="AJ359" s="1036"/>
      <c r="AK359" s="1036"/>
    </row>
    <row r="360" spans="1:37" s="111" customFormat="1" hidden="1">
      <c r="A360" s="108"/>
      <c r="B360" s="1035" t="s">
        <v>16</v>
      </c>
      <c r="C360" s="1302" t="s">
        <v>246</v>
      </c>
      <c r="D360" s="1798"/>
      <c r="E360" s="1799"/>
      <c r="F360" s="1800"/>
      <c r="G360" s="1035" t="s">
        <v>43</v>
      </c>
      <c r="H360" s="1035"/>
      <c r="I360" s="1035"/>
      <c r="J360" s="1035"/>
      <c r="K360" s="320">
        <f>L383</f>
        <v>0</v>
      </c>
      <c r="L360" s="320">
        <v>98255.76</v>
      </c>
      <c r="M360" s="320"/>
      <c r="N360" s="320"/>
      <c r="O360" s="320"/>
      <c r="P360" s="320"/>
      <c r="Q360" s="320"/>
      <c r="R360" s="320"/>
      <c r="S360" s="320"/>
      <c r="T360" s="320"/>
      <c r="U360" s="320"/>
      <c r="V360" s="320"/>
      <c r="W360" s="320"/>
      <c r="X360" s="320"/>
      <c r="Y360" s="320"/>
      <c r="Z360" s="320"/>
      <c r="AA360" s="320"/>
      <c r="AB360" s="320"/>
      <c r="AC360" s="320"/>
      <c r="AD360" s="320"/>
      <c r="AE360" s="320"/>
      <c r="AF360" s="321"/>
      <c r="AG360" s="320"/>
      <c r="AH360" s="320"/>
      <c r="AI360" s="320"/>
      <c r="AJ360" s="320"/>
      <c r="AK360" s="320"/>
    </row>
    <row r="361" spans="1:37" s="111" customFormat="1" hidden="1">
      <c r="A361" s="108"/>
      <c r="B361" s="1035" t="s">
        <v>33</v>
      </c>
      <c r="C361" s="1302" t="s">
        <v>247</v>
      </c>
      <c r="D361" s="1798"/>
      <c r="E361" s="1799"/>
      <c r="F361" s="1800"/>
      <c r="G361" s="1035" t="s">
        <v>202</v>
      </c>
      <c r="H361" s="1035"/>
      <c r="I361" s="1035"/>
      <c r="J361" s="1035"/>
      <c r="K361" s="316"/>
      <c r="L361" s="322"/>
      <c r="M361" s="322"/>
      <c r="N361" s="322"/>
      <c r="O361" s="322"/>
      <c r="P361" s="322"/>
      <c r="Q361" s="322"/>
      <c r="R361" s="322"/>
      <c r="S361" s="322"/>
      <c r="T361" s="322"/>
      <c r="U361" s="322"/>
      <c r="V361" s="322"/>
      <c r="W361" s="322"/>
      <c r="X361" s="322"/>
      <c r="Y361" s="322"/>
      <c r="Z361" s="322"/>
      <c r="AA361" s="322"/>
      <c r="AB361" s="322"/>
      <c r="AC361" s="322"/>
      <c r="AD361" s="322"/>
      <c r="AE361" s="322"/>
      <c r="AF361" s="323"/>
      <c r="AG361" s="322"/>
      <c r="AH361" s="322"/>
      <c r="AI361" s="322"/>
      <c r="AJ361" s="322"/>
      <c r="AK361" s="322"/>
    </row>
    <row r="362" spans="1:37" s="111" customFormat="1" hidden="1">
      <c r="A362" s="108"/>
      <c r="B362" s="1036" t="s">
        <v>1469</v>
      </c>
      <c r="C362" s="1302" t="s">
        <v>248</v>
      </c>
      <c r="D362" s="1798"/>
      <c r="E362" s="1801"/>
      <c r="F362" s="1802"/>
      <c r="G362" s="1036" t="s">
        <v>202</v>
      </c>
      <c r="H362" s="1036"/>
      <c r="I362" s="1036"/>
      <c r="J362" s="1036"/>
      <c r="K362" s="316"/>
      <c r="L362" s="317">
        <v>1.5</v>
      </c>
      <c r="M362" s="317"/>
      <c r="N362" s="317"/>
      <c r="O362" s="317"/>
      <c r="P362" s="317"/>
      <c r="Q362" s="317"/>
      <c r="R362" s="317"/>
      <c r="S362" s="317"/>
      <c r="T362" s="317"/>
      <c r="U362" s="317"/>
      <c r="V362" s="317"/>
      <c r="W362" s="317"/>
      <c r="X362" s="317"/>
      <c r="Y362" s="317"/>
      <c r="Z362" s="317"/>
      <c r="AA362" s="317"/>
      <c r="AB362" s="317"/>
      <c r="AC362" s="317"/>
      <c r="AD362" s="317"/>
      <c r="AE362" s="317"/>
      <c r="AF362" s="318"/>
      <c r="AG362" s="317"/>
      <c r="AH362" s="317"/>
      <c r="AI362" s="317"/>
      <c r="AJ362" s="317"/>
      <c r="AK362" s="317"/>
    </row>
    <row r="363" spans="1:37" ht="30.75" hidden="1" customHeight="1" thickBot="1">
      <c r="B363" s="1036" t="s">
        <v>1470</v>
      </c>
      <c r="C363" s="1302" t="s">
        <v>1471</v>
      </c>
      <c r="D363" s="1798"/>
      <c r="E363" s="1801"/>
      <c r="F363" s="1802"/>
      <c r="G363" s="1036" t="s">
        <v>202</v>
      </c>
      <c r="H363" s="1036"/>
      <c r="I363" s="1036"/>
      <c r="J363" s="1036"/>
      <c r="K363" s="316"/>
      <c r="L363" s="322"/>
      <c r="M363" s="322"/>
      <c r="N363" s="324"/>
      <c r="O363" s="324"/>
      <c r="P363" s="324"/>
      <c r="Q363" s="324"/>
      <c r="R363" s="324"/>
      <c r="S363" s="324"/>
      <c r="T363" s="324"/>
      <c r="U363" s="324"/>
      <c r="V363" s="325"/>
      <c r="W363" s="325"/>
      <c r="X363" s="325"/>
      <c r="Y363" s="325"/>
      <c r="Z363" s="325"/>
      <c r="AA363" s="325"/>
      <c r="AB363" s="325"/>
      <c r="AC363" s="325"/>
      <c r="AD363" s="325"/>
      <c r="AE363" s="325"/>
      <c r="AF363" s="326"/>
      <c r="AG363" s="324"/>
      <c r="AH363" s="324"/>
      <c r="AI363" s="324"/>
      <c r="AJ363" s="324"/>
      <c r="AK363" s="324"/>
    </row>
    <row r="364" spans="1:37" ht="33" hidden="1" customHeight="1" thickBot="1">
      <c r="A364" s="258"/>
      <c r="B364" s="327" t="s">
        <v>16</v>
      </c>
      <c r="C364" s="328"/>
      <c r="D364" s="328"/>
      <c r="E364" s="329" t="s">
        <v>1472</v>
      </c>
      <c r="F364" s="329" t="s">
        <v>1472</v>
      </c>
      <c r="G364" s="330" t="s">
        <v>1451</v>
      </c>
      <c r="H364" s="331"/>
      <c r="I364" s="331"/>
      <c r="J364" s="331"/>
      <c r="K364" s="327">
        <f t="shared" ref="K364:S364" si="254">K251+K252+K253+K254</f>
        <v>631833.28319762496</v>
      </c>
      <c r="L364" s="332">
        <f t="shared" si="254"/>
        <v>1243250.0829</v>
      </c>
      <c r="M364" s="332">
        <f t="shared" si="254"/>
        <v>1243250.07299</v>
      </c>
      <c r="N364" s="333">
        <f t="shared" si="254"/>
        <v>982478.72407</v>
      </c>
      <c r="O364" s="334">
        <f t="shared" si="254"/>
        <v>997525.12860000005</v>
      </c>
      <c r="P364" s="334">
        <f t="shared" si="254"/>
        <v>997511.13563999999</v>
      </c>
      <c r="Q364" s="335">
        <f t="shared" si="254"/>
        <v>997511.13563999999</v>
      </c>
      <c r="R364" s="335">
        <f t="shared" si="254"/>
        <v>997511.13563999999</v>
      </c>
      <c r="S364" s="335">
        <f t="shared" si="254"/>
        <v>997511.13563999999</v>
      </c>
      <c r="T364" s="335">
        <f t="shared" ref="T364:T365" si="255">S364-N364</f>
        <v>15032.411569999997</v>
      </c>
      <c r="U364" s="335">
        <f t="shared" ref="U364:U365" si="256">S364-P364</f>
        <v>0</v>
      </c>
      <c r="V364" s="337">
        <f>V251+V252+V253+V254</f>
        <v>854597.19026000006</v>
      </c>
      <c r="W364" s="337"/>
      <c r="X364" s="337"/>
      <c r="Y364" s="337"/>
      <c r="Z364" s="337"/>
      <c r="AA364" s="337"/>
      <c r="AB364" s="337"/>
      <c r="AC364" s="337">
        <f>AC251+AC252+AC253+AC254</f>
        <v>893054.06382169994</v>
      </c>
      <c r="AD364" s="332">
        <f>AD251+AD252+AD253+AD254</f>
        <v>1062456.3841432203</v>
      </c>
      <c r="AE364" s="332">
        <f>AE251+AE252+AE253+AE254</f>
        <v>855691.4</v>
      </c>
      <c r="AF364" s="336"/>
      <c r="AG364" s="333"/>
      <c r="AH364" s="333"/>
      <c r="AI364" s="333"/>
      <c r="AJ364" s="333"/>
      <c r="AK364" s="333"/>
    </row>
    <row r="365" spans="1:37" ht="33" hidden="1" customHeight="1" thickBot="1">
      <c r="A365" s="258"/>
      <c r="B365" s="327"/>
      <c r="C365" s="328"/>
      <c r="D365" s="328"/>
      <c r="E365" s="338" t="s">
        <v>1473</v>
      </c>
      <c r="F365" s="338" t="s">
        <v>1473</v>
      </c>
      <c r="G365" s="330" t="s">
        <v>1451</v>
      </c>
      <c r="H365" s="331"/>
      <c r="I365" s="331"/>
      <c r="J365" s="331"/>
      <c r="K365" s="339">
        <f>K352+K364</f>
        <v>1798601.6491166293</v>
      </c>
      <c r="L365" s="340">
        <f t="shared" ref="L365:V365" si="257">L352+L364</f>
        <v>1495366.3512760131</v>
      </c>
      <c r="M365" s="340">
        <f t="shared" si="257"/>
        <v>1495366.34299</v>
      </c>
      <c r="N365" s="341">
        <f t="shared" si="257"/>
        <v>1964957.44814</v>
      </c>
      <c r="O365" s="342">
        <f t="shared" si="257"/>
        <v>1995050.2572000001</v>
      </c>
      <c r="P365" s="342">
        <f t="shared" si="257"/>
        <v>1995022.27128</v>
      </c>
      <c r="Q365" s="343">
        <f t="shared" si="257"/>
        <v>1995022.27128</v>
      </c>
      <c r="R365" s="343">
        <f t="shared" si="257"/>
        <v>1995022.27128</v>
      </c>
      <c r="S365" s="343">
        <f t="shared" si="257"/>
        <v>1995022.27128</v>
      </c>
      <c r="T365" s="343">
        <f t="shared" si="255"/>
        <v>30064.823139999993</v>
      </c>
      <c r="U365" s="343">
        <f t="shared" si="256"/>
        <v>0</v>
      </c>
      <c r="V365" s="346">
        <f t="shared" si="257"/>
        <v>1709194.3805200001</v>
      </c>
      <c r="W365" s="346"/>
      <c r="X365" s="346"/>
      <c r="Y365" s="346"/>
      <c r="Z365" s="346"/>
      <c r="AA365" s="346"/>
      <c r="AB365" s="346"/>
      <c r="AC365" s="346">
        <f t="shared" ref="AC365:AE365" si="258">AC352+AC364</f>
        <v>1786108.1276433999</v>
      </c>
      <c r="AD365" s="340">
        <f t="shared" si="258"/>
        <v>2124912.7682864405</v>
      </c>
      <c r="AE365" s="340">
        <f t="shared" si="258"/>
        <v>1711382.8</v>
      </c>
      <c r="AF365" s="347"/>
      <c r="AG365" s="341"/>
      <c r="AH365" s="341"/>
      <c r="AI365" s="341"/>
      <c r="AJ365" s="341"/>
      <c r="AK365" s="341"/>
    </row>
    <row r="366" spans="1:37" ht="33" hidden="1" customHeight="1" thickBot="1">
      <c r="A366" s="258"/>
      <c r="B366" s="327"/>
      <c r="C366" s="328"/>
      <c r="D366" s="328"/>
      <c r="E366" s="328" t="s">
        <v>1474</v>
      </c>
      <c r="F366" s="348"/>
      <c r="G366" s="330"/>
      <c r="H366" s="331"/>
      <c r="I366" s="331"/>
      <c r="J366" s="331"/>
      <c r="K366" s="339"/>
      <c r="L366" s="340"/>
      <c r="M366" s="349"/>
      <c r="N366" s="350">
        <f>N328-N340</f>
        <v>341940.25276786834</v>
      </c>
      <c r="O366" s="350">
        <f t="shared" ref="O366:T366" si="259">O328-O340</f>
        <v>0</v>
      </c>
      <c r="P366" s="350">
        <f t="shared" si="259"/>
        <v>0</v>
      </c>
      <c r="Q366" s="350">
        <f t="shared" si="259"/>
        <v>0</v>
      </c>
      <c r="R366" s="350">
        <f t="shared" si="259"/>
        <v>0</v>
      </c>
      <c r="S366" s="350">
        <f t="shared" si="259"/>
        <v>0</v>
      </c>
      <c r="T366" s="350">
        <f t="shared" si="259"/>
        <v>-341940.25276786834</v>
      </c>
      <c r="U366" s="345"/>
      <c r="V366" s="351"/>
      <c r="W366" s="351"/>
      <c r="X366" s="351"/>
      <c r="Y366" s="351"/>
      <c r="Z366" s="351"/>
      <c r="AA366" s="351"/>
      <c r="AB366" s="351"/>
      <c r="AC366" s="351"/>
      <c r="AD366" s="351"/>
      <c r="AE366" s="351"/>
      <c r="AF366" s="352"/>
      <c r="AG366" s="350"/>
      <c r="AH366" s="350"/>
      <c r="AI366" s="350"/>
      <c r="AJ366" s="350"/>
      <c r="AK366" s="350"/>
    </row>
    <row r="367" spans="1:37" hidden="1"/>
    <row r="368" spans="1:37" hidden="1">
      <c r="E368" s="103" t="s">
        <v>1475</v>
      </c>
      <c r="O368" s="103" t="s">
        <v>1475</v>
      </c>
      <c r="Q368" s="52">
        <f>Q328-Q276-Q277-Q268-Q255-Q254-Q253-Q252-Q251</f>
        <v>3076291.3482825328</v>
      </c>
    </row>
    <row r="369" spans="2:37" hidden="1">
      <c r="E369" s="52"/>
      <c r="Q369" s="52">
        <v>3076348.7330225334</v>
      </c>
    </row>
    <row r="370" spans="2:37" ht="100.8" hidden="1">
      <c r="E370" s="1037" t="s">
        <v>1476</v>
      </c>
      <c r="O370" s="353" t="s">
        <v>1476</v>
      </c>
      <c r="Q370" s="52">
        <f>Q369*0.12</f>
        <v>369161.84796270396</v>
      </c>
    </row>
    <row r="371" spans="2:37" hidden="1">
      <c r="B371" s="400"/>
      <c r="C371" s="355"/>
      <c r="D371" s="355"/>
      <c r="E371" s="356"/>
      <c r="F371" s="74" t="s">
        <v>1477</v>
      </c>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67"/>
      <c r="AG371" s="74"/>
      <c r="AH371" s="74"/>
      <c r="AI371" s="74"/>
      <c r="AJ371" s="74"/>
      <c r="AK371" s="74"/>
    </row>
    <row r="372" spans="2:37" hidden="1">
      <c r="B372" s="400"/>
      <c r="C372" s="355"/>
      <c r="D372" s="355"/>
      <c r="E372" s="356"/>
      <c r="F372" s="74" t="s">
        <v>1478</v>
      </c>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67"/>
      <c r="AG372" s="74"/>
      <c r="AH372" s="74"/>
      <c r="AI372" s="74"/>
      <c r="AJ372" s="74"/>
      <c r="AK372" s="74"/>
    </row>
    <row r="373" spans="2:37" ht="33.6" hidden="1">
      <c r="B373" s="400"/>
      <c r="C373" s="355"/>
      <c r="D373" s="355"/>
      <c r="E373" s="356"/>
      <c r="F373" s="357" t="s">
        <v>1479</v>
      </c>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67"/>
      <c r="AG373" s="74"/>
      <c r="AH373" s="74"/>
      <c r="AI373" s="74"/>
      <c r="AJ373" s="74"/>
      <c r="AK373" s="74"/>
    </row>
    <row r="374" spans="2:37" ht="33.6" hidden="1">
      <c r="B374" s="400"/>
      <c r="C374" s="355"/>
      <c r="D374" s="355"/>
      <c r="E374" s="356"/>
      <c r="F374" s="357" t="s">
        <v>1480</v>
      </c>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67"/>
      <c r="AG374" s="74"/>
      <c r="AH374" s="74"/>
      <c r="AI374" s="74"/>
      <c r="AJ374" s="74"/>
      <c r="AK374" s="74"/>
    </row>
    <row r="375" spans="2:37" ht="36" customHeight="1" thickBot="1">
      <c r="B375" s="400"/>
      <c r="C375" s="355"/>
      <c r="D375" s="355"/>
      <c r="E375" s="356"/>
      <c r="F375" s="74" t="s">
        <v>1481</v>
      </c>
      <c r="G375" s="74"/>
      <c r="H375" s="74"/>
      <c r="I375" s="74"/>
      <c r="J375" s="74"/>
      <c r="K375" s="74"/>
      <c r="L375" s="74"/>
      <c r="M375" s="74"/>
      <c r="N375" s="1297" t="s">
        <v>1482</v>
      </c>
      <c r="O375" s="1298"/>
      <c r="P375" s="1298"/>
      <c r="Q375" s="1298"/>
      <c r="R375" s="1298"/>
      <c r="S375" s="1298"/>
      <c r="T375" s="1298"/>
      <c r="U375" s="1298"/>
      <c r="V375" s="1298"/>
      <c r="W375" s="1298"/>
      <c r="X375" s="1298"/>
      <c r="Y375" s="1298"/>
      <c r="Z375" s="1298"/>
      <c r="AA375" s="1298"/>
      <c r="AB375" s="1298"/>
      <c r="AC375" s="1298"/>
      <c r="AD375" s="1299"/>
    </row>
    <row r="376" spans="2:37" ht="19.5" customHeight="1">
      <c r="B376" s="400"/>
      <c r="C376" s="355"/>
      <c r="D376" s="355"/>
      <c r="E376" s="358" t="s">
        <v>1484</v>
      </c>
      <c r="F376" s="357" t="s">
        <v>1483</v>
      </c>
      <c r="G376" s="74"/>
      <c r="H376" s="74"/>
      <c r="I376" s="74"/>
      <c r="J376" s="74"/>
      <c r="K376" s="74"/>
      <c r="L376" s="74"/>
      <c r="M376" s="74"/>
      <c r="N376" s="358" t="s">
        <v>1484</v>
      </c>
      <c r="O376" s="359">
        <f>O328</f>
        <v>5167898.7823200021</v>
      </c>
      <c r="P376" s="360">
        <f t="shared" ref="P376:S376" si="260">P328</f>
        <v>4685555.3686300013</v>
      </c>
      <c r="Q376" s="360">
        <f t="shared" si="260"/>
        <v>4230752.0730500324</v>
      </c>
      <c r="R376" s="360">
        <f t="shared" si="260"/>
        <v>4233888.3025800325</v>
      </c>
      <c r="S376" s="361">
        <f t="shared" si="260"/>
        <v>4119204.6253925329</v>
      </c>
      <c r="T376" s="1300"/>
      <c r="U376" s="1301"/>
      <c r="V376" s="364">
        <f t="shared" ref="V376:AE376" si="261">V328</f>
        <v>4508690.1437708195</v>
      </c>
      <c r="W376" s="364">
        <f t="shared" si="261"/>
        <v>5548370619.0299988</v>
      </c>
      <c r="X376" s="364">
        <f t="shared" si="261"/>
        <v>5548370.6157699991</v>
      </c>
      <c r="Y376" s="364">
        <f t="shared" si="261"/>
        <v>5548370.6215299983</v>
      </c>
      <c r="Z376" s="364">
        <f t="shared" si="261"/>
        <v>5049951.0622499995</v>
      </c>
      <c r="AA376" s="364">
        <f t="shared" si="261"/>
        <v>368661.52492</v>
      </c>
      <c r="AB376" s="364">
        <f t="shared" si="261"/>
        <v>129758.03865000002</v>
      </c>
      <c r="AC376" s="361">
        <f t="shared" si="261"/>
        <v>4711581.1991699366</v>
      </c>
      <c r="AD376" s="361">
        <f t="shared" si="261"/>
        <v>13960814.675308185</v>
      </c>
      <c r="AE376" s="361">
        <f t="shared" si="261"/>
        <v>4352693.9044631608</v>
      </c>
      <c r="AF376" s="361">
        <f>AF328</f>
        <v>4387899.889276159</v>
      </c>
      <c r="AG376" s="358"/>
      <c r="AH376" s="361">
        <f>AH328</f>
        <v>9573779.5955581684</v>
      </c>
      <c r="AI376" s="361"/>
      <c r="AJ376" s="361"/>
      <c r="AK376" s="361">
        <f>AK328</f>
        <v>9255186.7681133151</v>
      </c>
    </row>
    <row r="377" spans="2:37">
      <c r="B377" s="400"/>
      <c r="C377" s="355"/>
      <c r="D377" s="355"/>
      <c r="E377" s="366" t="s">
        <v>1485</v>
      </c>
      <c r="F377" s="74"/>
      <c r="G377" s="74"/>
      <c r="H377" s="74"/>
      <c r="I377" s="74"/>
      <c r="J377" s="74"/>
      <c r="K377" s="74"/>
      <c r="L377" s="74"/>
      <c r="M377" s="74"/>
      <c r="N377" s="366" t="s">
        <v>1485</v>
      </c>
      <c r="O377" s="367">
        <f>O376-O378-O379-O380-O381-O382</f>
        <v>3831602.9837900004</v>
      </c>
      <c r="P377" s="368">
        <f>P376-P378-P379-P380-P381-P382</f>
        <v>3557299.0599600007</v>
      </c>
      <c r="Q377" s="368">
        <f>Q376-Q378-Q379-Q380-Q381-Q382</f>
        <v>3076291.3482825328</v>
      </c>
      <c r="R377" s="368">
        <f>R376-R378-R379-R380-R381-R382</f>
        <v>3079427.5778125329</v>
      </c>
      <c r="S377" s="369">
        <f>S376-S378-S379-S380-S381-S382</f>
        <v>2966324.8073225333</v>
      </c>
      <c r="T377" s="1300"/>
      <c r="U377" s="1301"/>
      <c r="V377" s="370">
        <f t="shared" ref="V377:AD377" si="262">V376-V378-V379-V380-V381-V382</f>
        <v>2804988.6310899593</v>
      </c>
      <c r="W377" s="370">
        <f t="shared" si="262"/>
        <v>4386649512.8729992</v>
      </c>
      <c r="X377" s="370">
        <f t="shared" si="262"/>
        <v>4386649.5096129989</v>
      </c>
      <c r="Y377" s="370">
        <f t="shared" si="262"/>
        <v>4386649.5160722751</v>
      </c>
      <c r="Z377" s="370">
        <f t="shared" si="262"/>
        <v>4180528.024562276</v>
      </c>
      <c r="AA377" s="370">
        <f t="shared" si="262"/>
        <v>142545.11036000002</v>
      </c>
      <c r="AB377" s="370">
        <f t="shared" si="262"/>
        <v>63576.385439999998</v>
      </c>
      <c r="AC377" s="369">
        <f t="shared" si="262"/>
        <v>2954881.3024657932</v>
      </c>
      <c r="AD377" s="369">
        <f t="shared" si="262"/>
        <v>6464635.3164497502</v>
      </c>
      <c r="AE377" s="369">
        <f>AE376-AE378-AE379-AE380-AE381-AE382</f>
        <v>2965743.6092147999</v>
      </c>
      <c r="AF377" s="369">
        <f>AF376-AF378-AF379-AF380-AF381-AF382</f>
        <v>2996457.4894774682</v>
      </c>
      <c r="AG377" s="366"/>
      <c r="AH377" s="369">
        <f>AH376-AH378-AH379-AH380-AH381-AH382</f>
        <v>6948753.3411374604</v>
      </c>
      <c r="AI377" s="369"/>
      <c r="AJ377" s="369"/>
      <c r="AK377" s="369">
        <f>AK376-AK378-AK379-AK380-AK381-AK382</f>
        <v>6703464.8955305563</v>
      </c>
    </row>
    <row r="378" spans="2:37">
      <c r="B378" s="400"/>
      <c r="C378" s="355"/>
      <c r="D378" s="355"/>
      <c r="E378" s="372" t="s">
        <v>1486</v>
      </c>
      <c r="F378" s="74"/>
      <c r="G378" s="74"/>
      <c r="H378" s="74"/>
      <c r="I378" s="74"/>
      <c r="J378" s="74"/>
      <c r="K378" s="74"/>
      <c r="L378" s="74"/>
      <c r="M378" s="74"/>
      <c r="N378" s="372" t="s">
        <v>1486</v>
      </c>
      <c r="O378" s="367">
        <f>O251+O252+O253+O254</f>
        <v>997525.12860000005</v>
      </c>
      <c r="P378" s="368">
        <f>P251+P252+P253+P254</f>
        <v>997511.13563999999</v>
      </c>
      <c r="Q378" s="368">
        <f>Q251+Q252+Q253+Q254</f>
        <v>997511.13563999999</v>
      </c>
      <c r="R378" s="368">
        <f>R251+R252+R253+R254</f>
        <v>997511.13563999999</v>
      </c>
      <c r="S378" s="369">
        <f>S251+S252+S253+S254</f>
        <v>997511.13563999999</v>
      </c>
      <c r="T378" s="1300"/>
      <c r="U378" s="1301"/>
      <c r="V378" s="370">
        <f>V251+V252+V253+V254</f>
        <v>854597.19026000006</v>
      </c>
      <c r="W378" s="370">
        <f t="shared" ref="W378:AB378" si="263">W251+W252+W253+W254</f>
        <v>868624766.47000003</v>
      </c>
      <c r="X378" s="370">
        <f t="shared" si="263"/>
        <v>868624.76647000003</v>
      </c>
      <c r="Y378" s="370">
        <f t="shared" si="263"/>
        <v>868624.76647000003</v>
      </c>
      <c r="Z378" s="370">
        <f t="shared" si="263"/>
        <v>868614.52307999996</v>
      </c>
      <c r="AA378" s="370">
        <f t="shared" si="263"/>
        <v>8.5139999999999993</v>
      </c>
      <c r="AB378" s="370">
        <f t="shared" si="263"/>
        <v>1.7293900000000002</v>
      </c>
      <c r="AC378" s="369">
        <f>AC251+AC252+AC253+AC254</f>
        <v>893054.06382169994</v>
      </c>
      <c r="AD378" s="369">
        <f>AD251+AD252+AD253+AD254</f>
        <v>1062456.3841432203</v>
      </c>
      <c r="AE378" s="369">
        <f>AE251+AE252+AE253+AE254</f>
        <v>855691.4</v>
      </c>
      <c r="AF378" s="369">
        <f>AF251+AF252+AF253+AF254</f>
        <v>855691.4</v>
      </c>
      <c r="AG378" s="372"/>
      <c r="AH378" s="369">
        <f>AH251+AH252+AH253+AH254</f>
        <v>1452554.2100000002</v>
      </c>
      <c r="AI378" s="369"/>
      <c r="AJ378" s="369"/>
      <c r="AK378" s="369">
        <f>AK251+AK252+AK253+AK254</f>
        <v>1452554.2100000002</v>
      </c>
    </row>
    <row r="379" spans="2:37" ht="50.4">
      <c r="B379" s="400"/>
      <c r="C379" s="355"/>
      <c r="D379" s="355"/>
      <c r="E379" s="373" t="s">
        <v>1487</v>
      </c>
      <c r="F379" s="74"/>
      <c r="G379" s="74"/>
      <c r="H379" s="74"/>
      <c r="I379" s="74"/>
      <c r="J379" s="74"/>
      <c r="K379" s="74"/>
      <c r="L379" s="74"/>
      <c r="M379" s="74"/>
      <c r="N379" s="373" t="s">
        <v>1487</v>
      </c>
      <c r="O379" s="367">
        <f>O255</f>
        <v>62154.389900000002</v>
      </c>
      <c r="P379" s="368">
        <f>P255</f>
        <v>62154.389900000002</v>
      </c>
      <c r="Q379" s="368">
        <f>Q255</f>
        <v>62154.389900000002</v>
      </c>
      <c r="R379" s="368">
        <f>R255</f>
        <v>62154.389900000002</v>
      </c>
      <c r="S379" s="369">
        <f>S255</f>
        <v>62154.389900000002</v>
      </c>
      <c r="T379" s="1300"/>
      <c r="U379" s="1301"/>
      <c r="V379" s="370">
        <f>V255</f>
        <v>72470.539999999994</v>
      </c>
      <c r="W379" s="370">
        <f t="shared" ref="W379:AB379" si="264">W255</f>
        <v>62081940.409999996</v>
      </c>
      <c r="X379" s="370">
        <f t="shared" si="264"/>
        <v>62081.940409999996</v>
      </c>
      <c r="Y379" s="370">
        <f t="shared" si="264"/>
        <v>62081.940409999996</v>
      </c>
      <c r="Z379" s="370">
        <f t="shared" si="264"/>
        <v>62081.940409999996</v>
      </c>
      <c r="AA379" s="370">
        <f t="shared" si="264"/>
        <v>0</v>
      </c>
      <c r="AB379" s="370">
        <f t="shared" si="264"/>
        <v>0</v>
      </c>
      <c r="AC379" s="369">
        <f>AC255</f>
        <v>75731.714299999992</v>
      </c>
      <c r="AD379" s="369">
        <f>AD255</f>
        <v>75731.714299999992</v>
      </c>
      <c r="AE379" s="369">
        <f>AE255</f>
        <v>75141.206897665339</v>
      </c>
      <c r="AF379" s="369">
        <f>AF255</f>
        <v>75141.206897665339</v>
      </c>
      <c r="AG379" s="373"/>
      <c r="AH379" s="369">
        <f>AH255</f>
        <v>77545.600000000006</v>
      </c>
      <c r="AI379" s="369"/>
      <c r="AJ379" s="369"/>
      <c r="AK379" s="369">
        <f>AK255</f>
        <v>77545.600000000006</v>
      </c>
    </row>
    <row r="380" spans="2:37" ht="84">
      <c r="B380" s="400"/>
      <c r="C380" s="355"/>
      <c r="D380" s="355"/>
      <c r="E380" s="373" t="s">
        <v>1488</v>
      </c>
      <c r="F380" s="74"/>
      <c r="G380" s="74"/>
      <c r="H380" s="74"/>
      <c r="I380" s="74"/>
      <c r="J380" s="74"/>
      <c r="K380" s="74"/>
      <c r="L380" s="74"/>
      <c r="M380" s="74"/>
      <c r="N380" s="373" t="s">
        <v>1488</v>
      </c>
      <c r="O380" s="367">
        <f>O277</f>
        <v>262313.280030002</v>
      </c>
      <c r="P380" s="368">
        <f>P277</f>
        <v>101736.78313000068</v>
      </c>
      <c r="Q380" s="368">
        <f>Q277</f>
        <v>64196.78</v>
      </c>
      <c r="R380" s="368">
        <f>R277</f>
        <v>64196.78</v>
      </c>
      <c r="S380" s="369">
        <f>S277</f>
        <v>64196.78</v>
      </c>
      <c r="T380" s="1300"/>
      <c r="U380" s="1301"/>
      <c r="V380" s="370">
        <f>V277</f>
        <v>336598.63571940805</v>
      </c>
      <c r="W380" s="370">
        <f t="shared" ref="W380:AB380" si="265">W277</f>
        <v>96981775.886998996</v>
      </c>
      <c r="X380" s="370">
        <f t="shared" si="265"/>
        <v>96981.775886998992</v>
      </c>
      <c r="Y380" s="370">
        <f t="shared" si="265"/>
        <v>231014.39857772301</v>
      </c>
      <c r="Z380" s="370">
        <f t="shared" si="265"/>
        <v>-61273.425802276135</v>
      </c>
      <c r="AA380" s="370">
        <f t="shared" si="265"/>
        <v>226107.90055999995</v>
      </c>
      <c r="AB380" s="370">
        <f t="shared" si="265"/>
        <v>66179.923820000025</v>
      </c>
      <c r="AC380" s="369">
        <f>AC277</f>
        <v>354585.75646089728</v>
      </c>
      <c r="AD380" s="369">
        <f>AD277</f>
        <v>775756.23813897197</v>
      </c>
      <c r="AE380" s="369">
        <f>AE277</f>
        <v>355981.21535599872</v>
      </c>
      <c r="AF380" s="369">
        <f>AF277</f>
        <v>359574.89899626304</v>
      </c>
      <c r="AG380" s="373"/>
      <c r="AH380" s="369">
        <f>AH277</f>
        <v>831264.87253649521</v>
      </c>
      <c r="AI380" s="369"/>
      <c r="AJ380" s="369"/>
      <c r="AK380" s="369">
        <f>AK277</f>
        <v>772920.3670661354</v>
      </c>
    </row>
    <row r="381" spans="2:37" ht="33.6">
      <c r="B381" s="400"/>
      <c r="C381" s="355"/>
      <c r="D381" s="355"/>
      <c r="E381" s="373" t="s">
        <v>1489</v>
      </c>
      <c r="F381" s="74"/>
      <c r="G381" s="74"/>
      <c r="H381" s="74"/>
      <c r="I381" s="74"/>
      <c r="J381" s="74"/>
      <c r="K381" s="74"/>
      <c r="L381" s="74"/>
      <c r="M381" s="74"/>
      <c r="N381" s="373" t="s">
        <v>1489</v>
      </c>
      <c r="O381" s="367">
        <f>O276</f>
        <v>0</v>
      </c>
      <c r="P381" s="368">
        <f>P276</f>
        <v>0</v>
      </c>
      <c r="Q381" s="368">
        <f>Q276</f>
        <v>0</v>
      </c>
      <c r="R381" s="368">
        <f>R276</f>
        <v>0</v>
      </c>
      <c r="S381" s="369">
        <f>S276</f>
        <v>0</v>
      </c>
      <c r="T381" s="1300"/>
      <c r="U381" s="1301"/>
      <c r="V381" s="370">
        <f>V276</f>
        <v>345140.29777159984</v>
      </c>
      <c r="W381" s="370">
        <f t="shared" ref="W381:AB381" si="266">W276</f>
        <v>0</v>
      </c>
      <c r="X381" s="370">
        <f t="shared" si="266"/>
        <v>0</v>
      </c>
      <c r="Y381" s="370">
        <f t="shared" si="266"/>
        <v>0</v>
      </c>
      <c r="Z381" s="370">
        <f t="shared" si="266"/>
        <v>0</v>
      </c>
      <c r="AA381" s="370">
        <f t="shared" si="266"/>
        <v>0</v>
      </c>
      <c r="AB381" s="370">
        <f t="shared" si="266"/>
        <v>0</v>
      </c>
      <c r="AC381" s="369">
        <f>AC276</f>
        <v>333453.19945632201</v>
      </c>
      <c r="AD381" s="369">
        <f>AD276</f>
        <v>5341487.6500000004</v>
      </c>
      <c r="AE381" s="369">
        <f>AE276</f>
        <v>0</v>
      </c>
      <c r="AF381" s="369">
        <f>AF276</f>
        <v>0</v>
      </c>
      <c r="AG381" s="373"/>
      <c r="AH381" s="369">
        <f>AH276</f>
        <v>0</v>
      </c>
      <c r="AI381" s="369"/>
      <c r="AJ381" s="369"/>
      <c r="AK381" s="369">
        <f>AK276</f>
        <v>0</v>
      </c>
    </row>
    <row r="382" spans="2:37">
      <c r="B382" s="400"/>
      <c r="C382" s="355"/>
      <c r="D382" s="355"/>
      <c r="E382" s="373" t="s">
        <v>66</v>
      </c>
      <c r="F382" s="74"/>
      <c r="G382" s="74"/>
      <c r="H382" s="74"/>
      <c r="I382" s="74"/>
      <c r="J382" s="74"/>
      <c r="K382" s="74"/>
      <c r="L382" s="74"/>
      <c r="M382" s="74"/>
      <c r="N382" s="373" t="s">
        <v>66</v>
      </c>
      <c r="O382" s="367">
        <f>O268</f>
        <v>14303.000000000005</v>
      </c>
      <c r="P382" s="368">
        <f>P268</f>
        <v>-33146</v>
      </c>
      <c r="Q382" s="368">
        <f>Q268</f>
        <v>30598.419227500006</v>
      </c>
      <c r="R382" s="368">
        <f>R268</f>
        <v>30598.419227500006</v>
      </c>
      <c r="S382" s="369">
        <f>S268</f>
        <v>29017.512530000004</v>
      </c>
      <c r="T382" s="1300"/>
      <c r="U382" s="1301"/>
      <c r="V382" s="370">
        <f>V268</f>
        <v>94894.848929852014</v>
      </c>
      <c r="W382" s="370">
        <f t="shared" ref="W382:AB382" si="267">W268</f>
        <v>134032623.39</v>
      </c>
      <c r="X382" s="370">
        <f t="shared" si="267"/>
        <v>134032.62338999999</v>
      </c>
      <c r="Y382" s="370">
        <f t="shared" si="267"/>
        <v>0</v>
      </c>
      <c r="Z382" s="370">
        <f t="shared" si="267"/>
        <v>0</v>
      </c>
      <c r="AA382" s="370">
        <f t="shared" si="267"/>
        <v>0</v>
      </c>
      <c r="AB382" s="370">
        <f t="shared" si="267"/>
        <v>0</v>
      </c>
      <c r="AC382" s="369">
        <f>AC268</f>
        <v>99875.162665224314</v>
      </c>
      <c r="AD382" s="369">
        <f>AD268</f>
        <v>240747.37227624294</v>
      </c>
      <c r="AE382" s="369">
        <f>AE268</f>
        <v>100136.47299469695</v>
      </c>
      <c r="AF382" s="369">
        <f>AF268</f>
        <v>101034.89390476303</v>
      </c>
      <c r="AG382" s="373"/>
      <c r="AH382" s="369">
        <f>AH268</f>
        <v>263661.57188421319</v>
      </c>
      <c r="AI382" s="369"/>
      <c r="AJ382" s="369"/>
      <c r="AK382" s="369">
        <f>AK268</f>
        <v>248701.69551662324</v>
      </c>
    </row>
    <row r="383" spans="2:37">
      <c r="B383" s="400"/>
      <c r="C383" s="355"/>
      <c r="D383" s="355"/>
      <c r="E383" s="374"/>
      <c r="F383" s="74"/>
      <c r="G383" s="74"/>
      <c r="H383" s="74"/>
      <c r="I383" s="74"/>
      <c r="J383" s="74"/>
      <c r="K383" s="74"/>
      <c r="L383" s="74"/>
      <c r="M383" s="74"/>
      <c r="N383" s="374"/>
      <c r="O383" s="375"/>
      <c r="P383" s="74"/>
      <c r="Q383" s="74"/>
      <c r="R383" s="74"/>
      <c r="S383" s="376"/>
      <c r="T383" s="1300"/>
      <c r="U383" s="1301"/>
      <c r="V383" s="377"/>
      <c r="W383" s="1038"/>
      <c r="X383" s="1038"/>
      <c r="Y383" s="1038"/>
      <c r="Z383" s="1038"/>
      <c r="AA383" s="1038"/>
      <c r="AB383" s="1038"/>
      <c r="AC383" s="376"/>
      <c r="AD383" s="376"/>
      <c r="AE383" s="376"/>
      <c r="AF383" s="376"/>
      <c r="AG383" s="374"/>
      <c r="AH383" s="376"/>
      <c r="AI383" s="376"/>
      <c r="AJ383" s="376"/>
      <c r="AK383" s="376"/>
    </row>
    <row r="384" spans="2:37" ht="135" thickBot="1">
      <c r="B384" s="400"/>
      <c r="C384" s="355"/>
      <c r="D384" s="355"/>
      <c r="E384" s="378" t="s">
        <v>1490</v>
      </c>
      <c r="F384" s="74"/>
      <c r="G384" s="74"/>
      <c r="H384" s="74"/>
      <c r="I384" s="74"/>
      <c r="J384" s="74"/>
      <c r="K384" s="74"/>
      <c r="L384" s="74"/>
      <c r="M384" s="74"/>
      <c r="N384" s="378" t="s">
        <v>1490</v>
      </c>
      <c r="O384" s="379">
        <f>(O96+O277+O294+O202+O287+O302+O303+O304+O305+O205+O306+O307+O309+O312+O313+O314+O203+O204+O297)/0.8</f>
        <v>445294.02626250248</v>
      </c>
      <c r="P384" s="380">
        <f>(P96+P277+P294+P202+P287+P302+P303+P304+P305+P205+P306+P307+P309+P312+P313+P314+P203+P204+P297)/0.8</f>
        <v>216404.54152500085</v>
      </c>
      <c r="Q384" s="380">
        <f>(Q96+Q277+Q294+Q202+Q287+Q302+Q303+Q304+Q305+Q205+Q306+Q307+Q309+Q312+Q313+Q314+Q203+Q204+Q297)/0.8</f>
        <v>152992.09613749999</v>
      </c>
      <c r="R384" s="380">
        <f>(R96+R277+R294+R202+R287+R302+R303+R304+R305+R205+R306+R307+R309+R312+R313+R314+R203+R204+R297)/0.8</f>
        <v>152992.09613749999</v>
      </c>
      <c r="S384" s="381">
        <f>(S96+S277+S294+S202+S287+S302+S303+S304+S305+S205+S306+S307+S309+S312+S313+S314+S203+S204+S297)/0.8</f>
        <v>145087.56265000001</v>
      </c>
      <c r="T384" s="1300"/>
      <c r="U384" s="1301"/>
      <c r="V384" s="379">
        <f>(V96+V277+V294+V202+V287+V302+V303+V304+V305+V205+V306+V307+V309+V312+V313+V314+V203+V204+V297)/0.8</f>
        <v>474474.24464926007</v>
      </c>
      <c r="W384" s="379">
        <f t="shared" ref="W384:AB384" si="268">(W96+W277+W294+W202+W287+W302+W303+W304+W305+W205+W306+W307+W309+W312+W313+W314+W203+W204+W297)/0.8</f>
        <v>262655881.59624878</v>
      </c>
      <c r="X384" s="379">
        <f t="shared" si="268"/>
        <v>262655.88159624871</v>
      </c>
      <c r="Y384" s="379">
        <f t="shared" si="268"/>
        <v>430196.65996249852</v>
      </c>
      <c r="Z384" s="379">
        <f>(Z96+Z277+Z294+Z202+Z287+Z302+Z303+Z304+Z305+Z205+Z306+Z307+Z309+Z312+Z313+Z314+Z203+Z204+Z297)/0.8</f>
        <v>20763.871037499513</v>
      </c>
      <c r="AA384" s="379">
        <f t="shared" si="268"/>
        <v>320596.57157499983</v>
      </c>
      <c r="AB384" s="379">
        <f t="shared" si="268"/>
        <v>88836.217350000021</v>
      </c>
      <c r="AC384" s="380">
        <f>(AC96+AC277+AC294+AC202+AC287+AC302+AC303+AC304+AC305+AC205+AC306+AC307+AC309+AC312+AC313+AC314+AC203+AC204+AC297)/0.8</f>
        <v>499375.81332612154</v>
      </c>
      <c r="AD384" s="381">
        <f>(AD96+AD277+AD294+AD202+AD287+AD302+AD303+AD304+AD305+AD205+AD306+AD307+AD309+AD312+AD313+AD314+AD203+AD204+AD297)/0.8</f>
        <v>1200655.6258487147</v>
      </c>
      <c r="AE384" s="381">
        <f>(AE96+AE277+AE294+AE202+AE287+AE302+AE303+AE304+AE305+AE205+AE306+AE307+AE309+AE312+AE313+AE314+AE203+AE204+AE297)/0.8</f>
        <v>500682.36497348471</v>
      </c>
      <c r="AF384" s="381">
        <f>(AF96+AF277+AF294+AF202+AF287+AF302+AF303+AF304+AF305+AF205+AF306+AF307+AF309+AF312+AF313+AF314+AF203+AF204+AF297)/0.8</f>
        <v>505174.46952381509</v>
      </c>
      <c r="AG384" s="378"/>
      <c r="AH384" s="381">
        <f>(AH96+AH277+AH294+AH202+AH287+AH302+AH303+AH304+AH305+AH205+AH306+AH307+AH309+AH312+AH313+AH314+AH203+AH204+AH297)/0.8</f>
        <v>1318307.8594210658</v>
      </c>
      <c r="AI384" s="381"/>
      <c r="AJ384" s="381"/>
      <c r="AK384" s="381">
        <f>(AK96+AK277+AK294+AK202+AK287+AK302+AK303+AK304+AK305+AK205+AK306+AK307+AK309+AK312+AK313+AK314+AK203+AK204+AK297)/0.8</f>
        <v>1243508.4775831162</v>
      </c>
    </row>
    <row r="385" spans="5:37" ht="27" customHeight="1" thickBot="1">
      <c r="E385" s="383" t="s">
        <v>1491</v>
      </c>
      <c r="N385" s="383" t="s">
        <v>1491</v>
      </c>
      <c r="O385" s="384">
        <f>O384*0.2</f>
        <v>89058.805252500504</v>
      </c>
      <c r="P385" s="385">
        <f t="shared" ref="P385:R385" si="269">P384*0.2</f>
        <v>43280.908305000172</v>
      </c>
      <c r="Q385" s="385">
        <f t="shared" si="269"/>
        <v>30598.419227499999</v>
      </c>
      <c r="R385" s="385">
        <f t="shared" si="269"/>
        <v>30598.419227499999</v>
      </c>
      <c r="S385" s="386">
        <f>S384*0.2</f>
        <v>29017.512530000004</v>
      </c>
      <c r="T385" s="1300"/>
      <c r="U385" s="1301"/>
      <c r="V385" s="387">
        <f>V384*0.2</f>
        <v>94894.848929852014</v>
      </c>
      <c r="W385" s="387">
        <f t="shared" ref="W385:AE385" si="270">W384*0.2</f>
        <v>52531176.319249757</v>
      </c>
      <c r="X385" s="387">
        <f t="shared" si="270"/>
        <v>52531.176319249746</v>
      </c>
      <c r="Y385" s="387">
        <f t="shared" si="270"/>
        <v>86039.331992499705</v>
      </c>
      <c r="Z385" s="387">
        <f t="shared" si="270"/>
        <v>4152.7742074999032</v>
      </c>
      <c r="AA385" s="387">
        <f t="shared" si="270"/>
        <v>64119.314314999967</v>
      </c>
      <c r="AB385" s="387">
        <f t="shared" si="270"/>
        <v>17767.243470000005</v>
      </c>
      <c r="AC385" s="386">
        <f t="shared" si="270"/>
        <v>99875.162665224314</v>
      </c>
      <c r="AD385" s="386">
        <f t="shared" si="270"/>
        <v>240131.12516974297</v>
      </c>
      <c r="AE385" s="386">
        <f t="shared" si="270"/>
        <v>100136.47299469695</v>
      </c>
      <c r="AF385" s="386">
        <f>AF384*0.2</f>
        <v>101034.89390476303</v>
      </c>
      <c r="AG385" s="383"/>
      <c r="AH385" s="1039">
        <f>AH384*0.2</f>
        <v>263661.57188421319</v>
      </c>
      <c r="AI385" s="1039"/>
      <c r="AJ385" s="1039"/>
      <c r="AK385" s="386">
        <f>AK384*0.2</f>
        <v>248701.69551662324</v>
      </c>
    </row>
    <row r="386" spans="5:37" ht="17.399999999999999" thickBot="1">
      <c r="E386" s="52"/>
      <c r="T386" s="1301"/>
      <c r="U386" s="1301"/>
    </row>
    <row r="387" spans="5:37" ht="135" thickBot="1">
      <c r="E387" s="388" t="s">
        <v>1492</v>
      </c>
      <c r="N387" s="388" t="s">
        <v>1492</v>
      </c>
      <c r="O387" s="389">
        <f>O377*12%</f>
        <v>459792.35805480002</v>
      </c>
      <c r="P387" s="390">
        <f>P377*12%</f>
        <v>426875.88719520008</v>
      </c>
      <c r="Q387" s="390">
        <f>Q377*12%</f>
        <v>369154.9617939039</v>
      </c>
      <c r="R387" s="390">
        <f>R377*12%</f>
        <v>369531.30933750392</v>
      </c>
      <c r="S387" s="391">
        <f>S377*12%</f>
        <v>355958.97687870398</v>
      </c>
      <c r="T387" s="1300"/>
      <c r="U387" s="1301"/>
      <c r="V387" s="392">
        <f>V377*12%</f>
        <v>336598.6357307951</v>
      </c>
      <c r="W387" s="392">
        <f t="shared" ref="W387:AD387" si="271">W377*12%</f>
        <v>526397941.54475987</v>
      </c>
      <c r="X387" s="392">
        <f t="shared" si="271"/>
        <v>526397.94115355983</v>
      </c>
      <c r="Y387" s="392">
        <f t="shared" si="271"/>
        <v>526397.94192867295</v>
      </c>
      <c r="Z387" s="392">
        <f t="shared" si="271"/>
        <v>501663.36294747307</v>
      </c>
      <c r="AA387" s="392">
        <f t="shared" si="271"/>
        <v>17105.413243200001</v>
      </c>
      <c r="AB387" s="392">
        <f t="shared" si="271"/>
        <v>7629.1662527999997</v>
      </c>
      <c r="AC387" s="391">
        <f t="shared" si="271"/>
        <v>354585.75629589515</v>
      </c>
      <c r="AD387" s="391">
        <f t="shared" si="271"/>
        <v>775756.23797397001</v>
      </c>
      <c r="AE387" s="391">
        <f>AE377*12%</f>
        <v>355889.23310577596</v>
      </c>
      <c r="AF387" s="391">
        <f>AF377*12%</f>
        <v>359574.89873729617</v>
      </c>
      <c r="AG387" s="388"/>
      <c r="AH387" s="1040">
        <f>AH377*12%</f>
        <v>833850.40093649516</v>
      </c>
      <c r="AI387" s="1040"/>
      <c r="AJ387" s="1040"/>
      <c r="AK387" s="391">
        <f>AK377*12%</f>
        <v>804415.78746366675</v>
      </c>
    </row>
  </sheetData>
  <autoFilter ref="AH26:AK325"/>
  <mergeCells count="103">
    <mergeCell ref="R3:R4"/>
    <mergeCell ref="S3:S4"/>
    <mergeCell ref="T3:T4"/>
    <mergeCell ref="U3:V3"/>
    <mergeCell ref="AC3:AC4"/>
    <mergeCell ref="AD3:AD4"/>
    <mergeCell ref="P2:AD2"/>
    <mergeCell ref="H3:H4"/>
    <mergeCell ref="I3:I4"/>
    <mergeCell ref="J3:J4"/>
    <mergeCell ref="K3:K4"/>
    <mergeCell ref="L3:L4"/>
    <mergeCell ref="M3:N3"/>
    <mergeCell ref="O3:O4"/>
    <mergeCell ref="P3:P4"/>
    <mergeCell ref="Q3:Q4"/>
    <mergeCell ref="F23:G23"/>
    <mergeCell ref="B24:AD24"/>
    <mergeCell ref="A25:A27"/>
    <mergeCell ref="B25:B27"/>
    <mergeCell ref="C25:C27"/>
    <mergeCell ref="D25:D27"/>
    <mergeCell ref="E25:E27"/>
    <mergeCell ref="F25:F27"/>
    <mergeCell ref="G25:G27"/>
    <mergeCell ref="H25:J25"/>
    <mergeCell ref="K25:M25"/>
    <mergeCell ref="N25:U25"/>
    <mergeCell ref="V25:AB25"/>
    <mergeCell ref="AC25:AF25"/>
    <mergeCell ref="AG25:AK25"/>
    <mergeCell ref="AL25:AL27"/>
    <mergeCell ref="N26:N27"/>
    <mergeCell ref="O26:O27"/>
    <mergeCell ref="P26:P27"/>
    <mergeCell ref="Q26:Q27"/>
    <mergeCell ref="AK26:AK27"/>
    <mergeCell ref="Z26:Z27"/>
    <mergeCell ref="AA26:AA27"/>
    <mergeCell ref="AB26:AB27"/>
    <mergeCell ref="AC26:AC27"/>
    <mergeCell ref="AD26:AD27"/>
    <mergeCell ref="AE26:AE27"/>
    <mergeCell ref="R26:R27"/>
    <mergeCell ref="S26:S27"/>
    <mergeCell ref="T26:T27"/>
    <mergeCell ref="U26:U27"/>
    <mergeCell ref="V26:V27"/>
    <mergeCell ref="Y26:Y27"/>
    <mergeCell ref="A144:A145"/>
    <mergeCell ref="C144:C145"/>
    <mergeCell ref="F146:F147"/>
    <mergeCell ref="G146:G147"/>
    <mergeCell ref="AF26:AF27"/>
    <mergeCell ref="AG26:AG27"/>
    <mergeCell ref="AH26:AH27"/>
    <mergeCell ref="AI26:AI27"/>
    <mergeCell ref="AJ26:AJ27"/>
    <mergeCell ref="H26:H27"/>
    <mergeCell ref="I26:I27"/>
    <mergeCell ref="J26:J27"/>
    <mergeCell ref="K26:K27"/>
    <mergeCell ref="L26:L27"/>
    <mergeCell ref="M26:M27"/>
    <mergeCell ref="K146:K147"/>
    <mergeCell ref="F170:F171"/>
    <mergeCell ref="G170:G171"/>
    <mergeCell ref="K170:K171"/>
    <mergeCell ref="AL176:AL177"/>
    <mergeCell ref="F208:F210"/>
    <mergeCell ref="G59:G60"/>
    <mergeCell ref="F116:F117"/>
    <mergeCell ref="G116:G117"/>
    <mergeCell ref="H244:H245"/>
    <mergeCell ref="K244:K245"/>
    <mergeCell ref="V244:V245"/>
    <mergeCell ref="AC244:AC245"/>
    <mergeCell ref="AE244:AE245"/>
    <mergeCell ref="AG244:AG245"/>
    <mergeCell ref="F218:F219"/>
    <mergeCell ref="G218:G219"/>
    <mergeCell ref="A244:A245"/>
    <mergeCell ref="B244:B245"/>
    <mergeCell ref="F244:F245"/>
    <mergeCell ref="G244:G245"/>
    <mergeCell ref="B338:E338"/>
    <mergeCell ref="B348:AE348"/>
    <mergeCell ref="B354:B357"/>
    <mergeCell ref="C354:F357"/>
    <mergeCell ref="G354:G357"/>
    <mergeCell ref="K354:K357"/>
    <mergeCell ref="L354:V354"/>
    <mergeCell ref="L355:L357"/>
    <mergeCell ref="M355:M356"/>
    <mergeCell ref="N375:AD375"/>
    <mergeCell ref="T376:T387"/>
    <mergeCell ref="U376:U387"/>
    <mergeCell ref="C358:F358"/>
    <mergeCell ref="C359:F359"/>
    <mergeCell ref="C360:F360"/>
    <mergeCell ref="C361:F361"/>
    <mergeCell ref="C362:F362"/>
    <mergeCell ref="C363:F363"/>
  </mergeCells>
  <dataValidations disablePrompts="1" count="1">
    <dataValidation type="decimal" allowBlank="1" showInputMessage="1" showErrorMessage="1" error="Ввведеное значение неверно" sqref="K6:O6 S6:AF6">
      <formula1>-1000000000000000</formula1>
      <formula2>1000000000000000</formula2>
    </dataValidation>
  </dataValidations>
  <printOptions horizontalCentered="1"/>
  <pageMargins left="0" right="0" top="0.19685039370078741" bottom="0" header="0" footer="0"/>
  <pageSetup paperSize="8" scale="50" fitToHeight="0" orientation="portrait" cellComments="asDisplayed"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view="pageBreakPreview" zoomScale="60" zoomScaleNormal="60" workbookViewId="0">
      <pane xSplit="3" ySplit="7" topLeftCell="D8" activePane="bottomRight" state="frozen"/>
      <selection pane="topRight" activeCell="E1" sqref="E1"/>
      <selection pane="bottomLeft" activeCell="A8" sqref="A8"/>
      <selection pane="bottomRight" activeCell="F32" sqref="F32"/>
    </sheetView>
  </sheetViews>
  <sheetFormatPr defaultColWidth="9.109375" defaultRowHeight="18"/>
  <cols>
    <col min="1" max="1" width="15" style="12" customWidth="1"/>
    <col min="2" max="2" width="62.6640625" style="2" customWidth="1"/>
    <col min="3" max="3" width="18.33203125" style="8" customWidth="1"/>
    <col min="4" max="4" width="54.44140625" style="1" customWidth="1"/>
    <col min="5" max="5" width="73.6640625" style="1" customWidth="1"/>
    <col min="6" max="6" width="64.33203125" style="1" customWidth="1"/>
    <col min="7" max="7" width="25.88671875" style="1" customWidth="1"/>
    <col min="8" max="8" width="67.5546875" style="1" customWidth="1"/>
    <col min="9" max="10" width="17" style="1" bestFit="1" customWidth="1"/>
    <col min="11" max="16384" width="9.109375" style="1"/>
  </cols>
  <sheetData>
    <row r="1" spans="1:8">
      <c r="A1" s="1"/>
      <c r="B1" s="1"/>
      <c r="C1" s="1"/>
      <c r="F1" s="1105" t="s">
        <v>2238</v>
      </c>
    </row>
    <row r="2" spans="1:8" ht="44.4" customHeight="1">
      <c r="A2" s="9"/>
      <c r="B2" s="9"/>
      <c r="C2" s="9"/>
      <c r="D2" s="9"/>
      <c r="E2" s="9"/>
      <c r="F2" s="1116" t="s">
        <v>2209</v>
      </c>
    </row>
    <row r="3" spans="1:8" ht="6.75" hidden="1" customHeight="1">
      <c r="A3" s="9"/>
      <c r="B3" s="9"/>
      <c r="C3" s="9"/>
      <c r="D3" s="9"/>
      <c r="E3" s="9"/>
      <c r="F3" s="1116"/>
    </row>
    <row r="4" spans="1:8" ht="51.75" customHeight="1">
      <c r="A4" s="1117" t="s">
        <v>2210</v>
      </c>
      <c r="B4" s="1117"/>
      <c r="C4" s="1117"/>
      <c r="D4" s="1117"/>
      <c r="E4" s="1117"/>
      <c r="F4" s="1117"/>
    </row>
    <row r="5" spans="1:8">
      <c r="A5" s="10"/>
      <c r="B5" s="8"/>
      <c r="D5" s="8"/>
      <c r="E5" s="8"/>
      <c r="F5" s="18"/>
      <c r="G5" s="396"/>
    </row>
    <row r="6" spans="1:8" s="2" customFormat="1" ht="41.25" customHeight="1">
      <c r="A6" s="1122" t="s">
        <v>76</v>
      </c>
      <c r="B6" s="1123" t="s">
        <v>2224</v>
      </c>
      <c r="C6" s="1123" t="s">
        <v>0</v>
      </c>
      <c r="D6" s="1118" t="s">
        <v>68</v>
      </c>
      <c r="E6" s="1119"/>
      <c r="F6" s="1120"/>
    </row>
    <row r="7" spans="1:8" s="2" customFormat="1" ht="69.599999999999994" customHeight="1">
      <c r="A7" s="1122"/>
      <c r="B7" s="1123"/>
      <c r="C7" s="1123"/>
      <c r="D7" s="1084" t="s">
        <v>2225</v>
      </c>
      <c r="E7" s="5" t="s">
        <v>2226</v>
      </c>
      <c r="F7" s="1084" t="s">
        <v>2234</v>
      </c>
      <c r="G7" s="1094"/>
      <c r="H7" s="1094"/>
    </row>
    <row r="8" spans="1:8" s="22" customFormat="1" ht="39" customHeight="1">
      <c r="A8" s="19" t="s">
        <v>1</v>
      </c>
      <c r="B8" s="31" t="s">
        <v>8</v>
      </c>
      <c r="C8" s="20"/>
      <c r="D8" s="21"/>
      <c r="E8" s="21"/>
      <c r="F8" s="1100"/>
      <c r="G8" s="1079"/>
    </row>
    <row r="9" spans="1:8" ht="29.25" customHeight="1">
      <c r="A9" s="11" t="s">
        <v>2</v>
      </c>
      <c r="B9" s="32" t="s">
        <v>1526</v>
      </c>
      <c r="C9" s="5" t="s">
        <v>14</v>
      </c>
      <c r="D9" s="397">
        <v>7509867.7614900004</v>
      </c>
      <c r="E9" s="397">
        <v>8028581.78321952</v>
      </c>
      <c r="F9" s="1101">
        <v>42135001.980101697</v>
      </c>
      <c r="G9" s="396"/>
    </row>
    <row r="10" spans="1:8" ht="25.2" customHeight="1">
      <c r="A10" s="11" t="s">
        <v>3</v>
      </c>
      <c r="B10" s="32" t="s">
        <v>9</v>
      </c>
      <c r="C10" s="5" t="s">
        <v>14</v>
      </c>
      <c r="D10" s="397">
        <f>'1.3'!CF27</f>
        <v>609468</v>
      </c>
      <c r="E10" s="397">
        <v>1029544.4698925889</v>
      </c>
      <c r="F10" s="1101">
        <v>17269709.792836539</v>
      </c>
      <c r="H10" s="1081"/>
    </row>
    <row r="11" spans="1:8" ht="43.2" customHeight="1">
      <c r="A11" s="11" t="s">
        <v>4</v>
      </c>
      <c r="B11" s="32" t="s">
        <v>10</v>
      </c>
      <c r="C11" s="5" t="s">
        <v>14</v>
      </c>
      <c r="D11" s="397">
        <v>894982</v>
      </c>
      <c r="E11" s="397">
        <v>969701.34010237863</v>
      </c>
      <c r="F11" s="397">
        <v>2712644.084512949</v>
      </c>
    </row>
    <row r="12" spans="1:8" ht="24" customHeight="1">
      <c r="A12" s="11" t="s">
        <v>5</v>
      </c>
      <c r="B12" s="32" t="s">
        <v>11</v>
      </c>
      <c r="C12" s="5" t="s">
        <v>14</v>
      </c>
      <c r="D12" s="397">
        <f>'1.3'!CF38</f>
        <v>-135768</v>
      </c>
      <c r="E12" s="397">
        <v>359574.89899626304</v>
      </c>
      <c r="F12" s="1101">
        <v>880034.07725789805</v>
      </c>
    </row>
    <row r="13" spans="1:8" s="22" customFormat="1" ht="17.399999999999999">
      <c r="A13" s="19" t="s">
        <v>6</v>
      </c>
      <c r="B13" s="31" t="s">
        <v>12</v>
      </c>
      <c r="C13" s="20"/>
      <c r="D13" s="1069"/>
      <c r="E13" s="1069"/>
      <c r="F13" s="1102"/>
    </row>
    <row r="14" spans="1:8" ht="74.25" customHeight="1">
      <c r="A14" s="11" t="s">
        <v>7</v>
      </c>
      <c r="B14" s="32" t="s">
        <v>13</v>
      </c>
      <c r="C14" s="5" t="s">
        <v>15</v>
      </c>
      <c r="D14" s="397">
        <f>D10/D9*100</f>
        <v>8.1155623421933338</v>
      </c>
      <c r="E14" s="397">
        <v>12.823491093338999</v>
      </c>
      <c r="F14" s="1101">
        <v>40.986612035742112</v>
      </c>
    </row>
    <row r="15" spans="1:8" s="22" customFormat="1" ht="34.799999999999997">
      <c r="A15" s="19" t="s">
        <v>16</v>
      </c>
      <c r="B15" s="31" t="s">
        <v>26</v>
      </c>
      <c r="C15" s="20"/>
      <c r="D15" s="21"/>
      <c r="E15" s="21"/>
      <c r="F15" s="1100"/>
      <c r="G15" s="1079"/>
    </row>
    <row r="16" spans="1:8" ht="36">
      <c r="A16" s="11" t="s">
        <v>19</v>
      </c>
      <c r="B16" s="32" t="s">
        <v>69</v>
      </c>
      <c r="C16" s="5" t="s">
        <v>24</v>
      </c>
      <c r="D16" s="6" t="s">
        <v>63</v>
      </c>
      <c r="E16" s="6" t="s">
        <v>63</v>
      </c>
      <c r="F16" s="1068" t="s">
        <v>63</v>
      </c>
      <c r="G16" s="1079"/>
      <c r="H16" s="22"/>
    </row>
    <row r="17" spans="1:10" ht="36">
      <c r="A17" s="11" t="s">
        <v>20</v>
      </c>
      <c r="B17" s="32" t="s">
        <v>1532</v>
      </c>
      <c r="C17" s="5" t="s">
        <v>70</v>
      </c>
      <c r="D17" s="6" t="s">
        <v>63</v>
      </c>
      <c r="E17" s="6" t="s">
        <v>63</v>
      </c>
      <c r="F17" s="1068" t="s">
        <v>63</v>
      </c>
      <c r="G17" s="396"/>
    </row>
    <row r="18" spans="1:10" s="1080" customFormat="1" ht="60.6" customHeight="1">
      <c r="A18" s="1082" t="s">
        <v>21</v>
      </c>
      <c r="B18" s="1083" t="s">
        <v>17</v>
      </c>
      <c r="C18" s="1084" t="s">
        <v>24</v>
      </c>
      <c r="D18" s="397">
        <v>806.51484064976898</v>
      </c>
      <c r="E18" s="397">
        <v>802.04</v>
      </c>
      <c r="F18" s="397">
        <v>823.7</v>
      </c>
    </row>
    <row r="19" spans="1:10" ht="33.6" customHeight="1">
      <c r="A19" s="1082" t="s">
        <v>22</v>
      </c>
      <c r="B19" s="1083" t="s">
        <v>18</v>
      </c>
      <c r="C19" s="1084" t="s">
        <v>25</v>
      </c>
      <c r="D19" s="397">
        <v>5647973.1855080929</v>
      </c>
      <c r="E19" s="397">
        <v>5674626.4699999997</v>
      </c>
      <c r="F19" s="397">
        <v>5769517.4186300002</v>
      </c>
    </row>
    <row r="20" spans="1:10" ht="44.25" customHeight="1">
      <c r="A20" s="1082" t="s">
        <v>23</v>
      </c>
      <c r="B20" s="1083" t="s">
        <v>51</v>
      </c>
      <c r="C20" s="1084" t="s">
        <v>25</v>
      </c>
      <c r="D20" s="397">
        <v>2496012.7234999998</v>
      </c>
      <c r="E20" s="397">
        <v>2530148.6800000002</v>
      </c>
      <c r="F20" s="397">
        <v>2572458.9079840528</v>
      </c>
    </row>
    <row r="21" spans="1:10" ht="66.75" customHeight="1">
      <c r="A21" s="1082" t="s">
        <v>71</v>
      </c>
      <c r="B21" s="1083" t="s">
        <v>100</v>
      </c>
      <c r="C21" s="1084" t="s">
        <v>15</v>
      </c>
      <c r="D21" s="397" t="s">
        <v>1523</v>
      </c>
      <c r="E21" s="397" t="s">
        <v>1523</v>
      </c>
      <c r="F21" s="397" t="s">
        <v>1523</v>
      </c>
    </row>
    <row r="22" spans="1:10" ht="262.95" customHeight="1">
      <c r="A22" s="11" t="s">
        <v>72</v>
      </c>
      <c r="B22" s="32" t="s">
        <v>82</v>
      </c>
      <c r="C22" s="5"/>
      <c r="D22" s="395" t="s">
        <v>1524</v>
      </c>
      <c r="E22" s="1137" t="s">
        <v>2235</v>
      </c>
      <c r="F22" s="1138"/>
    </row>
    <row r="23" spans="1:10" ht="54">
      <c r="A23" s="11" t="s">
        <v>73</v>
      </c>
      <c r="B23" s="32" t="s">
        <v>74</v>
      </c>
      <c r="C23" s="5" t="s">
        <v>70</v>
      </c>
      <c r="D23" s="6" t="s">
        <v>63</v>
      </c>
      <c r="E23" s="6" t="s">
        <v>63</v>
      </c>
      <c r="F23" s="1068" t="s">
        <v>63</v>
      </c>
    </row>
    <row r="24" spans="1:10" s="22" customFormat="1" ht="49.5" customHeight="1">
      <c r="A24" s="19" t="s">
        <v>33</v>
      </c>
      <c r="B24" s="31" t="s">
        <v>1525</v>
      </c>
      <c r="C24" s="20"/>
      <c r="D24" s="21">
        <v>5049951.0580799989</v>
      </c>
      <c r="E24" s="21">
        <v>4762004.1714969696</v>
      </c>
      <c r="F24" s="1102">
        <v>38208943.573761299</v>
      </c>
      <c r="H24" s="1079"/>
    </row>
    <row r="25" spans="1:10" ht="36">
      <c r="A25" s="1129" t="s">
        <v>34</v>
      </c>
      <c r="B25" s="32" t="s">
        <v>27</v>
      </c>
      <c r="C25" s="1126" t="s">
        <v>14</v>
      </c>
      <c r="D25" s="6">
        <v>2396659.0837499998</v>
      </c>
      <c r="E25" s="6">
        <v>1854248.2595059047</v>
      </c>
      <c r="F25" s="1101">
        <v>5024588.9760646364</v>
      </c>
      <c r="H25" s="1079"/>
    </row>
    <row r="26" spans="1:10" ht="26.4" customHeight="1">
      <c r="A26" s="1130"/>
      <c r="B26" s="32" t="s">
        <v>35</v>
      </c>
      <c r="C26" s="1127"/>
      <c r="D26" s="6"/>
      <c r="E26" s="6"/>
      <c r="F26" s="1101"/>
    </row>
    <row r="27" spans="1:10" ht="30" customHeight="1">
      <c r="A27" s="1130"/>
      <c r="B27" s="32" t="s">
        <v>36</v>
      </c>
      <c r="C27" s="1128"/>
      <c r="D27" s="6">
        <f>'Приложение № 8'!CG25</f>
        <v>938966.87582999992</v>
      </c>
      <c r="E27" s="6">
        <v>997946.4656911972</v>
      </c>
      <c r="F27" s="1101">
        <v>2243154.1</v>
      </c>
      <c r="G27" s="396"/>
    </row>
    <row r="28" spans="1:10" ht="28.95" customHeight="1">
      <c r="A28" s="1130"/>
      <c r="B28" s="32" t="s">
        <v>37</v>
      </c>
      <c r="C28" s="1126"/>
      <c r="D28" s="6">
        <f>'1. подк.неподк. факт'!Z113</f>
        <v>153414.06935000001</v>
      </c>
      <c r="E28" s="6">
        <v>76756.5014479456</v>
      </c>
      <c r="F28" s="1101">
        <v>165243.15666195759</v>
      </c>
    </row>
    <row r="29" spans="1:10" ht="31.2" customHeight="1">
      <c r="A29" s="1131"/>
      <c r="B29" s="32" t="s">
        <v>38</v>
      </c>
      <c r="C29" s="1128"/>
      <c r="D29" s="6">
        <f>'1. подк.неподк. факт'!Z29</f>
        <v>305661.52798000001</v>
      </c>
      <c r="E29" s="6">
        <v>252865.03119831113</v>
      </c>
      <c r="F29" s="1101">
        <v>426452.04844466853</v>
      </c>
    </row>
    <row r="30" spans="1:10" ht="48" customHeight="1">
      <c r="A30" s="11" t="s">
        <v>39</v>
      </c>
      <c r="B30" s="32" t="s">
        <v>28</v>
      </c>
      <c r="C30" s="5" t="s">
        <v>14</v>
      </c>
      <c r="D30" s="6">
        <f>2653291.97433-D32</f>
        <v>1560353.2411162122</v>
      </c>
      <c r="E30" s="6">
        <v>962079.3315679254</v>
      </c>
      <c r="F30" s="1101">
        <v>1757297.2616728642</v>
      </c>
    </row>
    <row r="31" spans="1:10" ht="36">
      <c r="A31" s="11" t="s">
        <v>40</v>
      </c>
      <c r="B31" s="32" t="s">
        <v>29</v>
      </c>
      <c r="C31" s="5" t="s">
        <v>14</v>
      </c>
      <c r="D31" s="6">
        <v>0</v>
      </c>
      <c r="E31" s="6">
        <v>368373.10943581146</v>
      </c>
      <c r="F31" s="1101">
        <v>15201199.440704037</v>
      </c>
      <c r="G31" s="396"/>
    </row>
    <row r="32" spans="1:10" ht="36">
      <c r="A32" s="11" t="s">
        <v>41</v>
      </c>
      <c r="B32" s="32" t="s">
        <v>1527</v>
      </c>
      <c r="C32" s="5" t="s">
        <v>14</v>
      </c>
      <c r="D32" s="6">
        <v>1092938.7332137879</v>
      </c>
      <c r="E32" s="6">
        <v>1571572.2989962632</v>
      </c>
      <c r="F32" s="1068">
        <v>3460064.7072578981</v>
      </c>
      <c r="G32" s="396"/>
      <c r="I32" s="396"/>
      <c r="J32" s="396"/>
    </row>
    <row r="33" spans="1:7" ht="301.5" customHeight="1">
      <c r="A33" s="11" t="s">
        <v>42</v>
      </c>
      <c r="B33" s="32" t="s">
        <v>83</v>
      </c>
      <c r="C33" s="5"/>
      <c r="D33" s="1067" t="s">
        <v>2213</v>
      </c>
      <c r="E33" s="1095" t="s">
        <v>1533</v>
      </c>
      <c r="F33" s="1095" t="s">
        <v>1534</v>
      </c>
    </row>
    <row r="34" spans="1:7">
      <c r="A34" s="13"/>
      <c r="B34" s="33" t="s">
        <v>30</v>
      </c>
      <c r="C34" s="5"/>
      <c r="D34" s="6"/>
      <c r="E34" s="6"/>
      <c r="F34" s="1068"/>
      <c r="G34" s="396"/>
    </row>
    <row r="35" spans="1:7" ht="40.5" customHeight="1">
      <c r="A35" s="13"/>
      <c r="B35" s="32" t="s">
        <v>31</v>
      </c>
      <c r="C35" s="5" t="s">
        <v>43</v>
      </c>
      <c r="D35" s="6">
        <v>98245.39</v>
      </c>
      <c r="E35" s="6">
        <v>98245.42</v>
      </c>
      <c r="F35" s="1068">
        <v>98474.93</v>
      </c>
    </row>
    <row r="36" spans="1:7" ht="39.75" customHeight="1">
      <c r="A36" s="14"/>
      <c r="B36" s="32" t="s">
        <v>32</v>
      </c>
      <c r="C36" s="5" t="s">
        <v>44</v>
      </c>
      <c r="D36" s="6">
        <f>D25/D35</f>
        <v>24.394621302332862</v>
      </c>
      <c r="E36" s="6">
        <v>18.873635631115473</v>
      </c>
      <c r="F36" s="1068">
        <v>51.024042119802843</v>
      </c>
    </row>
    <row r="37" spans="1:7" s="22" customFormat="1" ht="55.5" customHeight="1">
      <c r="A37" s="19" t="s">
        <v>52</v>
      </c>
      <c r="B37" s="31" t="s">
        <v>50</v>
      </c>
      <c r="C37" s="20"/>
      <c r="D37" s="21"/>
      <c r="E37" s="21"/>
      <c r="F37" s="1100"/>
    </row>
    <row r="38" spans="1:7" ht="27.6" customHeight="1">
      <c r="A38" s="11" t="s">
        <v>53</v>
      </c>
      <c r="B38" s="32" t="s">
        <v>45</v>
      </c>
      <c r="C38" s="5" t="s">
        <v>46</v>
      </c>
      <c r="D38" s="397">
        <v>2917.4</v>
      </c>
      <c r="E38" s="6">
        <v>3078.3</v>
      </c>
      <c r="F38" s="1068">
        <v>4458.4998256434901</v>
      </c>
    </row>
    <row r="39" spans="1:7" ht="36">
      <c r="A39" s="11" t="s">
        <v>54</v>
      </c>
      <c r="B39" s="32" t="s">
        <v>48</v>
      </c>
      <c r="C39" s="5" t="s">
        <v>49</v>
      </c>
      <c r="D39" s="397">
        <f>D27/12/D38</f>
        <v>26.820881487797351</v>
      </c>
      <c r="E39" s="6">
        <v>27.02</v>
      </c>
      <c r="F39" s="1068">
        <v>41.926548310754697</v>
      </c>
    </row>
    <row r="40" spans="1:7" ht="54" customHeight="1">
      <c r="A40" s="11" t="s">
        <v>55</v>
      </c>
      <c r="B40" s="32" t="s">
        <v>99</v>
      </c>
      <c r="C40" s="5"/>
      <c r="D40" s="1132" t="s">
        <v>2240</v>
      </c>
      <c r="E40" s="1133"/>
      <c r="F40" s="1134"/>
    </row>
    <row r="41" spans="1:7">
      <c r="A41" s="13"/>
      <c r="B41" s="33" t="s">
        <v>30</v>
      </c>
      <c r="C41" s="5"/>
      <c r="D41" s="6"/>
      <c r="E41" s="6"/>
      <c r="F41" s="1068"/>
    </row>
    <row r="42" spans="1:7" ht="45.75" customHeight="1">
      <c r="A42" s="13"/>
      <c r="B42" s="32" t="s">
        <v>47</v>
      </c>
      <c r="C42" s="5" t="s">
        <v>14</v>
      </c>
      <c r="D42" s="6">
        <v>162870.85999999999</v>
      </c>
      <c r="E42" s="6" t="s">
        <v>63</v>
      </c>
      <c r="F42" s="1068" t="s">
        <v>63</v>
      </c>
    </row>
    <row r="43" spans="1:7" ht="52.5" customHeight="1">
      <c r="A43" s="14"/>
      <c r="B43" s="32" t="s">
        <v>1531</v>
      </c>
      <c r="C43" s="5" t="s">
        <v>14</v>
      </c>
      <c r="D43" s="6">
        <v>4188000</v>
      </c>
      <c r="E43" s="6" t="s">
        <v>63</v>
      </c>
      <c r="F43" s="1068" t="s">
        <v>63</v>
      </c>
    </row>
    <row r="45" spans="1:7" ht="46.5" customHeight="1">
      <c r="A45" s="1135" t="s">
        <v>1528</v>
      </c>
      <c r="B45" s="1136"/>
      <c r="C45" s="1136"/>
      <c r="D45" s="1136"/>
      <c r="E45" s="1136"/>
      <c r="F45" s="1136"/>
    </row>
    <row r="46" spans="1:7" s="1085" customFormat="1" ht="18" customHeight="1">
      <c r="A46" s="1124" t="s">
        <v>2221</v>
      </c>
      <c r="B46" s="1125"/>
      <c r="C46" s="1125"/>
      <c r="D46" s="1125"/>
      <c r="E46" s="1125"/>
      <c r="F46" s="1098"/>
    </row>
    <row r="47" spans="1:7">
      <c r="A47" s="1135" t="s">
        <v>1529</v>
      </c>
      <c r="B47" s="1136"/>
      <c r="C47" s="1136"/>
      <c r="D47" s="1136"/>
      <c r="E47" s="1136"/>
      <c r="F47" s="1096"/>
    </row>
    <row r="48" spans="1:7">
      <c r="A48" s="1121" t="s">
        <v>1530</v>
      </c>
      <c r="B48" s="1121"/>
      <c r="C48" s="1121"/>
      <c r="D48" s="1121"/>
      <c r="E48" s="1121"/>
      <c r="F48" s="1097"/>
    </row>
    <row r="49" spans="1:6">
      <c r="A49" s="1121"/>
      <c r="B49" s="1121"/>
      <c r="C49" s="1121"/>
      <c r="D49" s="1121"/>
      <c r="E49" s="1121"/>
      <c r="F49" s="1097"/>
    </row>
  </sheetData>
  <mergeCells count="16">
    <mergeCell ref="F2:F3"/>
    <mergeCell ref="A4:F4"/>
    <mergeCell ref="D6:F6"/>
    <mergeCell ref="A48:E48"/>
    <mergeCell ref="A49:E49"/>
    <mergeCell ref="A6:A7"/>
    <mergeCell ref="B6:B7"/>
    <mergeCell ref="C6:C7"/>
    <mergeCell ref="A46:E46"/>
    <mergeCell ref="C25:C27"/>
    <mergeCell ref="C28:C29"/>
    <mergeCell ref="A25:A29"/>
    <mergeCell ref="D40:F40"/>
    <mergeCell ref="A45:F45"/>
    <mergeCell ref="A47:E47"/>
    <mergeCell ref="E22:F22"/>
  </mergeCells>
  <pageMargins left="0.98425196850393704" right="0.59055118110236227" top="0.59055118110236227" bottom="0.39370078740157483" header="0.31496062992125984" footer="0.31496062992125984"/>
  <pageSetup paperSize="9" scale="44" fitToHeight="0" orientation="landscape" r:id="rId1"/>
  <headerFooter differentFirst="1" scaleWithDoc="0" alignWithMargins="0">
    <oddHeader>&amp;C&amp;8&amp;P</oddHeader>
  </headerFooter>
  <rowBreaks count="1" manualBreakCount="1">
    <brk id="23"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1"/>
  <sheetViews>
    <sheetView view="pageBreakPreview" zoomScaleNormal="80" zoomScaleSheetLayoutView="100" workbookViewId="0">
      <selection activeCell="B9" sqref="B9"/>
    </sheetView>
  </sheetViews>
  <sheetFormatPr defaultColWidth="9.109375" defaultRowHeight="18"/>
  <cols>
    <col min="1" max="1" width="8" style="10" customWidth="1"/>
    <col min="2" max="2" width="34.44140625" style="3" customWidth="1"/>
    <col min="3" max="3" width="15.33203125" style="4" customWidth="1"/>
    <col min="4" max="5" width="13.33203125" style="1" customWidth="1"/>
    <col min="6" max="6" width="14.33203125" style="1" customWidth="1"/>
    <col min="7" max="7" width="15.5546875" style="1" customWidth="1"/>
    <col min="8" max="9" width="15.33203125" style="1" customWidth="1"/>
    <col min="10" max="16384" width="9.109375" style="1"/>
  </cols>
  <sheetData>
    <row r="1" spans="1:9" s="28" customFormat="1" ht="18.600000000000001" customHeight="1">
      <c r="H1" s="1142" t="s">
        <v>2211</v>
      </c>
      <c r="I1" s="1143"/>
    </row>
    <row r="2" spans="1:9" s="28" customFormat="1" ht="36" customHeight="1">
      <c r="A2" s="29"/>
      <c r="B2" s="29"/>
      <c r="C2" s="29"/>
      <c r="D2" s="29"/>
      <c r="E2" s="29"/>
      <c r="F2" s="29"/>
      <c r="H2" s="1144" t="s">
        <v>2239</v>
      </c>
      <c r="I2" s="1145"/>
    </row>
    <row r="3" spans="1:9" s="28" customFormat="1" ht="7.5" customHeight="1">
      <c r="A3" s="29"/>
      <c r="B3" s="29"/>
      <c r="C3" s="29"/>
      <c r="D3" s="29"/>
      <c r="E3" s="29"/>
      <c r="F3" s="29"/>
      <c r="H3" s="1106"/>
      <c r="I3" s="1106"/>
    </row>
    <row r="4" spans="1:9">
      <c r="A4" s="9"/>
      <c r="B4" s="9"/>
      <c r="C4" s="9"/>
      <c r="D4" s="9"/>
      <c r="E4" s="9"/>
      <c r="F4" s="9"/>
      <c r="G4" s="9"/>
      <c r="H4" s="1099"/>
      <c r="I4" s="1099"/>
    </row>
    <row r="5" spans="1:9" ht="21.6" customHeight="1">
      <c r="A5" s="1147" t="s">
        <v>2212</v>
      </c>
      <c r="B5" s="1147"/>
      <c r="C5" s="1147"/>
      <c r="D5" s="1147"/>
      <c r="E5" s="1147"/>
      <c r="F5" s="1147"/>
      <c r="G5" s="1147"/>
      <c r="H5" s="1147"/>
      <c r="I5" s="1147"/>
    </row>
    <row r="7" spans="1:9" s="23" customFormat="1" ht="60" customHeight="1">
      <c r="A7" s="1141" t="s">
        <v>98</v>
      </c>
      <c r="B7" s="1140" t="s">
        <v>2224</v>
      </c>
      <c r="C7" s="1140" t="s">
        <v>255</v>
      </c>
      <c r="D7" s="1146" t="s">
        <v>2227</v>
      </c>
      <c r="E7" s="1146"/>
      <c r="F7" s="1140" t="s">
        <v>2228</v>
      </c>
      <c r="G7" s="1140"/>
      <c r="H7" s="1146" t="s">
        <v>2236</v>
      </c>
      <c r="I7" s="1146"/>
    </row>
    <row r="8" spans="1:9" s="23" customFormat="1" ht="38.25" customHeight="1">
      <c r="A8" s="1141"/>
      <c r="B8" s="1140"/>
      <c r="C8" s="1140"/>
      <c r="D8" s="45" t="s">
        <v>57</v>
      </c>
      <c r="E8" s="45" t="s">
        <v>56</v>
      </c>
      <c r="F8" s="45" t="s">
        <v>57</v>
      </c>
      <c r="G8" s="45" t="s">
        <v>56</v>
      </c>
      <c r="H8" s="1103" t="s">
        <v>57</v>
      </c>
      <c r="I8" s="1103" t="s">
        <v>56</v>
      </c>
    </row>
    <row r="9" spans="1:9" s="25" customFormat="1" ht="27.6">
      <c r="A9" s="44" t="s">
        <v>1</v>
      </c>
      <c r="B9" s="30" t="s">
        <v>58</v>
      </c>
      <c r="C9" s="46"/>
      <c r="D9" s="46"/>
      <c r="E9" s="46"/>
      <c r="F9" s="46"/>
      <c r="G9" s="46"/>
      <c r="H9" s="1104"/>
      <c r="I9" s="1104"/>
    </row>
    <row r="10" spans="1:9" s="25" customFormat="1" ht="27.6">
      <c r="A10" s="44" t="s">
        <v>75</v>
      </c>
      <c r="B10" s="30" t="s">
        <v>59</v>
      </c>
      <c r="C10" s="45"/>
      <c r="D10" s="24"/>
      <c r="E10" s="24"/>
      <c r="F10" s="24"/>
      <c r="G10" s="24"/>
      <c r="H10" s="1088"/>
      <c r="I10" s="1088"/>
    </row>
    <row r="11" spans="1:9" s="1089" customFormat="1" ht="13.95" customHeight="1">
      <c r="A11" s="1139"/>
      <c r="B11" s="1086" t="s">
        <v>217</v>
      </c>
      <c r="C11" s="1087"/>
      <c r="D11" s="1088"/>
      <c r="E11" s="1088"/>
      <c r="F11" s="1088"/>
      <c r="G11" s="1088"/>
      <c r="H11" s="1088"/>
      <c r="I11" s="1088"/>
    </row>
    <row r="12" spans="1:9" s="1089" customFormat="1" ht="13.95" customHeight="1">
      <c r="A12" s="1139"/>
      <c r="B12" s="1090" t="s">
        <v>60</v>
      </c>
      <c r="C12" s="1087" t="s">
        <v>2222</v>
      </c>
      <c r="D12" s="1088">
        <v>310300.43</v>
      </c>
      <c r="E12" s="1088">
        <v>310300.43</v>
      </c>
      <c r="F12" s="1088">
        <v>320723.65999999997</v>
      </c>
      <c r="G12" s="1088">
        <v>320723.65999999997</v>
      </c>
      <c r="H12" s="1088">
        <v>3865580.4675813708</v>
      </c>
      <c r="I12" s="1088">
        <v>3865580.4675813708</v>
      </c>
    </row>
    <row r="13" spans="1:9" s="1089" customFormat="1" ht="34.200000000000003" customHeight="1">
      <c r="A13" s="1139"/>
      <c r="B13" s="1090" t="s">
        <v>61</v>
      </c>
      <c r="C13" s="1087" t="s">
        <v>2223</v>
      </c>
      <c r="D13" s="1088">
        <v>538.82000000000005</v>
      </c>
      <c r="E13" s="1088">
        <v>534.98</v>
      </c>
      <c r="F13" s="1088">
        <v>577.30999999999995</v>
      </c>
      <c r="G13" s="1088">
        <v>577.30999999999995</v>
      </c>
      <c r="H13" s="1088">
        <v>594.0892414351863</v>
      </c>
      <c r="I13" s="1088">
        <v>759.50796138169835</v>
      </c>
    </row>
    <row r="14" spans="1:9" s="1089" customFormat="1" ht="21" customHeight="1">
      <c r="A14" s="1092"/>
      <c r="B14" s="1086" t="s">
        <v>62</v>
      </c>
      <c r="C14" s="1087" t="s">
        <v>2207</v>
      </c>
      <c r="D14" s="1091">
        <v>1.3474600000000001</v>
      </c>
      <c r="E14" s="1091">
        <v>1.34362</v>
      </c>
      <c r="F14" s="1091">
        <v>1.4165000000000001</v>
      </c>
      <c r="G14" s="1091">
        <v>1.4165000000000001</v>
      </c>
      <c r="H14" s="1091">
        <v>7.5254068465448318</v>
      </c>
      <c r="I14" s="1091">
        <v>7.0996346123580771</v>
      </c>
    </row>
    <row r="15" spans="1:9" s="1085" customFormat="1">
      <c r="A15" s="1093"/>
      <c r="B15" s="1093"/>
      <c r="C15" s="1093"/>
    </row>
    <row r="16" spans="1:9">
      <c r="B16" s="4"/>
    </row>
    <row r="17" spans="2:2">
      <c r="B17" s="4"/>
    </row>
    <row r="18" spans="2:2">
      <c r="B18" s="4"/>
    </row>
    <row r="19" spans="2:2">
      <c r="B19" s="4"/>
    </row>
    <row r="20" spans="2:2">
      <c r="B20" s="4"/>
    </row>
    <row r="21" spans="2:2">
      <c r="B21" s="4"/>
    </row>
    <row r="22" spans="2:2">
      <c r="B22" s="4"/>
    </row>
    <row r="23" spans="2:2">
      <c r="B23" s="4"/>
    </row>
    <row r="24" spans="2:2">
      <c r="B24" s="4"/>
    </row>
    <row r="25" spans="2:2">
      <c r="B25" s="4"/>
    </row>
    <row r="26" spans="2:2">
      <c r="B26" s="4"/>
    </row>
    <row r="27" spans="2:2">
      <c r="B27" s="4"/>
    </row>
    <row r="28" spans="2:2">
      <c r="B28" s="4"/>
    </row>
    <row r="29" spans="2:2">
      <c r="B29" s="4"/>
    </row>
    <row r="30" spans="2:2">
      <c r="B30" s="4"/>
    </row>
    <row r="31" spans="2:2">
      <c r="B31" s="4"/>
    </row>
    <row r="32" spans="2:2">
      <c r="B32" s="4"/>
    </row>
    <row r="33" spans="2:2">
      <c r="B33" s="4"/>
    </row>
    <row r="34" spans="2:2">
      <c r="B34" s="4"/>
    </row>
    <row r="35" spans="2:2">
      <c r="B35" s="4"/>
    </row>
    <row r="36" spans="2:2">
      <c r="B36" s="4"/>
    </row>
    <row r="37" spans="2:2">
      <c r="B37" s="4"/>
    </row>
    <row r="38" spans="2:2">
      <c r="B38" s="4"/>
    </row>
    <row r="39" spans="2:2">
      <c r="B39" s="4"/>
    </row>
    <row r="40" spans="2:2">
      <c r="B40" s="4"/>
    </row>
    <row r="41" spans="2:2">
      <c r="B41" s="4"/>
    </row>
    <row r="42" spans="2:2">
      <c r="B42" s="4"/>
    </row>
    <row r="43" spans="2:2">
      <c r="B43" s="4"/>
    </row>
    <row r="44" spans="2:2">
      <c r="B44" s="4"/>
    </row>
    <row r="45" spans="2:2">
      <c r="B45" s="4"/>
    </row>
    <row r="46" spans="2:2">
      <c r="B46" s="4"/>
    </row>
    <row r="47" spans="2:2">
      <c r="B47" s="4"/>
    </row>
    <row r="48" spans="2:2">
      <c r="B48" s="4"/>
    </row>
    <row r="49" spans="2:2">
      <c r="B49" s="4"/>
    </row>
    <row r="50" spans="2:2">
      <c r="B50" s="4"/>
    </row>
    <row r="51" spans="2:2">
      <c r="B51" s="4"/>
    </row>
    <row r="52" spans="2:2">
      <c r="B52" s="4"/>
    </row>
    <row r="53" spans="2:2">
      <c r="B53" s="4"/>
    </row>
    <row r="54" spans="2:2">
      <c r="B54" s="4"/>
    </row>
    <row r="55" spans="2:2">
      <c r="B55" s="4"/>
    </row>
    <row r="56" spans="2:2">
      <c r="B56" s="4"/>
    </row>
    <row r="57" spans="2:2">
      <c r="B57" s="4"/>
    </row>
    <row r="58" spans="2:2">
      <c r="B58" s="4"/>
    </row>
    <row r="59" spans="2:2">
      <c r="B59" s="4"/>
    </row>
    <row r="60" spans="2:2">
      <c r="B60" s="4"/>
    </row>
    <row r="61" spans="2:2">
      <c r="B61" s="4"/>
    </row>
    <row r="62" spans="2:2">
      <c r="B62" s="4"/>
    </row>
    <row r="63" spans="2:2">
      <c r="B63" s="4"/>
    </row>
    <row r="64" spans="2:2">
      <c r="B64" s="4"/>
    </row>
    <row r="65" spans="2:2">
      <c r="B65" s="4"/>
    </row>
    <row r="66" spans="2:2">
      <c r="B66" s="4"/>
    </row>
    <row r="67" spans="2:2">
      <c r="B67" s="4"/>
    </row>
    <row r="68" spans="2:2">
      <c r="B68" s="4"/>
    </row>
    <row r="69" spans="2:2">
      <c r="B69" s="4"/>
    </row>
    <row r="70" spans="2:2">
      <c r="B70" s="4"/>
    </row>
    <row r="71" spans="2:2">
      <c r="B71" s="4"/>
    </row>
  </sheetData>
  <mergeCells count="10">
    <mergeCell ref="A11:A13"/>
    <mergeCell ref="B7:B8"/>
    <mergeCell ref="A7:A8"/>
    <mergeCell ref="H1:I1"/>
    <mergeCell ref="H2:I2"/>
    <mergeCell ref="D7:E7"/>
    <mergeCell ref="F7:G7"/>
    <mergeCell ref="C7:C8"/>
    <mergeCell ref="H7:I7"/>
    <mergeCell ref="A5:I5"/>
  </mergeCells>
  <pageMargins left="1.1023622047244095" right="0.19685039370078741" top="0.74803149606299213" bottom="0.74803149606299213" header="0.31496062992125984" footer="0.31496062992125984"/>
  <pageSetup paperSize="9" scale="91"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U122"/>
  <sheetViews>
    <sheetView view="pageBreakPreview" topLeftCell="A4" zoomScale="80" zoomScaleNormal="100" zoomScaleSheetLayoutView="80" workbookViewId="0">
      <pane xSplit="10" ySplit="13" topLeftCell="K17" activePane="bottomRight" state="frozen"/>
      <selection activeCell="G25" sqref="G25"/>
      <selection pane="topRight" activeCell="G25" sqref="G25"/>
      <selection pane="bottomLeft" activeCell="G25" sqref="G25"/>
      <selection pane="bottomRight" activeCell="CQ25" sqref="CQ25:DG26"/>
    </sheetView>
  </sheetViews>
  <sheetFormatPr defaultColWidth="0.88671875" defaultRowHeight="15" customHeight="1" outlineLevelRow="1"/>
  <cols>
    <col min="1" max="7" width="0.88671875" style="35"/>
    <col min="8" max="8" width="2.88671875" style="35" customWidth="1"/>
    <col min="9" max="70" width="0.88671875" style="35"/>
    <col min="71" max="71" width="2.33203125" style="35" customWidth="1"/>
    <col min="72" max="72" width="14.33203125" style="35" hidden="1" customWidth="1"/>
    <col min="73" max="74" width="10.6640625" style="35" customWidth="1"/>
    <col min="75" max="77" width="0.88671875" style="35"/>
    <col min="78" max="78" width="3.6640625" style="35" customWidth="1"/>
    <col min="79" max="81" width="0.88671875" style="35"/>
    <col min="82" max="82" width="2.109375" style="35" customWidth="1"/>
    <col min="83" max="89" width="0.88671875" style="35"/>
    <col min="90" max="90" width="5" style="35" customWidth="1"/>
    <col min="91" max="91" width="1.5546875" style="35" customWidth="1"/>
    <col min="92" max="110" width="0.88671875" style="35"/>
    <col min="111" max="111" width="37.44140625" style="35" customWidth="1"/>
    <col min="112" max="112" width="27.44140625" style="35" hidden="1" customWidth="1"/>
    <col min="113" max="113" width="7.88671875" style="35" customWidth="1"/>
    <col min="114" max="114" width="22.6640625" style="35" customWidth="1"/>
    <col min="115" max="115" width="0.88671875" style="35"/>
    <col min="116" max="116" width="31.33203125" style="35" customWidth="1"/>
    <col min="117" max="123" width="0.88671875" style="35"/>
    <col min="124" max="124" width="10.6640625" style="35" customWidth="1"/>
    <col min="125" max="125" width="11.44140625" style="35" customWidth="1"/>
    <col min="126" max="329" width="0.88671875" style="35"/>
    <col min="330" max="330" width="2.33203125" style="35" customWidth="1"/>
    <col min="331" max="367" width="0.88671875" style="35"/>
    <col min="368" max="368" width="27.44140625" style="35" customWidth="1"/>
    <col min="369" max="585" width="0.88671875" style="35"/>
    <col min="586" max="586" width="2.33203125" style="35" customWidth="1"/>
    <col min="587" max="623" width="0.88671875" style="35"/>
    <col min="624" max="624" width="27.44140625" style="35" customWidth="1"/>
    <col min="625" max="841" width="0.88671875" style="35"/>
    <col min="842" max="842" width="2.33203125" style="35" customWidth="1"/>
    <col min="843" max="879" width="0.88671875" style="35"/>
    <col min="880" max="880" width="27.44140625" style="35" customWidth="1"/>
    <col min="881" max="1097" width="0.88671875" style="35"/>
    <col min="1098" max="1098" width="2.33203125" style="35" customWidth="1"/>
    <col min="1099" max="1135" width="0.88671875" style="35"/>
    <col min="1136" max="1136" width="27.44140625" style="35" customWidth="1"/>
    <col min="1137" max="1353" width="0.88671875" style="35"/>
    <col min="1354" max="1354" width="2.33203125" style="35" customWidth="1"/>
    <col min="1355" max="1391" width="0.88671875" style="35"/>
    <col min="1392" max="1392" width="27.44140625" style="35" customWidth="1"/>
    <col min="1393" max="1609" width="0.88671875" style="35"/>
    <col min="1610" max="1610" width="2.33203125" style="35" customWidth="1"/>
    <col min="1611" max="1647" width="0.88671875" style="35"/>
    <col min="1648" max="1648" width="27.44140625" style="35" customWidth="1"/>
    <col min="1649" max="1865" width="0.88671875" style="35"/>
    <col min="1866" max="1866" width="2.33203125" style="35" customWidth="1"/>
    <col min="1867" max="1903" width="0.88671875" style="35"/>
    <col min="1904" max="1904" width="27.44140625" style="35" customWidth="1"/>
    <col min="1905" max="2121" width="0.88671875" style="35"/>
    <col min="2122" max="2122" width="2.33203125" style="35" customWidth="1"/>
    <col min="2123" max="2159" width="0.88671875" style="35"/>
    <col min="2160" max="2160" width="27.44140625" style="35" customWidth="1"/>
    <col min="2161" max="2377" width="0.88671875" style="35"/>
    <col min="2378" max="2378" width="2.33203125" style="35" customWidth="1"/>
    <col min="2379" max="2415" width="0.88671875" style="35"/>
    <col min="2416" max="2416" width="27.44140625" style="35" customWidth="1"/>
    <col min="2417" max="2633" width="0.88671875" style="35"/>
    <col min="2634" max="2634" width="2.33203125" style="35" customWidth="1"/>
    <col min="2635" max="2671" width="0.88671875" style="35"/>
    <col min="2672" max="2672" width="27.44140625" style="35" customWidth="1"/>
    <col min="2673" max="2889" width="0.88671875" style="35"/>
    <col min="2890" max="2890" width="2.33203125" style="35" customWidth="1"/>
    <col min="2891" max="2927" width="0.88671875" style="35"/>
    <col min="2928" max="2928" width="27.44140625" style="35" customWidth="1"/>
    <col min="2929" max="3145" width="0.88671875" style="35"/>
    <col min="3146" max="3146" width="2.33203125" style="35" customWidth="1"/>
    <col min="3147" max="3183" width="0.88671875" style="35"/>
    <col min="3184" max="3184" width="27.44140625" style="35" customWidth="1"/>
    <col min="3185" max="3401" width="0.88671875" style="35"/>
    <col min="3402" max="3402" width="2.33203125" style="35" customWidth="1"/>
    <col min="3403" max="3439" width="0.88671875" style="35"/>
    <col min="3440" max="3440" width="27.44140625" style="35" customWidth="1"/>
    <col min="3441" max="3657" width="0.88671875" style="35"/>
    <col min="3658" max="3658" width="2.33203125" style="35" customWidth="1"/>
    <col min="3659" max="3695" width="0.88671875" style="35"/>
    <col min="3696" max="3696" width="27.44140625" style="35" customWidth="1"/>
    <col min="3697" max="3913" width="0.88671875" style="35"/>
    <col min="3914" max="3914" width="2.33203125" style="35" customWidth="1"/>
    <col min="3915" max="3951" width="0.88671875" style="35"/>
    <col min="3952" max="3952" width="27.44140625" style="35" customWidth="1"/>
    <col min="3953" max="4169" width="0.88671875" style="35"/>
    <col min="4170" max="4170" width="2.33203125" style="35" customWidth="1"/>
    <col min="4171" max="4207" width="0.88671875" style="35"/>
    <col min="4208" max="4208" width="27.44140625" style="35" customWidth="1"/>
    <col min="4209" max="4425" width="0.88671875" style="35"/>
    <col min="4426" max="4426" width="2.33203125" style="35" customWidth="1"/>
    <col min="4427" max="4463" width="0.88671875" style="35"/>
    <col min="4464" max="4464" width="27.44140625" style="35" customWidth="1"/>
    <col min="4465" max="4681" width="0.88671875" style="35"/>
    <col min="4682" max="4682" width="2.33203125" style="35" customWidth="1"/>
    <col min="4683" max="4719" width="0.88671875" style="35"/>
    <col min="4720" max="4720" width="27.44140625" style="35" customWidth="1"/>
    <col min="4721" max="4937" width="0.88671875" style="35"/>
    <col min="4938" max="4938" width="2.33203125" style="35" customWidth="1"/>
    <col min="4939" max="4975" width="0.88671875" style="35"/>
    <col min="4976" max="4976" width="27.44140625" style="35" customWidth="1"/>
    <col min="4977" max="5193" width="0.88671875" style="35"/>
    <col min="5194" max="5194" width="2.33203125" style="35" customWidth="1"/>
    <col min="5195" max="5231" width="0.88671875" style="35"/>
    <col min="5232" max="5232" width="27.44140625" style="35" customWidth="1"/>
    <col min="5233" max="5449" width="0.88671875" style="35"/>
    <col min="5450" max="5450" width="2.33203125" style="35" customWidth="1"/>
    <col min="5451" max="5487" width="0.88671875" style="35"/>
    <col min="5488" max="5488" width="27.44140625" style="35" customWidth="1"/>
    <col min="5489" max="5705" width="0.88671875" style="35"/>
    <col min="5706" max="5706" width="2.33203125" style="35" customWidth="1"/>
    <col min="5707" max="5743" width="0.88671875" style="35"/>
    <col min="5744" max="5744" width="27.44140625" style="35" customWidth="1"/>
    <col min="5745" max="5961" width="0.88671875" style="35"/>
    <col min="5962" max="5962" width="2.33203125" style="35" customWidth="1"/>
    <col min="5963" max="5999" width="0.88671875" style="35"/>
    <col min="6000" max="6000" width="27.44140625" style="35" customWidth="1"/>
    <col min="6001" max="6217" width="0.88671875" style="35"/>
    <col min="6218" max="6218" width="2.33203125" style="35" customWidth="1"/>
    <col min="6219" max="6255" width="0.88671875" style="35"/>
    <col min="6256" max="6256" width="27.44140625" style="35" customWidth="1"/>
    <col min="6257" max="6473" width="0.88671875" style="35"/>
    <col min="6474" max="6474" width="2.33203125" style="35" customWidth="1"/>
    <col min="6475" max="6511" width="0.88671875" style="35"/>
    <col min="6512" max="6512" width="27.44140625" style="35" customWidth="1"/>
    <col min="6513" max="6729" width="0.88671875" style="35"/>
    <col min="6730" max="6730" width="2.33203125" style="35" customWidth="1"/>
    <col min="6731" max="6767" width="0.88671875" style="35"/>
    <col min="6768" max="6768" width="27.44140625" style="35" customWidth="1"/>
    <col min="6769" max="6985" width="0.88671875" style="35"/>
    <col min="6986" max="6986" width="2.33203125" style="35" customWidth="1"/>
    <col min="6987" max="7023" width="0.88671875" style="35"/>
    <col min="7024" max="7024" width="27.44140625" style="35" customWidth="1"/>
    <col min="7025" max="7241" width="0.88671875" style="35"/>
    <col min="7242" max="7242" width="2.33203125" style="35" customWidth="1"/>
    <col min="7243" max="7279" width="0.88671875" style="35"/>
    <col min="7280" max="7280" width="27.44140625" style="35" customWidth="1"/>
    <col min="7281" max="7497" width="0.88671875" style="35"/>
    <col min="7498" max="7498" width="2.33203125" style="35" customWidth="1"/>
    <col min="7499" max="7535" width="0.88671875" style="35"/>
    <col min="7536" max="7536" width="27.44140625" style="35" customWidth="1"/>
    <col min="7537" max="7753" width="0.88671875" style="35"/>
    <col min="7754" max="7754" width="2.33203125" style="35" customWidth="1"/>
    <col min="7755" max="7791" width="0.88671875" style="35"/>
    <col min="7792" max="7792" width="27.44140625" style="35" customWidth="1"/>
    <col min="7793" max="8009" width="0.88671875" style="35"/>
    <col min="8010" max="8010" width="2.33203125" style="35" customWidth="1"/>
    <col min="8011" max="8047" width="0.88671875" style="35"/>
    <col min="8048" max="8048" width="27.44140625" style="35" customWidth="1"/>
    <col min="8049" max="8265" width="0.88671875" style="35"/>
    <col min="8266" max="8266" width="2.33203125" style="35" customWidth="1"/>
    <col min="8267" max="8303" width="0.88671875" style="35"/>
    <col min="8304" max="8304" width="27.44140625" style="35" customWidth="1"/>
    <col min="8305" max="8521" width="0.88671875" style="35"/>
    <col min="8522" max="8522" width="2.33203125" style="35" customWidth="1"/>
    <col min="8523" max="8559" width="0.88671875" style="35"/>
    <col min="8560" max="8560" width="27.44140625" style="35" customWidth="1"/>
    <col min="8561" max="8777" width="0.88671875" style="35"/>
    <col min="8778" max="8778" width="2.33203125" style="35" customWidth="1"/>
    <col min="8779" max="8815" width="0.88671875" style="35"/>
    <col min="8816" max="8816" width="27.44140625" style="35" customWidth="1"/>
    <col min="8817" max="9033" width="0.88671875" style="35"/>
    <col min="9034" max="9034" width="2.33203125" style="35" customWidth="1"/>
    <col min="9035" max="9071" width="0.88671875" style="35"/>
    <col min="9072" max="9072" width="27.44140625" style="35" customWidth="1"/>
    <col min="9073" max="9289" width="0.88671875" style="35"/>
    <col min="9290" max="9290" width="2.33203125" style="35" customWidth="1"/>
    <col min="9291" max="9327" width="0.88671875" style="35"/>
    <col min="9328" max="9328" width="27.44140625" style="35" customWidth="1"/>
    <col min="9329" max="9545" width="0.88671875" style="35"/>
    <col min="9546" max="9546" width="2.33203125" style="35" customWidth="1"/>
    <col min="9547" max="9583" width="0.88671875" style="35"/>
    <col min="9584" max="9584" width="27.44140625" style="35" customWidth="1"/>
    <col min="9585" max="9801" width="0.88671875" style="35"/>
    <col min="9802" max="9802" width="2.33203125" style="35" customWidth="1"/>
    <col min="9803" max="9839" width="0.88671875" style="35"/>
    <col min="9840" max="9840" width="27.44140625" style="35" customWidth="1"/>
    <col min="9841" max="10057" width="0.88671875" style="35"/>
    <col min="10058" max="10058" width="2.33203125" style="35" customWidth="1"/>
    <col min="10059" max="10095" width="0.88671875" style="35"/>
    <col min="10096" max="10096" width="27.44140625" style="35" customWidth="1"/>
    <col min="10097" max="10313" width="0.88671875" style="35"/>
    <col min="10314" max="10314" width="2.33203125" style="35" customWidth="1"/>
    <col min="10315" max="10351" width="0.88671875" style="35"/>
    <col min="10352" max="10352" width="27.44140625" style="35" customWidth="1"/>
    <col min="10353" max="10569" width="0.88671875" style="35"/>
    <col min="10570" max="10570" width="2.33203125" style="35" customWidth="1"/>
    <col min="10571" max="10607" width="0.88671875" style="35"/>
    <col min="10608" max="10608" width="27.44140625" style="35" customWidth="1"/>
    <col min="10609" max="10825" width="0.88671875" style="35"/>
    <col min="10826" max="10826" width="2.33203125" style="35" customWidth="1"/>
    <col min="10827" max="10863" width="0.88671875" style="35"/>
    <col min="10864" max="10864" width="27.44140625" style="35" customWidth="1"/>
    <col min="10865" max="11081" width="0.88671875" style="35"/>
    <col min="11082" max="11082" width="2.33203125" style="35" customWidth="1"/>
    <col min="11083" max="11119" width="0.88671875" style="35"/>
    <col min="11120" max="11120" width="27.44140625" style="35" customWidth="1"/>
    <col min="11121" max="11337" width="0.88671875" style="35"/>
    <col min="11338" max="11338" width="2.33203125" style="35" customWidth="1"/>
    <col min="11339" max="11375" width="0.88671875" style="35"/>
    <col min="11376" max="11376" width="27.44140625" style="35" customWidth="1"/>
    <col min="11377" max="11593" width="0.88671875" style="35"/>
    <col min="11594" max="11594" width="2.33203125" style="35" customWidth="1"/>
    <col min="11595" max="11631" width="0.88671875" style="35"/>
    <col min="11632" max="11632" width="27.44140625" style="35" customWidth="1"/>
    <col min="11633" max="11849" width="0.88671875" style="35"/>
    <col min="11850" max="11850" width="2.33203125" style="35" customWidth="1"/>
    <col min="11851" max="11887" width="0.88671875" style="35"/>
    <col min="11888" max="11888" width="27.44140625" style="35" customWidth="1"/>
    <col min="11889" max="12105" width="0.88671875" style="35"/>
    <col min="12106" max="12106" width="2.33203125" style="35" customWidth="1"/>
    <col min="12107" max="12143" width="0.88671875" style="35"/>
    <col min="12144" max="12144" width="27.44140625" style="35" customWidth="1"/>
    <col min="12145" max="12361" width="0.88671875" style="35"/>
    <col min="12362" max="12362" width="2.33203125" style="35" customWidth="1"/>
    <col min="12363" max="12399" width="0.88671875" style="35"/>
    <col min="12400" max="12400" width="27.44140625" style="35" customWidth="1"/>
    <col min="12401" max="12617" width="0.88671875" style="35"/>
    <col min="12618" max="12618" width="2.33203125" style="35" customWidth="1"/>
    <col min="12619" max="12655" width="0.88671875" style="35"/>
    <col min="12656" max="12656" width="27.44140625" style="35" customWidth="1"/>
    <col min="12657" max="12873" width="0.88671875" style="35"/>
    <col min="12874" max="12874" width="2.33203125" style="35" customWidth="1"/>
    <col min="12875" max="12911" width="0.88671875" style="35"/>
    <col min="12912" max="12912" width="27.44140625" style="35" customWidth="1"/>
    <col min="12913" max="13129" width="0.88671875" style="35"/>
    <col min="13130" max="13130" width="2.33203125" style="35" customWidth="1"/>
    <col min="13131" max="13167" width="0.88671875" style="35"/>
    <col min="13168" max="13168" width="27.44140625" style="35" customWidth="1"/>
    <col min="13169" max="13385" width="0.88671875" style="35"/>
    <col min="13386" max="13386" width="2.33203125" style="35" customWidth="1"/>
    <col min="13387" max="13423" width="0.88671875" style="35"/>
    <col min="13424" max="13424" width="27.44140625" style="35" customWidth="1"/>
    <col min="13425" max="13641" width="0.88671875" style="35"/>
    <col min="13642" max="13642" width="2.33203125" style="35" customWidth="1"/>
    <col min="13643" max="13679" width="0.88671875" style="35"/>
    <col min="13680" max="13680" width="27.44140625" style="35" customWidth="1"/>
    <col min="13681" max="13897" width="0.88671875" style="35"/>
    <col min="13898" max="13898" width="2.33203125" style="35" customWidth="1"/>
    <col min="13899" max="13935" width="0.88671875" style="35"/>
    <col min="13936" max="13936" width="27.44140625" style="35" customWidth="1"/>
    <col min="13937" max="14153" width="0.88671875" style="35"/>
    <col min="14154" max="14154" width="2.33203125" style="35" customWidth="1"/>
    <col min="14155" max="14191" width="0.88671875" style="35"/>
    <col min="14192" max="14192" width="27.44140625" style="35" customWidth="1"/>
    <col min="14193" max="14409" width="0.88671875" style="35"/>
    <col min="14410" max="14410" width="2.33203125" style="35" customWidth="1"/>
    <col min="14411" max="14447" width="0.88671875" style="35"/>
    <col min="14448" max="14448" width="27.44140625" style="35" customWidth="1"/>
    <col min="14449" max="14665" width="0.88671875" style="35"/>
    <col min="14666" max="14666" width="2.33203125" style="35" customWidth="1"/>
    <col min="14667" max="14703" width="0.88671875" style="35"/>
    <col min="14704" max="14704" width="27.44140625" style="35" customWidth="1"/>
    <col min="14705" max="14921" width="0.88671875" style="35"/>
    <col min="14922" max="14922" width="2.33203125" style="35" customWidth="1"/>
    <col min="14923" max="14959" width="0.88671875" style="35"/>
    <col min="14960" max="14960" width="27.44140625" style="35" customWidth="1"/>
    <col min="14961" max="15177" width="0.88671875" style="35"/>
    <col min="15178" max="15178" width="2.33203125" style="35" customWidth="1"/>
    <col min="15179" max="15215" width="0.88671875" style="35"/>
    <col min="15216" max="15216" width="27.44140625" style="35" customWidth="1"/>
    <col min="15217" max="15433" width="0.88671875" style="35"/>
    <col min="15434" max="15434" width="2.33203125" style="35" customWidth="1"/>
    <col min="15435" max="15471" width="0.88671875" style="35"/>
    <col min="15472" max="15472" width="27.44140625" style="35" customWidth="1"/>
    <col min="15473" max="15689" width="0.88671875" style="35"/>
    <col min="15690" max="15690" width="2.33203125" style="35" customWidth="1"/>
    <col min="15691" max="15727" width="0.88671875" style="35"/>
    <col min="15728" max="15728" width="27.44140625" style="35" customWidth="1"/>
    <col min="15729" max="15945" width="0.88671875" style="35"/>
    <col min="15946" max="15946" width="2.33203125" style="35" customWidth="1"/>
    <col min="15947" max="15983" width="0.88671875" style="35"/>
    <col min="15984" max="15984" width="27.44140625" style="35" customWidth="1"/>
    <col min="15985" max="16201" width="0.88671875" style="35"/>
    <col min="16202" max="16202" width="2.33203125" style="35" customWidth="1"/>
    <col min="16203" max="16239" width="0.88671875" style="35"/>
    <col min="16240" max="16240" width="27.44140625" style="35" customWidth="1"/>
    <col min="16241" max="16384" width="0.88671875" style="35"/>
  </cols>
  <sheetData>
    <row r="1" spans="1:116" s="34" customFormat="1" ht="12" customHeight="1">
      <c r="BO1" s="1246" t="s">
        <v>218</v>
      </c>
      <c r="BP1" s="1247"/>
      <c r="BQ1" s="1247"/>
      <c r="BR1" s="1247"/>
      <c r="BS1" s="1247"/>
      <c r="BT1" s="1247"/>
      <c r="BU1" s="1247"/>
      <c r="BV1" s="1247"/>
      <c r="BW1" s="1247"/>
      <c r="BX1" s="1247"/>
      <c r="BY1" s="1247"/>
      <c r="BZ1" s="1247"/>
      <c r="CA1" s="1247"/>
      <c r="CB1" s="1247"/>
      <c r="CC1" s="1247"/>
      <c r="CD1" s="1247"/>
      <c r="CE1" s="1247"/>
      <c r="CF1" s="1247"/>
      <c r="CG1" s="1247"/>
      <c r="CH1" s="1247"/>
      <c r="CI1" s="1247"/>
      <c r="CJ1" s="1247"/>
      <c r="CK1" s="1247"/>
      <c r="CL1" s="1247"/>
      <c r="CM1" s="1247"/>
      <c r="CN1" s="1247"/>
      <c r="CO1" s="1247"/>
      <c r="CP1" s="1247"/>
      <c r="CQ1" s="1247"/>
      <c r="CR1" s="1247"/>
      <c r="CS1" s="1247"/>
      <c r="CT1" s="1247"/>
      <c r="CU1" s="1247"/>
      <c r="CV1" s="1247"/>
      <c r="CW1" s="1247"/>
      <c r="CX1" s="1247"/>
      <c r="CY1" s="1247"/>
      <c r="CZ1" s="1247"/>
      <c r="DA1" s="1247"/>
      <c r="DB1" s="1247"/>
      <c r="DC1" s="1247"/>
      <c r="DD1" s="1247"/>
      <c r="DE1" s="1247"/>
      <c r="DF1" s="1247"/>
      <c r="DG1" s="1247"/>
      <c r="DH1" s="1247"/>
    </row>
    <row r="2" spans="1:116" s="34" customFormat="1" ht="12" customHeight="1">
      <c r="BO2" s="1246" t="s">
        <v>94</v>
      </c>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47"/>
      <c r="DC2" s="1247"/>
      <c r="DD2" s="1247"/>
      <c r="DE2" s="1247"/>
      <c r="DF2" s="1247"/>
      <c r="DG2" s="1247"/>
      <c r="DH2" s="1247"/>
    </row>
    <row r="3" spans="1:116" s="34" customFormat="1" ht="12" customHeight="1">
      <c r="BO3" s="1246"/>
      <c r="BP3" s="1247"/>
      <c r="BQ3" s="1247"/>
      <c r="BR3" s="1247"/>
      <c r="BS3" s="1247"/>
      <c r="BT3" s="1247"/>
      <c r="BU3" s="1247"/>
      <c r="BV3" s="1247"/>
      <c r="BW3" s="1247"/>
      <c r="BX3" s="1247"/>
      <c r="BY3" s="1247"/>
      <c r="BZ3" s="1247"/>
      <c r="CA3" s="1247"/>
      <c r="CB3" s="1247"/>
      <c r="CC3" s="1247"/>
      <c r="CD3" s="1247"/>
      <c r="CE3" s="1247"/>
      <c r="CF3" s="1247"/>
      <c r="CG3" s="1247"/>
      <c r="CH3" s="1247"/>
      <c r="CI3" s="1247"/>
      <c r="CJ3" s="1247"/>
      <c r="CK3" s="1247"/>
      <c r="CL3" s="1247"/>
      <c r="CM3" s="1247"/>
      <c r="CN3" s="1247"/>
      <c r="CO3" s="1247"/>
      <c r="CP3" s="1247"/>
      <c r="CQ3" s="1247"/>
      <c r="CR3" s="1247"/>
      <c r="CS3" s="1247"/>
      <c r="CT3" s="1247"/>
      <c r="CU3" s="1247"/>
      <c r="CV3" s="1247"/>
      <c r="CW3" s="1247"/>
      <c r="CX3" s="1247"/>
      <c r="CY3" s="1247"/>
      <c r="CZ3" s="1247"/>
      <c r="DA3" s="1247"/>
      <c r="DB3" s="1247"/>
      <c r="DC3" s="1247"/>
      <c r="DD3" s="1247"/>
      <c r="DE3" s="1247"/>
      <c r="DF3" s="1247"/>
      <c r="DG3" s="1247"/>
      <c r="DH3" s="1247"/>
    </row>
    <row r="4" spans="1:116" ht="21" customHeight="1"/>
    <row r="5" spans="1:116" s="36" customFormat="1" ht="14.25" customHeight="1">
      <c r="A5" s="1248" t="s">
        <v>101</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c r="BF5" s="1248"/>
      <c r="BG5" s="1248"/>
      <c r="BH5" s="1248"/>
      <c r="BI5" s="1248"/>
      <c r="BJ5" s="1248"/>
      <c r="BK5" s="1248"/>
      <c r="BL5" s="1248"/>
      <c r="BM5" s="1248"/>
      <c r="BN5" s="1248"/>
      <c r="BO5" s="1248"/>
      <c r="BP5" s="1248"/>
      <c r="BQ5" s="1248"/>
      <c r="BR5" s="1248"/>
      <c r="BS5" s="1248"/>
      <c r="BT5" s="1248"/>
      <c r="BU5" s="1248"/>
      <c r="BV5" s="1248"/>
      <c r="BW5" s="1248"/>
      <c r="BX5" s="1248"/>
      <c r="BY5" s="1248"/>
      <c r="BZ5" s="1248"/>
      <c r="CA5" s="1248"/>
      <c r="CB5" s="1248"/>
      <c r="CC5" s="1248"/>
      <c r="CD5" s="1248"/>
      <c r="CE5" s="1248"/>
      <c r="CF5" s="1248"/>
      <c r="CG5" s="1248"/>
      <c r="CH5" s="1248"/>
      <c r="CI5" s="1248"/>
      <c r="CJ5" s="1248"/>
      <c r="CK5" s="1248"/>
      <c r="CL5" s="1248"/>
      <c r="CM5" s="1248"/>
      <c r="CN5" s="1248"/>
      <c r="CO5" s="1248"/>
      <c r="CP5" s="1248"/>
      <c r="CQ5" s="1248"/>
      <c r="CR5" s="1248"/>
      <c r="CS5" s="1248"/>
      <c r="CT5" s="1248"/>
      <c r="CU5" s="1248"/>
      <c r="CV5" s="1248"/>
      <c r="CW5" s="1248"/>
      <c r="CX5" s="1248"/>
      <c r="CY5" s="1248"/>
      <c r="CZ5" s="1248"/>
      <c r="DA5" s="1248"/>
      <c r="DB5" s="1248"/>
      <c r="DC5" s="1248"/>
      <c r="DD5" s="1248"/>
      <c r="DE5" s="1248"/>
      <c r="DF5" s="1248"/>
      <c r="DG5" s="1248"/>
      <c r="DH5" s="1248"/>
      <c r="DJ5" s="1063">
        <f>DJ7+DJ8</f>
        <v>763710.51109000063</v>
      </c>
    </row>
    <row r="6" spans="1:116" s="36" customFormat="1" ht="14.25" customHeight="1">
      <c r="A6" s="1248" t="s">
        <v>102</v>
      </c>
      <c r="B6" s="1248"/>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c r="AX6" s="1248"/>
      <c r="AY6" s="1248"/>
      <c r="AZ6" s="1248"/>
      <c r="BA6" s="1248"/>
      <c r="BB6" s="1248"/>
      <c r="BC6" s="1248"/>
      <c r="BD6" s="1248"/>
      <c r="BE6" s="1248"/>
      <c r="BF6" s="1248"/>
      <c r="BG6" s="1248"/>
      <c r="BH6" s="1248"/>
      <c r="BI6" s="1248"/>
      <c r="BJ6" s="1248"/>
      <c r="BK6" s="1248"/>
      <c r="BL6" s="1248"/>
      <c r="BM6" s="1248"/>
      <c r="BN6" s="1248"/>
      <c r="BO6" s="1248"/>
      <c r="BP6" s="1248"/>
      <c r="BQ6" s="1248"/>
      <c r="BR6" s="1248"/>
      <c r="BS6" s="1248"/>
      <c r="BT6" s="1248"/>
      <c r="BU6" s="1248"/>
      <c r="BV6" s="1248"/>
      <c r="BW6" s="1248"/>
      <c r="BX6" s="1248"/>
      <c r="BY6" s="1248"/>
      <c r="BZ6" s="1248"/>
      <c r="CA6" s="1248"/>
      <c r="CB6" s="1248"/>
      <c r="CC6" s="1248"/>
      <c r="CD6" s="1248"/>
      <c r="CE6" s="1248"/>
      <c r="CF6" s="1248"/>
      <c r="CG6" s="1248"/>
      <c r="CH6" s="1248"/>
      <c r="CI6" s="1248"/>
      <c r="CJ6" s="1248"/>
      <c r="CK6" s="1248"/>
      <c r="CL6" s="1248"/>
      <c r="CM6" s="1248"/>
      <c r="CN6" s="1248"/>
      <c r="CO6" s="1248"/>
      <c r="CP6" s="1248"/>
      <c r="CQ6" s="1248"/>
      <c r="CR6" s="1248"/>
      <c r="CS6" s="1248"/>
      <c r="CT6" s="1248"/>
      <c r="CU6" s="1248"/>
      <c r="CV6" s="1248"/>
      <c r="CW6" s="1248"/>
      <c r="CX6" s="1248"/>
      <c r="CY6" s="1248"/>
      <c r="CZ6" s="1248"/>
      <c r="DA6" s="1248"/>
      <c r="DB6" s="1248"/>
      <c r="DC6" s="1248"/>
      <c r="DD6" s="1248"/>
      <c r="DE6" s="1248"/>
      <c r="DF6" s="1248"/>
      <c r="DG6" s="1248"/>
      <c r="DH6" s="1248"/>
    </row>
    <row r="7" spans="1:116" s="36" customFormat="1" ht="14.25" customHeight="1">
      <c r="A7" s="1248" t="s">
        <v>103</v>
      </c>
      <c r="B7" s="1248"/>
      <c r="C7" s="1248"/>
      <c r="D7" s="1248"/>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c r="AX7" s="1248"/>
      <c r="AY7" s="1248"/>
      <c r="AZ7" s="1248"/>
      <c r="BA7" s="1248"/>
      <c r="BB7" s="1248"/>
      <c r="BC7" s="1248"/>
      <c r="BD7" s="1248"/>
      <c r="BE7" s="1248"/>
      <c r="BF7" s="1248"/>
      <c r="BG7" s="1248"/>
      <c r="BH7" s="1248"/>
      <c r="BI7" s="1248"/>
      <c r="BJ7" s="1248"/>
      <c r="BK7" s="1248"/>
      <c r="BL7" s="1248"/>
      <c r="BM7" s="1248"/>
      <c r="BN7" s="1248"/>
      <c r="BO7" s="1248"/>
      <c r="BP7" s="1248"/>
      <c r="BQ7" s="1248"/>
      <c r="BR7" s="1248"/>
      <c r="BS7" s="1248"/>
      <c r="BT7" s="1248"/>
      <c r="BU7" s="1248"/>
      <c r="BV7" s="1248"/>
      <c r="BW7" s="1248"/>
      <c r="BX7" s="1248"/>
      <c r="BY7" s="1248"/>
      <c r="BZ7" s="1248"/>
      <c r="CA7" s="1248"/>
      <c r="CB7" s="1248"/>
      <c r="CC7" s="1248"/>
      <c r="CD7" s="1248"/>
      <c r="CE7" s="1248"/>
      <c r="CF7" s="1248"/>
      <c r="CG7" s="1248"/>
      <c r="CH7" s="1248"/>
      <c r="CI7" s="1248"/>
      <c r="CJ7" s="1248"/>
      <c r="CK7" s="1248"/>
      <c r="CL7" s="1248"/>
      <c r="CM7" s="1248"/>
      <c r="CN7" s="1248"/>
      <c r="CO7" s="1248"/>
      <c r="CP7" s="1248"/>
      <c r="CQ7" s="1248"/>
      <c r="CR7" s="1248"/>
      <c r="CS7" s="1248"/>
      <c r="CT7" s="1248"/>
      <c r="CU7" s="1248"/>
      <c r="CV7" s="1248"/>
      <c r="CW7" s="1248"/>
      <c r="CX7" s="1248"/>
      <c r="CY7" s="1248"/>
      <c r="CZ7" s="1248"/>
      <c r="DA7" s="1248"/>
      <c r="DB7" s="1248"/>
      <c r="DC7" s="1248"/>
      <c r="DD7" s="1248"/>
      <c r="DE7" s="1248"/>
      <c r="DF7" s="1248"/>
      <c r="DG7" s="1248"/>
      <c r="DH7" s="1248"/>
      <c r="DJ7" s="1063">
        <f>BV18-BU18</f>
        <v>689788.24109000061</v>
      </c>
    </row>
    <row r="8" spans="1:116" s="36" customFormat="1" ht="14.25" customHeight="1">
      <c r="A8" s="1248" t="s">
        <v>104</v>
      </c>
      <c r="B8" s="1248"/>
      <c r="C8" s="1248"/>
      <c r="D8" s="1248"/>
      <c r="E8" s="1248"/>
      <c r="F8" s="1248"/>
      <c r="G8" s="1248"/>
      <c r="H8" s="1248"/>
      <c r="I8" s="1248"/>
      <c r="J8" s="1248"/>
      <c r="K8" s="1248"/>
      <c r="L8" s="1248"/>
      <c r="M8" s="1248"/>
      <c r="N8" s="1248"/>
      <c r="O8" s="1248"/>
      <c r="P8" s="1248"/>
      <c r="Q8" s="1248"/>
      <c r="R8" s="1248"/>
      <c r="S8" s="1248"/>
      <c r="T8" s="1248"/>
      <c r="U8" s="1248"/>
      <c r="V8" s="1248"/>
      <c r="W8" s="1248"/>
      <c r="X8" s="1248"/>
      <c r="Y8" s="1248"/>
      <c r="Z8" s="1248"/>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c r="AX8" s="1248"/>
      <c r="AY8" s="1248"/>
      <c r="AZ8" s="1248"/>
      <c r="BA8" s="1248"/>
      <c r="BB8" s="1248"/>
      <c r="BC8" s="1248"/>
      <c r="BD8" s="1248"/>
      <c r="BE8" s="1248"/>
      <c r="BF8" s="1248"/>
      <c r="BG8" s="1248"/>
      <c r="BH8" s="1248"/>
      <c r="BI8" s="1248"/>
      <c r="BJ8" s="1248"/>
      <c r="BK8" s="1248"/>
      <c r="BL8" s="1248"/>
      <c r="BM8" s="1248"/>
      <c r="BN8" s="1248"/>
      <c r="BO8" s="1248"/>
      <c r="BP8" s="1248"/>
      <c r="BQ8" s="1248"/>
      <c r="BR8" s="1248"/>
      <c r="BS8" s="1248"/>
      <c r="BT8" s="1248"/>
      <c r="BU8" s="1248"/>
      <c r="BV8" s="1248"/>
      <c r="BW8" s="1248"/>
      <c r="BX8" s="1248"/>
      <c r="BY8" s="1248"/>
      <c r="BZ8" s="1248"/>
      <c r="CA8" s="1248"/>
      <c r="CB8" s="1248"/>
      <c r="CC8" s="1248"/>
      <c r="CD8" s="1248"/>
      <c r="CE8" s="1248"/>
      <c r="CF8" s="1248"/>
      <c r="CG8" s="1248"/>
      <c r="CH8" s="1248"/>
      <c r="CI8" s="1248"/>
      <c r="CJ8" s="1248"/>
      <c r="CK8" s="1248"/>
      <c r="CL8" s="1248"/>
      <c r="CM8" s="1248"/>
      <c r="CN8" s="1248"/>
      <c r="CO8" s="1248"/>
      <c r="CP8" s="1248"/>
      <c r="CQ8" s="1248"/>
      <c r="CR8" s="1248"/>
      <c r="CS8" s="1248"/>
      <c r="CT8" s="1248"/>
      <c r="CU8" s="1248"/>
      <c r="CV8" s="1248"/>
      <c r="CW8" s="1248"/>
      <c r="CX8" s="1248"/>
      <c r="CY8" s="1248"/>
      <c r="CZ8" s="1248"/>
      <c r="DA8" s="1248"/>
      <c r="DB8" s="1248"/>
      <c r="DC8" s="1248"/>
      <c r="DD8" s="1248"/>
      <c r="DE8" s="1248"/>
      <c r="DF8" s="1248"/>
      <c r="DG8" s="1248"/>
      <c r="DH8" s="1248"/>
      <c r="DJ8" s="1063">
        <f>BV86-BU86</f>
        <v>73922.270000000019</v>
      </c>
    </row>
    <row r="9" spans="1:116" ht="21" customHeight="1"/>
    <row r="10" spans="1:116" ht="13.8">
      <c r="C10" s="37" t="s">
        <v>105</v>
      </c>
      <c r="D10" s="37"/>
      <c r="AG10" s="1250" t="s">
        <v>221</v>
      </c>
      <c r="AH10" s="1250"/>
      <c r="AI10" s="1250"/>
      <c r="AJ10" s="1250"/>
      <c r="AK10" s="1250"/>
      <c r="AL10" s="1250"/>
      <c r="AM10" s="1250"/>
      <c r="AN10" s="1250"/>
      <c r="AO10" s="1250"/>
      <c r="AP10" s="1250"/>
      <c r="AQ10" s="1250"/>
      <c r="AR10" s="1250"/>
      <c r="AS10" s="1250"/>
      <c r="AT10" s="1250"/>
      <c r="AU10" s="1250"/>
      <c r="AV10" s="1250"/>
      <c r="AW10" s="1250"/>
      <c r="AX10" s="1250"/>
      <c r="AY10" s="1250"/>
      <c r="AZ10" s="1250"/>
      <c r="BA10" s="1250"/>
      <c r="BB10" s="1250"/>
      <c r="BC10" s="1250"/>
      <c r="BD10" s="1250"/>
      <c r="BE10" s="1250"/>
      <c r="BF10" s="1250"/>
      <c r="BG10" s="1250"/>
      <c r="BH10" s="1250"/>
      <c r="BI10" s="1250"/>
      <c r="BJ10" s="1250"/>
      <c r="BK10" s="1250"/>
      <c r="BL10" s="1250"/>
      <c r="BM10" s="1250"/>
      <c r="BN10" s="1250"/>
      <c r="BO10" s="1250"/>
      <c r="BP10" s="1250"/>
      <c r="BQ10" s="1250"/>
      <c r="BR10" s="1250"/>
      <c r="BS10" s="1250"/>
      <c r="BT10" s="1250"/>
      <c r="BU10" s="1250"/>
      <c r="BV10" s="1250"/>
      <c r="BW10" s="1250"/>
      <c r="BX10" s="1250"/>
      <c r="BY10" s="1250"/>
      <c r="BZ10" s="1250"/>
      <c r="CA10" s="1250"/>
      <c r="CB10" s="1250"/>
      <c r="CC10" s="1250"/>
      <c r="CD10" s="1250"/>
      <c r="CE10" s="1250"/>
      <c r="CF10" s="1250"/>
      <c r="CG10" s="1250"/>
      <c r="CH10" s="1250"/>
      <c r="CI10" s="1250"/>
      <c r="CJ10" s="1250"/>
      <c r="CK10" s="1250"/>
      <c r="CL10" s="1250"/>
      <c r="DJ10" s="1064">
        <f>CG18-BW18</f>
        <v>541261.65540009923</v>
      </c>
      <c r="DL10" s="1064">
        <f>CG18-BW18</f>
        <v>541261.65540009923</v>
      </c>
    </row>
    <row r="11" spans="1:116" ht="13.8">
      <c r="C11" s="37" t="s">
        <v>106</v>
      </c>
      <c r="D11" s="37"/>
      <c r="J11" s="1251" t="s">
        <v>224</v>
      </c>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DJ11" s="1064">
        <f>CG86-BW86</f>
        <v>229745.83999999985</v>
      </c>
    </row>
    <row r="12" spans="1:116" ht="13.8">
      <c r="C12" s="37" t="s">
        <v>107</v>
      </c>
      <c r="D12" s="37"/>
      <c r="J12" s="1252" t="s">
        <v>225</v>
      </c>
      <c r="K12" s="1252"/>
      <c r="L12" s="1252"/>
      <c r="M12" s="1252"/>
      <c r="N12" s="1252"/>
      <c r="O12" s="1252"/>
      <c r="P12" s="1252"/>
      <c r="Q12" s="1252"/>
      <c r="R12" s="1252"/>
      <c r="S12" s="1252"/>
      <c r="T12" s="1252"/>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DJ12" s="1064">
        <f>DJ10+DJ11</f>
        <v>771007.49540009908</v>
      </c>
    </row>
    <row r="13" spans="1:116" ht="13.8">
      <c r="C13" s="37" t="s">
        <v>108</v>
      </c>
      <c r="D13" s="37"/>
      <c r="AQ13" s="1253" t="s">
        <v>226</v>
      </c>
      <c r="AR13" s="1253"/>
      <c r="AS13" s="1253"/>
      <c r="AT13" s="1253"/>
      <c r="AU13" s="1253"/>
      <c r="AV13" s="1253"/>
      <c r="AW13" s="1253"/>
      <c r="AX13" s="1253"/>
      <c r="AY13" s="1254" t="s">
        <v>63</v>
      </c>
      <c r="AZ13" s="1254"/>
      <c r="BA13" s="1253" t="s">
        <v>227</v>
      </c>
      <c r="BB13" s="1253"/>
      <c r="BC13" s="1253"/>
      <c r="BD13" s="1253"/>
      <c r="BE13" s="1253"/>
      <c r="BF13" s="1253"/>
      <c r="BG13" s="1253"/>
      <c r="BH13" s="1253"/>
      <c r="BI13" s="35" t="s">
        <v>109</v>
      </c>
      <c r="DJ13" s="1064">
        <f>DJ12-771007</f>
        <v>0.49540009908378124</v>
      </c>
    </row>
    <row r="15" spans="1:116" s="38" customFormat="1" ht="13.5" customHeight="1">
      <c r="A15" s="1255" t="s">
        <v>110</v>
      </c>
      <c r="B15" s="1256"/>
      <c r="C15" s="1256"/>
      <c r="D15" s="1256"/>
      <c r="E15" s="1256"/>
      <c r="F15" s="1256"/>
      <c r="G15" s="1256"/>
      <c r="H15" s="1256"/>
      <c r="I15" s="1257"/>
      <c r="J15" s="1261" t="s">
        <v>111</v>
      </c>
      <c r="K15" s="1256"/>
      <c r="L15" s="1256"/>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7"/>
      <c r="BI15" s="1255" t="s">
        <v>112</v>
      </c>
      <c r="BJ15" s="1256"/>
      <c r="BK15" s="1256"/>
      <c r="BL15" s="1256"/>
      <c r="BM15" s="1256"/>
      <c r="BN15" s="1256"/>
      <c r="BO15" s="1256"/>
      <c r="BP15" s="1256"/>
      <c r="BQ15" s="1256"/>
      <c r="BR15" s="1256"/>
      <c r="BS15" s="1257"/>
      <c r="BT15" s="1205" t="s">
        <v>95</v>
      </c>
      <c r="BU15" s="1196">
        <v>2014</v>
      </c>
      <c r="BV15" s="1197"/>
      <c r="BW15" s="1196">
        <v>2015</v>
      </c>
      <c r="BX15" s="1197"/>
      <c r="BY15" s="1197"/>
      <c r="BZ15" s="1197"/>
      <c r="CA15" s="1197"/>
      <c r="CB15" s="1197"/>
      <c r="CC15" s="1197"/>
      <c r="CD15" s="1197"/>
      <c r="CE15" s="1197"/>
      <c r="CF15" s="1197"/>
      <c r="CG15" s="1197"/>
      <c r="CH15" s="1197"/>
      <c r="CI15" s="1197"/>
      <c r="CJ15" s="1197"/>
      <c r="CK15" s="1197"/>
      <c r="CL15" s="1197"/>
      <c r="CM15" s="1197"/>
      <c r="CN15" s="1197"/>
      <c r="CO15" s="1197"/>
      <c r="CP15" s="1198"/>
      <c r="CQ15" s="1255" t="s">
        <v>113</v>
      </c>
      <c r="CR15" s="1262"/>
      <c r="CS15" s="1262"/>
      <c r="CT15" s="1262"/>
      <c r="CU15" s="1262"/>
      <c r="CV15" s="1262"/>
      <c r="CW15" s="1262"/>
      <c r="CX15" s="1262"/>
      <c r="CY15" s="1262"/>
      <c r="CZ15" s="1262"/>
      <c r="DA15" s="1262"/>
      <c r="DB15" s="1262"/>
      <c r="DC15" s="1262"/>
      <c r="DD15" s="1262"/>
      <c r="DE15" s="1262"/>
      <c r="DF15" s="1262"/>
      <c r="DG15" s="1263"/>
      <c r="DH15" s="1205" t="s">
        <v>114</v>
      </c>
    </row>
    <row r="16" spans="1:116" s="38" customFormat="1" ht="38.4" customHeight="1">
      <c r="A16" s="1258"/>
      <c r="B16" s="1259"/>
      <c r="C16" s="1259"/>
      <c r="D16" s="1259"/>
      <c r="E16" s="1259"/>
      <c r="F16" s="1259"/>
      <c r="G16" s="1259"/>
      <c r="H16" s="1259"/>
      <c r="I16" s="1260"/>
      <c r="J16" s="1258"/>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60"/>
      <c r="BI16" s="1258"/>
      <c r="BJ16" s="1259"/>
      <c r="BK16" s="1259"/>
      <c r="BL16" s="1259"/>
      <c r="BM16" s="1259"/>
      <c r="BN16" s="1259"/>
      <c r="BO16" s="1259"/>
      <c r="BP16" s="1259"/>
      <c r="BQ16" s="1259"/>
      <c r="BR16" s="1259"/>
      <c r="BS16" s="1260"/>
      <c r="BT16" s="1206"/>
      <c r="BU16" s="1050" t="s">
        <v>2193</v>
      </c>
      <c r="BV16" s="1050" t="s">
        <v>1752</v>
      </c>
      <c r="BW16" s="1196" t="s">
        <v>115</v>
      </c>
      <c r="BX16" s="1197"/>
      <c r="BY16" s="1197"/>
      <c r="BZ16" s="1197"/>
      <c r="CA16" s="1197"/>
      <c r="CB16" s="1197"/>
      <c r="CC16" s="1197"/>
      <c r="CD16" s="1197"/>
      <c r="CE16" s="1197"/>
      <c r="CF16" s="1198"/>
      <c r="CG16" s="1210" t="s">
        <v>1522</v>
      </c>
      <c r="CH16" s="1197"/>
      <c r="CI16" s="1197"/>
      <c r="CJ16" s="1197"/>
      <c r="CK16" s="1197"/>
      <c r="CL16" s="1197"/>
      <c r="CM16" s="1197"/>
      <c r="CN16" s="1197"/>
      <c r="CO16" s="1197"/>
      <c r="CP16" s="1198"/>
      <c r="CQ16" s="1264"/>
      <c r="CR16" s="1265"/>
      <c r="CS16" s="1265"/>
      <c r="CT16" s="1265"/>
      <c r="CU16" s="1265"/>
      <c r="CV16" s="1265"/>
      <c r="CW16" s="1265"/>
      <c r="CX16" s="1265"/>
      <c r="CY16" s="1265"/>
      <c r="CZ16" s="1265"/>
      <c r="DA16" s="1265"/>
      <c r="DB16" s="1265"/>
      <c r="DC16" s="1265"/>
      <c r="DD16" s="1265"/>
      <c r="DE16" s="1265"/>
      <c r="DF16" s="1265"/>
      <c r="DG16" s="1266"/>
      <c r="DH16" s="1249"/>
    </row>
    <row r="17" spans="1:125" s="38" customFormat="1" ht="15" customHeight="1">
      <c r="A17" s="1192" t="s">
        <v>116</v>
      </c>
      <c r="B17" s="1193"/>
      <c r="C17" s="1193"/>
      <c r="D17" s="1193"/>
      <c r="E17" s="1193"/>
      <c r="F17" s="1193"/>
      <c r="G17" s="1193"/>
      <c r="H17" s="1193"/>
      <c r="I17" s="1194"/>
      <c r="J17" s="39"/>
      <c r="K17" s="1195" t="s">
        <v>117</v>
      </c>
      <c r="L17" s="1195"/>
      <c r="M17" s="1195"/>
      <c r="N17" s="1195"/>
      <c r="O17" s="1195"/>
      <c r="P17" s="1195"/>
      <c r="Q17" s="1195"/>
      <c r="R17" s="1195"/>
      <c r="S17" s="1195"/>
      <c r="T17" s="1195"/>
      <c r="U17" s="1195"/>
      <c r="V17" s="1195"/>
      <c r="W17" s="1195"/>
      <c r="X17" s="1195"/>
      <c r="Y17" s="1195"/>
      <c r="Z17" s="1195"/>
      <c r="AA17" s="1195"/>
      <c r="AB17" s="1195"/>
      <c r="AC17" s="1195"/>
      <c r="AD17" s="1195"/>
      <c r="AE17" s="1195"/>
      <c r="AF17" s="1195"/>
      <c r="AG17" s="1195"/>
      <c r="AH17" s="1195"/>
      <c r="AI17" s="1195"/>
      <c r="AJ17" s="1195"/>
      <c r="AK17" s="1195"/>
      <c r="AL17" s="1195"/>
      <c r="AM17" s="1195"/>
      <c r="AN17" s="1195"/>
      <c r="AO17" s="1195"/>
      <c r="AP17" s="1195"/>
      <c r="AQ17" s="1195"/>
      <c r="AR17" s="1195"/>
      <c r="AS17" s="1195"/>
      <c r="AT17" s="1195"/>
      <c r="AU17" s="1195"/>
      <c r="AV17" s="1195"/>
      <c r="AW17" s="1195"/>
      <c r="AX17" s="1195"/>
      <c r="AY17" s="1195"/>
      <c r="AZ17" s="1195"/>
      <c r="BA17" s="1195"/>
      <c r="BB17" s="1195"/>
      <c r="BC17" s="1195"/>
      <c r="BD17" s="1195"/>
      <c r="BE17" s="1195"/>
      <c r="BF17" s="1195"/>
      <c r="BG17" s="1195"/>
      <c r="BH17" s="40"/>
      <c r="BI17" s="1196" t="s">
        <v>118</v>
      </c>
      <c r="BJ17" s="1197"/>
      <c r="BK17" s="1197"/>
      <c r="BL17" s="1197"/>
      <c r="BM17" s="1197"/>
      <c r="BN17" s="1197"/>
      <c r="BO17" s="1197"/>
      <c r="BP17" s="1197"/>
      <c r="BQ17" s="1197"/>
      <c r="BR17" s="1197"/>
      <c r="BS17" s="1198"/>
      <c r="BT17" s="43" t="s">
        <v>118</v>
      </c>
      <c r="BU17" s="1049"/>
      <c r="BV17" s="1049"/>
      <c r="BW17" s="1196" t="s">
        <v>118</v>
      </c>
      <c r="BX17" s="1197"/>
      <c r="BY17" s="1197"/>
      <c r="BZ17" s="1197"/>
      <c r="CA17" s="1197"/>
      <c r="CB17" s="1197"/>
      <c r="CC17" s="1197"/>
      <c r="CD17" s="1197"/>
      <c r="CE17" s="1197"/>
      <c r="CF17" s="1198"/>
      <c r="CG17" s="1196" t="s">
        <v>118</v>
      </c>
      <c r="CH17" s="1197"/>
      <c r="CI17" s="1197"/>
      <c r="CJ17" s="1197"/>
      <c r="CK17" s="1197"/>
      <c r="CL17" s="1197"/>
      <c r="CM17" s="1197"/>
      <c r="CN17" s="1197"/>
      <c r="CO17" s="1197"/>
      <c r="CP17" s="1198"/>
      <c r="CQ17" s="1210" t="s">
        <v>118</v>
      </c>
      <c r="CR17" s="1211"/>
      <c r="CS17" s="1211"/>
      <c r="CT17" s="1211"/>
      <c r="CU17" s="1211"/>
      <c r="CV17" s="1211"/>
      <c r="CW17" s="1211"/>
      <c r="CX17" s="1211"/>
      <c r="CY17" s="1211"/>
      <c r="CZ17" s="1211"/>
      <c r="DA17" s="1211"/>
      <c r="DB17" s="1211"/>
      <c r="DC17" s="1211"/>
      <c r="DD17" s="1211"/>
      <c r="DE17" s="1211"/>
      <c r="DF17" s="1211"/>
      <c r="DG17" s="1212"/>
      <c r="DH17" s="41" t="s">
        <v>118</v>
      </c>
      <c r="DJ17" s="417" t="s">
        <v>2202</v>
      </c>
      <c r="DL17" s="416">
        <f>DL18-CG18</f>
        <v>-5.5792275816202164E-2</v>
      </c>
      <c r="DT17" s="417" t="s">
        <v>2203</v>
      </c>
    </row>
    <row r="18" spans="1:125" s="38" customFormat="1" ht="30" customHeight="1">
      <c r="A18" s="1192" t="s">
        <v>119</v>
      </c>
      <c r="B18" s="1193"/>
      <c r="C18" s="1193"/>
      <c r="D18" s="1193"/>
      <c r="E18" s="1193"/>
      <c r="F18" s="1193"/>
      <c r="G18" s="1193"/>
      <c r="H18" s="1193"/>
      <c r="I18" s="1194"/>
      <c r="J18" s="39"/>
      <c r="K18" s="1195" t="s">
        <v>120</v>
      </c>
      <c r="L18" s="1195"/>
      <c r="M18" s="1195"/>
      <c r="N18" s="1195"/>
      <c r="O18" s="1195"/>
      <c r="P18" s="1195"/>
      <c r="Q18" s="1195"/>
      <c r="R18" s="1195"/>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95"/>
      <c r="AS18" s="1195"/>
      <c r="AT18" s="1195"/>
      <c r="AU18" s="1195"/>
      <c r="AV18" s="1195"/>
      <c r="AW18" s="1195"/>
      <c r="AX18" s="1195"/>
      <c r="AY18" s="1195"/>
      <c r="AZ18" s="1195"/>
      <c r="BA18" s="1195"/>
      <c r="BB18" s="1195"/>
      <c r="BC18" s="1195"/>
      <c r="BD18" s="1195"/>
      <c r="BE18" s="1195"/>
      <c r="BF18" s="1195"/>
      <c r="BG18" s="1195"/>
      <c r="BH18" s="40"/>
      <c r="BI18" s="1196" t="s">
        <v>121</v>
      </c>
      <c r="BJ18" s="1197"/>
      <c r="BK18" s="1197"/>
      <c r="BL18" s="1197"/>
      <c r="BM18" s="1197"/>
      <c r="BN18" s="1197"/>
      <c r="BO18" s="1197"/>
      <c r="BP18" s="1197"/>
      <c r="BQ18" s="1197"/>
      <c r="BR18" s="1197"/>
      <c r="BS18" s="1198"/>
      <c r="BT18" s="1207">
        <v>42460</v>
      </c>
      <c r="BU18" s="1052">
        <v>3995767</v>
      </c>
      <c r="BV18" s="1052">
        <v>4685555.2410900006</v>
      </c>
      <c r="BW18" s="1148">
        <f>BW19+BW52+BW84</f>
        <v>4508690.1458521765</v>
      </c>
      <c r="BX18" s="1149"/>
      <c r="BY18" s="1149"/>
      <c r="BZ18" s="1149"/>
      <c r="CA18" s="1149"/>
      <c r="CB18" s="1149"/>
      <c r="CC18" s="1149"/>
      <c r="CD18" s="1149"/>
      <c r="CE18" s="1149"/>
      <c r="CF18" s="1150"/>
      <c r="CG18" s="1148">
        <f>CG19+CG52</f>
        <v>5049951.8012522757</v>
      </c>
      <c r="CH18" s="1149"/>
      <c r="CI18" s="1149"/>
      <c r="CJ18" s="1149"/>
      <c r="CK18" s="1149"/>
      <c r="CL18" s="1149"/>
      <c r="CM18" s="1149"/>
      <c r="CN18" s="1149"/>
      <c r="CO18" s="1149"/>
      <c r="CP18" s="1150"/>
      <c r="CQ18" s="1243"/>
      <c r="CR18" s="1244"/>
      <c r="CS18" s="1244"/>
      <c r="CT18" s="1244"/>
      <c r="CU18" s="1244"/>
      <c r="CV18" s="1244"/>
      <c r="CW18" s="1244"/>
      <c r="CX18" s="1244"/>
      <c r="CY18" s="1244"/>
      <c r="CZ18" s="1244"/>
      <c r="DA18" s="1244"/>
      <c r="DB18" s="1244"/>
      <c r="DC18" s="1244"/>
      <c r="DD18" s="1244"/>
      <c r="DE18" s="1244"/>
      <c r="DF18" s="1244"/>
      <c r="DG18" s="1245"/>
      <c r="DH18" s="1199" t="s">
        <v>122</v>
      </c>
      <c r="DJ18" s="416">
        <f>CG18+CG86</f>
        <v>8243413.8012522757</v>
      </c>
      <c r="DL18" s="1061">
        <f>'1.3'!HW40</f>
        <v>5049951.7454599999</v>
      </c>
    </row>
    <row r="19" spans="1:125" s="38" customFormat="1" ht="30" customHeight="1">
      <c r="A19" s="1192" t="s">
        <v>2</v>
      </c>
      <c r="B19" s="1193"/>
      <c r="C19" s="1193"/>
      <c r="D19" s="1193"/>
      <c r="E19" s="1193"/>
      <c r="F19" s="1193"/>
      <c r="G19" s="1193"/>
      <c r="H19" s="1193"/>
      <c r="I19" s="1194"/>
      <c r="J19" s="39"/>
      <c r="K19" s="1195" t="s">
        <v>123</v>
      </c>
      <c r="L19" s="1195"/>
      <c r="M19" s="1195"/>
      <c r="N19" s="1195"/>
      <c r="O19" s="1195"/>
      <c r="P19" s="1195"/>
      <c r="Q19" s="1195"/>
      <c r="R19" s="1195"/>
      <c r="S19" s="1195"/>
      <c r="T19" s="1195"/>
      <c r="U19" s="1195"/>
      <c r="V19" s="1195"/>
      <c r="W19" s="1195"/>
      <c r="X19" s="1195"/>
      <c r="Y19" s="1195"/>
      <c r="Z19" s="1195"/>
      <c r="AA19" s="1195"/>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40"/>
      <c r="BI19" s="1196" t="s">
        <v>121</v>
      </c>
      <c r="BJ19" s="1197"/>
      <c r="BK19" s="1197"/>
      <c r="BL19" s="1197"/>
      <c r="BM19" s="1197"/>
      <c r="BN19" s="1197"/>
      <c r="BO19" s="1197"/>
      <c r="BP19" s="1197"/>
      <c r="BQ19" s="1197"/>
      <c r="BR19" s="1197"/>
      <c r="BS19" s="1198"/>
      <c r="BT19" s="1215"/>
      <c r="BU19" s="1052">
        <v>1655457</v>
      </c>
      <c r="BV19" s="1052">
        <v>2175018.1865600003</v>
      </c>
      <c r="BW19" s="1148">
        <f>BW20+BW25+BW27+BW49+BW50+BW51</f>
        <v>1788344.6142069914</v>
      </c>
      <c r="BX19" s="1149"/>
      <c r="BY19" s="1149"/>
      <c r="BZ19" s="1149"/>
      <c r="CA19" s="1149"/>
      <c r="CB19" s="1149"/>
      <c r="CC19" s="1149"/>
      <c r="CD19" s="1149"/>
      <c r="CE19" s="1149"/>
      <c r="CF19" s="1150"/>
      <c r="CG19" s="1148">
        <f>CG20+CG25+CG27+CG49+CG50+CG51</f>
        <v>2396659.46361</v>
      </c>
      <c r="CH19" s="1149"/>
      <c r="CI19" s="1149"/>
      <c r="CJ19" s="1149"/>
      <c r="CK19" s="1149"/>
      <c r="CL19" s="1149"/>
      <c r="CM19" s="1149"/>
      <c r="CN19" s="1149"/>
      <c r="CO19" s="1149"/>
      <c r="CP19" s="1150"/>
      <c r="CQ19" s="1151"/>
      <c r="CR19" s="1152"/>
      <c r="CS19" s="1152"/>
      <c r="CT19" s="1152"/>
      <c r="CU19" s="1152"/>
      <c r="CV19" s="1152"/>
      <c r="CW19" s="1152"/>
      <c r="CX19" s="1152"/>
      <c r="CY19" s="1152"/>
      <c r="CZ19" s="1152"/>
      <c r="DA19" s="1152"/>
      <c r="DB19" s="1152"/>
      <c r="DC19" s="1152"/>
      <c r="DD19" s="1152"/>
      <c r="DE19" s="1152"/>
      <c r="DF19" s="1152"/>
      <c r="DG19" s="1153"/>
      <c r="DH19" s="1200"/>
      <c r="DI19" s="1057">
        <f>CG19*100/BW19-100</f>
        <v>34.015527240690943</v>
      </c>
      <c r="DJ19" s="418">
        <f>'1.3'!HU40</f>
        <v>8243414</v>
      </c>
      <c r="DL19" s="417" t="s">
        <v>1535</v>
      </c>
    </row>
    <row r="20" spans="1:125" s="38" customFormat="1" ht="15" customHeight="1">
      <c r="A20" s="1192" t="s">
        <v>124</v>
      </c>
      <c r="B20" s="1193"/>
      <c r="C20" s="1193"/>
      <c r="D20" s="1193"/>
      <c r="E20" s="1193"/>
      <c r="F20" s="1193"/>
      <c r="G20" s="1193"/>
      <c r="H20" s="1193"/>
      <c r="I20" s="1194"/>
      <c r="J20" s="39"/>
      <c r="K20" s="1195" t="s">
        <v>125</v>
      </c>
      <c r="L20" s="1195"/>
      <c r="M20" s="1195"/>
      <c r="N20" s="1195"/>
      <c r="O20" s="1195"/>
      <c r="P20" s="1195"/>
      <c r="Q20" s="1195"/>
      <c r="R20" s="1195"/>
      <c r="S20" s="1195"/>
      <c r="T20" s="1195"/>
      <c r="U20" s="1195"/>
      <c r="V20" s="1195"/>
      <c r="W20" s="1195"/>
      <c r="X20" s="1195"/>
      <c r="Y20" s="1195"/>
      <c r="Z20" s="1195"/>
      <c r="AA20" s="1195"/>
      <c r="AB20" s="1195"/>
      <c r="AC20" s="1195"/>
      <c r="AD20" s="1195"/>
      <c r="AE20" s="1195"/>
      <c r="AF20" s="1195"/>
      <c r="AG20" s="1195"/>
      <c r="AH20" s="1195"/>
      <c r="AI20" s="1195"/>
      <c r="AJ20" s="1195"/>
      <c r="AK20" s="1195"/>
      <c r="AL20" s="1195"/>
      <c r="AM20" s="1195"/>
      <c r="AN20" s="1195"/>
      <c r="AO20" s="1195"/>
      <c r="AP20" s="1195"/>
      <c r="AQ20" s="1195"/>
      <c r="AR20" s="1195"/>
      <c r="AS20" s="1195"/>
      <c r="AT20" s="1195"/>
      <c r="AU20" s="1195"/>
      <c r="AV20" s="1195"/>
      <c r="AW20" s="1195"/>
      <c r="AX20" s="1195"/>
      <c r="AY20" s="1195"/>
      <c r="AZ20" s="1195"/>
      <c r="BA20" s="1195"/>
      <c r="BB20" s="1195"/>
      <c r="BC20" s="1195"/>
      <c r="BD20" s="1195"/>
      <c r="BE20" s="1195"/>
      <c r="BF20" s="1195"/>
      <c r="BG20" s="1195"/>
      <c r="BH20" s="40"/>
      <c r="BI20" s="1196" t="s">
        <v>121</v>
      </c>
      <c r="BJ20" s="1197"/>
      <c r="BK20" s="1197"/>
      <c r="BL20" s="1197"/>
      <c r="BM20" s="1197"/>
      <c r="BN20" s="1197"/>
      <c r="BO20" s="1197"/>
      <c r="BP20" s="1197"/>
      <c r="BQ20" s="1197"/>
      <c r="BR20" s="1197"/>
      <c r="BS20" s="1198"/>
      <c r="BT20" s="1215"/>
      <c r="BU20" s="1052">
        <v>369433</v>
      </c>
      <c r="BV20" s="1052">
        <v>426870.21915999998</v>
      </c>
      <c r="BW20" s="1154">
        <f>BW21+BW22+BW23</f>
        <v>317906.13237067999</v>
      </c>
      <c r="BX20" s="1155"/>
      <c r="BY20" s="1155"/>
      <c r="BZ20" s="1155"/>
      <c r="CA20" s="1155"/>
      <c r="CB20" s="1155"/>
      <c r="CC20" s="1155"/>
      <c r="CD20" s="1155"/>
      <c r="CE20" s="1155"/>
      <c r="CF20" s="1156"/>
      <c r="CG20" s="1240">
        <f>'1.6.'!BT23+'1.6.'!BT34</f>
        <v>459076</v>
      </c>
      <c r="CH20" s="1241"/>
      <c r="CI20" s="1241"/>
      <c r="CJ20" s="1241"/>
      <c r="CK20" s="1241"/>
      <c r="CL20" s="1241"/>
      <c r="CM20" s="1241"/>
      <c r="CN20" s="1241"/>
      <c r="CO20" s="1241"/>
      <c r="CP20" s="1242"/>
      <c r="CQ20" s="1277" t="s">
        <v>2205</v>
      </c>
      <c r="CR20" s="1278"/>
      <c r="CS20" s="1278"/>
      <c r="CT20" s="1278"/>
      <c r="CU20" s="1278"/>
      <c r="CV20" s="1278"/>
      <c r="CW20" s="1278"/>
      <c r="CX20" s="1278"/>
      <c r="CY20" s="1278"/>
      <c r="CZ20" s="1278"/>
      <c r="DA20" s="1278"/>
      <c r="DB20" s="1278"/>
      <c r="DC20" s="1278"/>
      <c r="DD20" s="1278"/>
      <c r="DE20" s="1278"/>
      <c r="DF20" s="1278"/>
      <c r="DG20" s="1279"/>
      <c r="DH20" s="1200"/>
      <c r="DI20" s="1057">
        <f t="shared" ref="DI20:DI71" si="0">CG20*100/BW20-100</f>
        <v>44.406147996137207</v>
      </c>
      <c r="DJ20" s="416">
        <f>DJ19-DJ18</f>
        <v>0.19874772429466248</v>
      </c>
      <c r="DL20" s="1061"/>
      <c r="DT20" s="1061">
        <f>'8.Бюджет на 2015'!DF85+'8.Бюджет на 2015'!DF146</f>
        <v>459075.59732999996</v>
      </c>
      <c r="DU20" s="418">
        <f>DT20-CG20</f>
        <v>-0.4026700000395067</v>
      </c>
    </row>
    <row r="21" spans="1:125" s="38" customFormat="1" ht="30" customHeight="1">
      <c r="A21" s="1192" t="s">
        <v>126</v>
      </c>
      <c r="B21" s="1193"/>
      <c r="C21" s="1193"/>
      <c r="D21" s="1193"/>
      <c r="E21" s="1193"/>
      <c r="F21" s="1193"/>
      <c r="G21" s="1193"/>
      <c r="H21" s="1193"/>
      <c r="I21" s="1194"/>
      <c r="J21" s="39"/>
      <c r="K21" s="1214" t="s">
        <v>127</v>
      </c>
      <c r="L21" s="1214"/>
      <c r="M21" s="1214"/>
      <c r="N21" s="1214"/>
      <c r="O21" s="1214"/>
      <c r="P21" s="1214"/>
      <c r="Q21" s="1214"/>
      <c r="R21" s="1214"/>
      <c r="S21" s="1214"/>
      <c r="T21" s="1214"/>
      <c r="U21" s="1214"/>
      <c r="V21" s="1214"/>
      <c r="W21" s="1214"/>
      <c r="X21" s="1214"/>
      <c r="Y21" s="1214"/>
      <c r="Z21" s="1214"/>
      <c r="AA21" s="1214"/>
      <c r="AB21" s="1214"/>
      <c r="AC21" s="1214"/>
      <c r="AD21" s="1214"/>
      <c r="AE21" s="1214"/>
      <c r="AF21" s="1214"/>
      <c r="AG21" s="1214"/>
      <c r="AH21" s="1214"/>
      <c r="AI21" s="1214"/>
      <c r="AJ21" s="1214"/>
      <c r="AK21" s="1214"/>
      <c r="AL21" s="1214"/>
      <c r="AM21" s="1214"/>
      <c r="AN21" s="1214"/>
      <c r="AO21" s="1214"/>
      <c r="AP21" s="1214"/>
      <c r="AQ21" s="1214"/>
      <c r="AR21" s="1214"/>
      <c r="AS21" s="1214"/>
      <c r="AT21" s="1214"/>
      <c r="AU21" s="1214"/>
      <c r="AV21" s="1214"/>
      <c r="AW21" s="1214"/>
      <c r="AX21" s="1214"/>
      <c r="AY21" s="1214"/>
      <c r="AZ21" s="1214"/>
      <c r="BA21" s="1214"/>
      <c r="BB21" s="1214"/>
      <c r="BC21" s="1214"/>
      <c r="BD21" s="1214"/>
      <c r="BE21" s="1214"/>
      <c r="BF21" s="1214"/>
      <c r="BG21" s="1214"/>
      <c r="BH21" s="40"/>
      <c r="BI21" s="1196" t="s">
        <v>121</v>
      </c>
      <c r="BJ21" s="1197"/>
      <c r="BK21" s="1197"/>
      <c r="BL21" s="1197"/>
      <c r="BM21" s="1197"/>
      <c r="BN21" s="1197"/>
      <c r="BO21" s="1197"/>
      <c r="BP21" s="1197"/>
      <c r="BQ21" s="1197"/>
      <c r="BR21" s="1197"/>
      <c r="BS21" s="1198"/>
      <c r="BT21" s="1215"/>
      <c r="BU21" s="1052">
        <v>100036</v>
      </c>
      <c r="BV21" s="1052">
        <v>134636.96</v>
      </c>
      <c r="BW21" s="1154">
        <f>'5. подк.неподк.план'!Y29-'5. подк.неподк.план'!Y33-'5. подк.неподк.план'!Y51-'5. подк.неподк.план'!Y55-'5. подк.неподк.план'!Y57-'5. подк.неподк.план'!Y58-'5. подк.неподк.план'!Y59-'5. подк.неподк.план'!Y60-'5. подк.неподк.план'!Y66-'5. подк.неподк.план'!Y83</f>
        <v>102151.7441394201</v>
      </c>
      <c r="BX21" s="1155"/>
      <c r="BY21" s="1155"/>
      <c r="BZ21" s="1155"/>
      <c r="CA21" s="1155"/>
      <c r="CB21" s="1155"/>
      <c r="CC21" s="1155"/>
      <c r="CD21" s="1155"/>
      <c r="CE21" s="1155"/>
      <c r="CF21" s="1156"/>
      <c r="CG21" s="1154">
        <f>CG20-CG22-CG23</f>
        <v>158166</v>
      </c>
      <c r="CH21" s="1155"/>
      <c r="CI21" s="1155"/>
      <c r="CJ21" s="1155"/>
      <c r="CK21" s="1155"/>
      <c r="CL21" s="1155"/>
      <c r="CM21" s="1155"/>
      <c r="CN21" s="1155"/>
      <c r="CO21" s="1155"/>
      <c r="CP21" s="1156"/>
      <c r="CQ21" s="1280"/>
      <c r="CR21" s="1281"/>
      <c r="CS21" s="1281"/>
      <c r="CT21" s="1281"/>
      <c r="CU21" s="1281"/>
      <c r="CV21" s="1281"/>
      <c r="CW21" s="1281"/>
      <c r="CX21" s="1281"/>
      <c r="CY21" s="1281"/>
      <c r="CZ21" s="1281"/>
      <c r="DA21" s="1281"/>
      <c r="DB21" s="1281"/>
      <c r="DC21" s="1281"/>
      <c r="DD21" s="1281"/>
      <c r="DE21" s="1281"/>
      <c r="DF21" s="1281"/>
      <c r="DG21" s="1282"/>
      <c r="DH21" s="1200"/>
      <c r="DI21" s="1057">
        <f t="shared" si="0"/>
        <v>54.83436071745362</v>
      </c>
      <c r="DJ21" s="416"/>
    </row>
    <row r="22" spans="1:125" s="38" customFormat="1" ht="15" customHeight="1">
      <c r="A22" s="1192" t="s">
        <v>128</v>
      </c>
      <c r="B22" s="1193"/>
      <c r="C22" s="1193"/>
      <c r="D22" s="1193"/>
      <c r="E22" s="1193"/>
      <c r="F22" s="1193"/>
      <c r="G22" s="1193"/>
      <c r="H22" s="1193"/>
      <c r="I22" s="1194"/>
      <c r="J22" s="39"/>
      <c r="K22" s="1195" t="s">
        <v>129</v>
      </c>
      <c r="L22" s="1195"/>
      <c r="M22" s="1195"/>
      <c r="N22" s="1195"/>
      <c r="O22" s="1195"/>
      <c r="P22" s="1195"/>
      <c r="Q22" s="1195"/>
      <c r="R22" s="1195"/>
      <c r="S22" s="1195"/>
      <c r="T22" s="1195"/>
      <c r="U22" s="1195"/>
      <c r="V22" s="1195"/>
      <c r="W22" s="1195"/>
      <c r="X22" s="1195"/>
      <c r="Y22" s="1195"/>
      <c r="Z22" s="1195"/>
      <c r="AA22" s="1195"/>
      <c r="AB22" s="1195"/>
      <c r="AC22" s="1195"/>
      <c r="AD22" s="1195"/>
      <c r="AE22" s="1195"/>
      <c r="AF22" s="1195"/>
      <c r="AG22" s="1195"/>
      <c r="AH22" s="1195"/>
      <c r="AI22" s="1195"/>
      <c r="AJ22" s="1195"/>
      <c r="AK22" s="1195"/>
      <c r="AL22" s="1195"/>
      <c r="AM22" s="1195"/>
      <c r="AN22" s="1195"/>
      <c r="AO22" s="1195"/>
      <c r="AP22" s="1195"/>
      <c r="AQ22" s="1195"/>
      <c r="AR22" s="1195"/>
      <c r="AS22" s="1195"/>
      <c r="AT22" s="1195"/>
      <c r="AU22" s="1195"/>
      <c r="AV22" s="1195"/>
      <c r="AW22" s="1195"/>
      <c r="AX22" s="1195"/>
      <c r="AY22" s="1195"/>
      <c r="AZ22" s="1195"/>
      <c r="BA22" s="1195"/>
      <c r="BB22" s="1195"/>
      <c r="BC22" s="1195"/>
      <c r="BD22" s="1195"/>
      <c r="BE22" s="1195"/>
      <c r="BF22" s="1195"/>
      <c r="BG22" s="1195"/>
      <c r="BH22" s="40"/>
      <c r="BI22" s="1196" t="s">
        <v>121</v>
      </c>
      <c r="BJ22" s="1197"/>
      <c r="BK22" s="1197"/>
      <c r="BL22" s="1197"/>
      <c r="BM22" s="1197"/>
      <c r="BN22" s="1197"/>
      <c r="BO22" s="1197"/>
      <c r="BP22" s="1197"/>
      <c r="BQ22" s="1197"/>
      <c r="BR22" s="1197"/>
      <c r="BS22" s="1198"/>
      <c r="BT22" s="1215"/>
      <c r="BU22" s="1052">
        <v>183116</v>
      </c>
      <c r="BV22" s="1052">
        <v>163145</v>
      </c>
      <c r="BW22" s="1154">
        <f>'5. подк.неподк.план'!Y33+'5. подк.неподк.план'!Y51+'5. подк.неподк.план'!Y55+'5. подк.неподк.план'!Y57+'5. подк.неподк.план'!Y58+'5. подк.неподк.план'!Y59+'5. подк.неподк.план'!Y60+'5. подк.неподк.план'!Y66+'5. подк.неподк.план'!Y83</f>
        <v>141725.96443951706</v>
      </c>
      <c r="BX22" s="1155"/>
      <c r="BY22" s="1155"/>
      <c r="BZ22" s="1155"/>
      <c r="CA22" s="1155"/>
      <c r="CB22" s="1155"/>
      <c r="CC22" s="1155"/>
      <c r="CD22" s="1155"/>
      <c r="CE22" s="1155"/>
      <c r="CF22" s="1156"/>
      <c r="CG22" s="1154">
        <f>'1.6.'!BT63</f>
        <v>147496</v>
      </c>
      <c r="CH22" s="1155"/>
      <c r="CI22" s="1155"/>
      <c r="CJ22" s="1155"/>
      <c r="CK22" s="1155"/>
      <c r="CL22" s="1155"/>
      <c r="CM22" s="1155"/>
      <c r="CN22" s="1155"/>
      <c r="CO22" s="1155"/>
      <c r="CP22" s="1156"/>
      <c r="CQ22" s="1280"/>
      <c r="CR22" s="1281"/>
      <c r="CS22" s="1281"/>
      <c r="CT22" s="1281"/>
      <c r="CU22" s="1281"/>
      <c r="CV22" s="1281"/>
      <c r="CW22" s="1281"/>
      <c r="CX22" s="1281"/>
      <c r="CY22" s="1281"/>
      <c r="CZ22" s="1281"/>
      <c r="DA22" s="1281"/>
      <c r="DB22" s="1281"/>
      <c r="DC22" s="1281"/>
      <c r="DD22" s="1281"/>
      <c r="DE22" s="1281"/>
      <c r="DF22" s="1281"/>
      <c r="DG22" s="1282"/>
      <c r="DH22" s="1200"/>
      <c r="DI22" s="1057">
        <f t="shared" si="0"/>
        <v>4.0712621595497183</v>
      </c>
      <c r="DJ22" s="418">
        <f>'1.6.'!BT63</f>
        <v>147496</v>
      </c>
    </row>
    <row r="23" spans="1:125" s="38" customFormat="1" ht="58.5" customHeight="1">
      <c r="A23" s="1192" t="s">
        <v>130</v>
      </c>
      <c r="B23" s="1193"/>
      <c r="C23" s="1193"/>
      <c r="D23" s="1193"/>
      <c r="E23" s="1193"/>
      <c r="F23" s="1193"/>
      <c r="G23" s="1193"/>
      <c r="H23" s="1193"/>
      <c r="I23" s="1194"/>
      <c r="J23" s="39"/>
      <c r="K23" s="1195" t="s">
        <v>2190</v>
      </c>
      <c r="L23" s="1195"/>
      <c r="M23" s="1195"/>
      <c r="N23" s="1195"/>
      <c r="O23" s="1195"/>
      <c r="P23" s="1195"/>
      <c r="Q23" s="1195"/>
      <c r="R23" s="1195"/>
      <c r="S23" s="1195"/>
      <c r="T23" s="1195"/>
      <c r="U23" s="1195"/>
      <c r="V23" s="1195"/>
      <c r="W23" s="1195"/>
      <c r="X23" s="1195"/>
      <c r="Y23" s="1195"/>
      <c r="Z23" s="1195"/>
      <c r="AA23" s="1195"/>
      <c r="AB23" s="1195"/>
      <c r="AC23" s="1195"/>
      <c r="AD23" s="1195"/>
      <c r="AE23" s="1195"/>
      <c r="AF23" s="1195"/>
      <c r="AG23" s="1195"/>
      <c r="AH23" s="1195"/>
      <c r="AI23" s="1195"/>
      <c r="AJ23" s="1195"/>
      <c r="AK23" s="1195"/>
      <c r="AL23" s="1195"/>
      <c r="AM23" s="1195"/>
      <c r="AN23" s="1195"/>
      <c r="AO23" s="1195"/>
      <c r="AP23" s="1195"/>
      <c r="AQ23" s="1195"/>
      <c r="AR23" s="1195"/>
      <c r="AS23" s="1195"/>
      <c r="AT23" s="1195"/>
      <c r="AU23" s="1195"/>
      <c r="AV23" s="1195"/>
      <c r="AW23" s="1195"/>
      <c r="AX23" s="1195"/>
      <c r="AY23" s="1195"/>
      <c r="AZ23" s="1195"/>
      <c r="BA23" s="1195"/>
      <c r="BB23" s="1195"/>
      <c r="BC23" s="1195"/>
      <c r="BD23" s="1195"/>
      <c r="BE23" s="1195"/>
      <c r="BF23" s="1195"/>
      <c r="BG23" s="1195"/>
      <c r="BH23" s="40"/>
      <c r="BI23" s="1196" t="s">
        <v>121</v>
      </c>
      <c r="BJ23" s="1197"/>
      <c r="BK23" s="1197"/>
      <c r="BL23" s="1197"/>
      <c r="BM23" s="1197"/>
      <c r="BN23" s="1197"/>
      <c r="BO23" s="1197"/>
      <c r="BP23" s="1197"/>
      <c r="BQ23" s="1197"/>
      <c r="BR23" s="1197"/>
      <c r="BS23" s="1198"/>
      <c r="BT23" s="1215"/>
      <c r="BU23" s="1052">
        <v>86280</v>
      </c>
      <c r="BV23" s="1052">
        <v>129088</v>
      </c>
      <c r="BW23" s="1154">
        <f>'5. подк.неподк.план'!Y113</f>
        <v>74028.423791742825</v>
      </c>
      <c r="BX23" s="1155"/>
      <c r="BY23" s="1155"/>
      <c r="BZ23" s="1155"/>
      <c r="CA23" s="1155"/>
      <c r="CB23" s="1155"/>
      <c r="CC23" s="1155"/>
      <c r="CD23" s="1155"/>
      <c r="CE23" s="1155"/>
      <c r="CF23" s="1156"/>
      <c r="CG23" s="1154">
        <f>'1.6.'!BT65</f>
        <v>153414</v>
      </c>
      <c r="CH23" s="1155"/>
      <c r="CI23" s="1155"/>
      <c r="CJ23" s="1155"/>
      <c r="CK23" s="1155"/>
      <c r="CL23" s="1155"/>
      <c r="CM23" s="1155"/>
      <c r="CN23" s="1155"/>
      <c r="CO23" s="1155"/>
      <c r="CP23" s="1156"/>
      <c r="CQ23" s="1280"/>
      <c r="CR23" s="1281"/>
      <c r="CS23" s="1281"/>
      <c r="CT23" s="1281"/>
      <c r="CU23" s="1281"/>
      <c r="CV23" s="1281"/>
      <c r="CW23" s="1281"/>
      <c r="CX23" s="1281"/>
      <c r="CY23" s="1281"/>
      <c r="CZ23" s="1281"/>
      <c r="DA23" s="1281"/>
      <c r="DB23" s="1281"/>
      <c r="DC23" s="1281"/>
      <c r="DD23" s="1281"/>
      <c r="DE23" s="1281"/>
      <c r="DF23" s="1281"/>
      <c r="DG23" s="1282"/>
      <c r="DH23" s="1200"/>
      <c r="DI23" s="1057">
        <f t="shared" si="0"/>
        <v>107.23661553511542</v>
      </c>
      <c r="DJ23" s="418">
        <f>'1.6.'!BT65</f>
        <v>153414</v>
      </c>
    </row>
    <row r="24" spans="1:125" s="38" customFormat="1" ht="15" customHeight="1">
      <c r="A24" s="1192" t="s">
        <v>131</v>
      </c>
      <c r="B24" s="1193"/>
      <c r="C24" s="1193"/>
      <c r="D24" s="1193"/>
      <c r="E24" s="1193"/>
      <c r="F24" s="1193"/>
      <c r="G24" s="1193"/>
      <c r="H24" s="1193"/>
      <c r="I24" s="1194"/>
      <c r="J24" s="39"/>
      <c r="K24" s="1195" t="s">
        <v>132</v>
      </c>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5"/>
      <c r="AK24" s="1195"/>
      <c r="AL24" s="1195"/>
      <c r="AM24" s="1195"/>
      <c r="AN24" s="1195"/>
      <c r="AO24" s="1195"/>
      <c r="AP24" s="1195"/>
      <c r="AQ24" s="1195"/>
      <c r="AR24" s="1195"/>
      <c r="AS24" s="1195"/>
      <c r="AT24" s="1195"/>
      <c r="AU24" s="1195"/>
      <c r="AV24" s="1195"/>
      <c r="AW24" s="1195"/>
      <c r="AX24" s="1195"/>
      <c r="AY24" s="1195"/>
      <c r="AZ24" s="1195"/>
      <c r="BA24" s="1195"/>
      <c r="BB24" s="1195"/>
      <c r="BC24" s="1195"/>
      <c r="BD24" s="1195"/>
      <c r="BE24" s="1195"/>
      <c r="BF24" s="1195"/>
      <c r="BG24" s="1195"/>
      <c r="BH24" s="40"/>
      <c r="BI24" s="1196" t="s">
        <v>121</v>
      </c>
      <c r="BJ24" s="1197"/>
      <c r="BK24" s="1197"/>
      <c r="BL24" s="1197"/>
      <c r="BM24" s="1197"/>
      <c r="BN24" s="1197"/>
      <c r="BO24" s="1197"/>
      <c r="BP24" s="1197"/>
      <c r="BQ24" s="1197"/>
      <c r="BR24" s="1197"/>
      <c r="BS24" s="1198"/>
      <c r="BT24" s="1215"/>
      <c r="BU24" s="1052">
        <v>86280</v>
      </c>
      <c r="BV24" s="1052">
        <v>129088</v>
      </c>
      <c r="BW24" s="1154">
        <f>BW23</f>
        <v>74028.423791742825</v>
      </c>
      <c r="BX24" s="1155"/>
      <c r="BY24" s="1155"/>
      <c r="BZ24" s="1155"/>
      <c r="CA24" s="1155"/>
      <c r="CB24" s="1155"/>
      <c r="CC24" s="1155"/>
      <c r="CD24" s="1155"/>
      <c r="CE24" s="1155"/>
      <c r="CF24" s="1156"/>
      <c r="CG24" s="1154">
        <f>CG23</f>
        <v>153414</v>
      </c>
      <c r="CH24" s="1155"/>
      <c r="CI24" s="1155"/>
      <c r="CJ24" s="1155"/>
      <c r="CK24" s="1155"/>
      <c r="CL24" s="1155"/>
      <c r="CM24" s="1155"/>
      <c r="CN24" s="1155"/>
      <c r="CO24" s="1155"/>
      <c r="CP24" s="1156"/>
      <c r="CQ24" s="1283"/>
      <c r="CR24" s="1284"/>
      <c r="CS24" s="1284"/>
      <c r="CT24" s="1284"/>
      <c r="CU24" s="1284"/>
      <c r="CV24" s="1284"/>
      <c r="CW24" s="1284"/>
      <c r="CX24" s="1284"/>
      <c r="CY24" s="1284"/>
      <c r="CZ24" s="1284"/>
      <c r="DA24" s="1284"/>
      <c r="DB24" s="1284"/>
      <c r="DC24" s="1284"/>
      <c r="DD24" s="1284"/>
      <c r="DE24" s="1284"/>
      <c r="DF24" s="1284"/>
      <c r="DG24" s="1285"/>
      <c r="DH24" s="1200"/>
      <c r="DI24" s="1057">
        <f t="shared" si="0"/>
        <v>107.23661553511542</v>
      </c>
    </row>
    <row r="25" spans="1:125" s="38" customFormat="1" ht="61.95" customHeight="1">
      <c r="A25" s="1192" t="s">
        <v>133</v>
      </c>
      <c r="B25" s="1193"/>
      <c r="C25" s="1193"/>
      <c r="D25" s="1193"/>
      <c r="E25" s="1193"/>
      <c r="F25" s="1193"/>
      <c r="G25" s="1193"/>
      <c r="H25" s="1193"/>
      <c r="I25" s="1194"/>
      <c r="J25" s="39"/>
      <c r="K25" s="1195" t="s">
        <v>134</v>
      </c>
      <c r="L25" s="1195"/>
      <c r="M25" s="1195"/>
      <c r="N25" s="1195"/>
      <c r="O25" s="1195"/>
      <c r="P25" s="1195"/>
      <c r="Q25" s="1195"/>
      <c r="R25" s="1195"/>
      <c r="S25" s="1195"/>
      <c r="T25" s="1195"/>
      <c r="U25" s="1195"/>
      <c r="V25" s="1195"/>
      <c r="W25" s="1195"/>
      <c r="X25" s="1195"/>
      <c r="Y25" s="1195"/>
      <c r="Z25" s="1195"/>
      <c r="AA25" s="1195"/>
      <c r="AB25" s="1195"/>
      <c r="AC25" s="1195"/>
      <c r="AD25" s="1195"/>
      <c r="AE25" s="1195"/>
      <c r="AF25" s="1195"/>
      <c r="AG25" s="1195"/>
      <c r="AH25" s="1195"/>
      <c r="AI25" s="1195"/>
      <c r="AJ25" s="1195"/>
      <c r="AK25" s="1195"/>
      <c r="AL25" s="1195"/>
      <c r="AM25" s="1195"/>
      <c r="AN25" s="1195"/>
      <c r="AO25" s="1195"/>
      <c r="AP25" s="1195"/>
      <c r="AQ25" s="1195"/>
      <c r="AR25" s="1195"/>
      <c r="AS25" s="1195"/>
      <c r="AT25" s="1195"/>
      <c r="AU25" s="1195"/>
      <c r="AV25" s="1195"/>
      <c r="AW25" s="1195"/>
      <c r="AX25" s="1195"/>
      <c r="AY25" s="1195"/>
      <c r="AZ25" s="1195"/>
      <c r="BA25" s="1195"/>
      <c r="BB25" s="1195"/>
      <c r="BC25" s="1195"/>
      <c r="BD25" s="1195"/>
      <c r="BE25" s="1195"/>
      <c r="BF25" s="1195"/>
      <c r="BG25" s="1195"/>
      <c r="BH25" s="40"/>
      <c r="BI25" s="1196" t="s">
        <v>121</v>
      </c>
      <c r="BJ25" s="1197"/>
      <c r="BK25" s="1197"/>
      <c r="BL25" s="1197"/>
      <c r="BM25" s="1197"/>
      <c r="BN25" s="1197"/>
      <c r="BO25" s="1197"/>
      <c r="BP25" s="1197"/>
      <c r="BQ25" s="1197"/>
      <c r="BR25" s="1197"/>
      <c r="BS25" s="1198"/>
      <c r="BT25" s="1215"/>
      <c r="BU25" s="1052">
        <v>837905</v>
      </c>
      <c r="BV25" s="1052">
        <v>872361</v>
      </c>
      <c r="BW25" s="1154">
        <f>'5. подк.неподк.план'!Y95</f>
        <v>962477.4773477799</v>
      </c>
      <c r="BX25" s="1155"/>
      <c r="BY25" s="1155"/>
      <c r="BZ25" s="1155"/>
      <c r="CA25" s="1155"/>
      <c r="CB25" s="1155"/>
      <c r="CC25" s="1155"/>
      <c r="CD25" s="1155"/>
      <c r="CE25" s="1155"/>
      <c r="CF25" s="1156"/>
      <c r="CG25" s="1240">
        <f>SUM('8.Бюджет на 2015'!DF39:DF51)</f>
        <v>938966.87582999992</v>
      </c>
      <c r="CH25" s="1241"/>
      <c r="CI25" s="1241"/>
      <c r="CJ25" s="1241"/>
      <c r="CK25" s="1241"/>
      <c r="CL25" s="1241"/>
      <c r="CM25" s="1241"/>
      <c r="CN25" s="1241"/>
      <c r="CO25" s="1241"/>
      <c r="CP25" s="1242"/>
      <c r="CQ25" s="1286"/>
      <c r="CR25" s="1278"/>
      <c r="CS25" s="1278"/>
      <c r="CT25" s="1278"/>
      <c r="CU25" s="1278"/>
      <c r="CV25" s="1278"/>
      <c r="CW25" s="1278"/>
      <c r="CX25" s="1278"/>
      <c r="CY25" s="1278"/>
      <c r="CZ25" s="1278"/>
      <c r="DA25" s="1278"/>
      <c r="DB25" s="1278"/>
      <c r="DC25" s="1278"/>
      <c r="DD25" s="1278"/>
      <c r="DE25" s="1278"/>
      <c r="DF25" s="1278"/>
      <c r="DG25" s="1279"/>
      <c r="DH25" s="1200"/>
      <c r="DI25" s="1057">
        <f t="shared" si="0"/>
        <v>-2.4427170579166386</v>
      </c>
      <c r="DJ25" s="418">
        <f>'1.6.'!BT35</f>
        <v>953599</v>
      </c>
      <c r="DL25" s="1058" t="s">
        <v>2201</v>
      </c>
    </row>
    <row r="26" spans="1:125" s="38" customFormat="1" ht="61.95" customHeight="1">
      <c r="A26" s="1192" t="s">
        <v>135</v>
      </c>
      <c r="B26" s="1193"/>
      <c r="C26" s="1193"/>
      <c r="D26" s="1193"/>
      <c r="E26" s="1193"/>
      <c r="F26" s="1193"/>
      <c r="G26" s="1193"/>
      <c r="H26" s="1193"/>
      <c r="I26" s="1194"/>
      <c r="J26" s="39"/>
      <c r="K26" s="1195" t="s">
        <v>132</v>
      </c>
      <c r="L26" s="1195"/>
      <c r="M26" s="1195"/>
      <c r="N26" s="1195"/>
      <c r="O26" s="1195"/>
      <c r="P26" s="1195"/>
      <c r="Q26" s="1195"/>
      <c r="R26" s="1195"/>
      <c r="S26" s="1195"/>
      <c r="T26" s="1195"/>
      <c r="U26" s="1195"/>
      <c r="V26" s="1195"/>
      <c r="W26" s="1195"/>
      <c r="X26" s="1195"/>
      <c r="Y26" s="1195"/>
      <c r="Z26" s="1195"/>
      <c r="AA26" s="1195"/>
      <c r="AB26" s="1195"/>
      <c r="AC26" s="1195"/>
      <c r="AD26" s="1195"/>
      <c r="AE26" s="1195"/>
      <c r="AF26" s="1195"/>
      <c r="AG26" s="1195"/>
      <c r="AH26" s="1195"/>
      <c r="AI26" s="1195"/>
      <c r="AJ26" s="1195"/>
      <c r="AK26" s="1195"/>
      <c r="AL26" s="1195"/>
      <c r="AM26" s="1195"/>
      <c r="AN26" s="1195"/>
      <c r="AO26" s="1195"/>
      <c r="AP26" s="1195"/>
      <c r="AQ26" s="1195"/>
      <c r="AR26" s="1195"/>
      <c r="AS26" s="1195"/>
      <c r="AT26" s="1195"/>
      <c r="AU26" s="1195"/>
      <c r="AV26" s="1195"/>
      <c r="AW26" s="1195"/>
      <c r="AX26" s="1195"/>
      <c r="AY26" s="1195"/>
      <c r="AZ26" s="1195"/>
      <c r="BA26" s="1195"/>
      <c r="BB26" s="1195"/>
      <c r="BC26" s="1195"/>
      <c r="BD26" s="1195"/>
      <c r="BE26" s="1195"/>
      <c r="BF26" s="1195"/>
      <c r="BG26" s="1195"/>
      <c r="BH26" s="40"/>
      <c r="BI26" s="1196" t="s">
        <v>121</v>
      </c>
      <c r="BJ26" s="1197"/>
      <c r="BK26" s="1197"/>
      <c r="BL26" s="1197"/>
      <c r="BM26" s="1197"/>
      <c r="BN26" s="1197"/>
      <c r="BO26" s="1197"/>
      <c r="BP26" s="1197"/>
      <c r="BQ26" s="1197"/>
      <c r="BR26" s="1197"/>
      <c r="BS26" s="1198"/>
      <c r="BT26" s="1215"/>
      <c r="BU26" s="1052"/>
      <c r="BV26" s="1052"/>
      <c r="BW26" s="1148"/>
      <c r="BX26" s="1149"/>
      <c r="BY26" s="1149"/>
      <c r="BZ26" s="1149"/>
      <c r="CA26" s="1149"/>
      <c r="CB26" s="1149"/>
      <c r="CC26" s="1149"/>
      <c r="CD26" s="1149"/>
      <c r="CE26" s="1149"/>
      <c r="CF26" s="1150"/>
      <c r="CG26" s="1172"/>
      <c r="CH26" s="1173"/>
      <c r="CI26" s="1173"/>
      <c r="CJ26" s="1173"/>
      <c r="CK26" s="1173"/>
      <c r="CL26" s="1173"/>
      <c r="CM26" s="1173"/>
      <c r="CN26" s="1173"/>
      <c r="CO26" s="1173"/>
      <c r="CP26" s="1174"/>
      <c r="CQ26" s="1283"/>
      <c r="CR26" s="1284"/>
      <c r="CS26" s="1284"/>
      <c r="CT26" s="1284"/>
      <c r="CU26" s="1284"/>
      <c r="CV26" s="1284"/>
      <c r="CW26" s="1284"/>
      <c r="CX26" s="1284"/>
      <c r="CY26" s="1284"/>
      <c r="CZ26" s="1284"/>
      <c r="DA26" s="1284"/>
      <c r="DB26" s="1284"/>
      <c r="DC26" s="1284"/>
      <c r="DD26" s="1284"/>
      <c r="DE26" s="1284"/>
      <c r="DF26" s="1284"/>
      <c r="DG26" s="1285"/>
      <c r="DH26" s="1200"/>
      <c r="DI26" s="1057" t="e">
        <f t="shared" si="0"/>
        <v>#DIV/0!</v>
      </c>
    </row>
    <row r="27" spans="1:125" s="38" customFormat="1" ht="30" customHeight="1">
      <c r="A27" s="1192" t="s">
        <v>136</v>
      </c>
      <c r="B27" s="1193"/>
      <c r="C27" s="1193"/>
      <c r="D27" s="1193"/>
      <c r="E27" s="1193"/>
      <c r="F27" s="1193"/>
      <c r="G27" s="1193"/>
      <c r="H27" s="1193"/>
      <c r="I27" s="1194"/>
      <c r="J27" s="39"/>
      <c r="K27" s="1195" t="s">
        <v>137</v>
      </c>
      <c r="L27" s="1195"/>
      <c r="M27" s="1195"/>
      <c r="N27" s="1195"/>
      <c r="O27" s="1195"/>
      <c r="P27" s="1195"/>
      <c r="Q27" s="1195"/>
      <c r="R27" s="1195"/>
      <c r="S27" s="1195"/>
      <c r="T27" s="1195"/>
      <c r="U27" s="1195"/>
      <c r="V27" s="1195"/>
      <c r="W27" s="1195"/>
      <c r="X27" s="1195"/>
      <c r="Y27" s="1195"/>
      <c r="Z27" s="1195"/>
      <c r="AA27" s="1195"/>
      <c r="AB27" s="1195"/>
      <c r="AC27" s="1195"/>
      <c r="AD27" s="1195"/>
      <c r="AE27" s="1195"/>
      <c r="AF27" s="1195"/>
      <c r="AG27" s="1195"/>
      <c r="AH27" s="1195"/>
      <c r="AI27" s="1195"/>
      <c r="AJ27" s="1195"/>
      <c r="AK27" s="1195"/>
      <c r="AL27" s="1195"/>
      <c r="AM27" s="1195"/>
      <c r="AN27" s="1195"/>
      <c r="AO27" s="1195"/>
      <c r="AP27" s="1195"/>
      <c r="AQ27" s="1195"/>
      <c r="AR27" s="1195"/>
      <c r="AS27" s="1195"/>
      <c r="AT27" s="1195"/>
      <c r="AU27" s="1195"/>
      <c r="AV27" s="1195"/>
      <c r="AW27" s="1195"/>
      <c r="AX27" s="1195"/>
      <c r="AY27" s="1195"/>
      <c r="AZ27" s="1195"/>
      <c r="BA27" s="1195"/>
      <c r="BB27" s="1195"/>
      <c r="BC27" s="1195"/>
      <c r="BD27" s="1195"/>
      <c r="BE27" s="1195"/>
      <c r="BF27" s="1195"/>
      <c r="BG27" s="1195"/>
      <c r="BH27" s="40"/>
      <c r="BI27" s="1196" t="s">
        <v>121</v>
      </c>
      <c r="BJ27" s="1197"/>
      <c r="BK27" s="1197"/>
      <c r="BL27" s="1197"/>
      <c r="BM27" s="1197"/>
      <c r="BN27" s="1197"/>
      <c r="BO27" s="1197"/>
      <c r="BP27" s="1197"/>
      <c r="BQ27" s="1197"/>
      <c r="BR27" s="1197"/>
      <c r="BS27" s="1198"/>
      <c r="BT27" s="1215"/>
      <c r="BU27" s="1052">
        <v>287148</v>
      </c>
      <c r="BV27" s="1052">
        <v>427496</v>
      </c>
      <c r="BW27" s="1148">
        <f>BW28+BW29+BW30</f>
        <v>338135.65023118135</v>
      </c>
      <c r="BX27" s="1149"/>
      <c r="BY27" s="1149"/>
      <c r="BZ27" s="1149"/>
      <c r="CA27" s="1149"/>
      <c r="CB27" s="1149"/>
      <c r="CC27" s="1149"/>
      <c r="CD27" s="1149"/>
      <c r="CE27" s="1149"/>
      <c r="CF27" s="1150"/>
      <c r="CG27" s="1148">
        <f>CG28+CG29+CG30</f>
        <v>370218.58777999994</v>
      </c>
      <c r="CH27" s="1149"/>
      <c r="CI27" s="1149"/>
      <c r="CJ27" s="1149"/>
      <c r="CK27" s="1149"/>
      <c r="CL27" s="1149"/>
      <c r="CM27" s="1149"/>
      <c r="CN27" s="1149"/>
      <c r="CO27" s="1149"/>
      <c r="CP27" s="1150"/>
      <c r="CQ27" s="1287" t="s">
        <v>2205</v>
      </c>
      <c r="CR27" s="1278"/>
      <c r="CS27" s="1278"/>
      <c r="CT27" s="1278"/>
      <c r="CU27" s="1278"/>
      <c r="CV27" s="1278"/>
      <c r="CW27" s="1278"/>
      <c r="CX27" s="1278"/>
      <c r="CY27" s="1278"/>
      <c r="CZ27" s="1278"/>
      <c r="DA27" s="1278"/>
      <c r="DB27" s="1278"/>
      <c r="DC27" s="1278"/>
      <c r="DD27" s="1278"/>
      <c r="DE27" s="1278"/>
      <c r="DF27" s="1278"/>
      <c r="DG27" s="1279"/>
      <c r="DH27" s="1200"/>
      <c r="DI27" s="1057">
        <f t="shared" si="0"/>
        <v>9.4881854447715597</v>
      </c>
    </row>
    <row r="28" spans="1:125" s="38" customFormat="1" ht="30" customHeight="1">
      <c r="A28" s="1192" t="s">
        <v>138</v>
      </c>
      <c r="B28" s="1193"/>
      <c r="C28" s="1193"/>
      <c r="D28" s="1193"/>
      <c r="E28" s="1193"/>
      <c r="F28" s="1193"/>
      <c r="G28" s="1193"/>
      <c r="H28" s="1193"/>
      <c r="I28" s="1194"/>
      <c r="J28" s="39"/>
      <c r="K28" s="1195" t="s">
        <v>139</v>
      </c>
      <c r="L28" s="1195"/>
      <c r="M28" s="1195"/>
      <c r="N28" s="1195"/>
      <c r="O28" s="1195"/>
      <c r="P28" s="1195"/>
      <c r="Q28" s="1195"/>
      <c r="R28" s="1195"/>
      <c r="S28" s="1195"/>
      <c r="T28" s="1195"/>
      <c r="U28" s="1195"/>
      <c r="V28" s="1195"/>
      <c r="W28" s="1195"/>
      <c r="X28" s="1195"/>
      <c r="Y28" s="1195"/>
      <c r="Z28" s="1195"/>
      <c r="AA28" s="1195"/>
      <c r="AB28" s="1195"/>
      <c r="AC28" s="1195"/>
      <c r="AD28" s="1195"/>
      <c r="AE28" s="1195"/>
      <c r="AF28" s="1195"/>
      <c r="AG28" s="1195"/>
      <c r="AH28" s="1195"/>
      <c r="AI28" s="1195"/>
      <c r="AJ28" s="1195"/>
      <c r="AK28" s="1195"/>
      <c r="AL28" s="1195"/>
      <c r="AM28" s="1195"/>
      <c r="AN28" s="1195"/>
      <c r="AO28" s="1195"/>
      <c r="AP28" s="1195"/>
      <c r="AQ28" s="1195"/>
      <c r="AR28" s="1195"/>
      <c r="AS28" s="1195"/>
      <c r="AT28" s="1195"/>
      <c r="AU28" s="1195"/>
      <c r="AV28" s="1195"/>
      <c r="AW28" s="1195"/>
      <c r="AX28" s="1195"/>
      <c r="AY28" s="1195"/>
      <c r="AZ28" s="1195"/>
      <c r="BA28" s="1195"/>
      <c r="BB28" s="1195"/>
      <c r="BC28" s="1195"/>
      <c r="BD28" s="1195"/>
      <c r="BE28" s="1195"/>
      <c r="BF28" s="1195"/>
      <c r="BG28" s="1195"/>
      <c r="BH28" s="40"/>
      <c r="BI28" s="1196" t="s">
        <v>121</v>
      </c>
      <c r="BJ28" s="1197"/>
      <c r="BK28" s="1197"/>
      <c r="BL28" s="1197"/>
      <c r="BM28" s="1197"/>
      <c r="BN28" s="1197"/>
      <c r="BO28" s="1197"/>
      <c r="BP28" s="1197"/>
      <c r="BQ28" s="1197"/>
      <c r="BR28" s="1197"/>
      <c r="BS28" s="1198"/>
      <c r="BT28" s="1215"/>
      <c r="BU28" s="1052">
        <v>40740</v>
      </c>
      <c r="BV28" s="1052">
        <v>39725</v>
      </c>
      <c r="BW28" s="1154">
        <f>'5. подк.неподк.план'!Y96</f>
        <v>42980.76</v>
      </c>
      <c r="BX28" s="1155"/>
      <c r="BY28" s="1155"/>
      <c r="BZ28" s="1155"/>
      <c r="CA28" s="1155"/>
      <c r="CB28" s="1155"/>
      <c r="CC28" s="1155"/>
      <c r="CD28" s="1155"/>
      <c r="CE28" s="1155"/>
      <c r="CF28" s="1156"/>
      <c r="CG28" s="1154">
        <f>SUM('8.Бюджет на 2015'!DF283:DF294)</f>
        <v>40251.151279999998</v>
      </c>
      <c r="CH28" s="1155"/>
      <c r="CI28" s="1155"/>
      <c r="CJ28" s="1155"/>
      <c r="CK28" s="1155"/>
      <c r="CL28" s="1155"/>
      <c r="CM28" s="1155"/>
      <c r="CN28" s="1155"/>
      <c r="CO28" s="1155"/>
      <c r="CP28" s="1156"/>
      <c r="CQ28" s="1280"/>
      <c r="CR28" s="1281"/>
      <c r="CS28" s="1281"/>
      <c r="CT28" s="1281"/>
      <c r="CU28" s="1281"/>
      <c r="CV28" s="1281"/>
      <c r="CW28" s="1281"/>
      <c r="CX28" s="1281"/>
      <c r="CY28" s="1281"/>
      <c r="CZ28" s="1281"/>
      <c r="DA28" s="1281"/>
      <c r="DB28" s="1281"/>
      <c r="DC28" s="1281"/>
      <c r="DD28" s="1281"/>
      <c r="DE28" s="1281"/>
      <c r="DF28" s="1281"/>
      <c r="DG28" s="1282"/>
      <c r="DH28" s="1200"/>
      <c r="DI28" s="1057">
        <f t="shared" si="0"/>
        <v>-6.350768855646109</v>
      </c>
      <c r="DJ28" s="418">
        <f>'1.6.'!BT55</f>
        <v>77588</v>
      </c>
      <c r="DT28" s="1061">
        <f>SUM('8.Бюджет на 2015'!DF283:DF294)</f>
        <v>40251.151279999998</v>
      </c>
      <c r="DU28" s="1061">
        <f>DT28-CG28</f>
        <v>0</v>
      </c>
    </row>
    <row r="29" spans="1:125" s="38" customFormat="1" ht="15" customHeight="1">
      <c r="A29" s="1192" t="s">
        <v>140</v>
      </c>
      <c r="B29" s="1193"/>
      <c r="C29" s="1193"/>
      <c r="D29" s="1193"/>
      <c r="E29" s="1193"/>
      <c r="F29" s="1193"/>
      <c r="G29" s="1193"/>
      <c r="H29" s="1193"/>
      <c r="I29" s="1194"/>
      <c r="J29" s="39"/>
      <c r="K29" s="1195" t="s">
        <v>141</v>
      </c>
      <c r="L29" s="1195"/>
      <c r="M29" s="1195"/>
      <c r="N29" s="1195"/>
      <c r="O29" s="1195"/>
      <c r="P29" s="1195"/>
      <c r="Q29" s="1195"/>
      <c r="R29" s="1195"/>
      <c r="S29" s="1195"/>
      <c r="T29" s="1195"/>
      <c r="U29" s="1195"/>
      <c r="V29" s="1195"/>
      <c r="W29" s="1195"/>
      <c r="X29" s="1195"/>
      <c r="Y29" s="1195"/>
      <c r="Z29" s="1195"/>
      <c r="AA29" s="1195"/>
      <c r="AB29" s="1195"/>
      <c r="AC29" s="1195"/>
      <c r="AD29" s="1195"/>
      <c r="AE29" s="1195"/>
      <c r="AF29" s="1195"/>
      <c r="AG29" s="1195"/>
      <c r="AH29" s="1195"/>
      <c r="AI29" s="1195"/>
      <c r="AJ29" s="1195"/>
      <c r="AK29" s="1195"/>
      <c r="AL29" s="1195"/>
      <c r="AM29" s="1195"/>
      <c r="AN29" s="1195"/>
      <c r="AO29" s="1195"/>
      <c r="AP29" s="1195"/>
      <c r="AQ29" s="1195"/>
      <c r="AR29" s="1195"/>
      <c r="AS29" s="1195"/>
      <c r="AT29" s="1195"/>
      <c r="AU29" s="1195"/>
      <c r="AV29" s="1195"/>
      <c r="AW29" s="1195"/>
      <c r="AX29" s="1195"/>
      <c r="AY29" s="1195"/>
      <c r="AZ29" s="1195"/>
      <c r="BA29" s="1195"/>
      <c r="BB29" s="1195"/>
      <c r="BC29" s="1195"/>
      <c r="BD29" s="1195"/>
      <c r="BE29" s="1195"/>
      <c r="BF29" s="1195"/>
      <c r="BG29" s="1195"/>
      <c r="BH29" s="40"/>
      <c r="BI29" s="1196" t="s">
        <v>121</v>
      </c>
      <c r="BJ29" s="1197"/>
      <c r="BK29" s="1197"/>
      <c r="BL29" s="1197"/>
      <c r="BM29" s="1197"/>
      <c r="BN29" s="1197"/>
      <c r="BO29" s="1197"/>
      <c r="BP29" s="1197"/>
      <c r="BQ29" s="1197"/>
      <c r="BR29" s="1197"/>
      <c r="BS29" s="1198"/>
      <c r="BT29" s="1215"/>
      <c r="BU29" s="1052">
        <v>45185</v>
      </c>
      <c r="BV29" s="1052">
        <v>79959</v>
      </c>
      <c r="BW29" s="1154">
        <f>'5. подк.неподк.план'!Y190</f>
        <v>49617.8491096254</v>
      </c>
      <c r="BX29" s="1155"/>
      <c r="BY29" s="1155"/>
      <c r="BZ29" s="1155"/>
      <c r="CA29" s="1155"/>
      <c r="CB29" s="1155"/>
      <c r="CC29" s="1155"/>
      <c r="CD29" s="1155"/>
      <c r="CE29" s="1155"/>
      <c r="CF29" s="1156"/>
      <c r="CG29" s="1154">
        <f>'1. подк.неподк. факт'!Z190</f>
        <v>25883.10183</v>
      </c>
      <c r="CH29" s="1155"/>
      <c r="CI29" s="1155"/>
      <c r="CJ29" s="1155"/>
      <c r="CK29" s="1155"/>
      <c r="CL29" s="1155"/>
      <c r="CM29" s="1155"/>
      <c r="CN29" s="1155"/>
      <c r="CO29" s="1155"/>
      <c r="CP29" s="1156"/>
      <c r="CQ29" s="1280"/>
      <c r="CR29" s="1281"/>
      <c r="CS29" s="1281"/>
      <c r="CT29" s="1281"/>
      <c r="CU29" s="1281"/>
      <c r="CV29" s="1281"/>
      <c r="CW29" s="1281"/>
      <c r="CX29" s="1281"/>
      <c r="CY29" s="1281"/>
      <c r="CZ29" s="1281"/>
      <c r="DA29" s="1281"/>
      <c r="DB29" s="1281"/>
      <c r="DC29" s="1281"/>
      <c r="DD29" s="1281"/>
      <c r="DE29" s="1281"/>
      <c r="DF29" s="1281"/>
      <c r="DG29" s="1282"/>
      <c r="DH29" s="1200"/>
      <c r="DI29" s="1057">
        <f t="shared" si="0"/>
        <v>-47.835099073291104</v>
      </c>
    </row>
    <row r="30" spans="1:125" s="38" customFormat="1" ht="30" customHeight="1">
      <c r="A30" s="1192" t="s">
        <v>142</v>
      </c>
      <c r="B30" s="1193"/>
      <c r="C30" s="1193"/>
      <c r="D30" s="1193"/>
      <c r="E30" s="1193"/>
      <c r="F30" s="1193"/>
      <c r="G30" s="1193"/>
      <c r="H30" s="1193"/>
      <c r="I30" s="1194"/>
      <c r="J30" s="39"/>
      <c r="K30" s="1195" t="s">
        <v>143</v>
      </c>
      <c r="L30" s="1195"/>
      <c r="M30" s="1195"/>
      <c r="N30" s="1195"/>
      <c r="O30" s="1195"/>
      <c r="P30" s="1195"/>
      <c r="Q30" s="1195"/>
      <c r="R30" s="1195"/>
      <c r="S30" s="1195"/>
      <c r="T30" s="1195"/>
      <c r="U30" s="1195"/>
      <c r="V30" s="1195"/>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40"/>
      <c r="BI30" s="1196" t="s">
        <v>121</v>
      </c>
      <c r="BJ30" s="1197"/>
      <c r="BK30" s="1197"/>
      <c r="BL30" s="1197"/>
      <c r="BM30" s="1197"/>
      <c r="BN30" s="1197"/>
      <c r="BO30" s="1197"/>
      <c r="BP30" s="1197"/>
      <c r="BQ30" s="1197"/>
      <c r="BR30" s="1197"/>
      <c r="BS30" s="1198"/>
      <c r="BT30" s="1215"/>
      <c r="BU30" s="1052">
        <v>201222</v>
      </c>
      <c r="BV30" s="1052">
        <v>307813</v>
      </c>
      <c r="BW30" s="1148">
        <f>SUM(BW31:CF47)</f>
        <v>245537.04112155596</v>
      </c>
      <c r="BX30" s="1149"/>
      <c r="BY30" s="1149"/>
      <c r="BZ30" s="1149"/>
      <c r="CA30" s="1149"/>
      <c r="CB30" s="1149"/>
      <c r="CC30" s="1149"/>
      <c r="CD30" s="1149"/>
      <c r="CE30" s="1149"/>
      <c r="CF30" s="1150"/>
      <c r="CG30" s="1148">
        <f>SUM(CG31:CP48)</f>
        <v>304084.33466999995</v>
      </c>
      <c r="CH30" s="1149"/>
      <c r="CI30" s="1149"/>
      <c r="CJ30" s="1149"/>
      <c r="CK30" s="1149"/>
      <c r="CL30" s="1149"/>
      <c r="CM30" s="1149"/>
      <c r="CN30" s="1149"/>
      <c r="CO30" s="1149"/>
      <c r="CP30" s="1150"/>
      <c r="CQ30" s="1280"/>
      <c r="CR30" s="1281"/>
      <c r="CS30" s="1281"/>
      <c r="CT30" s="1281"/>
      <c r="CU30" s="1281"/>
      <c r="CV30" s="1281"/>
      <c r="CW30" s="1281"/>
      <c r="CX30" s="1281"/>
      <c r="CY30" s="1281"/>
      <c r="CZ30" s="1281"/>
      <c r="DA30" s="1281"/>
      <c r="DB30" s="1281"/>
      <c r="DC30" s="1281"/>
      <c r="DD30" s="1281"/>
      <c r="DE30" s="1281"/>
      <c r="DF30" s="1281"/>
      <c r="DG30" s="1282"/>
      <c r="DH30" s="1200"/>
      <c r="DI30" s="1057">
        <f t="shared" si="0"/>
        <v>23.844587065566003</v>
      </c>
    </row>
    <row r="31" spans="1:125" s="38" customFormat="1" ht="30" customHeight="1">
      <c r="A31" s="1192" t="s">
        <v>1493</v>
      </c>
      <c r="B31" s="1193"/>
      <c r="C31" s="1193"/>
      <c r="D31" s="1193"/>
      <c r="E31" s="1193"/>
      <c r="F31" s="1193"/>
      <c r="G31" s="1193"/>
      <c r="H31" s="1193"/>
      <c r="I31" s="1194"/>
      <c r="J31" s="49"/>
      <c r="K31" s="1195" t="str">
        <f>'5. подк.неподк.план'!D131</f>
        <v>Услуги связи</v>
      </c>
      <c r="L31" s="1195"/>
      <c r="M31" s="1195"/>
      <c r="N31" s="1195"/>
      <c r="O31" s="1195"/>
      <c r="P31" s="1195"/>
      <c r="Q31" s="1195"/>
      <c r="R31" s="1195"/>
      <c r="S31" s="1195"/>
      <c r="T31" s="1195"/>
      <c r="U31" s="1195"/>
      <c r="V31" s="1195"/>
      <c r="W31" s="1195"/>
      <c r="X31" s="1195"/>
      <c r="Y31" s="1195"/>
      <c r="Z31" s="1195"/>
      <c r="AA31" s="1195"/>
      <c r="AB31" s="1195"/>
      <c r="AC31" s="1195"/>
      <c r="AD31" s="1195"/>
      <c r="AE31" s="1195"/>
      <c r="AF31" s="1195"/>
      <c r="AG31" s="1195"/>
      <c r="AH31" s="1195"/>
      <c r="AI31" s="1195"/>
      <c r="AJ31" s="1195"/>
      <c r="AK31" s="1195"/>
      <c r="AL31" s="1195"/>
      <c r="AM31" s="1195"/>
      <c r="AN31" s="1195"/>
      <c r="AO31" s="1195"/>
      <c r="AP31" s="1195"/>
      <c r="AQ31" s="1195"/>
      <c r="AR31" s="1195"/>
      <c r="AS31" s="1195"/>
      <c r="AT31" s="1195"/>
      <c r="AU31" s="1195"/>
      <c r="AV31" s="1195"/>
      <c r="AW31" s="1195"/>
      <c r="AX31" s="1195"/>
      <c r="AY31" s="1195"/>
      <c r="AZ31" s="1195"/>
      <c r="BA31" s="1195"/>
      <c r="BB31" s="1195"/>
      <c r="BC31" s="1195"/>
      <c r="BD31" s="1195"/>
      <c r="BE31" s="1195"/>
      <c r="BF31" s="1195"/>
      <c r="BG31" s="1195"/>
      <c r="BH31" s="51"/>
      <c r="BI31" s="1196" t="s">
        <v>121</v>
      </c>
      <c r="BJ31" s="1197"/>
      <c r="BK31" s="1197"/>
      <c r="BL31" s="1197"/>
      <c r="BM31" s="1197"/>
      <c r="BN31" s="1197"/>
      <c r="BO31" s="1197"/>
      <c r="BP31" s="1197"/>
      <c r="BQ31" s="1197"/>
      <c r="BR31" s="1197"/>
      <c r="BS31" s="1198"/>
      <c r="BT31" s="1215"/>
      <c r="BU31" s="1052">
        <v>13114</v>
      </c>
      <c r="BV31" s="1052">
        <v>15386</v>
      </c>
      <c r="BW31" s="1154">
        <f>'5. подк.неподк.план'!Y131</f>
        <v>14478.903483332291</v>
      </c>
      <c r="BX31" s="1155"/>
      <c r="BY31" s="1155"/>
      <c r="BZ31" s="1155"/>
      <c r="CA31" s="1155"/>
      <c r="CB31" s="1155"/>
      <c r="CC31" s="1155"/>
      <c r="CD31" s="1155"/>
      <c r="CE31" s="1155"/>
      <c r="CF31" s="1156"/>
      <c r="CG31" s="1154">
        <f>'1. подк.неподк. факт'!Z131</f>
        <v>13897.249630000002</v>
      </c>
      <c r="CH31" s="1155"/>
      <c r="CI31" s="1155"/>
      <c r="CJ31" s="1155"/>
      <c r="CK31" s="1155"/>
      <c r="CL31" s="1155"/>
      <c r="CM31" s="1155"/>
      <c r="CN31" s="1155"/>
      <c r="CO31" s="1155"/>
      <c r="CP31" s="1156"/>
      <c r="CQ31" s="1280"/>
      <c r="CR31" s="1281"/>
      <c r="CS31" s="1281"/>
      <c r="CT31" s="1281"/>
      <c r="CU31" s="1281"/>
      <c r="CV31" s="1281"/>
      <c r="CW31" s="1281"/>
      <c r="CX31" s="1281"/>
      <c r="CY31" s="1281"/>
      <c r="CZ31" s="1281"/>
      <c r="DA31" s="1281"/>
      <c r="DB31" s="1281"/>
      <c r="DC31" s="1281"/>
      <c r="DD31" s="1281"/>
      <c r="DE31" s="1281"/>
      <c r="DF31" s="1281"/>
      <c r="DG31" s="1282"/>
      <c r="DH31" s="1200"/>
      <c r="DI31" s="1057">
        <f t="shared" si="0"/>
        <v>-4.0172507124028556</v>
      </c>
    </row>
    <row r="32" spans="1:125" s="38" customFormat="1" ht="30" customHeight="1">
      <c r="A32" s="1192" t="s">
        <v>1501</v>
      </c>
      <c r="B32" s="1193"/>
      <c r="C32" s="1193"/>
      <c r="D32" s="1193"/>
      <c r="E32" s="1193"/>
      <c r="F32" s="1193"/>
      <c r="G32" s="1193"/>
      <c r="H32" s="1193"/>
      <c r="I32" s="1194"/>
      <c r="J32" s="49"/>
      <c r="K32" s="1195" t="s">
        <v>718</v>
      </c>
      <c r="L32" s="1195"/>
      <c r="M32" s="1195"/>
      <c r="N32" s="1195"/>
      <c r="O32" s="1195"/>
      <c r="P32" s="1195"/>
      <c r="Q32" s="1195"/>
      <c r="R32" s="1195"/>
      <c r="S32" s="1195"/>
      <c r="T32" s="1195"/>
      <c r="U32" s="1195"/>
      <c r="V32" s="1195"/>
      <c r="W32" s="1195"/>
      <c r="X32" s="1195"/>
      <c r="Y32" s="1195"/>
      <c r="Z32" s="1195"/>
      <c r="AA32" s="1195"/>
      <c r="AB32" s="1195"/>
      <c r="AC32" s="1195"/>
      <c r="AD32" s="1195"/>
      <c r="AE32" s="1195"/>
      <c r="AF32" s="1195"/>
      <c r="AG32" s="1195"/>
      <c r="AH32" s="1195"/>
      <c r="AI32" s="1195"/>
      <c r="AJ32" s="1195"/>
      <c r="AK32" s="1195"/>
      <c r="AL32" s="1195"/>
      <c r="AM32" s="1195"/>
      <c r="AN32" s="1195"/>
      <c r="AO32" s="1195"/>
      <c r="AP32" s="1195"/>
      <c r="AQ32" s="1195"/>
      <c r="AR32" s="1195"/>
      <c r="AS32" s="1195"/>
      <c r="AT32" s="1195"/>
      <c r="AU32" s="1195"/>
      <c r="AV32" s="1195"/>
      <c r="AW32" s="1195"/>
      <c r="AX32" s="1195"/>
      <c r="AY32" s="1195"/>
      <c r="AZ32" s="1195"/>
      <c r="BA32" s="1195"/>
      <c r="BB32" s="1195"/>
      <c r="BC32" s="1195"/>
      <c r="BD32" s="1195"/>
      <c r="BE32" s="1195"/>
      <c r="BF32" s="1195"/>
      <c r="BG32" s="1195"/>
      <c r="BH32" s="51"/>
      <c r="BI32" s="1196" t="s">
        <v>121</v>
      </c>
      <c r="BJ32" s="1197"/>
      <c r="BK32" s="1197"/>
      <c r="BL32" s="1197"/>
      <c r="BM32" s="1197"/>
      <c r="BN32" s="1197"/>
      <c r="BO32" s="1197"/>
      <c r="BP32" s="1197"/>
      <c r="BQ32" s="1197"/>
      <c r="BR32" s="1197"/>
      <c r="BS32" s="1198"/>
      <c r="BT32" s="1215"/>
      <c r="BU32" s="1052">
        <v>18494</v>
      </c>
      <c r="BV32" s="1052">
        <v>21240</v>
      </c>
      <c r="BW32" s="1154">
        <f>'5. подк.неподк.план'!Y141</f>
        <v>18308.048922764599</v>
      </c>
      <c r="BX32" s="1155"/>
      <c r="BY32" s="1155"/>
      <c r="BZ32" s="1155"/>
      <c r="CA32" s="1155"/>
      <c r="CB32" s="1155"/>
      <c r="CC32" s="1155"/>
      <c r="CD32" s="1155"/>
      <c r="CE32" s="1155"/>
      <c r="CF32" s="1156"/>
      <c r="CG32" s="1154">
        <f>'1. подк.неподк. факт'!Z141</f>
        <v>20533.07416</v>
      </c>
      <c r="CH32" s="1155"/>
      <c r="CI32" s="1155"/>
      <c r="CJ32" s="1155"/>
      <c r="CK32" s="1155"/>
      <c r="CL32" s="1155"/>
      <c r="CM32" s="1155"/>
      <c r="CN32" s="1155"/>
      <c r="CO32" s="1155"/>
      <c r="CP32" s="1156"/>
      <c r="CQ32" s="1280"/>
      <c r="CR32" s="1281"/>
      <c r="CS32" s="1281"/>
      <c r="CT32" s="1281"/>
      <c r="CU32" s="1281"/>
      <c r="CV32" s="1281"/>
      <c r="CW32" s="1281"/>
      <c r="CX32" s="1281"/>
      <c r="CY32" s="1281"/>
      <c r="CZ32" s="1281"/>
      <c r="DA32" s="1281"/>
      <c r="DB32" s="1281"/>
      <c r="DC32" s="1281"/>
      <c r="DD32" s="1281"/>
      <c r="DE32" s="1281"/>
      <c r="DF32" s="1281"/>
      <c r="DG32" s="1282"/>
      <c r="DH32" s="1200"/>
      <c r="DI32" s="1057">
        <f t="shared" si="0"/>
        <v>12.153262461893249</v>
      </c>
    </row>
    <row r="33" spans="1:114" s="38" customFormat="1" ht="30" customHeight="1">
      <c r="A33" s="1192" t="s">
        <v>1502</v>
      </c>
      <c r="B33" s="1193"/>
      <c r="C33" s="1193"/>
      <c r="D33" s="1193"/>
      <c r="E33" s="1193"/>
      <c r="F33" s="1193"/>
      <c r="G33" s="1193"/>
      <c r="H33" s="1193"/>
      <c r="I33" s="1194"/>
      <c r="J33" s="49"/>
      <c r="K33" s="1195" t="s">
        <v>726</v>
      </c>
      <c r="L33" s="1195"/>
      <c r="M33" s="1195"/>
      <c r="N33" s="1195"/>
      <c r="O33" s="1195"/>
      <c r="P33" s="1195"/>
      <c r="Q33" s="1195"/>
      <c r="R33" s="1195"/>
      <c r="S33" s="1195"/>
      <c r="T33" s="1195"/>
      <c r="U33" s="1195"/>
      <c r="V33" s="1195"/>
      <c r="W33" s="1195"/>
      <c r="X33" s="1195"/>
      <c r="Y33" s="1195"/>
      <c r="Z33" s="1195"/>
      <c r="AA33" s="1195"/>
      <c r="AB33" s="1195"/>
      <c r="AC33" s="1195"/>
      <c r="AD33" s="1195"/>
      <c r="AE33" s="1195"/>
      <c r="AF33" s="1195"/>
      <c r="AG33" s="1195"/>
      <c r="AH33" s="1195"/>
      <c r="AI33" s="1195"/>
      <c r="AJ33" s="1195"/>
      <c r="AK33" s="1195"/>
      <c r="AL33" s="1195"/>
      <c r="AM33" s="1195"/>
      <c r="AN33" s="1195"/>
      <c r="AO33" s="1195"/>
      <c r="AP33" s="1195"/>
      <c r="AQ33" s="1195"/>
      <c r="AR33" s="1195"/>
      <c r="AS33" s="1195"/>
      <c r="AT33" s="1195"/>
      <c r="AU33" s="1195"/>
      <c r="AV33" s="1195"/>
      <c r="AW33" s="1195"/>
      <c r="AX33" s="1195"/>
      <c r="AY33" s="1195"/>
      <c r="AZ33" s="1195"/>
      <c r="BA33" s="1195"/>
      <c r="BB33" s="1195"/>
      <c r="BC33" s="1195"/>
      <c r="BD33" s="1195"/>
      <c r="BE33" s="1195"/>
      <c r="BF33" s="1195"/>
      <c r="BG33" s="1195"/>
      <c r="BH33" s="51"/>
      <c r="BI33" s="1196" t="s">
        <v>121</v>
      </c>
      <c r="BJ33" s="1197"/>
      <c r="BK33" s="1197"/>
      <c r="BL33" s="1197"/>
      <c r="BM33" s="1197"/>
      <c r="BN33" s="1197"/>
      <c r="BO33" s="1197"/>
      <c r="BP33" s="1197"/>
      <c r="BQ33" s="1197"/>
      <c r="BR33" s="1197"/>
      <c r="BS33" s="1198"/>
      <c r="BT33" s="1215"/>
      <c r="BU33" s="1052">
        <v>40839</v>
      </c>
      <c r="BV33" s="1052">
        <v>66631</v>
      </c>
      <c r="BW33" s="1154">
        <f>'5. подк.неподк.план'!Y143</f>
        <v>79533.422149999999</v>
      </c>
      <c r="BX33" s="1155"/>
      <c r="BY33" s="1155"/>
      <c r="BZ33" s="1155"/>
      <c r="CA33" s="1155"/>
      <c r="CB33" s="1155"/>
      <c r="CC33" s="1155"/>
      <c r="CD33" s="1155"/>
      <c r="CE33" s="1155"/>
      <c r="CF33" s="1156"/>
      <c r="CG33" s="1154">
        <f>'1. подк.неподк. факт'!Z143</f>
        <v>76131.868920000008</v>
      </c>
      <c r="CH33" s="1155"/>
      <c r="CI33" s="1155"/>
      <c r="CJ33" s="1155"/>
      <c r="CK33" s="1155"/>
      <c r="CL33" s="1155"/>
      <c r="CM33" s="1155"/>
      <c r="CN33" s="1155"/>
      <c r="CO33" s="1155"/>
      <c r="CP33" s="1156"/>
      <c r="CQ33" s="1280"/>
      <c r="CR33" s="1281"/>
      <c r="CS33" s="1281"/>
      <c r="CT33" s="1281"/>
      <c r="CU33" s="1281"/>
      <c r="CV33" s="1281"/>
      <c r="CW33" s="1281"/>
      <c r="CX33" s="1281"/>
      <c r="CY33" s="1281"/>
      <c r="CZ33" s="1281"/>
      <c r="DA33" s="1281"/>
      <c r="DB33" s="1281"/>
      <c r="DC33" s="1281"/>
      <c r="DD33" s="1281"/>
      <c r="DE33" s="1281"/>
      <c r="DF33" s="1281"/>
      <c r="DG33" s="1282"/>
      <c r="DH33" s="1200"/>
      <c r="DI33" s="1057">
        <f t="shared" si="0"/>
        <v>-4.2768852867724689</v>
      </c>
    </row>
    <row r="34" spans="1:114" s="38" customFormat="1" ht="30" customHeight="1">
      <c r="A34" s="1192" t="s">
        <v>1503</v>
      </c>
      <c r="B34" s="1193"/>
      <c r="C34" s="1193"/>
      <c r="D34" s="1193"/>
      <c r="E34" s="1193"/>
      <c r="F34" s="1193"/>
      <c r="G34" s="1193"/>
      <c r="H34" s="1193"/>
      <c r="I34" s="1194"/>
      <c r="J34" s="49"/>
      <c r="K34" s="1195" t="s">
        <v>745</v>
      </c>
      <c r="L34" s="1195"/>
      <c r="M34" s="1195"/>
      <c r="N34" s="1195"/>
      <c r="O34" s="1195"/>
      <c r="P34" s="1195"/>
      <c r="Q34" s="1195"/>
      <c r="R34" s="1195"/>
      <c r="S34" s="1195"/>
      <c r="T34" s="1195"/>
      <c r="U34" s="1195"/>
      <c r="V34" s="1195"/>
      <c r="W34" s="1195"/>
      <c r="X34" s="1195"/>
      <c r="Y34" s="1195"/>
      <c r="Z34" s="1195"/>
      <c r="AA34" s="1195"/>
      <c r="AB34" s="1195"/>
      <c r="AC34" s="1195"/>
      <c r="AD34" s="1195"/>
      <c r="AE34" s="1195"/>
      <c r="AF34" s="1195"/>
      <c r="AG34" s="1195"/>
      <c r="AH34" s="1195"/>
      <c r="AI34" s="1195"/>
      <c r="AJ34" s="1195"/>
      <c r="AK34" s="1195"/>
      <c r="AL34" s="1195"/>
      <c r="AM34" s="1195"/>
      <c r="AN34" s="1195"/>
      <c r="AO34" s="1195"/>
      <c r="AP34" s="1195"/>
      <c r="AQ34" s="1195"/>
      <c r="AR34" s="1195"/>
      <c r="AS34" s="1195"/>
      <c r="AT34" s="1195"/>
      <c r="AU34" s="1195"/>
      <c r="AV34" s="1195"/>
      <c r="AW34" s="1195"/>
      <c r="AX34" s="1195"/>
      <c r="AY34" s="1195"/>
      <c r="AZ34" s="1195"/>
      <c r="BA34" s="1195"/>
      <c r="BB34" s="1195"/>
      <c r="BC34" s="1195"/>
      <c r="BD34" s="1195"/>
      <c r="BE34" s="1195"/>
      <c r="BF34" s="1195"/>
      <c r="BG34" s="1195"/>
      <c r="BH34" s="51"/>
      <c r="BI34" s="1196" t="s">
        <v>121</v>
      </c>
      <c r="BJ34" s="1197"/>
      <c r="BK34" s="1197"/>
      <c r="BL34" s="1197"/>
      <c r="BM34" s="1197"/>
      <c r="BN34" s="1197"/>
      <c r="BO34" s="1197"/>
      <c r="BP34" s="1197"/>
      <c r="BQ34" s="1197"/>
      <c r="BR34" s="1197"/>
      <c r="BS34" s="1198"/>
      <c r="BT34" s="1215"/>
      <c r="BU34" s="1052">
        <v>2053</v>
      </c>
      <c r="BV34" s="1052">
        <v>17245</v>
      </c>
      <c r="BW34" s="1154">
        <f>'5. подк.неподк.план'!Y148</f>
        <v>2166.2737000000002</v>
      </c>
      <c r="BX34" s="1155"/>
      <c r="BY34" s="1155"/>
      <c r="BZ34" s="1155"/>
      <c r="CA34" s="1155"/>
      <c r="CB34" s="1155"/>
      <c r="CC34" s="1155"/>
      <c r="CD34" s="1155"/>
      <c r="CE34" s="1155"/>
      <c r="CF34" s="1156"/>
      <c r="CG34" s="1154">
        <f>'1. подк.неподк. факт'!Z148</f>
        <v>6284.5428499999998</v>
      </c>
      <c r="CH34" s="1155"/>
      <c r="CI34" s="1155"/>
      <c r="CJ34" s="1155"/>
      <c r="CK34" s="1155"/>
      <c r="CL34" s="1155"/>
      <c r="CM34" s="1155"/>
      <c r="CN34" s="1155"/>
      <c r="CO34" s="1155"/>
      <c r="CP34" s="1156"/>
      <c r="CQ34" s="1280"/>
      <c r="CR34" s="1281"/>
      <c r="CS34" s="1281"/>
      <c r="CT34" s="1281"/>
      <c r="CU34" s="1281"/>
      <c r="CV34" s="1281"/>
      <c r="CW34" s="1281"/>
      <c r="CX34" s="1281"/>
      <c r="CY34" s="1281"/>
      <c r="CZ34" s="1281"/>
      <c r="DA34" s="1281"/>
      <c r="DB34" s="1281"/>
      <c r="DC34" s="1281"/>
      <c r="DD34" s="1281"/>
      <c r="DE34" s="1281"/>
      <c r="DF34" s="1281"/>
      <c r="DG34" s="1282"/>
      <c r="DH34" s="1200"/>
      <c r="DI34" s="1057">
        <f t="shared" si="0"/>
        <v>190.10844059086344</v>
      </c>
    </row>
    <row r="35" spans="1:114" s="38" customFormat="1" ht="30" customHeight="1">
      <c r="A35" s="1192" t="s">
        <v>1504</v>
      </c>
      <c r="B35" s="1193"/>
      <c r="C35" s="1193"/>
      <c r="D35" s="1193"/>
      <c r="E35" s="1193"/>
      <c r="F35" s="1193"/>
      <c r="G35" s="1193"/>
      <c r="H35" s="1193"/>
      <c r="I35" s="1194"/>
      <c r="J35" s="49"/>
      <c r="K35" s="1195" t="s">
        <v>1495</v>
      </c>
      <c r="L35" s="1195"/>
      <c r="M35" s="1195"/>
      <c r="N35" s="1195"/>
      <c r="O35" s="1195"/>
      <c r="P35" s="1195"/>
      <c r="Q35" s="1195"/>
      <c r="R35" s="1195"/>
      <c r="S35" s="1195"/>
      <c r="T35" s="1195"/>
      <c r="U35" s="1195"/>
      <c r="V35" s="1195"/>
      <c r="W35" s="1195"/>
      <c r="X35" s="1195"/>
      <c r="Y35" s="1195"/>
      <c r="Z35" s="1195"/>
      <c r="AA35" s="1195"/>
      <c r="AB35" s="1195"/>
      <c r="AC35" s="1195"/>
      <c r="AD35" s="1195"/>
      <c r="AE35" s="1195"/>
      <c r="AF35" s="1195"/>
      <c r="AG35" s="1195"/>
      <c r="AH35" s="1195"/>
      <c r="AI35" s="1195"/>
      <c r="AJ35" s="1195"/>
      <c r="AK35" s="1195"/>
      <c r="AL35" s="1195"/>
      <c r="AM35" s="1195"/>
      <c r="AN35" s="1195"/>
      <c r="AO35" s="1195"/>
      <c r="AP35" s="1195"/>
      <c r="AQ35" s="1195"/>
      <c r="AR35" s="1195"/>
      <c r="AS35" s="1195"/>
      <c r="AT35" s="1195"/>
      <c r="AU35" s="1195"/>
      <c r="AV35" s="1195"/>
      <c r="AW35" s="1195"/>
      <c r="AX35" s="1195"/>
      <c r="AY35" s="1195"/>
      <c r="AZ35" s="1195"/>
      <c r="BA35" s="1195"/>
      <c r="BB35" s="1195"/>
      <c r="BC35" s="1195"/>
      <c r="BD35" s="1195"/>
      <c r="BE35" s="1195"/>
      <c r="BF35" s="1195"/>
      <c r="BG35" s="1195"/>
      <c r="BH35" s="51"/>
      <c r="BI35" s="1196" t="s">
        <v>121</v>
      </c>
      <c r="BJ35" s="1197"/>
      <c r="BK35" s="1197"/>
      <c r="BL35" s="1197"/>
      <c r="BM35" s="1197"/>
      <c r="BN35" s="1197"/>
      <c r="BO35" s="1197"/>
      <c r="BP35" s="1197"/>
      <c r="BQ35" s="1197"/>
      <c r="BR35" s="1197"/>
      <c r="BS35" s="1198"/>
      <c r="BT35" s="1215"/>
      <c r="BU35" s="1053">
        <v>22.26</v>
      </c>
      <c r="BV35" s="1052">
        <v>12.07</v>
      </c>
      <c r="BW35" s="1154">
        <f>'5. подк.неподк.план'!Y153</f>
        <v>25.903414999999995</v>
      </c>
      <c r="BX35" s="1155"/>
      <c r="BY35" s="1155"/>
      <c r="BZ35" s="1155"/>
      <c r="CA35" s="1155"/>
      <c r="CB35" s="1155"/>
      <c r="CC35" s="1155"/>
      <c r="CD35" s="1155"/>
      <c r="CE35" s="1155"/>
      <c r="CF35" s="1156"/>
      <c r="CG35" s="1154">
        <f>'1. подк.неподк. факт'!Z153</f>
        <v>25.05114</v>
      </c>
      <c r="CH35" s="1155"/>
      <c r="CI35" s="1155"/>
      <c r="CJ35" s="1155"/>
      <c r="CK35" s="1155"/>
      <c r="CL35" s="1155"/>
      <c r="CM35" s="1155"/>
      <c r="CN35" s="1155"/>
      <c r="CO35" s="1155"/>
      <c r="CP35" s="1156"/>
      <c r="CQ35" s="1280"/>
      <c r="CR35" s="1281"/>
      <c r="CS35" s="1281"/>
      <c r="CT35" s="1281"/>
      <c r="CU35" s="1281"/>
      <c r="CV35" s="1281"/>
      <c r="CW35" s="1281"/>
      <c r="CX35" s="1281"/>
      <c r="CY35" s="1281"/>
      <c r="CZ35" s="1281"/>
      <c r="DA35" s="1281"/>
      <c r="DB35" s="1281"/>
      <c r="DC35" s="1281"/>
      <c r="DD35" s="1281"/>
      <c r="DE35" s="1281"/>
      <c r="DF35" s="1281"/>
      <c r="DG35" s="1282"/>
      <c r="DH35" s="1200"/>
      <c r="DI35" s="1057">
        <f t="shared" si="0"/>
        <v>-3.2902032415416897</v>
      </c>
    </row>
    <row r="36" spans="1:114" s="38" customFormat="1" ht="30" customHeight="1">
      <c r="A36" s="1192" t="s">
        <v>1505</v>
      </c>
      <c r="B36" s="1193"/>
      <c r="C36" s="1193"/>
      <c r="D36" s="1193"/>
      <c r="E36" s="1193"/>
      <c r="F36" s="1193"/>
      <c r="G36" s="1193"/>
      <c r="H36" s="1193"/>
      <c r="I36" s="1194"/>
      <c r="J36" s="49"/>
      <c r="K36" s="1195" t="s">
        <v>1496</v>
      </c>
      <c r="L36" s="1195"/>
      <c r="M36" s="1195"/>
      <c r="N36" s="1195"/>
      <c r="O36" s="1195"/>
      <c r="P36" s="1195"/>
      <c r="Q36" s="1195"/>
      <c r="R36" s="1195"/>
      <c r="S36" s="1195"/>
      <c r="T36" s="1195"/>
      <c r="U36" s="1195"/>
      <c r="V36" s="1195"/>
      <c r="W36" s="1195"/>
      <c r="X36" s="1195"/>
      <c r="Y36" s="1195"/>
      <c r="Z36" s="1195"/>
      <c r="AA36" s="1195"/>
      <c r="AB36" s="1195"/>
      <c r="AC36" s="1195"/>
      <c r="AD36" s="1195"/>
      <c r="AE36" s="1195"/>
      <c r="AF36" s="1195"/>
      <c r="AG36" s="1195"/>
      <c r="AH36" s="1195"/>
      <c r="AI36" s="1195"/>
      <c r="AJ36" s="1195"/>
      <c r="AK36" s="1195"/>
      <c r="AL36" s="1195"/>
      <c r="AM36" s="1195"/>
      <c r="AN36" s="1195"/>
      <c r="AO36" s="1195"/>
      <c r="AP36" s="1195"/>
      <c r="AQ36" s="1195"/>
      <c r="AR36" s="1195"/>
      <c r="AS36" s="1195"/>
      <c r="AT36" s="1195"/>
      <c r="AU36" s="1195"/>
      <c r="AV36" s="1195"/>
      <c r="AW36" s="1195"/>
      <c r="AX36" s="1195"/>
      <c r="AY36" s="1195"/>
      <c r="AZ36" s="1195"/>
      <c r="BA36" s="1195"/>
      <c r="BB36" s="1195"/>
      <c r="BC36" s="1195"/>
      <c r="BD36" s="1195"/>
      <c r="BE36" s="1195"/>
      <c r="BF36" s="1195"/>
      <c r="BG36" s="1195"/>
      <c r="BH36" s="51"/>
      <c r="BI36" s="1196" t="s">
        <v>121</v>
      </c>
      <c r="BJ36" s="1197"/>
      <c r="BK36" s="1197"/>
      <c r="BL36" s="1197"/>
      <c r="BM36" s="1197"/>
      <c r="BN36" s="1197"/>
      <c r="BO36" s="1197"/>
      <c r="BP36" s="1197"/>
      <c r="BQ36" s="1197"/>
      <c r="BR36" s="1197"/>
      <c r="BS36" s="1198"/>
      <c r="BT36" s="1215"/>
      <c r="BU36" s="1053">
        <f>53221.34+1163.79+386.41+130.04+596.32+2743.44</f>
        <v>58241.340000000004</v>
      </c>
      <c r="BV36" s="1052">
        <f>59394+1194.34+2041.44+1536.64+743.52+5575.88</f>
        <v>70485.819999999992</v>
      </c>
      <c r="BW36" s="1154">
        <f>'5. подк.неподк.план'!Y160</f>
        <v>71729.477057685697</v>
      </c>
      <c r="BX36" s="1155"/>
      <c r="BY36" s="1155"/>
      <c r="BZ36" s="1155"/>
      <c r="CA36" s="1155"/>
      <c r="CB36" s="1155"/>
      <c r="CC36" s="1155"/>
      <c r="CD36" s="1155"/>
      <c r="CE36" s="1155"/>
      <c r="CF36" s="1156"/>
      <c r="CG36" s="1154">
        <f>'1. подк.неподк. факт'!Z160+'1. подк.неподк. факт'!Z192</f>
        <v>68735.570879999999</v>
      </c>
      <c r="CH36" s="1155"/>
      <c r="CI36" s="1155"/>
      <c r="CJ36" s="1155"/>
      <c r="CK36" s="1155"/>
      <c r="CL36" s="1155"/>
      <c r="CM36" s="1155"/>
      <c r="CN36" s="1155"/>
      <c r="CO36" s="1155"/>
      <c r="CP36" s="1156"/>
      <c r="CQ36" s="1280"/>
      <c r="CR36" s="1281"/>
      <c r="CS36" s="1281"/>
      <c r="CT36" s="1281"/>
      <c r="CU36" s="1281"/>
      <c r="CV36" s="1281"/>
      <c r="CW36" s="1281"/>
      <c r="CX36" s="1281"/>
      <c r="CY36" s="1281"/>
      <c r="CZ36" s="1281"/>
      <c r="DA36" s="1281"/>
      <c r="DB36" s="1281"/>
      <c r="DC36" s="1281"/>
      <c r="DD36" s="1281"/>
      <c r="DE36" s="1281"/>
      <c r="DF36" s="1281"/>
      <c r="DG36" s="1282"/>
      <c r="DH36" s="1200"/>
      <c r="DI36" s="1057">
        <f t="shared" si="0"/>
        <v>-4.1738854101473066</v>
      </c>
    </row>
    <row r="37" spans="1:114" s="38" customFormat="1" ht="30" customHeight="1">
      <c r="A37" s="1192" t="s">
        <v>1506</v>
      </c>
      <c r="B37" s="1193"/>
      <c r="C37" s="1193"/>
      <c r="D37" s="1193"/>
      <c r="E37" s="1193"/>
      <c r="F37" s="1193"/>
      <c r="G37" s="1193"/>
      <c r="H37" s="1193"/>
      <c r="I37" s="1194"/>
      <c r="J37" s="49"/>
      <c r="K37" s="1195" t="s">
        <v>1497</v>
      </c>
      <c r="L37" s="1195"/>
      <c r="M37" s="1195"/>
      <c r="N37" s="1195"/>
      <c r="O37" s="1195"/>
      <c r="P37" s="1195"/>
      <c r="Q37" s="1195"/>
      <c r="R37" s="1195"/>
      <c r="S37" s="1195"/>
      <c r="T37" s="1195"/>
      <c r="U37" s="1195"/>
      <c r="V37" s="1195"/>
      <c r="W37" s="1195"/>
      <c r="X37" s="1195"/>
      <c r="Y37" s="1195"/>
      <c r="Z37" s="1195"/>
      <c r="AA37" s="1195"/>
      <c r="AB37" s="1195"/>
      <c r="AC37" s="1195"/>
      <c r="AD37" s="1195"/>
      <c r="AE37" s="1195"/>
      <c r="AF37" s="1195"/>
      <c r="AG37" s="1195"/>
      <c r="AH37" s="1195"/>
      <c r="AI37" s="1195"/>
      <c r="AJ37" s="1195"/>
      <c r="AK37" s="1195"/>
      <c r="AL37" s="1195"/>
      <c r="AM37" s="1195"/>
      <c r="AN37" s="1195"/>
      <c r="AO37" s="1195"/>
      <c r="AP37" s="1195"/>
      <c r="AQ37" s="1195"/>
      <c r="AR37" s="1195"/>
      <c r="AS37" s="1195"/>
      <c r="AT37" s="1195"/>
      <c r="AU37" s="1195"/>
      <c r="AV37" s="1195"/>
      <c r="AW37" s="1195"/>
      <c r="AX37" s="1195"/>
      <c r="AY37" s="1195"/>
      <c r="AZ37" s="1195"/>
      <c r="BA37" s="1195"/>
      <c r="BB37" s="1195"/>
      <c r="BC37" s="1195"/>
      <c r="BD37" s="1195"/>
      <c r="BE37" s="1195"/>
      <c r="BF37" s="1195"/>
      <c r="BG37" s="1195"/>
      <c r="BH37" s="51"/>
      <c r="BI37" s="1196" t="s">
        <v>121</v>
      </c>
      <c r="BJ37" s="1197"/>
      <c r="BK37" s="1197"/>
      <c r="BL37" s="1197"/>
      <c r="BM37" s="1197"/>
      <c r="BN37" s="1197"/>
      <c r="BO37" s="1197"/>
      <c r="BP37" s="1197"/>
      <c r="BQ37" s="1197"/>
      <c r="BR37" s="1197"/>
      <c r="BS37" s="1198"/>
      <c r="BT37" s="1215"/>
      <c r="BU37" s="1053">
        <f>472.12+284.52+0+187.19+516.72+2359.5</f>
        <v>3820.05</v>
      </c>
      <c r="BV37" s="1052">
        <f>368.58+652.23+1.64+518.49+1047.28+4065.54</f>
        <v>6653.76</v>
      </c>
      <c r="BW37" s="1154">
        <f>'5. подк.неподк.план'!Y168</f>
        <v>7145.9893778019514</v>
      </c>
      <c r="BX37" s="1155"/>
      <c r="BY37" s="1155"/>
      <c r="BZ37" s="1155"/>
      <c r="CA37" s="1155"/>
      <c r="CB37" s="1155"/>
      <c r="CC37" s="1155"/>
      <c r="CD37" s="1155"/>
      <c r="CE37" s="1155"/>
      <c r="CF37" s="1156"/>
      <c r="CG37" s="1154">
        <f>'1. подк.неподк. факт'!Z168</f>
        <v>6799.0794499999993</v>
      </c>
      <c r="CH37" s="1155"/>
      <c r="CI37" s="1155"/>
      <c r="CJ37" s="1155"/>
      <c r="CK37" s="1155"/>
      <c r="CL37" s="1155"/>
      <c r="CM37" s="1155"/>
      <c r="CN37" s="1155"/>
      <c r="CO37" s="1155"/>
      <c r="CP37" s="1156"/>
      <c r="CQ37" s="1280"/>
      <c r="CR37" s="1281"/>
      <c r="CS37" s="1281"/>
      <c r="CT37" s="1281"/>
      <c r="CU37" s="1281"/>
      <c r="CV37" s="1281"/>
      <c r="CW37" s="1281"/>
      <c r="CX37" s="1281"/>
      <c r="CY37" s="1281"/>
      <c r="CZ37" s="1281"/>
      <c r="DA37" s="1281"/>
      <c r="DB37" s="1281"/>
      <c r="DC37" s="1281"/>
      <c r="DD37" s="1281"/>
      <c r="DE37" s="1281"/>
      <c r="DF37" s="1281"/>
      <c r="DG37" s="1282"/>
      <c r="DH37" s="1200"/>
      <c r="DI37" s="1057">
        <f t="shared" si="0"/>
        <v>-4.8546101800764063</v>
      </c>
    </row>
    <row r="38" spans="1:114" s="38" customFormat="1" ht="30" customHeight="1">
      <c r="A38" s="1192" t="s">
        <v>1507</v>
      </c>
      <c r="B38" s="1193"/>
      <c r="C38" s="1193"/>
      <c r="D38" s="1193"/>
      <c r="E38" s="1193"/>
      <c r="F38" s="1193"/>
      <c r="G38" s="1193"/>
      <c r="H38" s="1193"/>
      <c r="I38" s="1194"/>
      <c r="J38" s="49"/>
      <c r="K38" s="1195" t="s">
        <v>1498</v>
      </c>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1195"/>
      <c r="AM38" s="1195"/>
      <c r="AN38" s="1195"/>
      <c r="AO38" s="1195"/>
      <c r="AP38" s="1195"/>
      <c r="AQ38" s="1195"/>
      <c r="AR38" s="1195"/>
      <c r="AS38" s="1195"/>
      <c r="AT38" s="1195"/>
      <c r="AU38" s="1195"/>
      <c r="AV38" s="1195"/>
      <c r="AW38" s="1195"/>
      <c r="AX38" s="1195"/>
      <c r="AY38" s="1195"/>
      <c r="AZ38" s="1195"/>
      <c r="BA38" s="1195"/>
      <c r="BB38" s="1195"/>
      <c r="BC38" s="1195"/>
      <c r="BD38" s="1195"/>
      <c r="BE38" s="1195"/>
      <c r="BF38" s="1195"/>
      <c r="BG38" s="1195"/>
      <c r="BH38" s="51"/>
      <c r="BI38" s="1196" t="s">
        <v>121</v>
      </c>
      <c r="BJ38" s="1197"/>
      <c r="BK38" s="1197"/>
      <c r="BL38" s="1197"/>
      <c r="BM38" s="1197"/>
      <c r="BN38" s="1197"/>
      <c r="BO38" s="1197"/>
      <c r="BP38" s="1197"/>
      <c r="BQ38" s="1197"/>
      <c r="BR38" s="1197"/>
      <c r="BS38" s="1198"/>
      <c r="BT38" s="1215"/>
      <c r="BU38" s="1053">
        <f>2792.84+66.11</f>
        <v>2858.9500000000003</v>
      </c>
      <c r="BV38" s="1052">
        <f>4518.75+178.67+26.99</f>
        <v>4724.41</v>
      </c>
      <c r="BW38" s="1154">
        <f>'5. подк.неподк.план'!Y172</f>
        <v>2667.600467101403</v>
      </c>
      <c r="BX38" s="1155"/>
      <c r="BY38" s="1155"/>
      <c r="BZ38" s="1155"/>
      <c r="CA38" s="1155"/>
      <c r="CB38" s="1155"/>
      <c r="CC38" s="1155"/>
      <c r="CD38" s="1155"/>
      <c r="CE38" s="1155"/>
      <c r="CF38" s="1156"/>
      <c r="CG38" s="1154">
        <f>'1. подк.неподк. факт'!Z172</f>
        <v>3695.7669599999999</v>
      </c>
      <c r="CH38" s="1155"/>
      <c r="CI38" s="1155"/>
      <c r="CJ38" s="1155"/>
      <c r="CK38" s="1155"/>
      <c r="CL38" s="1155"/>
      <c r="CM38" s="1155"/>
      <c r="CN38" s="1155"/>
      <c r="CO38" s="1155"/>
      <c r="CP38" s="1156"/>
      <c r="CQ38" s="1280"/>
      <c r="CR38" s="1281"/>
      <c r="CS38" s="1281"/>
      <c r="CT38" s="1281"/>
      <c r="CU38" s="1281"/>
      <c r="CV38" s="1281"/>
      <c r="CW38" s="1281"/>
      <c r="CX38" s="1281"/>
      <c r="CY38" s="1281"/>
      <c r="CZ38" s="1281"/>
      <c r="DA38" s="1281"/>
      <c r="DB38" s="1281"/>
      <c r="DC38" s="1281"/>
      <c r="DD38" s="1281"/>
      <c r="DE38" s="1281"/>
      <c r="DF38" s="1281"/>
      <c r="DG38" s="1282"/>
      <c r="DH38" s="1200"/>
      <c r="DI38" s="1057">
        <f t="shared" si="0"/>
        <v>38.542746771063349</v>
      </c>
    </row>
    <row r="39" spans="1:114" s="38" customFormat="1" ht="30" customHeight="1">
      <c r="A39" s="1192" t="s">
        <v>1508</v>
      </c>
      <c r="B39" s="1193"/>
      <c r="C39" s="1193"/>
      <c r="D39" s="1193"/>
      <c r="E39" s="1193"/>
      <c r="F39" s="1193"/>
      <c r="G39" s="1193"/>
      <c r="H39" s="1193"/>
      <c r="I39" s="1194"/>
      <c r="J39" s="49"/>
      <c r="K39" s="1195" t="s">
        <v>1499</v>
      </c>
      <c r="L39" s="1195"/>
      <c r="M39" s="1195"/>
      <c r="N39" s="1195"/>
      <c r="O39" s="1195"/>
      <c r="P39" s="1195"/>
      <c r="Q39" s="1195"/>
      <c r="R39" s="1195"/>
      <c r="S39" s="1195"/>
      <c r="T39" s="1195"/>
      <c r="U39" s="1195"/>
      <c r="V39" s="1195"/>
      <c r="W39" s="1195"/>
      <c r="X39" s="1195"/>
      <c r="Y39" s="1195"/>
      <c r="Z39" s="1195"/>
      <c r="AA39" s="1195"/>
      <c r="AB39" s="1195"/>
      <c r="AC39" s="1195"/>
      <c r="AD39" s="1195"/>
      <c r="AE39" s="1195"/>
      <c r="AF39" s="1195"/>
      <c r="AG39" s="1195"/>
      <c r="AH39" s="1195"/>
      <c r="AI39" s="1195"/>
      <c r="AJ39" s="1195"/>
      <c r="AK39" s="1195"/>
      <c r="AL39" s="1195"/>
      <c r="AM39" s="1195"/>
      <c r="AN39" s="1195"/>
      <c r="AO39" s="1195"/>
      <c r="AP39" s="1195"/>
      <c r="AQ39" s="1195"/>
      <c r="AR39" s="1195"/>
      <c r="AS39" s="1195"/>
      <c r="AT39" s="1195"/>
      <c r="AU39" s="1195"/>
      <c r="AV39" s="1195"/>
      <c r="AW39" s="1195"/>
      <c r="AX39" s="1195"/>
      <c r="AY39" s="1195"/>
      <c r="AZ39" s="1195"/>
      <c r="BA39" s="1195"/>
      <c r="BB39" s="1195"/>
      <c r="BC39" s="1195"/>
      <c r="BD39" s="1195"/>
      <c r="BE39" s="1195"/>
      <c r="BF39" s="1195"/>
      <c r="BG39" s="1195"/>
      <c r="BH39" s="51"/>
      <c r="BI39" s="1196" t="s">
        <v>121</v>
      </c>
      <c r="BJ39" s="1197"/>
      <c r="BK39" s="1197"/>
      <c r="BL39" s="1197"/>
      <c r="BM39" s="1197"/>
      <c r="BN39" s="1197"/>
      <c r="BO39" s="1197"/>
      <c r="BP39" s="1197"/>
      <c r="BQ39" s="1197"/>
      <c r="BR39" s="1197"/>
      <c r="BS39" s="1198"/>
      <c r="BT39" s="1215"/>
      <c r="BU39" s="1053">
        <f>3687.64+1492.7</f>
        <v>5180.34</v>
      </c>
      <c r="BV39" s="1052">
        <f>206.31+706.91+30.38+48.35</f>
        <v>991.95</v>
      </c>
      <c r="BW39" s="1154">
        <f>'5. подк.неподк.план'!Y180</f>
        <v>1574.7984999999999</v>
      </c>
      <c r="BX39" s="1155"/>
      <c r="BY39" s="1155"/>
      <c r="BZ39" s="1155"/>
      <c r="CA39" s="1155"/>
      <c r="CB39" s="1155"/>
      <c r="CC39" s="1155"/>
      <c r="CD39" s="1155"/>
      <c r="CE39" s="1155"/>
      <c r="CF39" s="1156"/>
      <c r="CG39" s="1154">
        <f>'1. подк.неподк. факт'!Z180</f>
        <v>6473.4116299999996</v>
      </c>
      <c r="CH39" s="1155"/>
      <c r="CI39" s="1155"/>
      <c r="CJ39" s="1155"/>
      <c r="CK39" s="1155"/>
      <c r="CL39" s="1155"/>
      <c r="CM39" s="1155"/>
      <c r="CN39" s="1155"/>
      <c r="CO39" s="1155"/>
      <c r="CP39" s="1156"/>
      <c r="CQ39" s="1280"/>
      <c r="CR39" s="1281"/>
      <c r="CS39" s="1281"/>
      <c r="CT39" s="1281"/>
      <c r="CU39" s="1281"/>
      <c r="CV39" s="1281"/>
      <c r="CW39" s="1281"/>
      <c r="CX39" s="1281"/>
      <c r="CY39" s="1281"/>
      <c r="CZ39" s="1281"/>
      <c r="DA39" s="1281"/>
      <c r="DB39" s="1281"/>
      <c r="DC39" s="1281"/>
      <c r="DD39" s="1281"/>
      <c r="DE39" s="1281"/>
      <c r="DF39" s="1281"/>
      <c r="DG39" s="1282"/>
      <c r="DH39" s="1200"/>
      <c r="DI39" s="1057">
        <f t="shared" si="0"/>
        <v>311.062852168071</v>
      </c>
    </row>
    <row r="40" spans="1:114" s="38" customFormat="1" ht="30" customHeight="1">
      <c r="A40" s="1192" t="s">
        <v>1509</v>
      </c>
      <c r="B40" s="1193"/>
      <c r="C40" s="1193"/>
      <c r="D40" s="1193"/>
      <c r="E40" s="1193"/>
      <c r="F40" s="1193"/>
      <c r="G40" s="1193"/>
      <c r="H40" s="1193"/>
      <c r="I40" s="1194"/>
      <c r="J40" s="49"/>
      <c r="K40" s="1195" t="s">
        <v>1500</v>
      </c>
      <c r="L40" s="1195"/>
      <c r="M40" s="1195"/>
      <c r="N40" s="1195"/>
      <c r="O40" s="1195"/>
      <c r="P40" s="1195"/>
      <c r="Q40" s="1195"/>
      <c r="R40" s="1195"/>
      <c r="S40" s="1195"/>
      <c r="T40" s="1195"/>
      <c r="U40" s="1195"/>
      <c r="V40" s="1195"/>
      <c r="W40" s="1195"/>
      <c r="X40" s="1195"/>
      <c r="Y40" s="1195"/>
      <c r="Z40" s="1195"/>
      <c r="AA40" s="1195"/>
      <c r="AB40" s="1195"/>
      <c r="AC40" s="1195"/>
      <c r="AD40" s="1195"/>
      <c r="AE40" s="1195"/>
      <c r="AF40" s="1195"/>
      <c r="AG40" s="1195"/>
      <c r="AH40" s="1195"/>
      <c r="AI40" s="1195"/>
      <c r="AJ40" s="1195"/>
      <c r="AK40" s="1195"/>
      <c r="AL40" s="1195"/>
      <c r="AM40" s="1195"/>
      <c r="AN40" s="1195"/>
      <c r="AO40" s="1195"/>
      <c r="AP40" s="1195"/>
      <c r="AQ40" s="1195"/>
      <c r="AR40" s="1195"/>
      <c r="AS40" s="1195"/>
      <c r="AT40" s="1195"/>
      <c r="AU40" s="1195"/>
      <c r="AV40" s="1195"/>
      <c r="AW40" s="1195"/>
      <c r="AX40" s="1195"/>
      <c r="AY40" s="1195"/>
      <c r="AZ40" s="1195"/>
      <c r="BA40" s="1195"/>
      <c r="BB40" s="1195"/>
      <c r="BC40" s="1195"/>
      <c r="BD40" s="1195"/>
      <c r="BE40" s="1195"/>
      <c r="BF40" s="1195"/>
      <c r="BG40" s="1195"/>
      <c r="BH40" s="51"/>
      <c r="BI40" s="1196" t="s">
        <v>121</v>
      </c>
      <c r="BJ40" s="1197"/>
      <c r="BK40" s="1197"/>
      <c r="BL40" s="1197"/>
      <c r="BM40" s="1197"/>
      <c r="BN40" s="1197"/>
      <c r="BO40" s="1197"/>
      <c r="BP40" s="1197"/>
      <c r="BQ40" s="1197"/>
      <c r="BR40" s="1197"/>
      <c r="BS40" s="1198"/>
      <c r="BT40" s="1215"/>
      <c r="BU40" s="1053">
        <v>27668</v>
      </c>
      <c r="BV40" s="1054">
        <f>73616-26431.13-11</f>
        <v>47173.869999999995</v>
      </c>
      <c r="BW40" s="1154">
        <f>'5. подк.неподк.план'!Y205-'Приложение № 8'!BW29:CF29</f>
        <v>21191.375189864164</v>
      </c>
      <c r="BX40" s="1155"/>
      <c r="BY40" s="1155"/>
      <c r="BZ40" s="1155"/>
      <c r="CA40" s="1155"/>
      <c r="CB40" s="1155"/>
      <c r="CC40" s="1155"/>
      <c r="CD40" s="1155"/>
      <c r="CE40" s="1155"/>
      <c r="CF40" s="1156"/>
      <c r="CG40" s="1154">
        <f>'1. подк.неподк. факт'!Z206-'1. подк.неподк. факт'!Z192-'1. подк.неподк. факт'!Z190</f>
        <v>44492.126799999969</v>
      </c>
      <c r="CH40" s="1155"/>
      <c r="CI40" s="1155"/>
      <c r="CJ40" s="1155"/>
      <c r="CK40" s="1155"/>
      <c r="CL40" s="1155"/>
      <c r="CM40" s="1155"/>
      <c r="CN40" s="1155"/>
      <c r="CO40" s="1155"/>
      <c r="CP40" s="1156"/>
      <c r="CQ40" s="1280"/>
      <c r="CR40" s="1281"/>
      <c r="CS40" s="1281"/>
      <c r="CT40" s="1281"/>
      <c r="CU40" s="1281"/>
      <c r="CV40" s="1281"/>
      <c r="CW40" s="1281"/>
      <c r="CX40" s="1281"/>
      <c r="CY40" s="1281"/>
      <c r="CZ40" s="1281"/>
      <c r="DA40" s="1281"/>
      <c r="DB40" s="1281"/>
      <c r="DC40" s="1281"/>
      <c r="DD40" s="1281"/>
      <c r="DE40" s="1281"/>
      <c r="DF40" s="1281"/>
      <c r="DG40" s="1282"/>
      <c r="DH40" s="1200"/>
      <c r="DI40" s="1057">
        <f t="shared" si="0"/>
        <v>109.95393834223913</v>
      </c>
    </row>
    <row r="41" spans="1:114" s="38" customFormat="1" ht="30" customHeight="1">
      <c r="A41" s="1192" t="s">
        <v>1510</v>
      </c>
      <c r="B41" s="1193"/>
      <c r="C41" s="1193"/>
      <c r="D41" s="1193"/>
      <c r="E41" s="1193"/>
      <c r="F41" s="1193"/>
      <c r="G41" s="1193"/>
      <c r="H41" s="1193"/>
      <c r="I41" s="1194"/>
      <c r="J41" s="49"/>
      <c r="K41" s="1195" t="s">
        <v>977</v>
      </c>
      <c r="L41" s="1195"/>
      <c r="M41" s="1195"/>
      <c r="N41" s="1195"/>
      <c r="O41" s="1195"/>
      <c r="P41" s="1195"/>
      <c r="Q41" s="1195"/>
      <c r="R41" s="1195"/>
      <c r="S41" s="1195"/>
      <c r="T41" s="1195"/>
      <c r="U41" s="1195"/>
      <c r="V41" s="1195"/>
      <c r="W41" s="1195"/>
      <c r="X41" s="1195"/>
      <c r="Y41" s="1195"/>
      <c r="Z41" s="1195"/>
      <c r="AA41" s="1195"/>
      <c r="AB41" s="1195"/>
      <c r="AC41" s="1195"/>
      <c r="AD41" s="1195"/>
      <c r="AE41" s="1195"/>
      <c r="AF41" s="1195"/>
      <c r="AG41" s="1195"/>
      <c r="AH41" s="1195"/>
      <c r="AI41" s="1195"/>
      <c r="AJ41" s="1195"/>
      <c r="AK41" s="1195"/>
      <c r="AL41" s="1195"/>
      <c r="AM41" s="1195"/>
      <c r="AN41" s="1195"/>
      <c r="AO41" s="1195"/>
      <c r="AP41" s="1195"/>
      <c r="AQ41" s="1195"/>
      <c r="AR41" s="1195"/>
      <c r="AS41" s="1195"/>
      <c r="AT41" s="1195"/>
      <c r="AU41" s="1195"/>
      <c r="AV41" s="1195"/>
      <c r="AW41" s="1195"/>
      <c r="AX41" s="1195"/>
      <c r="AY41" s="1195"/>
      <c r="AZ41" s="1195"/>
      <c r="BA41" s="1195"/>
      <c r="BB41" s="1195"/>
      <c r="BC41" s="1195"/>
      <c r="BD41" s="1195"/>
      <c r="BE41" s="1195"/>
      <c r="BF41" s="1195"/>
      <c r="BG41" s="1195"/>
      <c r="BH41" s="51"/>
      <c r="BI41" s="1196" t="s">
        <v>121</v>
      </c>
      <c r="BJ41" s="1197"/>
      <c r="BK41" s="1197"/>
      <c r="BL41" s="1197"/>
      <c r="BM41" s="1197"/>
      <c r="BN41" s="1197"/>
      <c r="BO41" s="1197"/>
      <c r="BP41" s="1197"/>
      <c r="BQ41" s="1197"/>
      <c r="BR41" s="1197"/>
      <c r="BS41" s="1198"/>
      <c r="BT41" s="1215"/>
      <c r="BU41" s="1052">
        <v>6424</v>
      </c>
      <c r="BV41" s="1052">
        <v>8755</v>
      </c>
      <c r="BW41" s="1154">
        <f>'5. подк.неподк.план'!Y206</f>
        <v>8069.47474375</v>
      </c>
      <c r="BX41" s="1155"/>
      <c r="BY41" s="1155"/>
      <c r="BZ41" s="1155"/>
      <c r="CA41" s="1155"/>
      <c r="CB41" s="1155"/>
      <c r="CC41" s="1155"/>
      <c r="CD41" s="1155"/>
      <c r="CE41" s="1155"/>
      <c r="CF41" s="1156"/>
      <c r="CG41" s="1154">
        <f>'1. подк.неподк. факт'!Z207</f>
        <v>3851.2585600000002</v>
      </c>
      <c r="CH41" s="1155"/>
      <c r="CI41" s="1155"/>
      <c r="CJ41" s="1155"/>
      <c r="CK41" s="1155"/>
      <c r="CL41" s="1155"/>
      <c r="CM41" s="1155"/>
      <c r="CN41" s="1155"/>
      <c r="CO41" s="1155"/>
      <c r="CP41" s="1156"/>
      <c r="CQ41" s="1280"/>
      <c r="CR41" s="1281"/>
      <c r="CS41" s="1281"/>
      <c r="CT41" s="1281"/>
      <c r="CU41" s="1281"/>
      <c r="CV41" s="1281"/>
      <c r="CW41" s="1281"/>
      <c r="CX41" s="1281"/>
      <c r="CY41" s="1281"/>
      <c r="CZ41" s="1281"/>
      <c r="DA41" s="1281"/>
      <c r="DB41" s="1281"/>
      <c r="DC41" s="1281"/>
      <c r="DD41" s="1281"/>
      <c r="DE41" s="1281"/>
      <c r="DF41" s="1281"/>
      <c r="DG41" s="1282"/>
      <c r="DH41" s="1200"/>
      <c r="DI41" s="1057">
        <f t="shared" si="0"/>
        <v>-52.273739217253372</v>
      </c>
    </row>
    <row r="42" spans="1:114" s="38" customFormat="1" ht="30" customHeight="1">
      <c r="A42" s="1192" t="s">
        <v>1511</v>
      </c>
      <c r="B42" s="1193"/>
      <c r="C42" s="1193"/>
      <c r="D42" s="1193"/>
      <c r="E42" s="1193"/>
      <c r="F42" s="1193"/>
      <c r="G42" s="1193"/>
      <c r="H42" s="1193"/>
      <c r="I42" s="1194"/>
      <c r="J42" s="49"/>
      <c r="K42" s="1195" t="s">
        <v>996</v>
      </c>
      <c r="L42" s="1195"/>
      <c r="M42" s="1195"/>
      <c r="N42" s="1195"/>
      <c r="O42" s="1195"/>
      <c r="P42" s="1195"/>
      <c r="Q42" s="1195"/>
      <c r="R42" s="1195"/>
      <c r="S42" s="1195"/>
      <c r="T42" s="1195"/>
      <c r="U42" s="1195"/>
      <c r="V42" s="1195"/>
      <c r="W42" s="1195"/>
      <c r="X42" s="1195"/>
      <c r="Y42" s="1195"/>
      <c r="Z42" s="1195"/>
      <c r="AA42" s="1195"/>
      <c r="AB42" s="1195"/>
      <c r="AC42" s="1195"/>
      <c r="AD42" s="1195"/>
      <c r="AE42" s="1195"/>
      <c r="AF42" s="1195"/>
      <c r="AG42" s="1195"/>
      <c r="AH42" s="1195"/>
      <c r="AI42" s="1195"/>
      <c r="AJ42" s="1195"/>
      <c r="AK42" s="1195"/>
      <c r="AL42" s="1195"/>
      <c r="AM42" s="1195"/>
      <c r="AN42" s="1195"/>
      <c r="AO42" s="1195"/>
      <c r="AP42" s="1195"/>
      <c r="AQ42" s="1195"/>
      <c r="AR42" s="1195"/>
      <c r="AS42" s="1195"/>
      <c r="AT42" s="1195"/>
      <c r="AU42" s="1195"/>
      <c r="AV42" s="1195"/>
      <c r="AW42" s="1195"/>
      <c r="AX42" s="1195"/>
      <c r="AY42" s="1195"/>
      <c r="AZ42" s="1195"/>
      <c r="BA42" s="1195"/>
      <c r="BB42" s="1195"/>
      <c r="BC42" s="1195"/>
      <c r="BD42" s="1195"/>
      <c r="BE42" s="1195"/>
      <c r="BF42" s="1195"/>
      <c r="BG42" s="1195"/>
      <c r="BH42" s="51"/>
      <c r="BI42" s="1196" t="s">
        <v>121</v>
      </c>
      <c r="BJ42" s="1197"/>
      <c r="BK42" s="1197"/>
      <c r="BL42" s="1197"/>
      <c r="BM42" s="1197"/>
      <c r="BN42" s="1197"/>
      <c r="BO42" s="1197"/>
      <c r="BP42" s="1197"/>
      <c r="BQ42" s="1197"/>
      <c r="BR42" s="1197"/>
      <c r="BS42" s="1198"/>
      <c r="BT42" s="1215"/>
      <c r="BU42" s="1052">
        <v>7818</v>
      </c>
      <c r="BV42" s="1052">
        <v>1348</v>
      </c>
      <c r="BW42" s="1154">
        <f>'5. подк.неподк.план'!Y211</f>
        <v>8433.1435888077467</v>
      </c>
      <c r="BX42" s="1155"/>
      <c r="BY42" s="1155"/>
      <c r="BZ42" s="1155"/>
      <c r="CA42" s="1155"/>
      <c r="CB42" s="1155"/>
      <c r="CC42" s="1155"/>
      <c r="CD42" s="1155"/>
      <c r="CE42" s="1155"/>
      <c r="CF42" s="1156"/>
      <c r="CG42" s="1154">
        <f>'1. подк.неподк. факт'!Z212</f>
        <v>5725.1453000000001</v>
      </c>
      <c r="CH42" s="1155"/>
      <c r="CI42" s="1155"/>
      <c r="CJ42" s="1155"/>
      <c r="CK42" s="1155"/>
      <c r="CL42" s="1155"/>
      <c r="CM42" s="1155"/>
      <c r="CN42" s="1155"/>
      <c r="CO42" s="1155"/>
      <c r="CP42" s="1156"/>
      <c r="CQ42" s="1280"/>
      <c r="CR42" s="1281"/>
      <c r="CS42" s="1281"/>
      <c r="CT42" s="1281"/>
      <c r="CU42" s="1281"/>
      <c r="CV42" s="1281"/>
      <c r="CW42" s="1281"/>
      <c r="CX42" s="1281"/>
      <c r="CY42" s="1281"/>
      <c r="CZ42" s="1281"/>
      <c r="DA42" s="1281"/>
      <c r="DB42" s="1281"/>
      <c r="DC42" s="1281"/>
      <c r="DD42" s="1281"/>
      <c r="DE42" s="1281"/>
      <c r="DF42" s="1281"/>
      <c r="DG42" s="1282"/>
      <c r="DH42" s="1200"/>
      <c r="DI42" s="1057">
        <f t="shared" si="0"/>
        <v>-32.111374131014827</v>
      </c>
    </row>
    <row r="43" spans="1:114" s="38" customFormat="1" ht="30" customHeight="1">
      <c r="A43" s="1192" t="s">
        <v>1512</v>
      </c>
      <c r="B43" s="1193"/>
      <c r="C43" s="1193"/>
      <c r="D43" s="1193"/>
      <c r="E43" s="1193"/>
      <c r="F43" s="1193"/>
      <c r="G43" s="1193"/>
      <c r="H43" s="1193"/>
      <c r="I43" s="1194"/>
      <c r="J43" s="49"/>
      <c r="K43" s="1195" t="s">
        <v>1008</v>
      </c>
      <c r="L43" s="1195"/>
      <c r="M43" s="1195"/>
      <c r="N43" s="1195"/>
      <c r="O43" s="1195"/>
      <c r="P43" s="1195"/>
      <c r="Q43" s="1195"/>
      <c r="R43" s="1195"/>
      <c r="S43" s="1195"/>
      <c r="T43" s="1195"/>
      <c r="U43" s="1195"/>
      <c r="V43" s="1195"/>
      <c r="W43" s="1195"/>
      <c r="X43" s="1195"/>
      <c r="Y43" s="1195"/>
      <c r="Z43" s="1195"/>
      <c r="AA43" s="1195"/>
      <c r="AB43" s="1195"/>
      <c r="AC43" s="1195"/>
      <c r="AD43" s="1195"/>
      <c r="AE43" s="1195"/>
      <c r="AF43" s="1195"/>
      <c r="AG43" s="1195"/>
      <c r="AH43" s="1195"/>
      <c r="AI43" s="1195"/>
      <c r="AJ43" s="1195"/>
      <c r="AK43" s="1195"/>
      <c r="AL43" s="1195"/>
      <c r="AM43" s="1195"/>
      <c r="AN43" s="1195"/>
      <c r="AO43" s="1195"/>
      <c r="AP43" s="1195"/>
      <c r="AQ43" s="1195"/>
      <c r="AR43" s="1195"/>
      <c r="AS43" s="1195"/>
      <c r="AT43" s="1195"/>
      <c r="AU43" s="1195"/>
      <c r="AV43" s="1195"/>
      <c r="AW43" s="1195"/>
      <c r="AX43" s="1195"/>
      <c r="AY43" s="1195"/>
      <c r="AZ43" s="1195"/>
      <c r="BA43" s="1195"/>
      <c r="BB43" s="1195"/>
      <c r="BC43" s="1195"/>
      <c r="BD43" s="1195"/>
      <c r="BE43" s="1195"/>
      <c r="BF43" s="1195"/>
      <c r="BG43" s="1195"/>
      <c r="BH43" s="51"/>
      <c r="BI43" s="1196" t="s">
        <v>121</v>
      </c>
      <c r="BJ43" s="1197"/>
      <c r="BK43" s="1197"/>
      <c r="BL43" s="1197"/>
      <c r="BM43" s="1197"/>
      <c r="BN43" s="1197"/>
      <c r="BO43" s="1197"/>
      <c r="BP43" s="1197"/>
      <c r="BQ43" s="1197"/>
      <c r="BR43" s="1197"/>
      <c r="BS43" s="1198"/>
      <c r="BT43" s="1215"/>
      <c r="BU43" s="1052">
        <v>4541</v>
      </c>
      <c r="BV43" s="1052">
        <v>6711</v>
      </c>
      <c r="BW43" s="1154">
        <f>'5. подк.неподк.план'!Y214</f>
        <v>4889.7593388005898</v>
      </c>
      <c r="BX43" s="1155"/>
      <c r="BY43" s="1155"/>
      <c r="BZ43" s="1155"/>
      <c r="CA43" s="1155"/>
      <c r="CB43" s="1155"/>
      <c r="CC43" s="1155"/>
      <c r="CD43" s="1155"/>
      <c r="CE43" s="1155"/>
      <c r="CF43" s="1156"/>
      <c r="CG43" s="1154">
        <f>'1. подк.неподк. факт'!Z215</f>
        <v>7469.4703499999996</v>
      </c>
      <c r="CH43" s="1155"/>
      <c r="CI43" s="1155"/>
      <c r="CJ43" s="1155"/>
      <c r="CK43" s="1155"/>
      <c r="CL43" s="1155"/>
      <c r="CM43" s="1155"/>
      <c r="CN43" s="1155"/>
      <c r="CO43" s="1155"/>
      <c r="CP43" s="1156"/>
      <c r="CQ43" s="1280"/>
      <c r="CR43" s="1281"/>
      <c r="CS43" s="1281"/>
      <c r="CT43" s="1281"/>
      <c r="CU43" s="1281"/>
      <c r="CV43" s="1281"/>
      <c r="CW43" s="1281"/>
      <c r="CX43" s="1281"/>
      <c r="CY43" s="1281"/>
      <c r="CZ43" s="1281"/>
      <c r="DA43" s="1281"/>
      <c r="DB43" s="1281"/>
      <c r="DC43" s="1281"/>
      <c r="DD43" s="1281"/>
      <c r="DE43" s="1281"/>
      <c r="DF43" s="1281"/>
      <c r="DG43" s="1282"/>
      <c r="DH43" s="1200"/>
      <c r="DI43" s="1057">
        <f t="shared" si="0"/>
        <v>52.757422859837249</v>
      </c>
    </row>
    <row r="44" spans="1:114" s="38" customFormat="1" ht="30" customHeight="1">
      <c r="A44" s="1192" t="s">
        <v>1513</v>
      </c>
      <c r="B44" s="1193"/>
      <c r="C44" s="1193"/>
      <c r="D44" s="1193"/>
      <c r="E44" s="1193"/>
      <c r="F44" s="1193"/>
      <c r="G44" s="1193"/>
      <c r="H44" s="1193"/>
      <c r="I44" s="1194"/>
      <c r="J44" s="49"/>
      <c r="K44" s="1195" t="s">
        <v>1034</v>
      </c>
      <c r="L44" s="1195"/>
      <c r="M44" s="1195"/>
      <c r="N44" s="1195"/>
      <c r="O44" s="1195"/>
      <c r="P44" s="1195"/>
      <c r="Q44" s="1195"/>
      <c r="R44" s="1195"/>
      <c r="S44" s="1195"/>
      <c r="T44" s="1195"/>
      <c r="U44" s="1195"/>
      <c r="V44" s="1195"/>
      <c r="W44" s="1195"/>
      <c r="X44" s="1195"/>
      <c r="Y44" s="1195"/>
      <c r="Z44" s="1195"/>
      <c r="AA44" s="1195"/>
      <c r="AB44" s="1195"/>
      <c r="AC44" s="1195"/>
      <c r="AD44" s="1195"/>
      <c r="AE44" s="1195"/>
      <c r="AF44" s="1195"/>
      <c r="AG44" s="1195"/>
      <c r="AH44" s="1195"/>
      <c r="AI44" s="1195"/>
      <c r="AJ44" s="1195"/>
      <c r="AK44" s="1195"/>
      <c r="AL44" s="1195"/>
      <c r="AM44" s="1195"/>
      <c r="AN44" s="1195"/>
      <c r="AO44" s="1195"/>
      <c r="AP44" s="1195"/>
      <c r="AQ44" s="1195"/>
      <c r="AR44" s="1195"/>
      <c r="AS44" s="1195"/>
      <c r="AT44" s="1195"/>
      <c r="AU44" s="1195"/>
      <c r="AV44" s="1195"/>
      <c r="AW44" s="1195"/>
      <c r="AX44" s="1195"/>
      <c r="AY44" s="1195"/>
      <c r="AZ44" s="1195"/>
      <c r="BA44" s="1195"/>
      <c r="BB44" s="1195"/>
      <c r="BC44" s="1195"/>
      <c r="BD44" s="1195"/>
      <c r="BE44" s="1195"/>
      <c r="BF44" s="1195"/>
      <c r="BG44" s="1195"/>
      <c r="BH44" s="51"/>
      <c r="BI44" s="1196" t="s">
        <v>121</v>
      </c>
      <c r="BJ44" s="1197"/>
      <c r="BK44" s="1197"/>
      <c r="BL44" s="1197"/>
      <c r="BM44" s="1197"/>
      <c r="BN44" s="1197"/>
      <c r="BO44" s="1197"/>
      <c r="BP44" s="1197"/>
      <c r="BQ44" s="1197"/>
      <c r="BR44" s="1197"/>
      <c r="BS44" s="1198"/>
      <c r="BT44" s="1215"/>
      <c r="BU44" s="1052">
        <v>3807</v>
      </c>
      <c r="BV44" s="1052">
        <v>5325</v>
      </c>
      <c r="BW44" s="1154">
        <f>'5. подк.неподк.план'!Y220</f>
        <v>1544.0178233145814</v>
      </c>
      <c r="BX44" s="1155"/>
      <c r="BY44" s="1155"/>
      <c r="BZ44" s="1155"/>
      <c r="CA44" s="1155"/>
      <c r="CB44" s="1155"/>
      <c r="CC44" s="1155"/>
      <c r="CD44" s="1155"/>
      <c r="CE44" s="1155"/>
      <c r="CF44" s="1156"/>
      <c r="CG44" s="1154">
        <f>'1.6'!BT31</f>
        <v>5009</v>
      </c>
      <c r="CH44" s="1155"/>
      <c r="CI44" s="1155"/>
      <c r="CJ44" s="1155"/>
      <c r="CK44" s="1155"/>
      <c r="CL44" s="1155"/>
      <c r="CM44" s="1155"/>
      <c r="CN44" s="1155"/>
      <c r="CO44" s="1155"/>
      <c r="CP44" s="1156"/>
      <c r="CQ44" s="1280"/>
      <c r="CR44" s="1281"/>
      <c r="CS44" s="1281"/>
      <c r="CT44" s="1281"/>
      <c r="CU44" s="1281"/>
      <c r="CV44" s="1281"/>
      <c r="CW44" s="1281"/>
      <c r="CX44" s="1281"/>
      <c r="CY44" s="1281"/>
      <c r="CZ44" s="1281"/>
      <c r="DA44" s="1281"/>
      <c r="DB44" s="1281"/>
      <c r="DC44" s="1281"/>
      <c r="DD44" s="1281"/>
      <c r="DE44" s="1281"/>
      <c r="DF44" s="1281"/>
      <c r="DG44" s="1282"/>
      <c r="DH44" s="1200"/>
      <c r="DI44" s="1057">
        <f t="shared" si="0"/>
        <v>224.41335354841016</v>
      </c>
      <c r="DJ44" s="418">
        <f>'1.6.'!BT31</f>
        <v>5009</v>
      </c>
    </row>
    <row r="45" spans="1:114" s="38" customFormat="1" ht="30" customHeight="1">
      <c r="A45" s="1192" t="s">
        <v>1514</v>
      </c>
      <c r="B45" s="1193"/>
      <c r="C45" s="1193"/>
      <c r="D45" s="1193"/>
      <c r="E45" s="1193"/>
      <c r="F45" s="1193"/>
      <c r="G45" s="1193"/>
      <c r="H45" s="1193"/>
      <c r="I45" s="1194"/>
      <c r="J45" s="49"/>
      <c r="K45" s="1195" t="s">
        <v>1071</v>
      </c>
      <c r="L45" s="1195"/>
      <c r="M45" s="1195"/>
      <c r="N45" s="1195"/>
      <c r="O45" s="1195"/>
      <c r="P45" s="1195"/>
      <c r="Q45" s="1195"/>
      <c r="R45" s="1195"/>
      <c r="S45" s="1195"/>
      <c r="T45" s="1195"/>
      <c r="U45" s="1195"/>
      <c r="V45" s="1195"/>
      <c r="W45" s="1195"/>
      <c r="X45" s="1195"/>
      <c r="Y45" s="1195"/>
      <c r="Z45" s="1195"/>
      <c r="AA45" s="1195"/>
      <c r="AB45" s="1195"/>
      <c r="AC45" s="1195"/>
      <c r="AD45" s="1195"/>
      <c r="AE45" s="1195"/>
      <c r="AF45" s="1195"/>
      <c r="AG45" s="1195"/>
      <c r="AH45" s="1195"/>
      <c r="AI45" s="1195"/>
      <c r="AJ45" s="1195"/>
      <c r="AK45" s="1195"/>
      <c r="AL45" s="1195"/>
      <c r="AM45" s="1195"/>
      <c r="AN45" s="1195"/>
      <c r="AO45" s="1195"/>
      <c r="AP45" s="1195"/>
      <c r="AQ45" s="1195"/>
      <c r="AR45" s="1195"/>
      <c r="AS45" s="1195"/>
      <c r="AT45" s="1195"/>
      <c r="AU45" s="1195"/>
      <c r="AV45" s="1195"/>
      <c r="AW45" s="1195"/>
      <c r="AX45" s="1195"/>
      <c r="AY45" s="1195"/>
      <c r="AZ45" s="1195"/>
      <c r="BA45" s="1195"/>
      <c r="BB45" s="1195"/>
      <c r="BC45" s="1195"/>
      <c r="BD45" s="1195"/>
      <c r="BE45" s="1195"/>
      <c r="BF45" s="1195"/>
      <c r="BG45" s="1195"/>
      <c r="BH45" s="51"/>
      <c r="BI45" s="1196" t="s">
        <v>121</v>
      </c>
      <c r="BJ45" s="1197"/>
      <c r="BK45" s="1197"/>
      <c r="BL45" s="1197"/>
      <c r="BM45" s="1197"/>
      <c r="BN45" s="1197"/>
      <c r="BO45" s="1197"/>
      <c r="BP45" s="1197"/>
      <c r="BQ45" s="1197"/>
      <c r="BR45" s="1197"/>
      <c r="BS45" s="1198"/>
      <c r="BT45" s="1215"/>
      <c r="BU45" s="1052">
        <v>3800</v>
      </c>
      <c r="BV45" s="1052">
        <v>4035</v>
      </c>
      <c r="BW45" s="1154">
        <f>'5. подк.неподк.план'!Y228</f>
        <v>664.47249624999995</v>
      </c>
      <c r="BX45" s="1155"/>
      <c r="BY45" s="1155"/>
      <c r="BZ45" s="1155"/>
      <c r="CA45" s="1155"/>
      <c r="CB45" s="1155"/>
      <c r="CC45" s="1155"/>
      <c r="CD45" s="1155"/>
      <c r="CE45" s="1155"/>
      <c r="CF45" s="1156"/>
      <c r="CG45" s="1154">
        <f>'1. подк.неподк. факт'!Z229</f>
        <v>4559.2133100000001</v>
      </c>
      <c r="CH45" s="1155"/>
      <c r="CI45" s="1155"/>
      <c r="CJ45" s="1155"/>
      <c r="CK45" s="1155"/>
      <c r="CL45" s="1155"/>
      <c r="CM45" s="1155"/>
      <c r="CN45" s="1155"/>
      <c r="CO45" s="1155"/>
      <c r="CP45" s="1156"/>
      <c r="CQ45" s="1280"/>
      <c r="CR45" s="1281"/>
      <c r="CS45" s="1281"/>
      <c r="CT45" s="1281"/>
      <c r="CU45" s="1281"/>
      <c r="CV45" s="1281"/>
      <c r="CW45" s="1281"/>
      <c r="CX45" s="1281"/>
      <c r="CY45" s="1281"/>
      <c r="CZ45" s="1281"/>
      <c r="DA45" s="1281"/>
      <c r="DB45" s="1281"/>
      <c r="DC45" s="1281"/>
      <c r="DD45" s="1281"/>
      <c r="DE45" s="1281"/>
      <c r="DF45" s="1281"/>
      <c r="DG45" s="1282"/>
      <c r="DH45" s="1200"/>
      <c r="DI45" s="1057">
        <f t="shared" si="0"/>
        <v>586.1402594885808</v>
      </c>
    </row>
    <row r="46" spans="1:114" s="38" customFormat="1" ht="30" customHeight="1">
      <c r="A46" s="1192" t="s">
        <v>1515</v>
      </c>
      <c r="B46" s="1193"/>
      <c r="C46" s="1193"/>
      <c r="D46" s="1193"/>
      <c r="E46" s="1193"/>
      <c r="F46" s="1193"/>
      <c r="G46" s="1193"/>
      <c r="H46" s="1193"/>
      <c r="I46" s="1194"/>
      <c r="J46" s="49"/>
      <c r="K46" s="1195" t="s">
        <v>1095</v>
      </c>
      <c r="L46" s="1195"/>
      <c r="M46" s="1195"/>
      <c r="N46" s="1195"/>
      <c r="O46" s="1195"/>
      <c r="P46" s="1195"/>
      <c r="Q46" s="1195"/>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1195"/>
      <c r="AP46" s="1195"/>
      <c r="AQ46" s="1195"/>
      <c r="AR46" s="1195"/>
      <c r="AS46" s="1195"/>
      <c r="AT46" s="1195"/>
      <c r="AU46" s="1195"/>
      <c r="AV46" s="1195"/>
      <c r="AW46" s="1195"/>
      <c r="AX46" s="1195"/>
      <c r="AY46" s="1195"/>
      <c r="AZ46" s="1195"/>
      <c r="BA46" s="1195"/>
      <c r="BB46" s="1195"/>
      <c r="BC46" s="1195"/>
      <c r="BD46" s="1195"/>
      <c r="BE46" s="1195"/>
      <c r="BF46" s="1195"/>
      <c r="BG46" s="1195"/>
      <c r="BH46" s="51"/>
      <c r="BI46" s="1196" t="s">
        <v>121</v>
      </c>
      <c r="BJ46" s="1197"/>
      <c r="BK46" s="1197"/>
      <c r="BL46" s="1197"/>
      <c r="BM46" s="1197"/>
      <c r="BN46" s="1197"/>
      <c r="BO46" s="1197"/>
      <c r="BP46" s="1197"/>
      <c r="BQ46" s="1197"/>
      <c r="BR46" s="1197"/>
      <c r="BS46" s="1198"/>
      <c r="BT46" s="1215"/>
      <c r="BU46" s="1052">
        <v>2534</v>
      </c>
      <c r="BV46" s="1052">
        <v>4654</v>
      </c>
      <c r="BW46" s="1154">
        <f>'5. подк.неподк.план'!Y234</f>
        <v>3114.3808670829167</v>
      </c>
      <c r="BX46" s="1155"/>
      <c r="BY46" s="1155"/>
      <c r="BZ46" s="1155"/>
      <c r="CA46" s="1155"/>
      <c r="CB46" s="1155"/>
      <c r="CC46" s="1155"/>
      <c r="CD46" s="1155"/>
      <c r="CE46" s="1155"/>
      <c r="CF46" s="1156"/>
      <c r="CG46" s="1154">
        <f>'1. подк.неподк. факт'!Z235</f>
        <v>4038.1878900000006</v>
      </c>
      <c r="CH46" s="1155"/>
      <c r="CI46" s="1155"/>
      <c r="CJ46" s="1155"/>
      <c r="CK46" s="1155"/>
      <c r="CL46" s="1155"/>
      <c r="CM46" s="1155"/>
      <c r="CN46" s="1155"/>
      <c r="CO46" s="1155"/>
      <c r="CP46" s="1156"/>
      <c r="CQ46" s="1280"/>
      <c r="CR46" s="1281"/>
      <c r="CS46" s="1281"/>
      <c r="CT46" s="1281"/>
      <c r="CU46" s="1281"/>
      <c r="CV46" s="1281"/>
      <c r="CW46" s="1281"/>
      <c r="CX46" s="1281"/>
      <c r="CY46" s="1281"/>
      <c r="CZ46" s="1281"/>
      <c r="DA46" s="1281"/>
      <c r="DB46" s="1281"/>
      <c r="DC46" s="1281"/>
      <c r="DD46" s="1281"/>
      <c r="DE46" s="1281"/>
      <c r="DF46" s="1281"/>
      <c r="DG46" s="1282"/>
      <c r="DH46" s="1200"/>
      <c r="DI46" s="1057">
        <f t="shared" si="0"/>
        <v>29.662621957421891</v>
      </c>
    </row>
    <row r="47" spans="1:114" s="38" customFormat="1" ht="30" customHeight="1">
      <c r="A47" s="1192" t="s">
        <v>1516</v>
      </c>
      <c r="B47" s="1193"/>
      <c r="C47" s="1193"/>
      <c r="D47" s="1193"/>
      <c r="E47" s="1193"/>
      <c r="F47" s="1193"/>
      <c r="G47" s="1193"/>
      <c r="H47" s="1193"/>
      <c r="I47" s="1194"/>
      <c r="J47" s="49"/>
      <c r="K47" s="1195" t="s">
        <v>1122</v>
      </c>
      <c r="L47" s="1195"/>
      <c r="M47" s="1195"/>
      <c r="N47" s="1195"/>
      <c r="O47" s="1195"/>
      <c r="P47" s="1195"/>
      <c r="Q47" s="1195"/>
      <c r="R47" s="1195"/>
      <c r="S47" s="1195"/>
      <c r="T47" s="1195"/>
      <c r="U47" s="1195"/>
      <c r="V47" s="1195"/>
      <c r="W47" s="1195"/>
      <c r="X47" s="1195"/>
      <c r="Y47" s="1195"/>
      <c r="Z47" s="1195"/>
      <c r="AA47" s="1195"/>
      <c r="AB47" s="1195"/>
      <c r="AC47" s="1195"/>
      <c r="AD47" s="1195"/>
      <c r="AE47" s="1195"/>
      <c r="AF47" s="1195"/>
      <c r="AG47" s="1195"/>
      <c r="AH47" s="1195"/>
      <c r="AI47" s="1195"/>
      <c r="AJ47" s="1195"/>
      <c r="AK47" s="1195"/>
      <c r="AL47" s="1195"/>
      <c r="AM47" s="1195"/>
      <c r="AN47" s="1195"/>
      <c r="AO47" s="1195"/>
      <c r="AP47" s="1195"/>
      <c r="AQ47" s="1195"/>
      <c r="AR47" s="1195"/>
      <c r="AS47" s="1195"/>
      <c r="AT47" s="1195"/>
      <c r="AU47" s="1195"/>
      <c r="AV47" s="1195"/>
      <c r="AW47" s="1195"/>
      <c r="AX47" s="1195"/>
      <c r="AY47" s="1195"/>
      <c r="AZ47" s="1195"/>
      <c r="BA47" s="1195"/>
      <c r="BB47" s="1195"/>
      <c r="BC47" s="1195"/>
      <c r="BD47" s="1195"/>
      <c r="BE47" s="1195"/>
      <c r="BF47" s="1195"/>
      <c r="BG47" s="1195"/>
      <c r="BH47" s="51"/>
      <c r="BI47" s="1196" t="s">
        <v>121</v>
      </c>
      <c r="BJ47" s="1197"/>
      <c r="BK47" s="1197"/>
      <c r="BL47" s="1197"/>
      <c r="BM47" s="1197"/>
      <c r="BN47" s="1197"/>
      <c r="BO47" s="1197"/>
      <c r="BP47" s="1197"/>
      <c r="BQ47" s="1197"/>
      <c r="BR47" s="1197"/>
      <c r="BS47" s="1198"/>
      <c r="BT47" s="1215"/>
      <c r="BU47" s="1052">
        <v>0</v>
      </c>
      <c r="BV47" s="1052">
        <v>0</v>
      </c>
      <c r="BW47" s="1154">
        <f>'5. подк.неподк.план'!Y240</f>
        <v>0</v>
      </c>
      <c r="BX47" s="1155"/>
      <c r="BY47" s="1155"/>
      <c r="BZ47" s="1155"/>
      <c r="CA47" s="1155"/>
      <c r="CB47" s="1155"/>
      <c r="CC47" s="1155"/>
      <c r="CD47" s="1155"/>
      <c r="CE47" s="1155"/>
      <c r="CF47" s="1156"/>
      <c r="CG47" s="1154">
        <f>'1. подк.неподк. факт'!Z241</f>
        <v>58.487209999999997</v>
      </c>
      <c r="CH47" s="1155"/>
      <c r="CI47" s="1155"/>
      <c r="CJ47" s="1155"/>
      <c r="CK47" s="1155"/>
      <c r="CL47" s="1155"/>
      <c r="CM47" s="1155"/>
      <c r="CN47" s="1155"/>
      <c r="CO47" s="1155"/>
      <c r="CP47" s="1156"/>
      <c r="CQ47" s="1280"/>
      <c r="CR47" s="1281"/>
      <c r="CS47" s="1281"/>
      <c r="CT47" s="1281"/>
      <c r="CU47" s="1281"/>
      <c r="CV47" s="1281"/>
      <c r="CW47" s="1281"/>
      <c r="CX47" s="1281"/>
      <c r="CY47" s="1281"/>
      <c r="CZ47" s="1281"/>
      <c r="DA47" s="1281"/>
      <c r="DB47" s="1281"/>
      <c r="DC47" s="1281"/>
      <c r="DD47" s="1281"/>
      <c r="DE47" s="1281"/>
      <c r="DF47" s="1281"/>
      <c r="DG47" s="1282"/>
      <c r="DH47" s="1200"/>
      <c r="DI47" s="1057" t="e">
        <f t="shared" si="0"/>
        <v>#DIV/0!</v>
      </c>
    </row>
    <row r="48" spans="1:114" s="38" customFormat="1" ht="30" customHeight="1">
      <c r="A48" s="1192" t="s">
        <v>2191</v>
      </c>
      <c r="B48" s="1193"/>
      <c r="C48" s="1193"/>
      <c r="D48" s="1193"/>
      <c r="E48" s="1193"/>
      <c r="F48" s="1193"/>
      <c r="G48" s="1193"/>
      <c r="H48" s="1193"/>
      <c r="I48" s="1194"/>
      <c r="J48" s="419"/>
      <c r="K48" s="1195" t="s">
        <v>2192</v>
      </c>
      <c r="L48" s="1195"/>
      <c r="M48" s="1195"/>
      <c r="N48" s="1195"/>
      <c r="O48" s="1195"/>
      <c r="P48" s="1195"/>
      <c r="Q48" s="1195"/>
      <c r="R48" s="1195"/>
      <c r="S48" s="1195"/>
      <c r="T48" s="1195"/>
      <c r="U48" s="1195"/>
      <c r="V48" s="1195"/>
      <c r="W48" s="1195"/>
      <c r="X48" s="1195"/>
      <c r="Y48" s="1195"/>
      <c r="Z48" s="1195"/>
      <c r="AA48" s="1195"/>
      <c r="AB48" s="1195"/>
      <c r="AC48" s="1195"/>
      <c r="AD48" s="1195"/>
      <c r="AE48" s="1195"/>
      <c r="AF48" s="1195"/>
      <c r="AG48" s="1195"/>
      <c r="AH48" s="1195"/>
      <c r="AI48" s="1195"/>
      <c r="AJ48" s="1195"/>
      <c r="AK48" s="1195"/>
      <c r="AL48" s="1195"/>
      <c r="AM48" s="1195"/>
      <c r="AN48" s="1195"/>
      <c r="AO48" s="1195"/>
      <c r="AP48" s="1195"/>
      <c r="AQ48" s="1195"/>
      <c r="AR48" s="1195"/>
      <c r="AS48" s="1195"/>
      <c r="AT48" s="1195"/>
      <c r="AU48" s="1195"/>
      <c r="AV48" s="1195"/>
      <c r="AW48" s="1195"/>
      <c r="AX48" s="1195"/>
      <c r="AY48" s="1195"/>
      <c r="AZ48" s="1195"/>
      <c r="BA48" s="1195"/>
      <c r="BB48" s="1195"/>
      <c r="BC48" s="1195"/>
      <c r="BD48" s="1195"/>
      <c r="BE48" s="1195"/>
      <c r="BF48" s="1195"/>
      <c r="BG48" s="1195"/>
      <c r="BH48" s="420"/>
      <c r="BI48" s="1196" t="s">
        <v>121</v>
      </c>
      <c r="BJ48" s="1197"/>
      <c r="BK48" s="1197"/>
      <c r="BL48" s="1197"/>
      <c r="BM48" s="1197"/>
      <c r="BN48" s="1197"/>
      <c r="BO48" s="1197"/>
      <c r="BP48" s="1197"/>
      <c r="BQ48" s="1197"/>
      <c r="BR48" s="1197"/>
      <c r="BS48" s="1198"/>
      <c r="BT48" s="1215"/>
      <c r="BU48" s="1053">
        <v>0</v>
      </c>
      <c r="BV48" s="1054">
        <v>26441.16</v>
      </c>
      <c r="BW48" s="1154">
        <v>0</v>
      </c>
      <c r="BX48" s="1155"/>
      <c r="BY48" s="1155"/>
      <c r="BZ48" s="1155"/>
      <c r="CA48" s="1155"/>
      <c r="CB48" s="1155"/>
      <c r="CC48" s="1155"/>
      <c r="CD48" s="1155"/>
      <c r="CE48" s="1155"/>
      <c r="CF48" s="1156"/>
      <c r="CG48" s="1154">
        <f>'1. подк.неподк. факт'!Z175</f>
        <v>26305.82963</v>
      </c>
      <c r="CH48" s="1155"/>
      <c r="CI48" s="1155"/>
      <c r="CJ48" s="1155"/>
      <c r="CK48" s="1155"/>
      <c r="CL48" s="1155"/>
      <c r="CM48" s="1155"/>
      <c r="CN48" s="1155"/>
      <c r="CO48" s="1155"/>
      <c r="CP48" s="1156"/>
      <c r="CQ48" s="1280"/>
      <c r="CR48" s="1281"/>
      <c r="CS48" s="1281"/>
      <c r="CT48" s="1281"/>
      <c r="CU48" s="1281"/>
      <c r="CV48" s="1281"/>
      <c r="CW48" s="1281"/>
      <c r="CX48" s="1281"/>
      <c r="CY48" s="1281"/>
      <c r="CZ48" s="1281"/>
      <c r="DA48" s="1281"/>
      <c r="DB48" s="1281"/>
      <c r="DC48" s="1281"/>
      <c r="DD48" s="1281"/>
      <c r="DE48" s="1281"/>
      <c r="DF48" s="1281"/>
      <c r="DG48" s="1282"/>
      <c r="DH48" s="1200"/>
      <c r="DI48" s="1057" t="e">
        <f t="shared" si="0"/>
        <v>#DIV/0!</v>
      </c>
    </row>
    <row r="49" spans="1:116" s="38" customFormat="1" ht="30" customHeight="1">
      <c r="A49" s="1192" t="s">
        <v>144</v>
      </c>
      <c r="B49" s="1193"/>
      <c r="C49" s="1193"/>
      <c r="D49" s="1193"/>
      <c r="E49" s="1193"/>
      <c r="F49" s="1193"/>
      <c r="G49" s="1193"/>
      <c r="H49" s="1193"/>
      <c r="I49" s="1194"/>
      <c r="J49" s="49"/>
      <c r="K49" s="1195" t="str">
        <f>'5. подк.неподк.план'!D245</f>
        <v>Ком. услуги Расходы на электроэнергию (собственные нужды)</v>
      </c>
      <c r="L49" s="1195"/>
      <c r="M49" s="1195"/>
      <c r="N49" s="1195"/>
      <c r="O49" s="1195"/>
      <c r="P49" s="1195"/>
      <c r="Q49" s="1195"/>
      <c r="R49" s="1195"/>
      <c r="S49" s="1195"/>
      <c r="T49" s="1195"/>
      <c r="U49" s="1195"/>
      <c r="V49" s="1195"/>
      <c r="W49" s="1195"/>
      <c r="X49" s="1195"/>
      <c r="Y49" s="1195"/>
      <c r="Z49" s="1195"/>
      <c r="AA49" s="1195"/>
      <c r="AB49" s="1195"/>
      <c r="AC49" s="1195"/>
      <c r="AD49" s="1195"/>
      <c r="AE49" s="1195"/>
      <c r="AF49" s="1195"/>
      <c r="AG49" s="1195"/>
      <c r="AH49" s="1195"/>
      <c r="AI49" s="1195"/>
      <c r="AJ49" s="1195"/>
      <c r="AK49" s="1195"/>
      <c r="AL49" s="1195"/>
      <c r="AM49" s="1195"/>
      <c r="AN49" s="1195"/>
      <c r="AO49" s="1195"/>
      <c r="AP49" s="1195"/>
      <c r="AQ49" s="1195"/>
      <c r="AR49" s="1195"/>
      <c r="AS49" s="1195"/>
      <c r="AT49" s="1195"/>
      <c r="AU49" s="1195"/>
      <c r="AV49" s="1195"/>
      <c r="AW49" s="1195"/>
      <c r="AX49" s="1195"/>
      <c r="AY49" s="1195"/>
      <c r="AZ49" s="1195"/>
      <c r="BA49" s="1195"/>
      <c r="BB49" s="1195"/>
      <c r="BC49" s="1195"/>
      <c r="BD49" s="1195"/>
      <c r="BE49" s="1195"/>
      <c r="BF49" s="1195"/>
      <c r="BG49" s="1195"/>
      <c r="BH49" s="51"/>
      <c r="BI49" s="1196" t="s">
        <v>121</v>
      </c>
      <c r="BJ49" s="1197"/>
      <c r="BK49" s="1197"/>
      <c r="BL49" s="1197"/>
      <c r="BM49" s="1197"/>
      <c r="BN49" s="1197"/>
      <c r="BO49" s="1197"/>
      <c r="BP49" s="1197"/>
      <c r="BQ49" s="1197"/>
      <c r="BR49" s="1197"/>
      <c r="BS49" s="1198"/>
      <c r="BT49" s="1215"/>
      <c r="BU49" s="1052">
        <v>21299</v>
      </c>
      <c r="BV49" s="1052">
        <v>28495</v>
      </c>
      <c r="BW49" s="1154">
        <f>'5. подк.неподк.план'!Y245</f>
        <v>22470.107157349998</v>
      </c>
      <c r="BX49" s="1155"/>
      <c r="BY49" s="1155"/>
      <c r="BZ49" s="1155"/>
      <c r="CA49" s="1155"/>
      <c r="CB49" s="1155"/>
      <c r="CC49" s="1155"/>
      <c r="CD49" s="1155"/>
      <c r="CE49" s="1155"/>
      <c r="CF49" s="1156"/>
      <c r="CG49" s="1154">
        <f>'1.6'!BT29</f>
        <v>32239</v>
      </c>
      <c r="CH49" s="1155"/>
      <c r="CI49" s="1155"/>
      <c r="CJ49" s="1155"/>
      <c r="CK49" s="1155"/>
      <c r="CL49" s="1155"/>
      <c r="CM49" s="1155"/>
      <c r="CN49" s="1155"/>
      <c r="CO49" s="1155"/>
      <c r="CP49" s="1156"/>
      <c r="CQ49" s="1280"/>
      <c r="CR49" s="1281"/>
      <c r="CS49" s="1281"/>
      <c r="CT49" s="1281"/>
      <c r="CU49" s="1281"/>
      <c r="CV49" s="1281"/>
      <c r="CW49" s="1281"/>
      <c r="CX49" s="1281"/>
      <c r="CY49" s="1281"/>
      <c r="CZ49" s="1281"/>
      <c r="DA49" s="1281"/>
      <c r="DB49" s="1281"/>
      <c r="DC49" s="1281"/>
      <c r="DD49" s="1281"/>
      <c r="DE49" s="1281"/>
      <c r="DF49" s="1281"/>
      <c r="DG49" s="1282"/>
      <c r="DH49" s="1200"/>
      <c r="DI49" s="1057">
        <f t="shared" si="0"/>
        <v>43.475061219076508</v>
      </c>
      <c r="DJ49" s="418">
        <f>'1.6.'!BT29</f>
        <v>32239</v>
      </c>
    </row>
    <row r="50" spans="1:116" s="38" customFormat="1" ht="45" customHeight="1">
      <c r="A50" s="1192" t="s">
        <v>146</v>
      </c>
      <c r="B50" s="1193"/>
      <c r="C50" s="1193"/>
      <c r="D50" s="1193"/>
      <c r="E50" s="1193"/>
      <c r="F50" s="1193"/>
      <c r="G50" s="1193"/>
      <c r="H50" s="1193"/>
      <c r="I50" s="1194"/>
      <c r="J50" s="39"/>
      <c r="K50" s="1195" t="s">
        <v>145</v>
      </c>
      <c r="L50" s="1195"/>
      <c r="M50" s="1195"/>
      <c r="N50" s="1195"/>
      <c r="O50" s="1195"/>
      <c r="P50" s="1195"/>
      <c r="Q50" s="1195"/>
      <c r="R50" s="1195"/>
      <c r="S50" s="1195"/>
      <c r="T50" s="1195"/>
      <c r="U50" s="1195"/>
      <c r="V50" s="1195"/>
      <c r="W50" s="1195"/>
      <c r="X50" s="1195"/>
      <c r="Y50" s="1195"/>
      <c r="Z50" s="1195"/>
      <c r="AA50" s="1195"/>
      <c r="AB50" s="1195"/>
      <c r="AC50" s="1195"/>
      <c r="AD50" s="1195"/>
      <c r="AE50" s="1195"/>
      <c r="AF50" s="1195"/>
      <c r="AG50" s="1195"/>
      <c r="AH50" s="1195"/>
      <c r="AI50" s="1195"/>
      <c r="AJ50" s="1195"/>
      <c r="AK50" s="1195"/>
      <c r="AL50" s="1195"/>
      <c r="AM50" s="1195"/>
      <c r="AN50" s="1195"/>
      <c r="AO50" s="1195"/>
      <c r="AP50" s="1195"/>
      <c r="AQ50" s="1195"/>
      <c r="AR50" s="1195"/>
      <c r="AS50" s="1195"/>
      <c r="AT50" s="1195"/>
      <c r="AU50" s="1195"/>
      <c r="AV50" s="1195"/>
      <c r="AW50" s="1195"/>
      <c r="AX50" s="1195"/>
      <c r="AY50" s="1195"/>
      <c r="AZ50" s="1195"/>
      <c r="BA50" s="1195"/>
      <c r="BB50" s="1195"/>
      <c r="BC50" s="1195"/>
      <c r="BD50" s="1195"/>
      <c r="BE50" s="1195"/>
      <c r="BF50" s="1195"/>
      <c r="BG50" s="1195"/>
      <c r="BH50" s="40"/>
      <c r="BI50" s="1196" t="s">
        <v>121</v>
      </c>
      <c r="BJ50" s="1197"/>
      <c r="BK50" s="1197"/>
      <c r="BL50" s="1197"/>
      <c r="BM50" s="1197"/>
      <c r="BN50" s="1197"/>
      <c r="BO50" s="1197"/>
      <c r="BP50" s="1197"/>
      <c r="BQ50" s="1197"/>
      <c r="BR50" s="1197"/>
      <c r="BS50" s="1198"/>
      <c r="BT50" s="1215"/>
      <c r="BU50" s="1052">
        <v>139673</v>
      </c>
      <c r="BV50" s="1052">
        <v>419796</v>
      </c>
      <c r="BW50" s="1154">
        <f>'5. подк.неподк.план'!Y243</f>
        <v>147355.24709999998</v>
      </c>
      <c r="BX50" s="1155"/>
      <c r="BY50" s="1155"/>
      <c r="BZ50" s="1155"/>
      <c r="CA50" s="1155"/>
      <c r="CB50" s="1155"/>
      <c r="CC50" s="1155"/>
      <c r="CD50" s="1155"/>
      <c r="CE50" s="1155"/>
      <c r="CF50" s="1156"/>
      <c r="CG50" s="1154">
        <f>'1.6'!BT49</f>
        <v>596159</v>
      </c>
      <c r="CH50" s="1155"/>
      <c r="CI50" s="1155"/>
      <c r="CJ50" s="1155"/>
      <c r="CK50" s="1155"/>
      <c r="CL50" s="1155"/>
      <c r="CM50" s="1155"/>
      <c r="CN50" s="1155"/>
      <c r="CO50" s="1155"/>
      <c r="CP50" s="1156"/>
      <c r="CQ50" s="1283"/>
      <c r="CR50" s="1284"/>
      <c r="CS50" s="1284"/>
      <c r="CT50" s="1284"/>
      <c r="CU50" s="1284"/>
      <c r="CV50" s="1284"/>
      <c r="CW50" s="1284"/>
      <c r="CX50" s="1284"/>
      <c r="CY50" s="1284"/>
      <c r="CZ50" s="1284"/>
      <c r="DA50" s="1284"/>
      <c r="DB50" s="1284"/>
      <c r="DC50" s="1284"/>
      <c r="DD50" s="1284"/>
      <c r="DE50" s="1284"/>
      <c r="DF50" s="1284"/>
      <c r="DG50" s="1285"/>
      <c r="DH50" s="1200"/>
      <c r="DI50" s="1057">
        <f t="shared" si="0"/>
        <v>304.57263092601477</v>
      </c>
      <c r="DJ50" s="418">
        <f>'1.6.'!BT49</f>
        <v>596159</v>
      </c>
    </row>
    <row r="51" spans="1:116" s="38" customFormat="1" ht="30" customHeight="1">
      <c r="A51" s="1192" t="s">
        <v>1494</v>
      </c>
      <c r="B51" s="1193"/>
      <c r="C51" s="1193"/>
      <c r="D51" s="1193"/>
      <c r="E51" s="1193"/>
      <c r="F51" s="1193"/>
      <c r="G51" s="1193"/>
      <c r="H51" s="1193"/>
      <c r="I51" s="1194"/>
      <c r="J51" s="39"/>
      <c r="K51" s="1195" t="s">
        <v>147</v>
      </c>
      <c r="L51" s="1195"/>
      <c r="M51" s="1195"/>
      <c r="N51" s="1195"/>
      <c r="O51" s="1195"/>
      <c r="P51" s="1195"/>
      <c r="Q51" s="1195"/>
      <c r="R51" s="1195"/>
      <c r="S51" s="1195"/>
      <c r="T51" s="1195"/>
      <c r="U51" s="1195"/>
      <c r="V51" s="1195"/>
      <c r="W51" s="1195"/>
      <c r="X51" s="1195"/>
      <c r="Y51" s="1195"/>
      <c r="Z51" s="1195"/>
      <c r="AA51" s="1195"/>
      <c r="AB51" s="1195"/>
      <c r="AC51" s="1195"/>
      <c r="AD51" s="1195"/>
      <c r="AE51" s="1195"/>
      <c r="AF51" s="1195"/>
      <c r="AG51" s="1195"/>
      <c r="AH51" s="1195"/>
      <c r="AI51" s="1195"/>
      <c r="AJ51" s="1195"/>
      <c r="AK51" s="1195"/>
      <c r="AL51" s="1195"/>
      <c r="AM51" s="1195"/>
      <c r="AN51" s="1195"/>
      <c r="AO51" s="1195"/>
      <c r="AP51" s="1195"/>
      <c r="AQ51" s="1195"/>
      <c r="AR51" s="1195"/>
      <c r="AS51" s="1195"/>
      <c r="AT51" s="1195"/>
      <c r="AU51" s="1195"/>
      <c r="AV51" s="1195"/>
      <c r="AW51" s="1195"/>
      <c r="AX51" s="1195"/>
      <c r="AY51" s="1195"/>
      <c r="AZ51" s="1195"/>
      <c r="BA51" s="1195"/>
      <c r="BB51" s="1195"/>
      <c r="BC51" s="1195"/>
      <c r="BD51" s="1195"/>
      <c r="BE51" s="1195"/>
      <c r="BF51" s="1195"/>
      <c r="BG51" s="1195"/>
      <c r="BH51" s="40"/>
      <c r="BI51" s="1196" t="s">
        <v>121</v>
      </c>
      <c r="BJ51" s="1197"/>
      <c r="BK51" s="1197"/>
      <c r="BL51" s="1197"/>
      <c r="BM51" s="1197"/>
      <c r="BN51" s="1197"/>
      <c r="BO51" s="1197"/>
      <c r="BP51" s="1197"/>
      <c r="BQ51" s="1197"/>
      <c r="BR51" s="1197"/>
      <c r="BS51" s="1198"/>
      <c r="BT51" s="1215"/>
      <c r="BU51" s="1052"/>
      <c r="BV51" s="1052"/>
      <c r="BW51" s="1148"/>
      <c r="BX51" s="1149"/>
      <c r="BY51" s="1149"/>
      <c r="BZ51" s="1149"/>
      <c r="CA51" s="1149"/>
      <c r="CB51" s="1149"/>
      <c r="CC51" s="1149"/>
      <c r="CD51" s="1149"/>
      <c r="CE51" s="1149"/>
      <c r="CF51" s="1150"/>
      <c r="CG51" s="1172"/>
      <c r="CH51" s="1173"/>
      <c r="CI51" s="1173"/>
      <c r="CJ51" s="1173"/>
      <c r="CK51" s="1173"/>
      <c r="CL51" s="1173"/>
      <c r="CM51" s="1173"/>
      <c r="CN51" s="1173"/>
      <c r="CO51" s="1173"/>
      <c r="CP51" s="1174"/>
      <c r="CQ51" s="1151"/>
      <c r="CR51" s="1152"/>
      <c r="CS51" s="1152"/>
      <c r="CT51" s="1152"/>
      <c r="CU51" s="1152"/>
      <c r="CV51" s="1152"/>
      <c r="CW51" s="1152"/>
      <c r="CX51" s="1152"/>
      <c r="CY51" s="1152"/>
      <c r="CZ51" s="1152"/>
      <c r="DA51" s="1152"/>
      <c r="DB51" s="1152"/>
      <c r="DC51" s="1152"/>
      <c r="DD51" s="1152"/>
      <c r="DE51" s="1152"/>
      <c r="DF51" s="1152"/>
      <c r="DG51" s="1153"/>
      <c r="DH51" s="1200"/>
      <c r="DI51" s="1057" t="e">
        <f t="shared" si="0"/>
        <v>#DIV/0!</v>
      </c>
    </row>
    <row r="52" spans="1:116" s="38" customFormat="1" ht="30" customHeight="1">
      <c r="A52" s="1267" t="s">
        <v>3</v>
      </c>
      <c r="B52" s="1268"/>
      <c r="C52" s="1268"/>
      <c r="D52" s="1268"/>
      <c r="E52" s="1268"/>
      <c r="F52" s="1268"/>
      <c r="G52" s="1268"/>
      <c r="H52" s="1268"/>
      <c r="I52" s="1269"/>
      <c r="J52" s="1055"/>
      <c r="K52" s="1270" t="s">
        <v>148</v>
      </c>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1270"/>
      <c r="AV52" s="1270"/>
      <c r="AW52" s="1270"/>
      <c r="AX52" s="1270"/>
      <c r="AY52" s="1270"/>
      <c r="AZ52" s="1270"/>
      <c r="BA52" s="1270"/>
      <c r="BB52" s="1270"/>
      <c r="BC52" s="1270"/>
      <c r="BD52" s="1270"/>
      <c r="BE52" s="1270"/>
      <c r="BF52" s="1270"/>
      <c r="BG52" s="1270"/>
      <c r="BH52" s="40"/>
      <c r="BI52" s="1271" t="s">
        <v>121</v>
      </c>
      <c r="BJ52" s="1272"/>
      <c r="BK52" s="1272"/>
      <c r="BL52" s="1272"/>
      <c r="BM52" s="1272"/>
      <c r="BN52" s="1272"/>
      <c r="BO52" s="1272"/>
      <c r="BP52" s="1272"/>
      <c r="BQ52" s="1272"/>
      <c r="BR52" s="1272"/>
      <c r="BS52" s="1273"/>
      <c r="BT52" s="1215"/>
      <c r="BU52" s="1051">
        <v>2022777</v>
      </c>
      <c r="BV52" s="1051">
        <v>2510537</v>
      </c>
      <c r="BW52" s="1274">
        <f>'5. подк.неподк.план'!Y321-BW84</f>
        <v>2402686.2756451848</v>
      </c>
      <c r="BX52" s="1275"/>
      <c r="BY52" s="1275"/>
      <c r="BZ52" s="1275"/>
      <c r="CA52" s="1275"/>
      <c r="CB52" s="1275"/>
      <c r="CC52" s="1275"/>
      <c r="CD52" s="1275"/>
      <c r="CE52" s="1275"/>
      <c r="CF52" s="1276"/>
      <c r="CG52" s="1274">
        <f>CG53+CG54+CG55+CG56+CG57+CG58+CG59+CG60+CG61+CG64+CG65</f>
        <v>2653292.3376422757</v>
      </c>
      <c r="CH52" s="1275">
        <f t="shared" ref="CH52:CP52" si="1">AQ53+AQ54+AQ55+AQ56+AQ57+AQ58+AQ59+AQ60+AQ61+AQ62+AQ64+AQ65</f>
        <v>0</v>
      </c>
      <c r="CI52" s="1275">
        <f t="shared" si="1"/>
        <v>0</v>
      </c>
      <c r="CJ52" s="1275">
        <f t="shared" si="1"/>
        <v>0</v>
      </c>
      <c r="CK52" s="1275">
        <f t="shared" si="1"/>
        <v>0</v>
      </c>
      <c r="CL52" s="1275">
        <f t="shared" si="1"/>
        <v>0</v>
      </c>
      <c r="CM52" s="1275">
        <f t="shared" si="1"/>
        <v>0</v>
      </c>
      <c r="CN52" s="1275">
        <f t="shared" si="1"/>
        <v>0</v>
      </c>
      <c r="CO52" s="1275">
        <f t="shared" si="1"/>
        <v>0</v>
      </c>
      <c r="CP52" s="1276">
        <f t="shared" si="1"/>
        <v>0</v>
      </c>
      <c r="CQ52" s="1237"/>
      <c r="CR52" s="1238"/>
      <c r="CS52" s="1238"/>
      <c r="CT52" s="1238"/>
      <c r="CU52" s="1238"/>
      <c r="CV52" s="1238"/>
      <c r="CW52" s="1238"/>
      <c r="CX52" s="1238"/>
      <c r="CY52" s="1238"/>
      <c r="CZ52" s="1238"/>
      <c r="DA52" s="1238"/>
      <c r="DB52" s="1238"/>
      <c r="DC52" s="1238"/>
      <c r="DD52" s="1238"/>
      <c r="DE52" s="1238"/>
      <c r="DF52" s="1238"/>
      <c r="DG52" s="1239"/>
      <c r="DH52" s="1200"/>
      <c r="DI52" s="1057">
        <f t="shared" si="0"/>
        <v>10.430244869559445</v>
      </c>
      <c r="DJ52" s="416"/>
      <c r="DL52" s="398"/>
    </row>
    <row r="53" spans="1:116" s="38" customFormat="1" ht="15" customHeight="1">
      <c r="A53" s="1192" t="s">
        <v>149</v>
      </c>
      <c r="B53" s="1193"/>
      <c r="C53" s="1193"/>
      <c r="D53" s="1193"/>
      <c r="E53" s="1193"/>
      <c r="F53" s="1193"/>
      <c r="G53" s="1193"/>
      <c r="H53" s="1193"/>
      <c r="I53" s="1194"/>
      <c r="J53" s="39"/>
      <c r="K53" s="1214" t="s">
        <v>219</v>
      </c>
      <c r="L53" s="1214"/>
      <c r="M53" s="1214"/>
      <c r="N53" s="1214"/>
      <c r="O53" s="1214"/>
      <c r="P53" s="1214"/>
      <c r="Q53" s="1214"/>
      <c r="R53" s="1214"/>
      <c r="S53" s="1214"/>
      <c r="T53" s="1214"/>
      <c r="U53" s="1214"/>
      <c r="V53" s="1214"/>
      <c r="W53" s="1214"/>
      <c r="X53" s="1214"/>
      <c r="Y53" s="1214"/>
      <c r="Z53" s="1214"/>
      <c r="AA53" s="1214"/>
      <c r="AB53" s="1214"/>
      <c r="AC53" s="1214"/>
      <c r="AD53" s="1214"/>
      <c r="AE53" s="1214"/>
      <c r="AF53" s="1214"/>
      <c r="AG53" s="1214"/>
      <c r="AH53" s="1214"/>
      <c r="AI53" s="1214"/>
      <c r="AJ53" s="1214"/>
      <c r="AK53" s="1214"/>
      <c r="AL53" s="1214"/>
      <c r="AM53" s="1214"/>
      <c r="AN53" s="1214"/>
      <c r="AO53" s="1214"/>
      <c r="AP53" s="1214"/>
      <c r="AQ53" s="1214"/>
      <c r="AR53" s="1214"/>
      <c r="AS53" s="1214"/>
      <c r="AT53" s="1214"/>
      <c r="AU53" s="1214"/>
      <c r="AV53" s="1214"/>
      <c r="AW53" s="1214"/>
      <c r="AX53" s="1214"/>
      <c r="AY53" s="1214"/>
      <c r="AZ53" s="1214"/>
      <c r="BA53" s="1214"/>
      <c r="BB53" s="1214"/>
      <c r="BC53" s="1214"/>
      <c r="BD53" s="1214"/>
      <c r="BE53" s="1214"/>
      <c r="BF53" s="1214"/>
      <c r="BG53" s="1214"/>
      <c r="BH53" s="40"/>
      <c r="BI53" s="1196" t="s">
        <v>121</v>
      </c>
      <c r="BJ53" s="1197"/>
      <c r="BK53" s="1197"/>
      <c r="BL53" s="1197"/>
      <c r="BM53" s="1197"/>
      <c r="BN53" s="1197"/>
      <c r="BO53" s="1197"/>
      <c r="BP53" s="1197"/>
      <c r="BQ53" s="1197"/>
      <c r="BR53" s="1197"/>
      <c r="BS53" s="1198"/>
      <c r="BT53" s="1227"/>
      <c r="BU53" s="1052">
        <v>0</v>
      </c>
      <c r="BV53" s="1052">
        <v>0</v>
      </c>
      <c r="BW53" s="1148">
        <v>0</v>
      </c>
      <c r="BX53" s="1149"/>
      <c r="BY53" s="1149"/>
      <c r="BZ53" s="1149"/>
      <c r="CA53" s="1149"/>
      <c r="CB53" s="1149"/>
      <c r="CC53" s="1149"/>
      <c r="CD53" s="1149"/>
      <c r="CE53" s="1149"/>
      <c r="CF53" s="1150"/>
      <c r="CG53" s="1148">
        <v>0</v>
      </c>
      <c r="CH53" s="1149"/>
      <c r="CI53" s="1149"/>
      <c r="CJ53" s="1149"/>
      <c r="CK53" s="1149"/>
      <c r="CL53" s="1149"/>
      <c r="CM53" s="1149"/>
      <c r="CN53" s="1149"/>
      <c r="CO53" s="1149"/>
      <c r="CP53" s="1150"/>
      <c r="CQ53" s="1151"/>
      <c r="CR53" s="1152"/>
      <c r="CS53" s="1152"/>
      <c r="CT53" s="1152"/>
      <c r="CU53" s="1152"/>
      <c r="CV53" s="1152"/>
      <c r="CW53" s="1152"/>
      <c r="CX53" s="1152"/>
      <c r="CY53" s="1152"/>
      <c r="CZ53" s="1152"/>
      <c r="DA53" s="1152"/>
      <c r="DB53" s="1152"/>
      <c r="DC53" s="1152"/>
      <c r="DD53" s="1152"/>
      <c r="DE53" s="1152"/>
      <c r="DF53" s="1152"/>
      <c r="DG53" s="1153"/>
      <c r="DH53" s="1201"/>
      <c r="DI53" s="1057" t="e">
        <f t="shared" si="0"/>
        <v>#DIV/0!</v>
      </c>
    </row>
    <row r="54" spans="1:116" s="38" customFormat="1" ht="45" customHeight="1">
      <c r="A54" s="1192" t="s">
        <v>150</v>
      </c>
      <c r="B54" s="1193"/>
      <c r="C54" s="1193"/>
      <c r="D54" s="1193"/>
      <c r="E54" s="1193"/>
      <c r="F54" s="1193"/>
      <c r="G54" s="1193"/>
      <c r="H54" s="1193"/>
      <c r="I54" s="1194"/>
      <c r="J54" s="39"/>
      <c r="K54" s="1195" t="s">
        <v>151</v>
      </c>
      <c r="L54" s="1195"/>
      <c r="M54" s="1195"/>
      <c r="N54" s="1195"/>
      <c r="O54" s="1195"/>
      <c r="P54" s="1195"/>
      <c r="Q54" s="1195"/>
      <c r="R54" s="1195"/>
      <c r="S54" s="1195"/>
      <c r="T54" s="1195"/>
      <c r="U54" s="1195"/>
      <c r="V54" s="1195"/>
      <c r="W54" s="1195"/>
      <c r="X54" s="1195"/>
      <c r="Y54" s="1195"/>
      <c r="Z54" s="1195"/>
      <c r="AA54" s="1195"/>
      <c r="AB54" s="1195"/>
      <c r="AC54" s="1195"/>
      <c r="AD54" s="1195"/>
      <c r="AE54" s="1195"/>
      <c r="AF54" s="1195"/>
      <c r="AG54" s="1195"/>
      <c r="AH54" s="1195"/>
      <c r="AI54" s="1195"/>
      <c r="AJ54" s="1195"/>
      <c r="AK54" s="1195"/>
      <c r="AL54" s="1195"/>
      <c r="AM54" s="1195"/>
      <c r="AN54" s="1195"/>
      <c r="AO54" s="1195"/>
      <c r="AP54" s="1195"/>
      <c r="AQ54" s="1195"/>
      <c r="AR54" s="1195"/>
      <c r="AS54" s="1195"/>
      <c r="AT54" s="1195"/>
      <c r="AU54" s="1195"/>
      <c r="AV54" s="1195"/>
      <c r="AW54" s="1195"/>
      <c r="AX54" s="1195"/>
      <c r="AY54" s="1195"/>
      <c r="AZ54" s="1195"/>
      <c r="BA54" s="1195"/>
      <c r="BB54" s="1195"/>
      <c r="BC54" s="1195"/>
      <c r="BD54" s="1195"/>
      <c r="BE54" s="1195"/>
      <c r="BF54" s="1195"/>
      <c r="BG54" s="1195"/>
      <c r="BH54" s="40"/>
      <c r="BI54" s="1196" t="s">
        <v>121</v>
      </c>
      <c r="BJ54" s="1197"/>
      <c r="BK54" s="1197"/>
      <c r="BL54" s="1197"/>
      <c r="BM54" s="1197"/>
      <c r="BN54" s="1197"/>
      <c r="BO54" s="1197"/>
      <c r="BP54" s="1197"/>
      <c r="BQ54" s="1197"/>
      <c r="BR54" s="1197"/>
      <c r="BS54" s="1198"/>
      <c r="BT54" s="48">
        <v>42449</v>
      </c>
      <c r="BU54" s="1052">
        <v>0</v>
      </c>
      <c r="BV54" s="1052">
        <v>0</v>
      </c>
      <c r="BW54" s="1196">
        <v>0</v>
      </c>
      <c r="BX54" s="1197"/>
      <c r="BY54" s="1197"/>
      <c r="BZ54" s="1197"/>
      <c r="CA54" s="1197"/>
      <c r="CB54" s="1197"/>
      <c r="CC54" s="1197"/>
      <c r="CD54" s="1197"/>
      <c r="CE54" s="1197"/>
      <c r="CF54" s="1198"/>
      <c r="CG54" s="1196">
        <v>0</v>
      </c>
      <c r="CH54" s="1197"/>
      <c r="CI54" s="1197"/>
      <c r="CJ54" s="1197"/>
      <c r="CK54" s="1197"/>
      <c r="CL54" s="1197"/>
      <c r="CM54" s="1197"/>
      <c r="CN54" s="1197"/>
      <c r="CO54" s="1197"/>
      <c r="CP54" s="1198"/>
      <c r="CQ54" s="1151"/>
      <c r="CR54" s="1152"/>
      <c r="CS54" s="1152"/>
      <c r="CT54" s="1152"/>
      <c r="CU54" s="1152"/>
      <c r="CV54" s="1152"/>
      <c r="CW54" s="1152"/>
      <c r="CX54" s="1152"/>
      <c r="CY54" s="1152"/>
      <c r="CZ54" s="1152"/>
      <c r="DA54" s="1152"/>
      <c r="DB54" s="1152"/>
      <c r="DC54" s="1152"/>
      <c r="DD54" s="1152"/>
      <c r="DE54" s="1152"/>
      <c r="DF54" s="1152"/>
      <c r="DG54" s="1153"/>
      <c r="DH54" s="42" t="s">
        <v>152</v>
      </c>
      <c r="DI54" s="1057" t="e">
        <f t="shared" si="0"/>
        <v>#DIV/0!</v>
      </c>
    </row>
    <row r="55" spans="1:116" s="38" customFormat="1" ht="15" customHeight="1">
      <c r="A55" s="1192" t="s">
        <v>153</v>
      </c>
      <c r="B55" s="1193"/>
      <c r="C55" s="1193"/>
      <c r="D55" s="1193"/>
      <c r="E55" s="1193"/>
      <c r="F55" s="1193"/>
      <c r="G55" s="1193"/>
      <c r="H55" s="1193"/>
      <c r="I55" s="1194"/>
      <c r="J55" s="39"/>
      <c r="K55" s="1195" t="str">
        <f>'5. подк.неподк.план'!D249</f>
        <v>Плата за аренду имущества и лизинг</v>
      </c>
      <c r="L55" s="1195"/>
      <c r="M55" s="1195"/>
      <c r="N55" s="1195"/>
      <c r="O55" s="1195"/>
      <c r="P55" s="1195"/>
      <c r="Q55" s="1195"/>
      <c r="R55" s="1195"/>
      <c r="S55" s="1195"/>
      <c r="T55" s="1195"/>
      <c r="U55" s="1195"/>
      <c r="V55" s="1195"/>
      <c r="W55" s="1195"/>
      <c r="X55" s="1195"/>
      <c r="Y55" s="1195"/>
      <c r="Z55" s="1195"/>
      <c r="AA55" s="1195"/>
      <c r="AB55" s="1195"/>
      <c r="AC55" s="1195"/>
      <c r="AD55" s="1195"/>
      <c r="AE55" s="1195"/>
      <c r="AF55" s="1195"/>
      <c r="AG55" s="1195"/>
      <c r="AH55" s="1195"/>
      <c r="AI55" s="1195"/>
      <c r="AJ55" s="1195"/>
      <c r="AK55" s="1195"/>
      <c r="AL55" s="1195"/>
      <c r="AM55" s="1195"/>
      <c r="AN55" s="1195"/>
      <c r="AO55" s="1195"/>
      <c r="AP55" s="1195"/>
      <c r="AQ55" s="1195"/>
      <c r="AR55" s="1195"/>
      <c r="AS55" s="1195"/>
      <c r="AT55" s="1195"/>
      <c r="AU55" s="1195"/>
      <c r="AV55" s="1195"/>
      <c r="AW55" s="1195"/>
      <c r="AX55" s="1195"/>
      <c r="AY55" s="1195"/>
      <c r="AZ55" s="1195"/>
      <c r="BA55" s="1195"/>
      <c r="BB55" s="1195"/>
      <c r="BC55" s="1195"/>
      <c r="BD55" s="1195"/>
      <c r="BE55" s="1195"/>
      <c r="BF55" s="1195"/>
      <c r="BG55" s="1195"/>
      <c r="BH55" s="40"/>
      <c r="BI55" s="1196" t="s">
        <v>121</v>
      </c>
      <c r="BJ55" s="1197"/>
      <c r="BK55" s="1197"/>
      <c r="BL55" s="1197"/>
      <c r="BM55" s="1197"/>
      <c r="BN55" s="1197"/>
      <c r="BO55" s="1197"/>
      <c r="BP55" s="1197"/>
      <c r="BQ55" s="1197"/>
      <c r="BR55" s="1197"/>
      <c r="BS55" s="1198"/>
      <c r="BT55" s="1207">
        <v>42460</v>
      </c>
      <c r="BU55" s="1052">
        <v>1371851</v>
      </c>
      <c r="BV55" s="1052">
        <v>1362495</v>
      </c>
      <c r="BW55" s="1154">
        <f>'5. подк.неподк.план'!Y249</f>
        <v>1263084.8551806</v>
      </c>
      <c r="BX55" s="1155"/>
      <c r="BY55" s="1155"/>
      <c r="BZ55" s="1155"/>
      <c r="CA55" s="1155"/>
      <c r="CB55" s="1155"/>
      <c r="CC55" s="1155"/>
      <c r="CD55" s="1155"/>
      <c r="CE55" s="1155"/>
      <c r="CF55" s="1156"/>
      <c r="CG55" s="1154">
        <f>'1.6'!BT45</f>
        <v>1267299</v>
      </c>
      <c r="CH55" s="1155"/>
      <c r="CI55" s="1155"/>
      <c r="CJ55" s="1155"/>
      <c r="CK55" s="1155"/>
      <c r="CL55" s="1155"/>
      <c r="CM55" s="1155"/>
      <c r="CN55" s="1155"/>
      <c r="CO55" s="1155"/>
      <c r="CP55" s="1156"/>
      <c r="CQ55" s="1151"/>
      <c r="CR55" s="1152"/>
      <c r="CS55" s="1152"/>
      <c r="CT55" s="1152"/>
      <c r="CU55" s="1152"/>
      <c r="CV55" s="1152"/>
      <c r="CW55" s="1152"/>
      <c r="CX55" s="1152"/>
      <c r="CY55" s="1152"/>
      <c r="CZ55" s="1152"/>
      <c r="DA55" s="1152"/>
      <c r="DB55" s="1152"/>
      <c r="DC55" s="1152"/>
      <c r="DD55" s="1152"/>
      <c r="DE55" s="1152"/>
      <c r="DF55" s="1152"/>
      <c r="DG55" s="1153"/>
      <c r="DH55" s="1199" t="s">
        <v>122</v>
      </c>
      <c r="DI55" s="1057">
        <f t="shared" si="0"/>
        <v>0.33363909020961557</v>
      </c>
      <c r="DJ55" s="418">
        <f>'1.6.'!BT45</f>
        <v>1267299</v>
      </c>
    </row>
    <row r="56" spans="1:116" s="38" customFormat="1" ht="15" customHeight="1">
      <c r="A56" s="1192" t="s">
        <v>154</v>
      </c>
      <c r="B56" s="1193"/>
      <c r="C56" s="1193"/>
      <c r="D56" s="1193"/>
      <c r="E56" s="1193"/>
      <c r="F56" s="1193"/>
      <c r="G56" s="1193"/>
      <c r="H56" s="1193"/>
      <c r="I56" s="1194"/>
      <c r="J56" s="39"/>
      <c r="K56" s="1195" t="s">
        <v>1147</v>
      </c>
      <c r="L56" s="1195"/>
      <c r="M56" s="1195"/>
      <c r="N56" s="1195"/>
      <c r="O56" s="1195"/>
      <c r="P56" s="1195"/>
      <c r="Q56" s="1195"/>
      <c r="R56" s="1195"/>
      <c r="S56" s="1195"/>
      <c r="T56" s="1195"/>
      <c r="U56" s="1195"/>
      <c r="V56" s="1195"/>
      <c r="W56" s="1195"/>
      <c r="X56" s="1195"/>
      <c r="Y56" s="1195"/>
      <c r="Z56" s="1195"/>
      <c r="AA56" s="1195"/>
      <c r="AB56" s="1195"/>
      <c r="AC56" s="1195"/>
      <c r="AD56" s="1195"/>
      <c r="AE56" s="1195"/>
      <c r="AF56" s="1195"/>
      <c r="AG56" s="1195"/>
      <c r="AH56" s="1195"/>
      <c r="AI56" s="1195"/>
      <c r="AJ56" s="1195"/>
      <c r="AK56" s="1195"/>
      <c r="AL56" s="1195"/>
      <c r="AM56" s="1195"/>
      <c r="AN56" s="1195"/>
      <c r="AO56" s="1195"/>
      <c r="AP56" s="1195"/>
      <c r="AQ56" s="1195"/>
      <c r="AR56" s="1195"/>
      <c r="AS56" s="1195"/>
      <c r="AT56" s="1195"/>
      <c r="AU56" s="1195"/>
      <c r="AV56" s="1195"/>
      <c r="AW56" s="1195"/>
      <c r="AX56" s="1195"/>
      <c r="AY56" s="1195"/>
      <c r="AZ56" s="1195"/>
      <c r="BA56" s="1195"/>
      <c r="BB56" s="1195"/>
      <c r="BC56" s="1195"/>
      <c r="BD56" s="1195"/>
      <c r="BE56" s="1195"/>
      <c r="BF56" s="1195"/>
      <c r="BG56" s="1195"/>
      <c r="BH56" s="40"/>
      <c r="BI56" s="1196" t="s">
        <v>121</v>
      </c>
      <c r="BJ56" s="1197"/>
      <c r="BK56" s="1197"/>
      <c r="BL56" s="1197"/>
      <c r="BM56" s="1197"/>
      <c r="BN56" s="1197"/>
      <c r="BO56" s="1197"/>
      <c r="BP56" s="1197"/>
      <c r="BQ56" s="1197"/>
      <c r="BR56" s="1197"/>
      <c r="BS56" s="1198"/>
      <c r="BT56" s="1208"/>
      <c r="BU56" s="1052">
        <v>267108</v>
      </c>
      <c r="BV56" s="1052">
        <v>249163</v>
      </c>
      <c r="BW56" s="1154">
        <f>'5. подк.неподк.план'!Y247</f>
        <v>305659.3041537251</v>
      </c>
      <c r="BX56" s="1155"/>
      <c r="BY56" s="1155"/>
      <c r="BZ56" s="1155"/>
      <c r="CA56" s="1155"/>
      <c r="CB56" s="1155"/>
      <c r="CC56" s="1155"/>
      <c r="CD56" s="1155"/>
      <c r="CE56" s="1155"/>
      <c r="CF56" s="1156"/>
      <c r="CG56" s="1154">
        <f>'1.6'!BT43</f>
        <v>275720</v>
      </c>
      <c r="CH56" s="1155"/>
      <c r="CI56" s="1155"/>
      <c r="CJ56" s="1155"/>
      <c r="CK56" s="1155"/>
      <c r="CL56" s="1155"/>
      <c r="CM56" s="1155"/>
      <c r="CN56" s="1155"/>
      <c r="CO56" s="1155"/>
      <c r="CP56" s="1156"/>
      <c r="CQ56" s="1151"/>
      <c r="CR56" s="1152"/>
      <c r="CS56" s="1152"/>
      <c r="CT56" s="1152"/>
      <c r="CU56" s="1152"/>
      <c r="CV56" s="1152"/>
      <c r="CW56" s="1152"/>
      <c r="CX56" s="1152"/>
      <c r="CY56" s="1152"/>
      <c r="CZ56" s="1152"/>
      <c r="DA56" s="1152"/>
      <c r="DB56" s="1152"/>
      <c r="DC56" s="1152"/>
      <c r="DD56" s="1152"/>
      <c r="DE56" s="1152"/>
      <c r="DF56" s="1152"/>
      <c r="DG56" s="1153"/>
      <c r="DH56" s="1213"/>
      <c r="DI56" s="1057">
        <f t="shared" si="0"/>
        <v>-9.7949919229900928</v>
      </c>
      <c r="DJ56" s="418">
        <f>'1.6.'!BT43</f>
        <v>275720</v>
      </c>
    </row>
    <row r="57" spans="1:116" s="38" customFormat="1" ht="45" customHeight="1">
      <c r="A57" s="1192" t="s">
        <v>155</v>
      </c>
      <c r="B57" s="1193"/>
      <c r="C57" s="1193"/>
      <c r="D57" s="1193"/>
      <c r="E57" s="1193"/>
      <c r="F57" s="1193"/>
      <c r="G57" s="1193"/>
      <c r="H57" s="1193"/>
      <c r="I57" s="1194"/>
      <c r="J57" s="39"/>
      <c r="K57" s="1195" t="s">
        <v>1517</v>
      </c>
      <c r="L57" s="1195"/>
      <c r="M57" s="1195"/>
      <c r="N57" s="1195"/>
      <c r="O57" s="1195"/>
      <c r="P57" s="1195"/>
      <c r="Q57" s="1195"/>
      <c r="R57" s="1195"/>
      <c r="S57" s="1195"/>
      <c r="T57" s="1195"/>
      <c r="U57" s="1195"/>
      <c r="V57" s="1195"/>
      <c r="W57" s="1195"/>
      <c r="X57" s="1195"/>
      <c r="Y57" s="1195"/>
      <c r="Z57" s="1195"/>
      <c r="AA57" s="1195"/>
      <c r="AB57" s="1195"/>
      <c r="AC57" s="1195"/>
      <c r="AD57" s="1195"/>
      <c r="AE57" s="1195"/>
      <c r="AF57" s="1195"/>
      <c r="AG57" s="1195"/>
      <c r="AH57" s="1195"/>
      <c r="AI57" s="1195"/>
      <c r="AJ57" s="1195"/>
      <c r="AK57" s="1195"/>
      <c r="AL57" s="1195"/>
      <c r="AM57" s="1195"/>
      <c r="AN57" s="1195"/>
      <c r="AO57" s="1195"/>
      <c r="AP57" s="1195"/>
      <c r="AQ57" s="1195"/>
      <c r="AR57" s="1195"/>
      <c r="AS57" s="1195"/>
      <c r="AT57" s="1195"/>
      <c r="AU57" s="1195"/>
      <c r="AV57" s="1195"/>
      <c r="AW57" s="1195"/>
      <c r="AX57" s="1195"/>
      <c r="AY57" s="1195"/>
      <c r="AZ57" s="1195"/>
      <c r="BA57" s="1195"/>
      <c r="BB57" s="1195"/>
      <c r="BC57" s="1195"/>
      <c r="BD57" s="1195"/>
      <c r="BE57" s="1195"/>
      <c r="BF57" s="1195"/>
      <c r="BG57" s="1195"/>
      <c r="BH57" s="40"/>
      <c r="BI57" s="1196" t="s">
        <v>121</v>
      </c>
      <c r="BJ57" s="1197"/>
      <c r="BK57" s="1197"/>
      <c r="BL57" s="1197"/>
      <c r="BM57" s="1197"/>
      <c r="BN57" s="1197"/>
      <c r="BO57" s="1197"/>
      <c r="BP57" s="1197"/>
      <c r="BQ57" s="1197"/>
      <c r="BR57" s="1197"/>
      <c r="BS57" s="1198"/>
      <c r="BT57" s="48">
        <v>42449</v>
      </c>
      <c r="BU57" s="1052">
        <v>0</v>
      </c>
      <c r="BV57" s="1052">
        <v>0</v>
      </c>
      <c r="BW57" s="1148">
        <v>0</v>
      </c>
      <c r="BX57" s="1149"/>
      <c r="BY57" s="1149"/>
      <c r="BZ57" s="1149"/>
      <c r="CA57" s="1149"/>
      <c r="CB57" s="1149"/>
      <c r="CC57" s="1149"/>
      <c r="CD57" s="1149"/>
      <c r="CE57" s="1149"/>
      <c r="CF57" s="1150"/>
      <c r="CG57" s="1196">
        <v>0</v>
      </c>
      <c r="CH57" s="1197"/>
      <c r="CI57" s="1197"/>
      <c r="CJ57" s="1197"/>
      <c r="CK57" s="1197"/>
      <c r="CL57" s="1197"/>
      <c r="CM57" s="1197"/>
      <c r="CN57" s="1197"/>
      <c r="CO57" s="1197"/>
      <c r="CP57" s="1198"/>
      <c r="CQ57" s="1151"/>
      <c r="CR57" s="1152"/>
      <c r="CS57" s="1152"/>
      <c r="CT57" s="1152"/>
      <c r="CU57" s="1152"/>
      <c r="CV57" s="1152"/>
      <c r="CW57" s="1152"/>
      <c r="CX57" s="1152"/>
      <c r="CY57" s="1152"/>
      <c r="CZ57" s="1152"/>
      <c r="DA57" s="1152"/>
      <c r="DB57" s="1152"/>
      <c r="DC57" s="1152"/>
      <c r="DD57" s="1152"/>
      <c r="DE57" s="1152"/>
      <c r="DF57" s="1152"/>
      <c r="DG57" s="1153"/>
      <c r="DH57" s="42" t="s">
        <v>156</v>
      </c>
      <c r="DI57" s="1057" t="e">
        <f t="shared" si="0"/>
        <v>#DIV/0!</v>
      </c>
    </row>
    <row r="58" spans="1:116" s="38" customFormat="1" ht="88.95" customHeight="1">
      <c r="A58" s="1192" t="s">
        <v>157</v>
      </c>
      <c r="B58" s="1193"/>
      <c r="C58" s="1193"/>
      <c r="D58" s="1193"/>
      <c r="E58" s="1193"/>
      <c r="F58" s="1193"/>
      <c r="G58" s="1193"/>
      <c r="H58" s="1193"/>
      <c r="I58" s="1194"/>
      <c r="J58" s="39"/>
      <c r="K58" s="1195" t="s">
        <v>67</v>
      </c>
      <c r="L58" s="1195"/>
      <c r="M58" s="1195"/>
      <c r="N58" s="1195"/>
      <c r="O58" s="1195"/>
      <c r="P58" s="1195"/>
      <c r="Q58" s="1195"/>
      <c r="R58" s="1195"/>
      <c r="S58" s="1195"/>
      <c r="T58" s="1195"/>
      <c r="U58" s="1195"/>
      <c r="V58" s="1195"/>
      <c r="W58" s="1195"/>
      <c r="X58" s="1195"/>
      <c r="Y58" s="1195"/>
      <c r="Z58" s="1195"/>
      <c r="AA58" s="1195"/>
      <c r="AB58" s="1195"/>
      <c r="AC58" s="1195"/>
      <c r="AD58" s="1195"/>
      <c r="AE58" s="1195"/>
      <c r="AF58" s="1195"/>
      <c r="AG58" s="1195"/>
      <c r="AH58" s="1195"/>
      <c r="AI58" s="1195"/>
      <c r="AJ58" s="1195"/>
      <c r="AK58" s="1195"/>
      <c r="AL58" s="1195"/>
      <c r="AM58" s="1195"/>
      <c r="AN58" s="1195"/>
      <c r="AO58" s="1195"/>
      <c r="AP58" s="1195"/>
      <c r="AQ58" s="1195"/>
      <c r="AR58" s="1195"/>
      <c r="AS58" s="1195"/>
      <c r="AT58" s="1195"/>
      <c r="AU58" s="1195"/>
      <c r="AV58" s="1195"/>
      <c r="AW58" s="1195"/>
      <c r="AX58" s="1195"/>
      <c r="AY58" s="1195"/>
      <c r="AZ58" s="1195"/>
      <c r="BA58" s="1195"/>
      <c r="BB58" s="1195"/>
      <c r="BC58" s="1195"/>
      <c r="BD58" s="1195"/>
      <c r="BE58" s="1195"/>
      <c r="BF58" s="1195"/>
      <c r="BG58" s="1195"/>
      <c r="BH58" s="40"/>
      <c r="BI58" s="1196" t="s">
        <v>121</v>
      </c>
      <c r="BJ58" s="1197"/>
      <c r="BK58" s="1197"/>
      <c r="BL58" s="1197"/>
      <c r="BM58" s="1197"/>
      <c r="BN58" s="1197"/>
      <c r="BO58" s="1197"/>
      <c r="BP58" s="1197"/>
      <c r="BQ58" s="1197"/>
      <c r="BR58" s="1197"/>
      <c r="BS58" s="1198"/>
      <c r="BT58" s="1207">
        <v>42460</v>
      </c>
      <c r="BU58" s="1052">
        <v>206057</v>
      </c>
      <c r="BV58" s="1052">
        <v>320542</v>
      </c>
      <c r="BW58" s="1154">
        <f>'5. подк.неподк.план'!Y248</f>
        <v>297196.02</v>
      </c>
      <c r="BX58" s="1155"/>
      <c r="BY58" s="1155"/>
      <c r="BZ58" s="1155"/>
      <c r="CA58" s="1155"/>
      <c r="CB58" s="1155"/>
      <c r="CC58" s="1155"/>
      <c r="CD58" s="1155"/>
      <c r="CE58" s="1155"/>
      <c r="CF58" s="1156"/>
      <c r="CG58" s="1154">
        <f>'1.6'!BT44</f>
        <v>360095</v>
      </c>
      <c r="CH58" s="1155"/>
      <c r="CI58" s="1155"/>
      <c r="CJ58" s="1155"/>
      <c r="CK58" s="1155"/>
      <c r="CL58" s="1155"/>
      <c r="CM58" s="1155"/>
      <c r="CN58" s="1155"/>
      <c r="CO58" s="1155"/>
      <c r="CP58" s="1156"/>
      <c r="CQ58" s="1231" t="s">
        <v>2197</v>
      </c>
      <c r="CR58" s="1232"/>
      <c r="CS58" s="1232"/>
      <c r="CT58" s="1232"/>
      <c r="CU58" s="1232"/>
      <c r="CV58" s="1232"/>
      <c r="CW58" s="1232"/>
      <c r="CX58" s="1232"/>
      <c r="CY58" s="1232"/>
      <c r="CZ58" s="1232"/>
      <c r="DA58" s="1232"/>
      <c r="DB58" s="1232"/>
      <c r="DC58" s="1232"/>
      <c r="DD58" s="1232"/>
      <c r="DE58" s="1232"/>
      <c r="DF58" s="1232"/>
      <c r="DG58" s="1233"/>
      <c r="DH58" s="1199" t="s">
        <v>122</v>
      </c>
      <c r="DI58" s="1057">
        <f t="shared" si="0"/>
        <v>21.16413941209575</v>
      </c>
      <c r="DJ58" s="418">
        <f>'1.6.'!BT44</f>
        <v>360095</v>
      </c>
    </row>
    <row r="59" spans="1:116" s="38" customFormat="1" ht="15" customHeight="1">
      <c r="A59" s="1192" t="s">
        <v>158</v>
      </c>
      <c r="B59" s="1193"/>
      <c r="C59" s="1193"/>
      <c r="D59" s="1193"/>
      <c r="E59" s="1193"/>
      <c r="F59" s="1193"/>
      <c r="G59" s="1193"/>
      <c r="H59" s="1193"/>
      <c r="I59" s="1194"/>
      <c r="J59" s="39"/>
      <c r="K59" s="1195" t="s">
        <v>159</v>
      </c>
      <c r="L59" s="1195"/>
      <c r="M59" s="1195"/>
      <c r="N59" s="1195"/>
      <c r="O59" s="1195"/>
      <c r="P59" s="1195"/>
      <c r="Q59" s="1195"/>
      <c r="R59" s="1195"/>
      <c r="S59" s="1195"/>
      <c r="T59" s="1195"/>
      <c r="U59" s="1195"/>
      <c r="V59" s="1195"/>
      <c r="W59" s="1195"/>
      <c r="X59" s="1195"/>
      <c r="Y59" s="1195"/>
      <c r="Z59" s="1195"/>
      <c r="AA59" s="1195"/>
      <c r="AB59" s="1195"/>
      <c r="AC59" s="1195"/>
      <c r="AD59" s="1195"/>
      <c r="AE59" s="1195"/>
      <c r="AF59" s="1195"/>
      <c r="AG59" s="1195"/>
      <c r="AH59" s="1195"/>
      <c r="AI59" s="1195"/>
      <c r="AJ59" s="1195"/>
      <c r="AK59" s="1195"/>
      <c r="AL59" s="1195"/>
      <c r="AM59" s="1195"/>
      <c r="AN59" s="1195"/>
      <c r="AO59" s="1195"/>
      <c r="AP59" s="1195"/>
      <c r="AQ59" s="1195"/>
      <c r="AR59" s="1195"/>
      <c r="AS59" s="1195"/>
      <c r="AT59" s="1195"/>
      <c r="AU59" s="1195"/>
      <c r="AV59" s="1195"/>
      <c r="AW59" s="1195"/>
      <c r="AX59" s="1195"/>
      <c r="AY59" s="1195"/>
      <c r="AZ59" s="1195"/>
      <c r="BA59" s="1195"/>
      <c r="BB59" s="1195"/>
      <c r="BC59" s="1195"/>
      <c r="BD59" s="1195"/>
      <c r="BE59" s="1195"/>
      <c r="BF59" s="1195"/>
      <c r="BG59" s="1195"/>
      <c r="BH59" s="40"/>
      <c r="BI59" s="1196" t="s">
        <v>121</v>
      </c>
      <c r="BJ59" s="1197"/>
      <c r="BK59" s="1197"/>
      <c r="BL59" s="1197"/>
      <c r="BM59" s="1197"/>
      <c r="BN59" s="1197"/>
      <c r="BO59" s="1197"/>
      <c r="BP59" s="1197"/>
      <c r="BQ59" s="1197"/>
      <c r="BR59" s="1197"/>
      <c r="BS59" s="1198"/>
      <c r="BT59" s="1209"/>
      <c r="BU59" s="1052">
        <v>64197</v>
      </c>
      <c r="BV59" s="1052">
        <v>101737</v>
      </c>
      <c r="BW59" s="1154">
        <f>'5. подк.неподк.план'!Y276</f>
        <v>336598.63571940805</v>
      </c>
      <c r="BX59" s="1155"/>
      <c r="BY59" s="1155"/>
      <c r="BZ59" s="1155"/>
      <c r="CA59" s="1155"/>
      <c r="CB59" s="1155"/>
      <c r="CC59" s="1155"/>
      <c r="CD59" s="1155"/>
      <c r="CE59" s="1155"/>
      <c r="CF59" s="1156"/>
      <c r="CG59" s="1154">
        <f>'1.3'!CF38</f>
        <v>-135768</v>
      </c>
      <c r="CH59" s="1155"/>
      <c r="CI59" s="1155"/>
      <c r="CJ59" s="1155"/>
      <c r="CK59" s="1155"/>
      <c r="CL59" s="1155"/>
      <c r="CM59" s="1155"/>
      <c r="CN59" s="1155"/>
      <c r="CO59" s="1155"/>
      <c r="CP59" s="1156"/>
      <c r="CQ59" s="1151"/>
      <c r="CR59" s="1152"/>
      <c r="CS59" s="1152"/>
      <c r="CT59" s="1152"/>
      <c r="CU59" s="1152"/>
      <c r="CV59" s="1152"/>
      <c r="CW59" s="1152"/>
      <c r="CX59" s="1152"/>
      <c r="CY59" s="1152"/>
      <c r="CZ59" s="1152"/>
      <c r="DA59" s="1152"/>
      <c r="DB59" s="1152"/>
      <c r="DC59" s="1152"/>
      <c r="DD59" s="1152"/>
      <c r="DE59" s="1152"/>
      <c r="DF59" s="1152"/>
      <c r="DG59" s="1153"/>
      <c r="DH59" s="1200"/>
      <c r="DI59" s="1057">
        <f t="shared" si="0"/>
        <v>-140.335279348303</v>
      </c>
      <c r="DJ59" s="418">
        <f>'1.3'!CF38</f>
        <v>-135768</v>
      </c>
    </row>
    <row r="60" spans="1:116" s="38" customFormat="1" ht="61.95" customHeight="1">
      <c r="A60" s="1192" t="s">
        <v>160</v>
      </c>
      <c r="B60" s="1193"/>
      <c r="C60" s="1193"/>
      <c r="D60" s="1193"/>
      <c r="E60" s="1193"/>
      <c r="F60" s="1193"/>
      <c r="G60" s="1193"/>
      <c r="H60" s="1193"/>
      <c r="I60" s="1194"/>
      <c r="J60" s="39"/>
      <c r="K60" s="1195" t="s">
        <v>66</v>
      </c>
      <c r="L60" s="1195"/>
      <c r="M60" s="1195"/>
      <c r="N60" s="1195"/>
      <c r="O60" s="1195"/>
      <c r="P60" s="1195"/>
      <c r="Q60" s="1195"/>
      <c r="R60" s="1195"/>
      <c r="S60" s="1195"/>
      <c r="T60" s="1195"/>
      <c r="U60" s="1195"/>
      <c r="V60" s="1195"/>
      <c r="W60" s="1195"/>
      <c r="X60" s="1195"/>
      <c r="Y60" s="1195"/>
      <c r="Z60" s="1195"/>
      <c r="AA60" s="1195"/>
      <c r="AB60" s="1195"/>
      <c r="AC60" s="1195"/>
      <c r="AD60" s="1195"/>
      <c r="AE60" s="1195"/>
      <c r="AF60" s="1195"/>
      <c r="AG60" s="1195"/>
      <c r="AH60" s="1195"/>
      <c r="AI60" s="1195"/>
      <c r="AJ60" s="1195"/>
      <c r="AK60" s="1195"/>
      <c r="AL60" s="1195"/>
      <c r="AM60" s="1195"/>
      <c r="AN60" s="1195"/>
      <c r="AO60" s="1195"/>
      <c r="AP60" s="1195"/>
      <c r="AQ60" s="1195"/>
      <c r="AR60" s="1195"/>
      <c r="AS60" s="1195"/>
      <c r="AT60" s="1195"/>
      <c r="AU60" s="1195"/>
      <c r="AV60" s="1195"/>
      <c r="AW60" s="1195"/>
      <c r="AX60" s="1195"/>
      <c r="AY60" s="1195"/>
      <c r="AZ60" s="1195"/>
      <c r="BA60" s="1195"/>
      <c r="BB60" s="1195"/>
      <c r="BC60" s="1195"/>
      <c r="BD60" s="1195"/>
      <c r="BE60" s="1195"/>
      <c r="BF60" s="1195"/>
      <c r="BG60" s="1195"/>
      <c r="BH60" s="40"/>
      <c r="BI60" s="1196" t="s">
        <v>121</v>
      </c>
      <c r="BJ60" s="1197"/>
      <c r="BK60" s="1197"/>
      <c r="BL60" s="1197"/>
      <c r="BM60" s="1197"/>
      <c r="BN60" s="1197"/>
      <c r="BO60" s="1197"/>
      <c r="BP60" s="1197"/>
      <c r="BQ60" s="1197"/>
      <c r="BR60" s="1197"/>
      <c r="BS60" s="1198"/>
      <c r="BT60" s="1209"/>
      <c r="BU60" s="1052">
        <v>33181</v>
      </c>
      <c r="BV60" s="1052">
        <v>-33146</v>
      </c>
      <c r="BW60" s="1154">
        <f>'5. подк.неподк.план'!Y267</f>
        <v>94894.848929852014</v>
      </c>
      <c r="BX60" s="1155"/>
      <c r="BY60" s="1155"/>
      <c r="BZ60" s="1155"/>
      <c r="CA60" s="1155"/>
      <c r="CB60" s="1155"/>
      <c r="CC60" s="1155"/>
      <c r="CD60" s="1155"/>
      <c r="CE60" s="1155"/>
      <c r="CF60" s="1156"/>
      <c r="CG60" s="1154">
        <f>'1.3'!CF37</f>
        <v>74496</v>
      </c>
      <c r="CH60" s="1155"/>
      <c r="CI60" s="1155"/>
      <c r="CJ60" s="1155"/>
      <c r="CK60" s="1155"/>
      <c r="CL60" s="1155"/>
      <c r="CM60" s="1155"/>
      <c r="CN60" s="1155"/>
      <c r="CO60" s="1155"/>
      <c r="CP60" s="1156"/>
      <c r="CQ60" s="1234" t="s">
        <v>2206</v>
      </c>
      <c r="CR60" s="1235"/>
      <c r="CS60" s="1235"/>
      <c r="CT60" s="1235"/>
      <c r="CU60" s="1235"/>
      <c r="CV60" s="1235"/>
      <c r="CW60" s="1235"/>
      <c r="CX60" s="1235"/>
      <c r="CY60" s="1235"/>
      <c r="CZ60" s="1235"/>
      <c r="DA60" s="1235"/>
      <c r="DB60" s="1235"/>
      <c r="DC60" s="1235"/>
      <c r="DD60" s="1235"/>
      <c r="DE60" s="1235"/>
      <c r="DF60" s="1235"/>
      <c r="DG60" s="1236"/>
      <c r="DH60" s="1200"/>
      <c r="DI60" s="1057">
        <f t="shared" si="0"/>
        <v>-21.496265771950604</v>
      </c>
      <c r="DJ60" s="418">
        <f>'1.6.'!BT57</f>
        <v>74496</v>
      </c>
    </row>
    <row r="61" spans="1:116" s="38" customFormat="1" ht="15" customHeight="1">
      <c r="A61" s="1192" t="s">
        <v>161</v>
      </c>
      <c r="B61" s="1193"/>
      <c r="C61" s="1193"/>
      <c r="D61" s="1193"/>
      <c r="E61" s="1193"/>
      <c r="F61" s="1193"/>
      <c r="G61" s="1193"/>
      <c r="H61" s="1193"/>
      <c r="I61" s="1194"/>
      <c r="J61" s="39"/>
      <c r="K61" s="1195" t="s">
        <v>162</v>
      </c>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c r="AO61" s="1195"/>
      <c r="AP61" s="1195"/>
      <c r="AQ61" s="1195"/>
      <c r="AR61" s="1195"/>
      <c r="AS61" s="1195"/>
      <c r="AT61" s="1195"/>
      <c r="AU61" s="1195"/>
      <c r="AV61" s="1195"/>
      <c r="AW61" s="1195"/>
      <c r="AX61" s="1195"/>
      <c r="AY61" s="1195"/>
      <c r="AZ61" s="1195"/>
      <c r="BA61" s="1195"/>
      <c r="BB61" s="1195"/>
      <c r="BC61" s="1195"/>
      <c r="BD61" s="1195"/>
      <c r="BE61" s="1195"/>
      <c r="BF61" s="1195"/>
      <c r="BG61" s="1195"/>
      <c r="BH61" s="40"/>
      <c r="BI61" s="1196" t="s">
        <v>121</v>
      </c>
      <c r="BJ61" s="1197"/>
      <c r="BK61" s="1197"/>
      <c r="BL61" s="1197"/>
      <c r="BM61" s="1197"/>
      <c r="BN61" s="1197"/>
      <c r="BO61" s="1197"/>
      <c r="BP61" s="1197"/>
      <c r="BQ61" s="1197"/>
      <c r="BR61" s="1197"/>
      <c r="BS61" s="1198"/>
      <c r="BT61" s="1208"/>
      <c r="BU61" s="1052">
        <v>23000</v>
      </c>
      <c r="BV61" s="1052">
        <v>38018</v>
      </c>
      <c r="BW61" s="1154">
        <f>'5. подк.неподк.план'!Y262</f>
        <v>49202.400000000001</v>
      </c>
      <c r="BX61" s="1155"/>
      <c r="BY61" s="1155"/>
      <c r="BZ61" s="1155"/>
      <c r="CA61" s="1155"/>
      <c r="CB61" s="1155"/>
      <c r="CC61" s="1155"/>
      <c r="CD61" s="1155"/>
      <c r="CE61" s="1155"/>
      <c r="CF61" s="1156"/>
      <c r="CG61" s="1154">
        <f>'1.6'!BT48</f>
        <v>45207</v>
      </c>
      <c r="CH61" s="1155"/>
      <c r="CI61" s="1155"/>
      <c r="CJ61" s="1155"/>
      <c r="CK61" s="1155"/>
      <c r="CL61" s="1155"/>
      <c r="CM61" s="1155"/>
      <c r="CN61" s="1155"/>
      <c r="CO61" s="1155"/>
      <c r="CP61" s="1156"/>
      <c r="CQ61" s="1151"/>
      <c r="CR61" s="1152"/>
      <c r="CS61" s="1152"/>
      <c r="CT61" s="1152"/>
      <c r="CU61" s="1152"/>
      <c r="CV61" s="1152"/>
      <c r="CW61" s="1152"/>
      <c r="CX61" s="1152"/>
      <c r="CY61" s="1152"/>
      <c r="CZ61" s="1152"/>
      <c r="DA61" s="1152"/>
      <c r="DB61" s="1152"/>
      <c r="DC61" s="1152"/>
      <c r="DD61" s="1152"/>
      <c r="DE61" s="1152"/>
      <c r="DF61" s="1152"/>
      <c r="DG61" s="1153"/>
      <c r="DH61" s="1213"/>
      <c r="DI61" s="1057">
        <f t="shared" si="0"/>
        <v>-8.1203355933856898</v>
      </c>
    </row>
    <row r="62" spans="1:116" s="38" customFormat="1" ht="72.75" customHeight="1">
      <c r="A62" s="1192" t="s">
        <v>163</v>
      </c>
      <c r="B62" s="1193"/>
      <c r="C62" s="1193"/>
      <c r="D62" s="1193"/>
      <c r="E62" s="1193"/>
      <c r="F62" s="1193"/>
      <c r="G62" s="1193"/>
      <c r="H62" s="1193"/>
      <c r="I62" s="1194"/>
      <c r="J62" s="39"/>
      <c r="K62" s="1214" t="s">
        <v>164</v>
      </c>
      <c r="L62" s="1214"/>
      <c r="M62" s="1214"/>
      <c r="N62" s="1214"/>
      <c r="O62" s="1214"/>
      <c r="P62" s="1214"/>
      <c r="Q62" s="1214"/>
      <c r="R62" s="1214"/>
      <c r="S62" s="1214"/>
      <c r="T62" s="1214"/>
      <c r="U62" s="1214"/>
      <c r="V62" s="1214"/>
      <c r="W62" s="1214"/>
      <c r="X62" s="1214"/>
      <c r="Y62" s="1214"/>
      <c r="Z62" s="1214"/>
      <c r="AA62" s="1214"/>
      <c r="AB62" s="1214"/>
      <c r="AC62" s="1214"/>
      <c r="AD62" s="1214"/>
      <c r="AE62" s="1214"/>
      <c r="AF62" s="1214"/>
      <c r="AG62" s="1214"/>
      <c r="AH62" s="1214"/>
      <c r="AI62" s="1214"/>
      <c r="AJ62" s="1214"/>
      <c r="AK62" s="1214"/>
      <c r="AL62" s="1214"/>
      <c r="AM62" s="1214"/>
      <c r="AN62" s="1214"/>
      <c r="AO62" s="1214"/>
      <c r="AP62" s="1214"/>
      <c r="AQ62" s="1214"/>
      <c r="AR62" s="1214"/>
      <c r="AS62" s="1214"/>
      <c r="AT62" s="1214"/>
      <c r="AU62" s="1214"/>
      <c r="AV62" s="1214"/>
      <c r="AW62" s="1214"/>
      <c r="AX62" s="1214"/>
      <c r="AY62" s="1214"/>
      <c r="AZ62" s="1214"/>
      <c r="BA62" s="1214"/>
      <c r="BB62" s="1214"/>
      <c r="BC62" s="1214"/>
      <c r="BD62" s="1214"/>
      <c r="BE62" s="1214"/>
      <c r="BF62" s="1214"/>
      <c r="BG62" s="1214"/>
      <c r="BH62" s="40"/>
      <c r="BI62" s="1196" t="s">
        <v>121</v>
      </c>
      <c r="BJ62" s="1197"/>
      <c r="BK62" s="1197"/>
      <c r="BL62" s="1197"/>
      <c r="BM62" s="1197"/>
      <c r="BN62" s="1197"/>
      <c r="BO62" s="1197"/>
      <c r="BP62" s="1197"/>
      <c r="BQ62" s="1197"/>
      <c r="BR62" s="1197"/>
      <c r="BS62" s="1198"/>
      <c r="BT62" s="48">
        <v>42449</v>
      </c>
      <c r="BU62" s="1059">
        <v>24407.49</v>
      </c>
      <c r="BV62" s="1059">
        <v>24240.62</v>
      </c>
      <c r="BW62" s="1220">
        <v>27481.044000000002</v>
      </c>
      <c r="BX62" s="1221"/>
      <c r="BY62" s="1221"/>
      <c r="BZ62" s="1221"/>
      <c r="CA62" s="1221"/>
      <c r="CB62" s="1221"/>
      <c r="CC62" s="1221"/>
      <c r="CD62" s="1221"/>
      <c r="CE62" s="1221"/>
      <c r="CF62" s="1222"/>
      <c r="CG62" s="1228">
        <v>11797.27</v>
      </c>
      <c r="CH62" s="1229"/>
      <c r="CI62" s="1229"/>
      <c r="CJ62" s="1229"/>
      <c r="CK62" s="1229"/>
      <c r="CL62" s="1229"/>
      <c r="CM62" s="1229"/>
      <c r="CN62" s="1229"/>
      <c r="CO62" s="1229"/>
      <c r="CP62" s="1230"/>
      <c r="CQ62" s="1288" t="s">
        <v>2204</v>
      </c>
      <c r="CR62" s="1289"/>
      <c r="CS62" s="1289"/>
      <c r="CT62" s="1289"/>
      <c r="CU62" s="1289"/>
      <c r="CV62" s="1289"/>
      <c r="CW62" s="1289"/>
      <c r="CX62" s="1289"/>
      <c r="CY62" s="1289"/>
      <c r="CZ62" s="1289"/>
      <c r="DA62" s="1289"/>
      <c r="DB62" s="1289"/>
      <c r="DC62" s="1289"/>
      <c r="DD62" s="1289"/>
      <c r="DE62" s="1289"/>
      <c r="DF62" s="1289"/>
      <c r="DG62" s="1290"/>
      <c r="DH62" s="42" t="s">
        <v>165</v>
      </c>
      <c r="DI62" s="1057">
        <f t="shared" si="0"/>
        <v>-57.071245182679377</v>
      </c>
    </row>
    <row r="63" spans="1:116" s="38" customFormat="1" ht="48" customHeight="1">
      <c r="A63" s="1192" t="s">
        <v>166</v>
      </c>
      <c r="B63" s="1193"/>
      <c r="C63" s="1193"/>
      <c r="D63" s="1193"/>
      <c r="E63" s="1193"/>
      <c r="F63" s="1193"/>
      <c r="G63" s="1193"/>
      <c r="H63" s="1193"/>
      <c r="I63" s="1194"/>
      <c r="J63" s="39"/>
      <c r="K63" s="1214" t="s">
        <v>167</v>
      </c>
      <c r="L63" s="1214"/>
      <c r="M63" s="1214"/>
      <c r="N63" s="1214"/>
      <c r="O63" s="1214"/>
      <c r="P63" s="1214"/>
      <c r="Q63" s="1214"/>
      <c r="R63" s="1214"/>
      <c r="S63" s="1214"/>
      <c r="T63" s="1214"/>
      <c r="U63" s="1214"/>
      <c r="V63" s="1214"/>
      <c r="W63" s="1214"/>
      <c r="X63" s="1214"/>
      <c r="Y63" s="1214"/>
      <c r="Z63" s="1214"/>
      <c r="AA63" s="1214"/>
      <c r="AB63" s="1214"/>
      <c r="AC63" s="1214"/>
      <c r="AD63" s="1214"/>
      <c r="AE63" s="1214"/>
      <c r="AF63" s="1214"/>
      <c r="AG63" s="1214"/>
      <c r="AH63" s="1214"/>
      <c r="AI63" s="1214"/>
      <c r="AJ63" s="1214"/>
      <c r="AK63" s="1214"/>
      <c r="AL63" s="1214"/>
      <c r="AM63" s="1214"/>
      <c r="AN63" s="1214"/>
      <c r="AO63" s="1214"/>
      <c r="AP63" s="1214"/>
      <c r="AQ63" s="1214"/>
      <c r="AR63" s="1214"/>
      <c r="AS63" s="1214"/>
      <c r="AT63" s="1214"/>
      <c r="AU63" s="1214"/>
      <c r="AV63" s="1214"/>
      <c r="AW63" s="1214"/>
      <c r="AX63" s="1214"/>
      <c r="AY63" s="1214"/>
      <c r="AZ63" s="1214"/>
      <c r="BA63" s="1214"/>
      <c r="BB63" s="1214"/>
      <c r="BC63" s="1214"/>
      <c r="BD63" s="1214"/>
      <c r="BE63" s="1214"/>
      <c r="BF63" s="1214"/>
      <c r="BG63" s="1214"/>
      <c r="BH63" s="40"/>
      <c r="BI63" s="1196" t="s">
        <v>168</v>
      </c>
      <c r="BJ63" s="1197"/>
      <c r="BK63" s="1197"/>
      <c r="BL63" s="1197"/>
      <c r="BM63" s="1197"/>
      <c r="BN63" s="1197"/>
      <c r="BO63" s="1197"/>
      <c r="BP63" s="1197"/>
      <c r="BQ63" s="1197"/>
      <c r="BR63" s="1197"/>
      <c r="BS63" s="1198"/>
      <c r="BT63" s="48">
        <v>42449</v>
      </c>
      <c r="BU63" s="1059">
        <v>15381</v>
      </c>
      <c r="BV63" s="1059">
        <v>12385</v>
      </c>
      <c r="BW63" s="1220">
        <v>17760</v>
      </c>
      <c r="BX63" s="1221"/>
      <c r="BY63" s="1221"/>
      <c r="BZ63" s="1221"/>
      <c r="CA63" s="1221"/>
      <c r="CB63" s="1221"/>
      <c r="CC63" s="1221"/>
      <c r="CD63" s="1221"/>
      <c r="CE63" s="1221"/>
      <c r="CF63" s="1222"/>
      <c r="CG63" s="1228">
        <v>6436</v>
      </c>
      <c r="CH63" s="1229"/>
      <c r="CI63" s="1229"/>
      <c r="CJ63" s="1229"/>
      <c r="CK63" s="1229"/>
      <c r="CL63" s="1229"/>
      <c r="CM63" s="1229"/>
      <c r="CN63" s="1229"/>
      <c r="CO63" s="1229"/>
      <c r="CP63" s="1230"/>
      <c r="CQ63" s="1160"/>
      <c r="CR63" s="1161"/>
      <c r="CS63" s="1161"/>
      <c r="CT63" s="1161"/>
      <c r="CU63" s="1161"/>
      <c r="CV63" s="1161"/>
      <c r="CW63" s="1161"/>
      <c r="CX63" s="1161"/>
      <c r="CY63" s="1161"/>
      <c r="CZ63" s="1161"/>
      <c r="DA63" s="1161"/>
      <c r="DB63" s="1161"/>
      <c r="DC63" s="1161"/>
      <c r="DD63" s="1161"/>
      <c r="DE63" s="1161"/>
      <c r="DF63" s="1161"/>
      <c r="DG63" s="1162"/>
      <c r="DH63" s="42" t="s">
        <v>152</v>
      </c>
      <c r="DI63" s="1057">
        <f t="shared" si="0"/>
        <v>-63.761261261261261</v>
      </c>
    </row>
    <row r="64" spans="1:116" s="38" customFormat="1" ht="111.75" customHeight="1">
      <c r="A64" s="1192" t="s">
        <v>169</v>
      </c>
      <c r="B64" s="1193"/>
      <c r="C64" s="1193"/>
      <c r="D64" s="1193"/>
      <c r="E64" s="1193"/>
      <c r="F64" s="1193"/>
      <c r="G64" s="1193"/>
      <c r="H64" s="1193"/>
      <c r="I64" s="1194"/>
      <c r="J64" s="39"/>
      <c r="K64" s="1195" t="s">
        <v>170</v>
      </c>
      <c r="L64" s="1195"/>
      <c r="M64" s="1195"/>
      <c r="N64" s="1195"/>
      <c r="O64" s="1195"/>
      <c r="P64" s="1195"/>
      <c r="Q64" s="1195"/>
      <c r="R64" s="1195"/>
      <c r="S64" s="1195"/>
      <c r="T64" s="1195"/>
      <c r="U64" s="1195"/>
      <c r="V64" s="1195"/>
      <c r="W64" s="1195"/>
      <c r="X64" s="1195"/>
      <c r="Y64" s="1195"/>
      <c r="Z64" s="1195"/>
      <c r="AA64" s="1195"/>
      <c r="AB64" s="1195"/>
      <c r="AC64" s="1195"/>
      <c r="AD64" s="1195"/>
      <c r="AE64" s="1195"/>
      <c r="AF64" s="1195"/>
      <c r="AG64" s="1195"/>
      <c r="AH64" s="1195"/>
      <c r="AI64" s="1195"/>
      <c r="AJ64" s="1195"/>
      <c r="AK64" s="1195"/>
      <c r="AL64" s="1195"/>
      <c r="AM64" s="1195"/>
      <c r="AN64" s="1195"/>
      <c r="AO64" s="1195"/>
      <c r="AP64" s="1195"/>
      <c r="AQ64" s="1195"/>
      <c r="AR64" s="1195"/>
      <c r="AS64" s="1195"/>
      <c r="AT64" s="1195"/>
      <c r="AU64" s="1195"/>
      <c r="AV64" s="1195"/>
      <c r="AW64" s="1195"/>
      <c r="AX64" s="1195"/>
      <c r="AY64" s="1195"/>
      <c r="AZ64" s="1195"/>
      <c r="BA64" s="1195"/>
      <c r="BB64" s="1195"/>
      <c r="BC64" s="1195"/>
      <c r="BD64" s="1195"/>
      <c r="BE64" s="1195"/>
      <c r="BF64" s="1195"/>
      <c r="BG64" s="1195"/>
      <c r="BH64" s="40"/>
      <c r="BI64" s="1196" t="s">
        <v>121</v>
      </c>
      <c r="BJ64" s="1197"/>
      <c r="BK64" s="1197"/>
      <c r="BL64" s="1197"/>
      <c r="BM64" s="1197"/>
      <c r="BN64" s="1197"/>
      <c r="BO64" s="1197"/>
      <c r="BP64" s="1197"/>
      <c r="BQ64" s="1197"/>
      <c r="BR64" s="1197"/>
      <c r="BS64" s="1198"/>
      <c r="BT64" s="47"/>
      <c r="BU64" s="1052">
        <v>0</v>
      </c>
      <c r="BV64" s="1052">
        <v>0</v>
      </c>
      <c r="BW64" s="1196">
        <v>0</v>
      </c>
      <c r="BX64" s="1197"/>
      <c r="BY64" s="1197"/>
      <c r="BZ64" s="1197"/>
      <c r="CA64" s="1197"/>
      <c r="CB64" s="1197"/>
      <c r="CC64" s="1197"/>
      <c r="CD64" s="1197"/>
      <c r="CE64" s="1197"/>
      <c r="CF64" s="1198"/>
      <c r="CG64" s="1196">
        <v>0</v>
      </c>
      <c r="CH64" s="1197"/>
      <c r="CI64" s="1197"/>
      <c r="CJ64" s="1197"/>
      <c r="CK64" s="1197"/>
      <c r="CL64" s="1197"/>
      <c r="CM64" s="1197"/>
      <c r="CN64" s="1197"/>
      <c r="CO64" s="1197"/>
      <c r="CP64" s="1198"/>
      <c r="CQ64" s="1151"/>
      <c r="CR64" s="1152"/>
      <c r="CS64" s="1152"/>
      <c r="CT64" s="1152"/>
      <c r="CU64" s="1152"/>
      <c r="CV64" s="1152"/>
      <c r="CW64" s="1152"/>
      <c r="CX64" s="1152"/>
      <c r="CY64" s="1152"/>
      <c r="CZ64" s="1152"/>
      <c r="DA64" s="1152"/>
      <c r="DB64" s="1152"/>
      <c r="DC64" s="1152"/>
      <c r="DD64" s="1152"/>
      <c r="DE64" s="1152"/>
      <c r="DF64" s="1152"/>
      <c r="DG64" s="1153"/>
      <c r="DH64" s="41" t="s">
        <v>63</v>
      </c>
      <c r="DI64" s="1057" t="e">
        <f t="shared" si="0"/>
        <v>#DIV/0!</v>
      </c>
    </row>
    <row r="65" spans="1:113" s="38" customFormat="1" ht="30" customHeight="1">
      <c r="A65" s="1175" t="s">
        <v>171</v>
      </c>
      <c r="B65" s="1176"/>
      <c r="C65" s="1176"/>
      <c r="D65" s="1176"/>
      <c r="E65" s="1176"/>
      <c r="F65" s="1176"/>
      <c r="G65" s="1176"/>
      <c r="H65" s="1176"/>
      <c r="I65" s="1177"/>
      <c r="J65" s="1047"/>
      <c r="K65" s="1188" t="s">
        <v>172</v>
      </c>
      <c r="L65" s="1188"/>
      <c r="M65" s="1188"/>
      <c r="N65" s="1188"/>
      <c r="O65" s="1188"/>
      <c r="P65" s="1188"/>
      <c r="Q65" s="1188"/>
      <c r="R65" s="1188"/>
      <c r="S65" s="1188"/>
      <c r="T65" s="1188"/>
      <c r="U65" s="1188"/>
      <c r="V65" s="1188"/>
      <c r="W65" s="1188"/>
      <c r="X65" s="1188"/>
      <c r="Y65" s="1188"/>
      <c r="Z65" s="1188"/>
      <c r="AA65" s="1188"/>
      <c r="AB65" s="1188"/>
      <c r="AC65" s="1188"/>
      <c r="AD65" s="1188"/>
      <c r="AE65" s="1188"/>
      <c r="AF65" s="1188"/>
      <c r="AG65" s="1188"/>
      <c r="AH65" s="1188"/>
      <c r="AI65" s="1188"/>
      <c r="AJ65" s="1188"/>
      <c r="AK65" s="1188"/>
      <c r="AL65" s="1188"/>
      <c r="AM65" s="1188"/>
      <c r="AN65" s="1188"/>
      <c r="AO65" s="1188"/>
      <c r="AP65" s="1188"/>
      <c r="AQ65" s="1188"/>
      <c r="AR65" s="1188"/>
      <c r="AS65" s="1188"/>
      <c r="AT65" s="1188"/>
      <c r="AU65" s="1188"/>
      <c r="AV65" s="1188"/>
      <c r="AW65" s="1188"/>
      <c r="AX65" s="1188"/>
      <c r="AY65" s="1188"/>
      <c r="AZ65" s="1188"/>
      <c r="BA65" s="1188"/>
      <c r="BB65" s="1188"/>
      <c r="BC65" s="1188"/>
      <c r="BD65" s="1188"/>
      <c r="BE65" s="1188"/>
      <c r="BF65" s="1188"/>
      <c r="BG65" s="1188"/>
      <c r="BH65" s="1048"/>
      <c r="BI65" s="1179" t="s">
        <v>121</v>
      </c>
      <c r="BJ65" s="1180"/>
      <c r="BK65" s="1180"/>
      <c r="BL65" s="1180"/>
      <c r="BM65" s="1180"/>
      <c r="BN65" s="1180"/>
      <c r="BO65" s="1180"/>
      <c r="BP65" s="1180"/>
      <c r="BQ65" s="1180"/>
      <c r="BR65" s="1180"/>
      <c r="BS65" s="1181"/>
      <c r="BT65" s="1226">
        <v>42460</v>
      </c>
      <c r="BU65" s="1052">
        <v>32975.410000000003</v>
      </c>
      <c r="BV65" s="1052">
        <v>471728.67</v>
      </c>
      <c r="BW65" s="1148">
        <f>SUM(BW66:CF68)+BW72</f>
        <v>28569.169889999997</v>
      </c>
      <c r="BX65" s="1197"/>
      <c r="BY65" s="1197"/>
      <c r="BZ65" s="1197"/>
      <c r="CA65" s="1197"/>
      <c r="CB65" s="1197"/>
      <c r="CC65" s="1197"/>
      <c r="CD65" s="1197"/>
      <c r="CE65" s="1197"/>
      <c r="CF65" s="1198"/>
      <c r="CG65" s="1148">
        <f>SUM(CG66:CP68)+CG72</f>
        <v>766243.33764227561</v>
      </c>
      <c r="CH65" s="1197"/>
      <c r="CI65" s="1197"/>
      <c r="CJ65" s="1197"/>
      <c r="CK65" s="1197"/>
      <c r="CL65" s="1197"/>
      <c r="CM65" s="1197"/>
      <c r="CN65" s="1197"/>
      <c r="CO65" s="1197"/>
      <c r="CP65" s="1198"/>
      <c r="CQ65" s="1288" t="s">
        <v>2198</v>
      </c>
      <c r="CR65" s="1289"/>
      <c r="CS65" s="1289"/>
      <c r="CT65" s="1289"/>
      <c r="CU65" s="1289"/>
      <c r="CV65" s="1289"/>
      <c r="CW65" s="1289"/>
      <c r="CX65" s="1289"/>
      <c r="CY65" s="1289"/>
      <c r="CZ65" s="1289"/>
      <c r="DA65" s="1289"/>
      <c r="DB65" s="1289"/>
      <c r="DC65" s="1289"/>
      <c r="DD65" s="1289"/>
      <c r="DE65" s="1289"/>
      <c r="DF65" s="1289"/>
      <c r="DG65" s="1290"/>
      <c r="DH65" s="1199" t="s">
        <v>122</v>
      </c>
      <c r="DI65" s="1057">
        <f t="shared" si="0"/>
        <v>2582.0637092101229</v>
      </c>
    </row>
    <row r="66" spans="1:113" s="38" customFormat="1" ht="30" customHeight="1">
      <c r="A66" s="1175" t="s">
        <v>1518</v>
      </c>
      <c r="B66" s="1176"/>
      <c r="C66" s="1176"/>
      <c r="D66" s="1176"/>
      <c r="E66" s="1176"/>
      <c r="F66" s="1176"/>
      <c r="G66" s="1176"/>
      <c r="H66" s="1176"/>
      <c r="I66" s="1177"/>
      <c r="J66" s="1047"/>
      <c r="K66" s="1188" t="str">
        <f>'5. подк.неподк.план'!D277</f>
        <v>Теплоэнергия на хозяйственные нужды</v>
      </c>
      <c r="L66" s="1188"/>
      <c r="M66" s="1188"/>
      <c r="N66" s="1188"/>
      <c r="O66" s="1188"/>
      <c r="P66" s="1188"/>
      <c r="Q66" s="1188"/>
      <c r="R66" s="1188"/>
      <c r="S66" s="1188"/>
      <c r="T66" s="1188"/>
      <c r="U66" s="1188"/>
      <c r="V66" s="1188"/>
      <c r="W66" s="1188"/>
      <c r="X66" s="1188"/>
      <c r="Y66" s="1188"/>
      <c r="Z66" s="1188"/>
      <c r="AA66" s="1188"/>
      <c r="AB66" s="1188"/>
      <c r="AC66" s="1188"/>
      <c r="AD66" s="1188"/>
      <c r="AE66" s="1188"/>
      <c r="AF66" s="1188"/>
      <c r="AG66" s="1188"/>
      <c r="AH66" s="1188"/>
      <c r="AI66" s="1188"/>
      <c r="AJ66" s="1188"/>
      <c r="AK66" s="1188"/>
      <c r="AL66" s="1188"/>
      <c r="AM66" s="1188"/>
      <c r="AN66" s="1188"/>
      <c r="AO66" s="1188"/>
      <c r="AP66" s="1188"/>
      <c r="AQ66" s="1188"/>
      <c r="AR66" s="1188"/>
      <c r="AS66" s="1188"/>
      <c r="AT66" s="1188"/>
      <c r="AU66" s="1188"/>
      <c r="AV66" s="1188"/>
      <c r="AW66" s="1188"/>
      <c r="AX66" s="1188"/>
      <c r="AY66" s="1188"/>
      <c r="AZ66" s="1188"/>
      <c r="BA66" s="1188"/>
      <c r="BB66" s="1188"/>
      <c r="BC66" s="1188"/>
      <c r="BD66" s="1188"/>
      <c r="BE66" s="1188"/>
      <c r="BF66" s="1188"/>
      <c r="BG66" s="1188"/>
      <c r="BH66" s="1048"/>
      <c r="BI66" s="1179" t="s">
        <v>121</v>
      </c>
      <c r="BJ66" s="1180"/>
      <c r="BK66" s="1180"/>
      <c r="BL66" s="1180"/>
      <c r="BM66" s="1180"/>
      <c r="BN66" s="1180"/>
      <c r="BO66" s="1180"/>
      <c r="BP66" s="1180"/>
      <c r="BQ66" s="1180"/>
      <c r="BR66" s="1180"/>
      <c r="BS66" s="1181"/>
      <c r="BT66" s="1215"/>
      <c r="BU66" s="1052">
        <v>2462.23</v>
      </c>
      <c r="BV66" s="1052">
        <v>4628.45</v>
      </c>
      <c r="BW66" s="1154">
        <f>'5. подк.неподк.план'!Y277</f>
        <v>4671.9598899999992</v>
      </c>
      <c r="BX66" s="1155"/>
      <c r="BY66" s="1155"/>
      <c r="BZ66" s="1155"/>
      <c r="CA66" s="1155"/>
      <c r="CB66" s="1155"/>
      <c r="CC66" s="1155"/>
      <c r="CD66" s="1155"/>
      <c r="CE66" s="1155"/>
      <c r="CF66" s="1156"/>
      <c r="CG66" s="1154">
        <f>'1. подк.неподк. факт'!Z278</f>
        <v>5073.2844999999998</v>
      </c>
      <c r="CH66" s="1155"/>
      <c r="CI66" s="1155"/>
      <c r="CJ66" s="1155"/>
      <c r="CK66" s="1155"/>
      <c r="CL66" s="1155"/>
      <c r="CM66" s="1155"/>
      <c r="CN66" s="1155"/>
      <c r="CO66" s="1155"/>
      <c r="CP66" s="1156"/>
      <c r="CQ66" s="1291"/>
      <c r="CR66" s="1292"/>
      <c r="CS66" s="1292"/>
      <c r="CT66" s="1292"/>
      <c r="CU66" s="1292"/>
      <c r="CV66" s="1292"/>
      <c r="CW66" s="1292"/>
      <c r="CX66" s="1292"/>
      <c r="CY66" s="1292"/>
      <c r="CZ66" s="1292"/>
      <c r="DA66" s="1292"/>
      <c r="DB66" s="1292"/>
      <c r="DC66" s="1292"/>
      <c r="DD66" s="1292"/>
      <c r="DE66" s="1292"/>
      <c r="DF66" s="1292"/>
      <c r="DG66" s="1293"/>
      <c r="DH66" s="1217"/>
      <c r="DI66" s="1057">
        <f t="shared" si="0"/>
        <v>8.5900696805853869</v>
      </c>
    </row>
    <row r="67" spans="1:113" s="38" customFormat="1" ht="30" customHeight="1">
      <c r="A67" s="1175" t="s">
        <v>1519</v>
      </c>
      <c r="B67" s="1176"/>
      <c r="C67" s="1176"/>
      <c r="D67" s="1176"/>
      <c r="E67" s="1176"/>
      <c r="F67" s="1176"/>
      <c r="G67" s="1176"/>
      <c r="H67" s="1176"/>
      <c r="I67" s="1177"/>
      <c r="J67" s="1047"/>
      <c r="K67" s="1188" t="s">
        <v>1285</v>
      </c>
      <c r="L67" s="1188"/>
      <c r="M67" s="1188"/>
      <c r="N67" s="1188"/>
      <c r="O67" s="1188"/>
      <c r="P67" s="1188"/>
      <c r="Q67" s="1188"/>
      <c r="R67" s="1188"/>
      <c r="S67" s="1188"/>
      <c r="T67" s="1188"/>
      <c r="U67" s="1188"/>
      <c r="V67" s="1188"/>
      <c r="W67" s="1188"/>
      <c r="X67" s="1188"/>
      <c r="Y67" s="1188"/>
      <c r="Z67" s="1188"/>
      <c r="AA67" s="1188"/>
      <c r="AB67" s="1188"/>
      <c r="AC67" s="1188"/>
      <c r="AD67" s="1188"/>
      <c r="AE67" s="1188"/>
      <c r="AF67" s="1188"/>
      <c r="AG67" s="1188"/>
      <c r="AH67" s="1188"/>
      <c r="AI67" s="1188"/>
      <c r="AJ67" s="1188"/>
      <c r="AK67" s="1188"/>
      <c r="AL67" s="1188"/>
      <c r="AM67" s="1188"/>
      <c r="AN67" s="1188"/>
      <c r="AO67" s="1188"/>
      <c r="AP67" s="1188"/>
      <c r="AQ67" s="1188"/>
      <c r="AR67" s="1188"/>
      <c r="AS67" s="1188"/>
      <c r="AT67" s="1188"/>
      <c r="AU67" s="1188"/>
      <c r="AV67" s="1188"/>
      <c r="AW67" s="1188"/>
      <c r="AX67" s="1188"/>
      <c r="AY67" s="1188"/>
      <c r="AZ67" s="1188"/>
      <c r="BA67" s="1188"/>
      <c r="BB67" s="1188"/>
      <c r="BC67" s="1188"/>
      <c r="BD67" s="1188"/>
      <c r="BE67" s="1188"/>
      <c r="BF67" s="1188"/>
      <c r="BG67" s="1188"/>
      <c r="BH67" s="1048"/>
      <c r="BI67" s="1179" t="s">
        <v>121</v>
      </c>
      <c r="BJ67" s="1180"/>
      <c r="BK67" s="1180"/>
      <c r="BL67" s="1180"/>
      <c r="BM67" s="1180"/>
      <c r="BN67" s="1180"/>
      <c r="BO67" s="1180"/>
      <c r="BP67" s="1180"/>
      <c r="BQ67" s="1180"/>
      <c r="BR67" s="1180"/>
      <c r="BS67" s="1181"/>
      <c r="BT67" s="1215"/>
      <c r="BU67" s="1052">
        <v>20800</v>
      </c>
      <c r="BV67" s="1052">
        <v>7088.42</v>
      </c>
      <c r="BW67" s="1154">
        <f>'5. подк.неподк.план'!Y279</f>
        <v>20800</v>
      </c>
      <c r="BX67" s="1155"/>
      <c r="BY67" s="1155"/>
      <c r="BZ67" s="1155"/>
      <c r="CA67" s="1155"/>
      <c r="CB67" s="1155"/>
      <c r="CC67" s="1155"/>
      <c r="CD67" s="1155"/>
      <c r="CE67" s="1155"/>
      <c r="CF67" s="1156"/>
      <c r="CG67" s="1154">
        <f>'1. подк.неподк. факт'!Z280</f>
        <v>8964.0206199999993</v>
      </c>
      <c r="CH67" s="1155"/>
      <c r="CI67" s="1155"/>
      <c r="CJ67" s="1155"/>
      <c r="CK67" s="1155"/>
      <c r="CL67" s="1155"/>
      <c r="CM67" s="1155"/>
      <c r="CN67" s="1155"/>
      <c r="CO67" s="1155"/>
      <c r="CP67" s="1156"/>
      <c r="CQ67" s="1291"/>
      <c r="CR67" s="1292"/>
      <c r="CS67" s="1292"/>
      <c r="CT67" s="1292"/>
      <c r="CU67" s="1292"/>
      <c r="CV67" s="1292"/>
      <c r="CW67" s="1292"/>
      <c r="CX67" s="1292"/>
      <c r="CY67" s="1292"/>
      <c r="CZ67" s="1292"/>
      <c r="DA67" s="1292"/>
      <c r="DB67" s="1292"/>
      <c r="DC67" s="1292"/>
      <c r="DD67" s="1292"/>
      <c r="DE67" s="1292"/>
      <c r="DF67" s="1292"/>
      <c r="DG67" s="1293"/>
      <c r="DH67" s="1217"/>
      <c r="DI67" s="1057">
        <f t="shared" si="0"/>
        <v>-56.903747019230771</v>
      </c>
    </row>
    <row r="68" spans="1:113" s="38" customFormat="1" ht="30" customHeight="1">
      <c r="A68" s="1175" t="s">
        <v>1520</v>
      </c>
      <c r="B68" s="1176"/>
      <c r="C68" s="1176"/>
      <c r="D68" s="1176"/>
      <c r="E68" s="1176"/>
      <c r="F68" s="1176"/>
      <c r="G68" s="1176"/>
      <c r="H68" s="1176"/>
      <c r="I68" s="1177"/>
      <c r="J68" s="1047"/>
      <c r="K68" s="1188" t="str">
        <f>'5. подк.неподк.план'!D280</f>
        <v>Внереализационные расходы</v>
      </c>
      <c r="L68" s="1188"/>
      <c r="M68" s="1188"/>
      <c r="N68" s="1188"/>
      <c r="O68" s="1188"/>
      <c r="P68" s="1188"/>
      <c r="Q68" s="1188"/>
      <c r="R68" s="1188"/>
      <c r="S68" s="1188"/>
      <c r="T68" s="1188"/>
      <c r="U68" s="1188"/>
      <c r="V68" s="1188"/>
      <c r="W68" s="1188"/>
      <c r="X68" s="1188"/>
      <c r="Y68" s="1188"/>
      <c r="Z68" s="1188"/>
      <c r="AA68" s="1188"/>
      <c r="AB68" s="1188"/>
      <c r="AC68" s="1188"/>
      <c r="AD68" s="1188"/>
      <c r="AE68" s="1188"/>
      <c r="AF68" s="1188"/>
      <c r="AG68" s="1188"/>
      <c r="AH68" s="1188"/>
      <c r="AI68" s="1188"/>
      <c r="AJ68" s="1188"/>
      <c r="AK68" s="1188"/>
      <c r="AL68" s="1188"/>
      <c r="AM68" s="1188"/>
      <c r="AN68" s="1188"/>
      <c r="AO68" s="1188"/>
      <c r="AP68" s="1188"/>
      <c r="AQ68" s="1188"/>
      <c r="AR68" s="1188"/>
      <c r="AS68" s="1188"/>
      <c r="AT68" s="1188"/>
      <c r="AU68" s="1188"/>
      <c r="AV68" s="1188"/>
      <c r="AW68" s="1188"/>
      <c r="AX68" s="1188"/>
      <c r="AY68" s="1188"/>
      <c r="AZ68" s="1188"/>
      <c r="BA68" s="1188"/>
      <c r="BB68" s="1188"/>
      <c r="BC68" s="1188"/>
      <c r="BD68" s="1188"/>
      <c r="BE68" s="1188"/>
      <c r="BF68" s="1188"/>
      <c r="BG68" s="1188"/>
      <c r="BH68" s="1048"/>
      <c r="BI68" s="1179" t="s">
        <v>121</v>
      </c>
      <c r="BJ68" s="1180"/>
      <c r="BK68" s="1180"/>
      <c r="BL68" s="1180"/>
      <c r="BM68" s="1180"/>
      <c r="BN68" s="1180"/>
      <c r="BO68" s="1180"/>
      <c r="BP68" s="1180"/>
      <c r="BQ68" s="1180"/>
      <c r="BR68" s="1180"/>
      <c r="BS68" s="1181"/>
      <c r="BT68" s="1215"/>
      <c r="BU68" s="1052">
        <v>4748.74</v>
      </c>
      <c r="BV68" s="1052">
        <v>332686.40999999997</v>
      </c>
      <c r="BW68" s="1148">
        <f>BW69+BW71</f>
        <v>3097.21</v>
      </c>
      <c r="BX68" s="1149"/>
      <c r="BY68" s="1149"/>
      <c r="BZ68" s="1149"/>
      <c r="CA68" s="1149"/>
      <c r="CB68" s="1149"/>
      <c r="CC68" s="1149"/>
      <c r="CD68" s="1149"/>
      <c r="CE68" s="1149"/>
      <c r="CF68" s="1150"/>
      <c r="CG68" s="1148">
        <f>CG69+CG71+CG70</f>
        <v>560204.12034999998</v>
      </c>
      <c r="CH68" s="1149"/>
      <c r="CI68" s="1149"/>
      <c r="CJ68" s="1149"/>
      <c r="CK68" s="1149"/>
      <c r="CL68" s="1149"/>
      <c r="CM68" s="1149"/>
      <c r="CN68" s="1149"/>
      <c r="CO68" s="1149"/>
      <c r="CP68" s="1150"/>
      <c r="CQ68" s="1291"/>
      <c r="CR68" s="1292"/>
      <c r="CS68" s="1292"/>
      <c r="CT68" s="1292"/>
      <c r="CU68" s="1292"/>
      <c r="CV68" s="1292"/>
      <c r="CW68" s="1292"/>
      <c r="CX68" s="1292"/>
      <c r="CY68" s="1292"/>
      <c r="CZ68" s="1292"/>
      <c r="DA68" s="1292"/>
      <c r="DB68" s="1292"/>
      <c r="DC68" s="1292"/>
      <c r="DD68" s="1292"/>
      <c r="DE68" s="1292"/>
      <c r="DF68" s="1292"/>
      <c r="DG68" s="1293"/>
      <c r="DH68" s="1217"/>
      <c r="DI68" s="1057">
        <f t="shared" si="0"/>
        <v>17987.379297819651</v>
      </c>
    </row>
    <row r="69" spans="1:113" s="38" customFormat="1" ht="30" customHeight="1">
      <c r="A69" s="1175"/>
      <c r="B69" s="1176"/>
      <c r="C69" s="1176"/>
      <c r="D69" s="1176"/>
      <c r="E69" s="1176"/>
      <c r="F69" s="1176"/>
      <c r="G69" s="1176"/>
      <c r="H69" s="1176"/>
      <c r="I69" s="1177"/>
      <c r="J69" s="1047"/>
      <c r="K69" s="1178" t="s">
        <v>1292</v>
      </c>
      <c r="L69" s="1178"/>
      <c r="M69" s="1178"/>
      <c r="N69" s="1178"/>
      <c r="O69" s="1178"/>
      <c r="P69" s="1178"/>
      <c r="Q69" s="1178"/>
      <c r="R69" s="1178"/>
      <c r="S69" s="1178"/>
      <c r="T69" s="1178"/>
      <c r="U69" s="1178"/>
      <c r="V69" s="1178"/>
      <c r="W69" s="1178"/>
      <c r="X69" s="1178"/>
      <c r="Y69" s="1178"/>
      <c r="Z69" s="1178"/>
      <c r="AA69" s="1178"/>
      <c r="AB69" s="1178"/>
      <c r="AC69" s="1178"/>
      <c r="AD69" s="1178"/>
      <c r="AE69" s="1178"/>
      <c r="AF69" s="1178"/>
      <c r="AG69" s="1178"/>
      <c r="AH69" s="1178"/>
      <c r="AI69" s="1178"/>
      <c r="AJ69" s="1178"/>
      <c r="AK69" s="1178"/>
      <c r="AL69" s="1178"/>
      <c r="AM69" s="1178"/>
      <c r="AN69" s="1178"/>
      <c r="AO69" s="1178"/>
      <c r="AP69" s="1178"/>
      <c r="AQ69" s="1178"/>
      <c r="AR69" s="1178"/>
      <c r="AS69" s="1178"/>
      <c r="AT69" s="1178"/>
      <c r="AU69" s="1178"/>
      <c r="AV69" s="1178"/>
      <c r="AW69" s="1178"/>
      <c r="AX69" s="1178"/>
      <c r="AY69" s="1178"/>
      <c r="AZ69" s="1178"/>
      <c r="BA69" s="1178"/>
      <c r="BB69" s="1178"/>
      <c r="BC69" s="1178"/>
      <c r="BD69" s="1178"/>
      <c r="BE69" s="1178"/>
      <c r="BF69" s="1178"/>
      <c r="BG69" s="1178"/>
      <c r="BH69" s="1046"/>
      <c r="BI69" s="1189" t="s">
        <v>121</v>
      </c>
      <c r="BJ69" s="1190"/>
      <c r="BK69" s="1190"/>
      <c r="BL69" s="1190"/>
      <c r="BM69" s="1190"/>
      <c r="BN69" s="1190"/>
      <c r="BO69" s="1190"/>
      <c r="BP69" s="1190"/>
      <c r="BQ69" s="1190"/>
      <c r="BR69" s="1190"/>
      <c r="BS69" s="1191"/>
      <c r="BT69" s="1215"/>
      <c r="BU69" s="1052">
        <v>3739.09</v>
      </c>
      <c r="BV69" s="1052">
        <v>1876.5</v>
      </c>
      <c r="BW69" s="1182">
        <f>'5. подк.неподк.план'!Y281</f>
        <v>2949.29</v>
      </c>
      <c r="BX69" s="1183"/>
      <c r="BY69" s="1183"/>
      <c r="BZ69" s="1183"/>
      <c r="CA69" s="1183"/>
      <c r="CB69" s="1183"/>
      <c r="CC69" s="1183"/>
      <c r="CD69" s="1183"/>
      <c r="CE69" s="1183"/>
      <c r="CF69" s="1184"/>
      <c r="CG69" s="1182">
        <f>'1. подк.неподк. факт'!Z282</f>
        <v>3947.60833</v>
      </c>
      <c r="CH69" s="1183"/>
      <c r="CI69" s="1183"/>
      <c r="CJ69" s="1183"/>
      <c r="CK69" s="1183"/>
      <c r="CL69" s="1183"/>
      <c r="CM69" s="1183"/>
      <c r="CN69" s="1183"/>
      <c r="CO69" s="1183"/>
      <c r="CP69" s="1184"/>
      <c r="CQ69" s="1291"/>
      <c r="CR69" s="1292"/>
      <c r="CS69" s="1292"/>
      <c r="CT69" s="1292"/>
      <c r="CU69" s="1292"/>
      <c r="CV69" s="1292"/>
      <c r="CW69" s="1292"/>
      <c r="CX69" s="1292"/>
      <c r="CY69" s="1292"/>
      <c r="CZ69" s="1292"/>
      <c r="DA69" s="1292"/>
      <c r="DB69" s="1292"/>
      <c r="DC69" s="1292"/>
      <c r="DD69" s="1292"/>
      <c r="DE69" s="1292"/>
      <c r="DF69" s="1292"/>
      <c r="DG69" s="1293"/>
      <c r="DH69" s="1217"/>
      <c r="DI69" s="1057">
        <f t="shared" si="0"/>
        <v>33.84944613788403</v>
      </c>
    </row>
    <row r="70" spans="1:113" s="38" customFormat="1" ht="30" customHeight="1">
      <c r="A70" s="1175"/>
      <c r="B70" s="1176"/>
      <c r="C70" s="1176"/>
      <c r="D70" s="1176"/>
      <c r="E70" s="1176"/>
      <c r="F70" s="1176"/>
      <c r="G70" s="1176"/>
      <c r="H70" s="1176"/>
      <c r="I70" s="1177"/>
      <c r="J70" s="1047"/>
      <c r="K70" s="1178" t="str">
        <f>'1. подк.неподк. факт'!E283</f>
        <v>ПР по созданию резерва по сомнительным долгам</v>
      </c>
      <c r="L70" s="1178"/>
      <c r="M70" s="1178"/>
      <c r="N70" s="1178"/>
      <c r="O70" s="1178"/>
      <c r="P70" s="1178"/>
      <c r="Q70" s="1178"/>
      <c r="R70" s="1178"/>
      <c r="S70" s="1178"/>
      <c r="T70" s="1178"/>
      <c r="U70" s="1178"/>
      <c r="V70" s="1178"/>
      <c r="W70" s="1178"/>
      <c r="X70" s="1178"/>
      <c r="Y70" s="1178"/>
      <c r="Z70" s="1178"/>
      <c r="AA70" s="1178"/>
      <c r="AB70" s="1178"/>
      <c r="AC70" s="1178"/>
      <c r="AD70" s="1178"/>
      <c r="AE70" s="1178"/>
      <c r="AF70" s="1178"/>
      <c r="AG70" s="1178"/>
      <c r="AH70" s="1178"/>
      <c r="AI70" s="1178"/>
      <c r="AJ70" s="1178"/>
      <c r="AK70" s="1178"/>
      <c r="AL70" s="1178"/>
      <c r="AM70" s="1178"/>
      <c r="AN70" s="1178"/>
      <c r="AO70" s="1178"/>
      <c r="AP70" s="1178"/>
      <c r="AQ70" s="1178"/>
      <c r="AR70" s="1178"/>
      <c r="AS70" s="1178"/>
      <c r="AT70" s="1178"/>
      <c r="AU70" s="1178"/>
      <c r="AV70" s="1178"/>
      <c r="AW70" s="1178"/>
      <c r="AX70" s="1178"/>
      <c r="AY70" s="1178"/>
      <c r="AZ70" s="1178"/>
      <c r="BA70" s="1178"/>
      <c r="BB70" s="1178"/>
      <c r="BC70" s="1178"/>
      <c r="BD70" s="1178"/>
      <c r="BE70" s="1178"/>
      <c r="BF70" s="1178"/>
      <c r="BG70" s="1178"/>
      <c r="BH70" s="1046"/>
      <c r="BI70" s="1189" t="s">
        <v>121</v>
      </c>
      <c r="BJ70" s="1190"/>
      <c r="BK70" s="1190"/>
      <c r="BL70" s="1190"/>
      <c r="BM70" s="1190"/>
      <c r="BN70" s="1190"/>
      <c r="BO70" s="1190"/>
      <c r="BP70" s="1190"/>
      <c r="BQ70" s="1190"/>
      <c r="BR70" s="1190"/>
      <c r="BS70" s="1191"/>
      <c r="BT70" s="1215"/>
      <c r="BU70" s="1052">
        <v>0</v>
      </c>
      <c r="BV70" s="1052">
        <v>330701.90000000002</v>
      </c>
      <c r="BW70" s="1182">
        <v>0</v>
      </c>
      <c r="BX70" s="1183"/>
      <c r="BY70" s="1183"/>
      <c r="BZ70" s="1183"/>
      <c r="CA70" s="1183"/>
      <c r="CB70" s="1183"/>
      <c r="CC70" s="1183"/>
      <c r="CD70" s="1183"/>
      <c r="CE70" s="1183"/>
      <c r="CF70" s="1184"/>
      <c r="CG70" s="1182">
        <f>'1. подк.неподк. факт'!Z283</f>
        <v>556178.09529999993</v>
      </c>
      <c r="CH70" s="1183"/>
      <c r="CI70" s="1183"/>
      <c r="CJ70" s="1183"/>
      <c r="CK70" s="1183"/>
      <c r="CL70" s="1183"/>
      <c r="CM70" s="1183"/>
      <c r="CN70" s="1183"/>
      <c r="CO70" s="1183"/>
      <c r="CP70" s="1184"/>
      <c r="CQ70" s="1291"/>
      <c r="CR70" s="1292"/>
      <c r="CS70" s="1292"/>
      <c r="CT70" s="1292"/>
      <c r="CU70" s="1292"/>
      <c r="CV70" s="1292"/>
      <c r="CW70" s="1292"/>
      <c r="CX70" s="1292"/>
      <c r="CY70" s="1292"/>
      <c r="CZ70" s="1292"/>
      <c r="DA70" s="1292"/>
      <c r="DB70" s="1292"/>
      <c r="DC70" s="1292"/>
      <c r="DD70" s="1292"/>
      <c r="DE70" s="1292"/>
      <c r="DF70" s="1292"/>
      <c r="DG70" s="1293"/>
      <c r="DH70" s="1217"/>
      <c r="DI70" s="1057" t="e">
        <f t="shared" si="0"/>
        <v>#DIV/0!</v>
      </c>
    </row>
    <row r="71" spans="1:113" s="38" customFormat="1" ht="30" customHeight="1">
      <c r="A71" s="1175"/>
      <c r="B71" s="1176"/>
      <c r="C71" s="1176"/>
      <c r="D71" s="1176"/>
      <c r="E71" s="1176"/>
      <c r="F71" s="1176"/>
      <c r="G71" s="1176"/>
      <c r="H71" s="1176"/>
      <c r="I71" s="1177"/>
      <c r="J71" s="1047"/>
      <c r="K71" s="1178" t="s">
        <v>1303</v>
      </c>
      <c r="L71" s="1178"/>
      <c r="M71" s="1178"/>
      <c r="N71" s="1178"/>
      <c r="O71" s="1178"/>
      <c r="P71" s="1178"/>
      <c r="Q71" s="1178"/>
      <c r="R71" s="1178"/>
      <c r="S71" s="1178"/>
      <c r="T71" s="1178"/>
      <c r="U71" s="1178"/>
      <c r="V71" s="1178"/>
      <c r="W71" s="1178"/>
      <c r="X71" s="1178"/>
      <c r="Y71" s="1178"/>
      <c r="Z71" s="1178"/>
      <c r="AA71" s="1178"/>
      <c r="AB71" s="1178"/>
      <c r="AC71" s="1178"/>
      <c r="AD71" s="1178"/>
      <c r="AE71" s="1178"/>
      <c r="AF71" s="1178"/>
      <c r="AG71" s="1178"/>
      <c r="AH71" s="1178"/>
      <c r="AI71" s="1178"/>
      <c r="AJ71" s="1178"/>
      <c r="AK71" s="1178"/>
      <c r="AL71" s="1178"/>
      <c r="AM71" s="1178"/>
      <c r="AN71" s="1178"/>
      <c r="AO71" s="1178"/>
      <c r="AP71" s="1178"/>
      <c r="AQ71" s="1178"/>
      <c r="AR71" s="1178"/>
      <c r="AS71" s="1178"/>
      <c r="AT71" s="1178"/>
      <c r="AU71" s="1178"/>
      <c r="AV71" s="1178"/>
      <c r="AW71" s="1178"/>
      <c r="AX71" s="1178"/>
      <c r="AY71" s="1178"/>
      <c r="AZ71" s="1178"/>
      <c r="BA71" s="1178"/>
      <c r="BB71" s="1178"/>
      <c r="BC71" s="1178"/>
      <c r="BD71" s="1178"/>
      <c r="BE71" s="1178"/>
      <c r="BF71" s="1178"/>
      <c r="BG71" s="1178"/>
      <c r="BH71" s="1046"/>
      <c r="BI71" s="1189" t="s">
        <v>121</v>
      </c>
      <c r="BJ71" s="1190"/>
      <c r="BK71" s="1190"/>
      <c r="BL71" s="1190"/>
      <c r="BM71" s="1190"/>
      <c r="BN71" s="1190"/>
      <c r="BO71" s="1190"/>
      <c r="BP71" s="1190"/>
      <c r="BQ71" s="1190"/>
      <c r="BR71" s="1190"/>
      <c r="BS71" s="1191"/>
      <c r="BT71" s="1215"/>
      <c r="BU71" s="1052">
        <v>1009.65</v>
      </c>
      <c r="BV71" s="1052">
        <v>108.01</v>
      </c>
      <c r="BW71" s="1185">
        <f>'5. подк.неподк.план'!Y284</f>
        <v>147.91999999999999</v>
      </c>
      <c r="BX71" s="1186"/>
      <c r="BY71" s="1186"/>
      <c r="BZ71" s="1186"/>
      <c r="CA71" s="1186"/>
      <c r="CB71" s="1186"/>
      <c r="CC71" s="1186"/>
      <c r="CD71" s="1186"/>
      <c r="CE71" s="1186"/>
      <c r="CF71" s="1187"/>
      <c r="CG71" s="1185">
        <f>'1. подк.неподк. факт'!Z285</f>
        <v>78.416719999999998</v>
      </c>
      <c r="CH71" s="1186"/>
      <c r="CI71" s="1186"/>
      <c r="CJ71" s="1186"/>
      <c r="CK71" s="1186"/>
      <c r="CL71" s="1186"/>
      <c r="CM71" s="1186"/>
      <c r="CN71" s="1186"/>
      <c r="CO71" s="1186"/>
      <c r="CP71" s="1187"/>
      <c r="CQ71" s="1291"/>
      <c r="CR71" s="1292"/>
      <c r="CS71" s="1292"/>
      <c r="CT71" s="1292"/>
      <c r="CU71" s="1292"/>
      <c r="CV71" s="1292"/>
      <c r="CW71" s="1292"/>
      <c r="CX71" s="1292"/>
      <c r="CY71" s="1292"/>
      <c r="CZ71" s="1292"/>
      <c r="DA71" s="1292"/>
      <c r="DB71" s="1292"/>
      <c r="DC71" s="1292"/>
      <c r="DD71" s="1292"/>
      <c r="DE71" s="1292"/>
      <c r="DF71" s="1292"/>
      <c r="DG71" s="1293"/>
      <c r="DH71" s="1217"/>
      <c r="DI71" s="1057">
        <f t="shared" si="0"/>
        <v>-46.987074094104919</v>
      </c>
    </row>
    <row r="72" spans="1:113" s="38" customFormat="1" ht="30" customHeight="1">
      <c r="A72" s="1175" t="s">
        <v>1521</v>
      </c>
      <c r="B72" s="1176"/>
      <c r="C72" s="1176"/>
      <c r="D72" s="1176"/>
      <c r="E72" s="1176"/>
      <c r="F72" s="1176"/>
      <c r="G72" s="1176"/>
      <c r="H72" s="1176"/>
      <c r="I72" s="1177"/>
      <c r="J72" s="1047"/>
      <c r="K72" s="1188" t="s">
        <v>1306</v>
      </c>
      <c r="L72" s="1188"/>
      <c r="M72" s="1188"/>
      <c r="N72" s="1188"/>
      <c r="O72" s="1188"/>
      <c r="P72" s="1188"/>
      <c r="Q72" s="1188"/>
      <c r="R72" s="1188"/>
      <c r="S72" s="1188"/>
      <c r="T72" s="1188"/>
      <c r="U72" s="1188"/>
      <c r="V72" s="1188"/>
      <c r="W72" s="1188"/>
      <c r="X72" s="1188"/>
      <c r="Y72" s="1188"/>
      <c r="Z72" s="1188"/>
      <c r="AA72" s="1188"/>
      <c r="AB72" s="1188"/>
      <c r="AC72" s="1188"/>
      <c r="AD72" s="1188"/>
      <c r="AE72" s="1188"/>
      <c r="AF72" s="1188"/>
      <c r="AG72" s="1188"/>
      <c r="AH72" s="1188"/>
      <c r="AI72" s="1188"/>
      <c r="AJ72" s="1188"/>
      <c r="AK72" s="1188"/>
      <c r="AL72" s="1188"/>
      <c r="AM72" s="1188"/>
      <c r="AN72" s="1188"/>
      <c r="AO72" s="1188"/>
      <c r="AP72" s="1188"/>
      <c r="AQ72" s="1188"/>
      <c r="AR72" s="1188"/>
      <c r="AS72" s="1188"/>
      <c r="AT72" s="1188"/>
      <c r="AU72" s="1188"/>
      <c r="AV72" s="1188"/>
      <c r="AW72" s="1188"/>
      <c r="AX72" s="1188"/>
      <c r="AY72" s="1188"/>
      <c r="AZ72" s="1188"/>
      <c r="BA72" s="1188"/>
      <c r="BB72" s="1188"/>
      <c r="BC72" s="1188"/>
      <c r="BD72" s="1188"/>
      <c r="BE72" s="1188"/>
      <c r="BF72" s="1188"/>
      <c r="BG72" s="1188"/>
      <c r="BH72" s="1048"/>
      <c r="BI72" s="1179" t="s">
        <v>121</v>
      </c>
      <c r="BJ72" s="1180"/>
      <c r="BK72" s="1180"/>
      <c r="BL72" s="1180"/>
      <c r="BM72" s="1180"/>
      <c r="BN72" s="1180"/>
      <c r="BO72" s="1180"/>
      <c r="BP72" s="1180"/>
      <c r="BQ72" s="1180"/>
      <c r="BR72" s="1180"/>
      <c r="BS72" s="1181"/>
      <c r="BT72" s="1215"/>
      <c r="BU72" s="1052">
        <v>4964.4399999999996</v>
      </c>
      <c r="BV72" s="1052">
        <v>127325.39</v>
      </c>
      <c r="BW72" s="1148">
        <f>'5. подк.неподк.план'!Y285</f>
        <v>0</v>
      </c>
      <c r="BX72" s="1149"/>
      <c r="BY72" s="1149"/>
      <c r="BZ72" s="1149"/>
      <c r="CA72" s="1149"/>
      <c r="CB72" s="1149"/>
      <c r="CC72" s="1149"/>
      <c r="CD72" s="1149"/>
      <c r="CE72" s="1149"/>
      <c r="CF72" s="1150"/>
      <c r="CG72" s="1148">
        <f>SUM(CG73:CP83)</f>
        <v>192001.9121722756</v>
      </c>
      <c r="CH72" s="1149"/>
      <c r="CI72" s="1149"/>
      <c r="CJ72" s="1149"/>
      <c r="CK72" s="1149"/>
      <c r="CL72" s="1149"/>
      <c r="CM72" s="1149"/>
      <c r="CN72" s="1149"/>
      <c r="CO72" s="1149"/>
      <c r="CP72" s="1150"/>
      <c r="CQ72" s="1291"/>
      <c r="CR72" s="1292"/>
      <c r="CS72" s="1292"/>
      <c r="CT72" s="1292"/>
      <c r="CU72" s="1292"/>
      <c r="CV72" s="1292"/>
      <c r="CW72" s="1292"/>
      <c r="CX72" s="1292"/>
      <c r="CY72" s="1292"/>
      <c r="CZ72" s="1292"/>
      <c r="DA72" s="1292"/>
      <c r="DB72" s="1292"/>
      <c r="DC72" s="1292"/>
      <c r="DD72" s="1292"/>
      <c r="DE72" s="1292"/>
      <c r="DF72" s="1292"/>
      <c r="DG72" s="1293"/>
      <c r="DH72" s="1217"/>
      <c r="DI72" s="1057"/>
    </row>
    <row r="73" spans="1:113" s="38" customFormat="1" ht="30" customHeight="1" outlineLevel="1">
      <c r="A73" s="1175"/>
      <c r="B73" s="1176"/>
      <c r="C73" s="1176"/>
      <c r="D73" s="1176"/>
      <c r="E73" s="1176"/>
      <c r="F73" s="1176"/>
      <c r="G73" s="1176"/>
      <c r="H73" s="1176"/>
      <c r="I73" s="1177"/>
      <c r="J73" s="1047"/>
      <c r="K73" s="1178" t="s">
        <v>1310</v>
      </c>
      <c r="L73" s="1178"/>
      <c r="M73" s="1178"/>
      <c r="N73" s="1178"/>
      <c r="O73" s="1178"/>
      <c r="P73" s="1178"/>
      <c r="Q73" s="1178"/>
      <c r="R73" s="1178"/>
      <c r="S73" s="1178"/>
      <c r="T73" s="1178"/>
      <c r="U73" s="1178"/>
      <c r="V73" s="1178"/>
      <c r="W73" s="1178"/>
      <c r="X73" s="1178"/>
      <c r="Y73" s="1178"/>
      <c r="Z73" s="1178"/>
      <c r="AA73" s="1178"/>
      <c r="AB73" s="1178"/>
      <c r="AC73" s="1178"/>
      <c r="AD73" s="1178"/>
      <c r="AE73" s="1178"/>
      <c r="AF73" s="1178"/>
      <c r="AG73" s="1178"/>
      <c r="AH73" s="1178"/>
      <c r="AI73" s="1178"/>
      <c r="AJ73" s="1178"/>
      <c r="AK73" s="1178"/>
      <c r="AL73" s="1178"/>
      <c r="AM73" s="1178"/>
      <c r="AN73" s="1178"/>
      <c r="AO73" s="1178"/>
      <c r="AP73" s="1178"/>
      <c r="AQ73" s="1178"/>
      <c r="AR73" s="1178"/>
      <c r="AS73" s="1178"/>
      <c r="AT73" s="1178"/>
      <c r="AU73" s="1178"/>
      <c r="AV73" s="1178"/>
      <c r="AW73" s="1178"/>
      <c r="AX73" s="1178"/>
      <c r="AY73" s="1178"/>
      <c r="AZ73" s="1178"/>
      <c r="BA73" s="1178"/>
      <c r="BB73" s="1178"/>
      <c r="BC73" s="1178"/>
      <c r="BD73" s="1178"/>
      <c r="BE73" s="1178"/>
      <c r="BF73" s="1178"/>
      <c r="BG73" s="1178"/>
      <c r="BH73" s="1048"/>
      <c r="BI73" s="1179" t="s">
        <v>121</v>
      </c>
      <c r="BJ73" s="1180"/>
      <c r="BK73" s="1180"/>
      <c r="BL73" s="1180"/>
      <c r="BM73" s="1180"/>
      <c r="BN73" s="1180"/>
      <c r="BO73" s="1180"/>
      <c r="BP73" s="1180"/>
      <c r="BQ73" s="1180"/>
      <c r="BR73" s="1180"/>
      <c r="BS73" s="1181"/>
      <c r="BT73" s="1215"/>
      <c r="BU73" s="1052">
        <v>4964.4399999999996</v>
      </c>
      <c r="BV73" s="1052">
        <v>4017.18</v>
      </c>
      <c r="BW73" s="1148">
        <v>0</v>
      </c>
      <c r="BX73" s="1149"/>
      <c r="BY73" s="1149"/>
      <c r="BZ73" s="1149"/>
      <c r="CA73" s="1149"/>
      <c r="CB73" s="1149"/>
      <c r="CC73" s="1149"/>
      <c r="CD73" s="1149"/>
      <c r="CE73" s="1149"/>
      <c r="CF73" s="1150"/>
      <c r="CG73" s="1154">
        <f>'1. подк.неподк. факт'!Z287</f>
        <v>5853.1444322757498</v>
      </c>
      <c r="CH73" s="1155"/>
      <c r="CI73" s="1155"/>
      <c r="CJ73" s="1155"/>
      <c r="CK73" s="1155"/>
      <c r="CL73" s="1155"/>
      <c r="CM73" s="1155"/>
      <c r="CN73" s="1155"/>
      <c r="CO73" s="1155"/>
      <c r="CP73" s="1156"/>
      <c r="CQ73" s="1291"/>
      <c r="CR73" s="1292"/>
      <c r="CS73" s="1292"/>
      <c r="CT73" s="1292"/>
      <c r="CU73" s="1292"/>
      <c r="CV73" s="1292"/>
      <c r="CW73" s="1292"/>
      <c r="CX73" s="1292"/>
      <c r="CY73" s="1292"/>
      <c r="CZ73" s="1292"/>
      <c r="DA73" s="1292"/>
      <c r="DB73" s="1292"/>
      <c r="DC73" s="1292"/>
      <c r="DD73" s="1292"/>
      <c r="DE73" s="1292"/>
      <c r="DF73" s="1292"/>
      <c r="DG73" s="1293"/>
      <c r="DH73" s="1217"/>
      <c r="DI73" s="1057"/>
    </row>
    <row r="74" spans="1:113" s="38" customFormat="1" ht="30" customHeight="1" outlineLevel="1">
      <c r="A74" s="1175"/>
      <c r="B74" s="1176"/>
      <c r="C74" s="1176"/>
      <c r="D74" s="1176"/>
      <c r="E74" s="1176"/>
      <c r="F74" s="1176"/>
      <c r="G74" s="1176"/>
      <c r="H74" s="1176"/>
      <c r="I74" s="1177"/>
      <c r="J74" s="1047"/>
      <c r="K74" s="1178" t="s">
        <v>1357</v>
      </c>
      <c r="L74" s="1178"/>
      <c r="M74" s="1178"/>
      <c r="N74" s="1178"/>
      <c r="O74" s="1178"/>
      <c r="P74" s="1178"/>
      <c r="Q74" s="1178"/>
      <c r="R74" s="1178"/>
      <c r="S74" s="1178"/>
      <c r="T74" s="1178"/>
      <c r="U74" s="1178"/>
      <c r="V74" s="1178"/>
      <c r="W74" s="1178"/>
      <c r="X74" s="1178"/>
      <c r="Y74" s="1178"/>
      <c r="Z74" s="1178"/>
      <c r="AA74" s="1178"/>
      <c r="AB74" s="1178"/>
      <c r="AC74" s="1178"/>
      <c r="AD74" s="1178"/>
      <c r="AE74" s="1178"/>
      <c r="AF74" s="1178"/>
      <c r="AG74" s="1178"/>
      <c r="AH74" s="1178"/>
      <c r="AI74" s="1178"/>
      <c r="AJ74" s="1178"/>
      <c r="AK74" s="1178"/>
      <c r="AL74" s="1178"/>
      <c r="AM74" s="1178"/>
      <c r="AN74" s="1178"/>
      <c r="AO74" s="1178"/>
      <c r="AP74" s="1178"/>
      <c r="AQ74" s="1178"/>
      <c r="AR74" s="1178"/>
      <c r="AS74" s="1178"/>
      <c r="AT74" s="1178"/>
      <c r="AU74" s="1178"/>
      <c r="AV74" s="1178"/>
      <c r="AW74" s="1178"/>
      <c r="AX74" s="1178"/>
      <c r="AY74" s="1178"/>
      <c r="AZ74" s="1178"/>
      <c r="BA74" s="1178"/>
      <c r="BB74" s="1178"/>
      <c r="BC74" s="1178"/>
      <c r="BD74" s="1178"/>
      <c r="BE74" s="1178"/>
      <c r="BF74" s="1178"/>
      <c r="BG74" s="1178"/>
      <c r="BH74" s="1048"/>
      <c r="BI74" s="1179" t="s">
        <v>121</v>
      </c>
      <c r="BJ74" s="1180"/>
      <c r="BK74" s="1180"/>
      <c r="BL74" s="1180"/>
      <c r="BM74" s="1180"/>
      <c r="BN74" s="1180"/>
      <c r="BO74" s="1180"/>
      <c r="BP74" s="1180"/>
      <c r="BQ74" s="1180"/>
      <c r="BR74" s="1180"/>
      <c r="BS74" s="1181"/>
      <c r="BT74" s="1215"/>
      <c r="BU74" s="1052">
        <v>0</v>
      </c>
      <c r="BV74" s="1052">
        <v>82760.429999999993</v>
      </c>
      <c r="BW74" s="1148">
        <v>0</v>
      </c>
      <c r="BX74" s="1149"/>
      <c r="BY74" s="1149"/>
      <c r="BZ74" s="1149"/>
      <c r="CA74" s="1149"/>
      <c r="CB74" s="1149"/>
      <c r="CC74" s="1149"/>
      <c r="CD74" s="1149"/>
      <c r="CE74" s="1149"/>
      <c r="CF74" s="1150"/>
      <c r="CG74" s="1154">
        <f>'1. подк.неподк. факт'!Z298</f>
        <v>147919.48778999998</v>
      </c>
      <c r="CH74" s="1155"/>
      <c r="CI74" s="1155"/>
      <c r="CJ74" s="1155"/>
      <c r="CK74" s="1155"/>
      <c r="CL74" s="1155"/>
      <c r="CM74" s="1155"/>
      <c r="CN74" s="1155"/>
      <c r="CO74" s="1155"/>
      <c r="CP74" s="1156"/>
      <c r="CQ74" s="1291"/>
      <c r="CR74" s="1292"/>
      <c r="CS74" s="1292"/>
      <c r="CT74" s="1292"/>
      <c r="CU74" s="1292"/>
      <c r="CV74" s="1292"/>
      <c r="CW74" s="1292"/>
      <c r="CX74" s="1292"/>
      <c r="CY74" s="1292"/>
      <c r="CZ74" s="1292"/>
      <c r="DA74" s="1292"/>
      <c r="DB74" s="1292"/>
      <c r="DC74" s="1292"/>
      <c r="DD74" s="1292"/>
      <c r="DE74" s="1292"/>
      <c r="DF74" s="1292"/>
      <c r="DG74" s="1293"/>
      <c r="DH74" s="1217"/>
      <c r="DI74" s="1057"/>
    </row>
    <row r="75" spans="1:113" s="38" customFormat="1" ht="30" customHeight="1" outlineLevel="1">
      <c r="A75" s="1175"/>
      <c r="B75" s="1176"/>
      <c r="C75" s="1176"/>
      <c r="D75" s="1176"/>
      <c r="E75" s="1176"/>
      <c r="F75" s="1176"/>
      <c r="G75" s="1176"/>
      <c r="H75" s="1176"/>
      <c r="I75" s="1177"/>
      <c r="J75" s="1047"/>
      <c r="K75" s="1178" t="s">
        <v>1375</v>
      </c>
      <c r="L75" s="1178"/>
      <c r="M75" s="1178"/>
      <c r="N75" s="1178"/>
      <c r="O75" s="1178"/>
      <c r="P75" s="1178"/>
      <c r="Q75" s="1178"/>
      <c r="R75" s="1178"/>
      <c r="S75" s="1178"/>
      <c r="T75" s="1178"/>
      <c r="U75" s="1178"/>
      <c r="V75" s="1178"/>
      <c r="W75" s="1178"/>
      <c r="X75" s="1178"/>
      <c r="Y75" s="1178"/>
      <c r="Z75" s="1178"/>
      <c r="AA75" s="1178"/>
      <c r="AB75" s="1178"/>
      <c r="AC75" s="1178"/>
      <c r="AD75" s="1178"/>
      <c r="AE75" s="1178"/>
      <c r="AF75" s="1178"/>
      <c r="AG75" s="1178"/>
      <c r="AH75" s="1178"/>
      <c r="AI75" s="1178"/>
      <c r="AJ75" s="1178"/>
      <c r="AK75" s="1178"/>
      <c r="AL75" s="1178"/>
      <c r="AM75" s="1178"/>
      <c r="AN75" s="1178"/>
      <c r="AO75" s="1178"/>
      <c r="AP75" s="1178"/>
      <c r="AQ75" s="1178"/>
      <c r="AR75" s="1178"/>
      <c r="AS75" s="1178"/>
      <c r="AT75" s="1178"/>
      <c r="AU75" s="1178"/>
      <c r="AV75" s="1178"/>
      <c r="AW75" s="1178"/>
      <c r="AX75" s="1178"/>
      <c r="AY75" s="1178"/>
      <c r="AZ75" s="1178"/>
      <c r="BA75" s="1178"/>
      <c r="BB75" s="1178"/>
      <c r="BC75" s="1178"/>
      <c r="BD75" s="1178"/>
      <c r="BE75" s="1178"/>
      <c r="BF75" s="1178"/>
      <c r="BG75" s="1178"/>
      <c r="BH75" s="1048"/>
      <c r="BI75" s="1179" t="s">
        <v>121</v>
      </c>
      <c r="BJ75" s="1180"/>
      <c r="BK75" s="1180"/>
      <c r="BL75" s="1180"/>
      <c r="BM75" s="1180"/>
      <c r="BN75" s="1180"/>
      <c r="BO75" s="1180"/>
      <c r="BP75" s="1180"/>
      <c r="BQ75" s="1180"/>
      <c r="BR75" s="1180"/>
      <c r="BS75" s="1181"/>
      <c r="BT75" s="1215"/>
      <c r="BU75" s="1052">
        <v>0</v>
      </c>
      <c r="BV75" s="1052">
        <v>2890.52</v>
      </c>
      <c r="BW75" s="1148">
        <v>0</v>
      </c>
      <c r="BX75" s="1149"/>
      <c r="BY75" s="1149"/>
      <c r="BZ75" s="1149"/>
      <c r="CA75" s="1149"/>
      <c r="CB75" s="1149"/>
      <c r="CC75" s="1149"/>
      <c r="CD75" s="1149"/>
      <c r="CE75" s="1149"/>
      <c r="CF75" s="1150"/>
      <c r="CG75" s="1154">
        <f>'1. подк.неподк. факт'!Z302</f>
        <v>2016.91408</v>
      </c>
      <c r="CH75" s="1155"/>
      <c r="CI75" s="1155"/>
      <c r="CJ75" s="1155"/>
      <c r="CK75" s="1155"/>
      <c r="CL75" s="1155"/>
      <c r="CM75" s="1155"/>
      <c r="CN75" s="1155"/>
      <c r="CO75" s="1155"/>
      <c r="CP75" s="1156"/>
      <c r="CQ75" s="1291"/>
      <c r="CR75" s="1292"/>
      <c r="CS75" s="1292"/>
      <c r="CT75" s="1292"/>
      <c r="CU75" s="1292"/>
      <c r="CV75" s="1292"/>
      <c r="CW75" s="1292"/>
      <c r="CX75" s="1292"/>
      <c r="CY75" s="1292"/>
      <c r="CZ75" s="1292"/>
      <c r="DA75" s="1292"/>
      <c r="DB75" s="1292"/>
      <c r="DC75" s="1292"/>
      <c r="DD75" s="1292"/>
      <c r="DE75" s="1292"/>
      <c r="DF75" s="1292"/>
      <c r="DG75" s="1293"/>
      <c r="DH75" s="1217"/>
      <c r="DI75" s="1057"/>
    </row>
    <row r="76" spans="1:113" s="38" customFormat="1" ht="30" customHeight="1" outlineLevel="1">
      <c r="A76" s="1175"/>
      <c r="B76" s="1176"/>
      <c r="C76" s="1176"/>
      <c r="D76" s="1176"/>
      <c r="E76" s="1176"/>
      <c r="F76" s="1176"/>
      <c r="G76" s="1176"/>
      <c r="H76" s="1176"/>
      <c r="I76" s="1177"/>
      <c r="J76" s="1047"/>
      <c r="K76" s="1178" t="s">
        <v>1380</v>
      </c>
      <c r="L76" s="1178"/>
      <c r="M76" s="1178"/>
      <c r="N76" s="1178"/>
      <c r="O76" s="1178"/>
      <c r="P76" s="1178"/>
      <c r="Q76" s="1178"/>
      <c r="R76" s="1178"/>
      <c r="S76" s="1178"/>
      <c r="T76" s="1178"/>
      <c r="U76" s="1178"/>
      <c r="V76" s="1178"/>
      <c r="W76" s="1178"/>
      <c r="X76" s="1178"/>
      <c r="Y76" s="1178"/>
      <c r="Z76" s="1178"/>
      <c r="AA76" s="1178"/>
      <c r="AB76" s="1178"/>
      <c r="AC76" s="1178"/>
      <c r="AD76" s="1178"/>
      <c r="AE76" s="1178"/>
      <c r="AF76" s="1178"/>
      <c r="AG76" s="1178"/>
      <c r="AH76" s="1178"/>
      <c r="AI76" s="1178"/>
      <c r="AJ76" s="1178"/>
      <c r="AK76" s="1178"/>
      <c r="AL76" s="1178"/>
      <c r="AM76" s="1178"/>
      <c r="AN76" s="1178"/>
      <c r="AO76" s="1178"/>
      <c r="AP76" s="1178"/>
      <c r="AQ76" s="1178"/>
      <c r="AR76" s="1178"/>
      <c r="AS76" s="1178"/>
      <c r="AT76" s="1178"/>
      <c r="AU76" s="1178"/>
      <c r="AV76" s="1178"/>
      <c r="AW76" s="1178"/>
      <c r="AX76" s="1178"/>
      <c r="AY76" s="1178"/>
      <c r="AZ76" s="1178"/>
      <c r="BA76" s="1178"/>
      <c r="BB76" s="1178"/>
      <c r="BC76" s="1178"/>
      <c r="BD76" s="1178"/>
      <c r="BE76" s="1178"/>
      <c r="BF76" s="1178"/>
      <c r="BG76" s="1178"/>
      <c r="BH76" s="1048"/>
      <c r="BI76" s="1179" t="s">
        <v>121</v>
      </c>
      <c r="BJ76" s="1180"/>
      <c r="BK76" s="1180"/>
      <c r="BL76" s="1180"/>
      <c r="BM76" s="1180"/>
      <c r="BN76" s="1180"/>
      <c r="BO76" s="1180"/>
      <c r="BP76" s="1180"/>
      <c r="BQ76" s="1180"/>
      <c r="BR76" s="1180"/>
      <c r="BS76" s="1181"/>
      <c r="BT76" s="1215"/>
      <c r="BU76" s="1052">
        <v>0</v>
      </c>
      <c r="BV76" s="1052">
        <v>1260.03</v>
      </c>
      <c r="BW76" s="1148">
        <v>0</v>
      </c>
      <c r="BX76" s="1149"/>
      <c r="BY76" s="1149"/>
      <c r="BZ76" s="1149"/>
      <c r="CA76" s="1149"/>
      <c r="CB76" s="1149"/>
      <c r="CC76" s="1149"/>
      <c r="CD76" s="1149"/>
      <c r="CE76" s="1149"/>
      <c r="CF76" s="1150"/>
      <c r="CG76" s="1154">
        <f>'1. подк.неподк. факт'!Z303</f>
        <v>1215.16057</v>
      </c>
      <c r="CH76" s="1155"/>
      <c r="CI76" s="1155"/>
      <c r="CJ76" s="1155"/>
      <c r="CK76" s="1155"/>
      <c r="CL76" s="1155"/>
      <c r="CM76" s="1155"/>
      <c r="CN76" s="1155"/>
      <c r="CO76" s="1155"/>
      <c r="CP76" s="1156"/>
      <c r="CQ76" s="1291"/>
      <c r="CR76" s="1292"/>
      <c r="CS76" s="1292"/>
      <c r="CT76" s="1292"/>
      <c r="CU76" s="1292"/>
      <c r="CV76" s="1292"/>
      <c r="CW76" s="1292"/>
      <c r="CX76" s="1292"/>
      <c r="CY76" s="1292"/>
      <c r="CZ76" s="1292"/>
      <c r="DA76" s="1292"/>
      <c r="DB76" s="1292"/>
      <c r="DC76" s="1292"/>
      <c r="DD76" s="1292"/>
      <c r="DE76" s="1292"/>
      <c r="DF76" s="1292"/>
      <c r="DG76" s="1293"/>
      <c r="DH76" s="1217"/>
      <c r="DI76" s="1057"/>
    </row>
    <row r="77" spans="1:113" s="38" customFormat="1" ht="30" customHeight="1" outlineLevel="1">
      <c r="A77" s="1175"/>
      <c r="B77" s="1176"/>
      <c r="C77" s="1176"/>
      <c r="D77" s="1176"/>
      <c r="E77" s="1176"/>
      <c r="F77" s="1176"/>
      <c r="G77" s="1176"/>
      <c r="H77" s="1176"/>
      <c r="I77" s="1177"/>
      <c r="J77" s="1047"/>
      <c r="K77" s="1178" t="s">
        <v>1384</v>
      </c>
      <c r="L77" s="1178"/>
      <c r="M77" s="1178"/>
      <c r="N77" s="1178"/>
      <c r="O77" s="1178"/>
      <c r="P77" s="1178"/>
      <c r="Q77" s="1178"/>
      <c r="R77" s="1178"/>
      <c r="S77" s="1178"/>
      <c r="T77" s="1178"/>
      <c r="U77" s="1178"/>
      <c r="V77" s="1178"/>
      <c r="W77" s="1178"/>
      <c r="X77" s="1178"/>
      <c r="Y77" s="1178"/>
      <c r="Z77" s="1178"/>
      <c r="AA77" s="1178"/>
      <c r="AB77" s="1178"/>
      <c r="AC77" s="1178"/>
      <c r="AD77" s="1178"/>
      <c r="AE77" s="1178"/>
      <c r="AF77" s="1178"/>
      <c r="AG77" s="1178"/>
      <c r="AH77" s="1178"/>
      <c r="AI77" s="1178"/>
      <c r="AJ77" s="1178"/>
      <c r="AK77" s="1178"/>
      <c r="AL77" s="1178"/>
      <c r="AM77" s="1178"/>
      <c r="AN77" s="1178"/>
      <c r="AO77" s="1178"/>
      <c r="AP77" s="1178"/>
      <c r="AQ77" s="1178"/>
      <c r="AR77" s="1178"/>
      <c r="AS77" s="1178"/>
      <c r="AT77" s="1178"/>
      <c r="AU77" s="1178"/>
      <c r="AV77" s="1178"/>
      <c r="AW77" s="1178"/>
      <c r="AX77" s="1178"/>
      <c r="AY77" s="1178"/>
      <c r="AZ77" s="1178"/>
      <c r="BA77" s="1178"/>
      <c r="BB77" s="1178"/>
      <c r="BC77" s="1178"/>
      <c r="BD77" s="1178"/>
      <c r="BE77" s="1178"/>
      <c r="BF77" s="1178"/>
      <c r="BG77" s="1178"/>
      <c r="BH77" s="1048"/>
      <c r="BI77" s="1179" t="s">
        <v>121</v>
      </c>
      <c r="BJ77" s="1180"/>
      <c r="BK77" s="1180"/>
      <c r="BL77" s="1180"/>
      <c r="BM77" s="1180"/>
      <c r="BN77" s="1180"/>
      <c r="BO77" s="1180"/>
      <c r="BP77" s="1180"/>
      <c r="BQ77" s="1180"/>
      <c r="BR77" s="1180"/>
      <c r="BS77" s="1181"/>
      <c r="BT77" s="1215"/>
      <c r="BU77" s="1052">
        <v>0</v>
      </c>
      <c r="BV77" s="1052">
        <v>555.34</v>
      </c>
      <c r="BW77" s="1148">
        <v>0</v>
      </c>
      <c r="BX77" s="1149"/>
      <c r="BY77" s="1149"/>
      <c r="BZ77" s="1149"/>
      <c r="CA77" s="1149"/>
      <c r="CB77" s="1149"/>
      <c r="CC77" s="1149"/>
      <c r="CD77" s="1149"/>
      <c r="CE77" s="1149"/>
      <c r="CF77" s="1150"/>
      <c r="CG77" s="1154">
        <f>'1. подк.неподк. факт'!Z304</f>
        <v>802.29806999999994</v>
      </c>
      <c r="CH77" s="1155"/>
      <c r="CI77" s="1155"/>
      <c r="CJ77" s="1155"/>
      <c r="CK77" s="1155"/>
      <c r="CL77" s="1155"/>
      <c r="CM77" s="1155"/>
      <c r="CN77" s="1155"/>
      <c r="CO77" s="1155"/>
      <c r="CP77" s="1156"/>
      <c r="CQ77" s="1291"/>
      <c r="CR77" s="1292"/>
      <c r="CS77" s="1292"/>
      <c r="CT77" s="1292"/>
      <c r="CU77" s="1292"/>
      <c r="CV77" s="1292"/>
      <c r="CW77" s="1292"/>
      <c r="CX77" s="1292"/>
      <c r="CY77" s="1292"/>
      <c r="CZ77" s="1292"/>
      <c r="DA77" s="1292"/>
      <c r="DB77" s="1292"/>
      <c r="DC77" s="1292"/>
      <c r="DD77" s="1292"/>
      <c r="DE77" s="1292"/>
      <c r="DF77" s="1292"/>
      <c r="DG77" s="1293"/>
      <c r="DH77" s="1217"/>
      <c r="DI77" s="1057"/>
    </row>
    <row r="78" spans="1:113" s="38" customFormat="1" ht="30" customHeight="1" outlineLevel="1">
      <c r="A78" s="1175"/>
      <c r="B78" s="1176"/>
      <c r="C78" s="1176"/>
      <c r="D78" s="1176"/>
      <c r="E78" s="1176"/>
      <c r="F78" s="1176"/>
      <c r="G78" s="1176"/>
      <c r="H78" s="1176"/>
      <c r="I78" s="1177"/>
      <c r="J78" s="1047"/>
      <c r="K78" s="1178" t="s">
        <v>1388</v>
      </c>
      <c r="L78" s="1178"/>
      <c r="M78" s="1178"/>
      <c r="N78" s="1178"/>
      <c r="O78" s="1178"/>
      <c r="P78" s="1178"/>
      <c r="Q78" s="1178"/>
      <c r="R78" s="1178"/>
      <c r="S78" s="1178"/>
      <c r="T78" s="1178"/>
      <c r="U78" s="1178"/>
      <c r="V78" s="1178"/>
      <c r="W78" s="1178"/>
      <c r="X78" s="1178"/>
      <c r="Y78" s="1178"/>
      <c r="Z78" s="1178"/>
      <c r="AA78" s="1178"/>
      <c r="AB78" s="1178"/>
      <c r="AC78" s="1178"/>
      <c r="AD78" s="1178"/>
      <c r="AE78" s="1178"/>
      <c r="AF78" s="1178"/>
      <c r="AG78" s="1178"/>
      <c r="AH78" s="1178"/>
      <c r="AI78" s="1178"/>
      <c r="AJ78" s="1178"/>
      <c r="AK78" s="1178"/>
      <c r="AL78" s="1178"/>
      <c r="AM78" s="1178"/>
      <c r="AN78" s="1178"/>
      <c r="AO78" s="1178"/>
      <c r="AP78" s="1178"/>
      <c r="AQ78" s="1178"/>
      <c r="AR78" s="1178"/>
      <c r="AS78" s="1178"/>
      <c r="AT78" s="1178"/>
      <c r="AU78" s="1178"/>
      <c r="AV78" s="1178"/>
      <c r="AW78" s="1178"/>
      <c r="AX78" s="1178"/>
      <c r="AY78" s="1178"/>
      <c r="AZ78" s="1178"/>
      <c r="BA78" s="1178"/>
      <c r="BB78" s="1178"/>
      <c r="BC78" s="1178"/>
      <c r="BD78" s="1178"/>
      <c r="BE78" s="1178"/>
      <c r="BF78" s="1178"/>
      <c r="BG78" s="1178"/>
      <c r="BH78" s="1048"/>
      <c r="BI78" s="1179" t="s">
        <v>121</v>
      </c>
      <c r="BJ78" s="1180"/>
      <c r="BK78" s="1180"/>
      <c r="BL78" s="1180"/>
      <c r="BM78" s="1180"/>
      <c r="BN78" s="1180"/>
      <c r="BO78" s="1180"/>
      <c r="BP78" s="1180"/>
      <c r="BQ78" s="1180"/>
      <c r="BR78" s="1180"/>
      <c r="BS78" s="1181"/>
      <c r="BT78" s="1215"/>
      <c r="BU78" s="1052">
        <v>0</v>
      </c>
      <c r="BV78" s="1052">
        <v>1848.67</v>
      </c>
      <c r="BW78" s="1148">
        <v>0</v>
      </c>
      <c r="BX78" s="1149"/>
      <c r="BY78" s="1149"/>
      <c r="BZ78" s="1149"/>
      <c r="CA78" s="1149"/>
      <c r="CB78" s="1149"/>
      <c r="CC78" s="1149"/>
      <c r="CD78" s="1149"/>
      <c r="CE78" s="1149"/>
      <c r="CF78" s="1150"/>
      <c r="CG78" s="1154">
        <f>'1. подк.неподк. факт'!Z305</f>
        <v>2887.38906</v>
      </c>
      <c r="CH78" s="1155"/>
      <c r="CI78" s="1155"/>
      <c r="CJ78" s="1155"/>
      <c r="CK78" s="1155"/>
      <c r="CL78" s="1155"/>
      <c r="CM78" s="1155"/>
      <c r="CN78" s="1155"/>
      <c r="CO78" s="1155"/>
      <c r="CP78" s="1156"/>
      <c r="CQ78" s="1291"/>
      <c r="CR78" s="1292"/>
      <c r="CS78" s="1292"/>
      <c r="CT78" s="1292"/>
      <c r="CU78" s="1292"/>
      <c r="CV78" s="1292"/>
      <c r="CW78" s="1292"/>
      <c r="CX78" s="1292"/>
      <c r="CY78" s="1292"/>
      <c r="CZ78" s="1292"/>
      <c r="DA78" s="1292"/>
      <c r="DB78" s="1292"/>
      <c r="DC78" s="1292"/>
      <c r="DD78" s="1292"/>
      <c r="DE78" s="1292"/>
      <c r="DF78" s="1292"/>
      <c r="DG78" s="1293"/>
      <c r="DH78" s="1217"/>
      <c r="DI78" s="1057"/>
    </row>
    <row r="79" spans="1:113" s="38" customFormat="1" ht="30" customHeight="1" outlineLevel="1">
      <c r="A79" s="1175"/>
      <c r="B79" s="1176"/>
      <c r="C79" s="1176"/>
      <c r="D79" s="1176"/>
      <c r="E79" s="1176"/>
      <c r="F79" s="1176"/>
      <c r="G79" s="1176"/>
      <c r="H79" s="1176"/>
      <c r="I79" s="1177"/>
      <c r="J79" s="1047"/>
      <c r="K79" s="1178" t="s">
        <v>1393</v>
      </c>
      <c r="L79" s="1178"/>
      <c r="M79" s="1178"/>
      <c r="N79" s="1178"/>
      <c r="O79" s="1178"/>
      <c r="P79" s="1178"/>
      <c r="Q79" s="1178"/>
      <c r="R79" s="1178"/>
      <c r="S79" s="1178"/>
      <c r="T79" s="1178"/>
      <c r="U79" s="1178"/>
      <c r="V79" s="1178"/>
      <c r="W79" s="1178"/>
      <c r="X79" s="1178"/>
      <c r="Y79" s="1178"/>
      <c r="Z79" s="1178"/>
      <c r="AA79" s="1178"/>
      <c r="AB79" s="1178"/>
      <c r="AC79" s="1178"/>
      <c r="AD79" s="1178"/>
      <c r="AE79" s="1178"/>
      <c r="AF79" s="1178"/>
      <c r="AG79" s="1178"/>
      <c r="AH79" s="1178"/>
      <c r="AI79" s="1178"/>
      <c r="AJ79" s="1178"/>
      <c r="AK79" s="1178"/>
      <c r="AL79" s="1178"/>
      <c r="AM79" s="1178"/>
      <c r="AN79" s="1178"/>
      <c r="AO79" s="1178"/>
      <c r="AP79" s="1178"/>
      <c r="AQ79" s="1178"/>
      <c r="AR79" s="1178"/>
      <c r="AS79" s="1178"/>
      <c r="AT79" s="1178"/>
      <c r="AU79" s="1178"/>
      <c r="AV79" s="1178"/>
      <c r="AW79" s="1178"/>
      <c r="AX79" s="1178"/>
      <c r="AY79" s="1178"/>
      <c r="AZ79" s="1178"/>
      <c r="BA79" s="1178"/>
      <c r="BB79" s="1178"/>
      <c r="BC79" s="1178"/>
      <c r="BD79" s="1178"/>
      <c r="BE79" s="1178"/>
      <c r="BF79" s="1178"/>
      <c r="BG79" s="1178"/>
      <c r="BH79" s="1048"/>
      <c r="BI79" s="1179" t="s">
        <v>121</v>
      </c>
      <c r="BJ79" s="1180"/>
      <c r="BK79" s="1180"/>
      <c r="BL79" s="1180"/>
      <c r="BM79" s="1180"/>
      <c r="BN79" s="1180"/>
      <c r="BO79" s="1180"/>
      <c r="BP79" s="1180"/>
      <c r="BQ79" s="1180"/>
      <c r="BR79" s="1180"/>
      <c r="BS79" s="1181"/>
      <c r="BT79" s="1215"/>
      <c r="BU79" s="1052">
        <v>0</v>
      </c>
      <c r="BV79" s="1052">
        <v>5662.71</v>
      </c>
      <c r="BW79" s="1148">
        <v>0</v>
      </c>
      <c r="BX79" s="1149"/>
      <c r="BY79" s="1149"/>
      <c r="BZ79" s="1149"/>
      <c r="CA79" s="1149"/>
      <c r="CB79" s="1149"/>
      <c r="CC79" s="1149"/>
      <c r="CD79" s="1149"/>
      <c r="CE79" s="1149"/>
      <c r="CF79" s="1150"/>
      <c r="CG79" s="1154">
        <f>'1. подк.неподк. факт'!Z306</f>
        <v>2429.2743</v>
      </c>
      <c r="CH79" s="1155"/>
      <c r="CI79" s="1155"/>
      <c r="CJ79" s="1155"/>
      <c r="CK79" s="1155"/>
      <c r="CL79" s="1155"/>
      <c r="CM79" s="1155"/>
      <c r="CN79" s="1155"/>
      <c r="CO79" s="1155"/>
      <c r="CP79" s="1156"/>
      <c r="CQ79" s="1291"/>
      <c r="CR79" s="1292"/>
      <c r="CS79" s="1292"/>
      <c r="CT79" s="1292"/>
      <c r="CU79" s="1292"/>
      <c r="CV79" s="1292"/>
      <c r="CW79" s="1292"/>
      <c r="CX79" s="1292"/>
      <c r="CY79" s="1292"/>
      <c r="CZ79" s="1292"/>
      <c r="DA79" s="1292"/>
      <c r="DB79" s="1292"/>
      <c r="DC79" s="1292"/>
      <c r="DD79" s="1292"/>
      <c r="DE79" s="1292"/>
      <c r="DF79" s="1292"/>
      <c r="DG79" s="1293"/>
      <c r="DH79" s="1217"/>
      <c r="DI79" s="1057"/>
    </row>
    <row r="80" spans="1:113" s="38" customFormat="1" ht="30" customHeight="1" outlineLevel="1">
      <c r="A80" s="1175"/>
      <c r="B80" s="1176"/>
      <c r="C80" s="1176"/>
      <c r="D80" s="1176"/>
      <c r="E80" s="1176"/>
      <c r="F80" s="1176"/>
      <c r="G80" s="1176"/>
      <c r="H80" s="1176"/>
      <c r="I80" s="1177"/>
      <c r="J80" s="1047"/>
      <c r="K80" s="1178" t="s">
        <v>1438</v>
      </c>
      <c r="L80" s="1178"/>
      <c r="M80" s="1178"/>
      <c r="N80" s="1178"/>
      <c r="O80" s="1178"/>
      <c r="P80" s="1178"/>
      <c r="Q80" s="1178"/>
      <c r="R80" s="1178"/>
      <c r="S80" s="1178"/>
      <c r="T80" s="1178"/>
      <c r="U80" s="1178"/>
      <c r="V80" s="1178"/>
      <c r="W80" s="1178"/>
      <c r="X80" s="1178"/>
      <c r="Y80" s="1178"/>
      <c r="Z80" s="1178"/>
      <c r="AA80" s="1178"/>
      <c r="AB80" s="1178"/>
      <c r="AC80" s="1178"/>
      <c r="AD80" s="1178"/>
      <c r="AE80" s="1178"/>
      <c r="AF80" s="1178"/>
      <c r="AG80" s="1178"/>
      <c r="AH80" s="1178"/>
      <c r="AI80" s="1178"/>
      <c r="AJ80" s="1178"/>
      <c r="AK80" s="1178"/>
      <c r="AL80" s="1178"/>
      <c r="AM80" s="1178"/>
      <c r="AN80" s="1178"/>
      <c r="AO80" s="1178"/>
      <c r="AP80" s="1178"/>
      <c r="AQ80" s="1178"/>
      <c r="AR80" s="1178"/>
      <c r="AS80" s="1178"/>
      <c r="AT80" s="1178"/>
      <c r="AU80" s="1178"/>
      <c r="AV80" s="1178"/>
      <c r="AW80" s="1178"/>
      <c r="AX80" s="1178"/>
      <c r="AY80" s="1178"/>
      <c r="AZ80" s="1178"/>
      <c r="BA80" s="1178"/>
      <c r="BB80" s="1178"/>
      <c r="BC80" s="1178"/>
      <c r="BD80" s="1178"/>
      <c r="BE80" s="1178"/>
      <c r="BF80" s="1178"/>
      <c r="BG80" s="1178"/>
      <c r="BH80" s="1048"/>
      <c r="BI80" s="1179" t="s">
        <v>121</v>
      </c>
      <c r="BJ80" s="1180"/>
      <c r="BK80" s="1180"/>
      <c r="BL80" s="1180"/>
      <c r="BM80" s="1180"/>
      <c r="BN80" s="1180"/>
      <c r="BO80" s="1180"/>
      <c r="BP80" s="1180"/>
      <c r="BQ80" s="1180"/>
      <c r="BR80" s="1180"/>
      <c r="BS80" s="1181"/>
      <c r="BT80" s="1215"/>
      <c r="BU80" s="1052">
        <v>0</v>
      </c>
      <c r="BV80" s="1052">
        <v>263.07</v>
      </c>
      <c r="BW80" s="1148">
        <v>0</v>
      </c>
      <c r="BX80" s="1149"/>
      <c r="BY80" s="1149"/>
      <c r="BZ80" s="1149"/>
      <c r="CA80" s="1149"/>
      <c r="CB80" s="1149"/>
      <c r="CC80" s="1149"/>
      <c r="CD80" s="1149"/>
      <c r="CE80" s="1149"/>
      <c r="CF80" s="1150"/>
      <c r="CG80" s="1154">
        <f>'1. подк.неподк. факт'!Z318</f>
        <v>374.73270000000002</v>
      </c>
      <c r="CH80" s="1155"/>
      <c r="CI80" s="1155"/>
      <c r="CJ80" s="1155"/>
      <c r="CK80" s="1155"/>
      <c r="CL80" s="1155"/>
      <c r="CM80" s="1155"/>
      <c r="CN80" s="1155"/>
      <c r="CO80" s="1155"/>
      <c r="CP80" s="1156"/>
      <c r="CQ80" s="1291"/>
      <c r="CR80" s="1292"/>
      <c r="CS80" s="1292"/>
      <c r="CT80" s="1292"/>
      <c r="CU80" s="1292"/>
      <c r="CV80" s="1292"/>
      <c r="CW80" s="1292"/>
      <c r="CX80" s="1292"/>
      <c r="CY80" s="1292"/>
      <c r="CZ80" s="1292"/>
      <c r="DA80" s="1292"/>
      <c r="DB80" s="1292"/>
      <c r="DC80" s="1292"/>
      <c r="DD80" s="1292"/>
      <c r="DE80" s="1292"/>
      <c r="DF80" s="1292"/>
      <c r="DG80" s="1293"/>
      <c r="DH80" s="1217"/>
      <c r="DI80" s="1057"/>
    </row>
    <row r="81" spans="1:116" s="38" customFormat="1" ht="30" customHeight="1" outlineLevel="1">
      <c r="A81" s="1175"/>
      <c r="B81" s="1176"/>
      <c r="C81" s="1176"/>
      <c r="D81" s="1176"/>
      <c r="E81" s="1176"/>
      <c r="F81" s="1176"/>
      <c r="G81" s="1176"/>
      <c r="H81" s="1176"/>
      <c r="I81" s="1177"/>
      <c r="J81" s="1047"/>
      <c r="K81" s="1178" t="s">
        <v>1415</v>
      </c>
      <c r="L81" s="1178"/>
      <c r="M81" s="1178"/>
      <c r="N81" s="1178"/>
      <c r="O81" s="1178"/>
      <c r="P81" s="1178"/>
      <c r="Q81" s="1178"/>
      <c r="R81" s="1178"/>
      <c r="S81" s="1178"/>
      <c r="T81" s="1178"/>
      <c r="U81" s="1178"/>
      <c r="V81" s="1178"/>
      <c r="W81" s="1178"/>
      <c r="X81" s="1178"/>
      <c r="Y81" s="1178"/>
      <c r="Z81" s="1178"/>
      <c r="AA81" s="1178"/>
      <c r="AB81" s="1178"/>
      <c r="AC81" s="1178"/>
      <c r="AD81" s="1178"/>
      <c r="AE81" s="1178"/>
      <c r="AF81" s="1178"/>
      <c r="AG81" s="1178"/>
      <c r="AH81" s="1178"/>
      <c r="AI81" s="1178"/>
      <c r="AJ81" s="1178"/>
      <c r="AK81" s="1178"/>
      <c r="AL81" s="1178"/>
      <c r="AM81" s="1178"/>
      <c r="AN81" s="1178"/>
      <c r="AO81" s="1178"/>
      <c r="AP81" s="1178"/>
      <c r="AQ81" s="1178"/>
      <c r="AR81" s="1178"/>
      <c r="AS81" s="1178"/>
      <c r="AT81" s="1178"/>
      <c r="AU81" s="1178"/>
      <c r="AV81" s="1178"/>
      <c r="AW81" s="1178"/>
      <c r="AX81" s="1178"/>
      <c r="AY81" s="1178"/>
      <c r="AZ81" s="1178"/>
      <c r="BA81" s="1178"/>
      <c r="BB81" s="1178"/>
      <c r="BC81" s="1178"/>
      <c r="BD81" s="1178"/>
      <c r="BE81" s="1178"/>
      <c r="BF81" s="1178"/>
      <c r="BG81" s="1178"/>
      <c r="BH81" s="1048"/>
      <c r="BI81" s="1179" t="s">
        <v>121</v>
      </c>
      <c r="BJ81" s="1180"/>
      <c r="BK81" s="1180"/>
      <c r="BL81" s="1180"/>
      <c r="BM81" s="1180"/>
      <c r="BN81" s="1180"/>
      <c r="BO81" s="1180"/>
      <c r="BP81" s="1180"/>
      <c r="BQ81" s="1180"/>
      <c r="BR81" s="1180"/>
      <c r="BS81" s="1181"/>
      <c r="BT81" s="1215"/>
      <c r="BU81" s="1052">
        <v>0</v>
      </c>
      <c r="BV81" s="1052">
        <v>6038.9</v>
      </c>
      <c r="BW81" s="1148">
        <v>0</v>
      </c>
      <c r="BX81" s="1149"/>
      <c r="BY81" s="1149"/>
      <c r="BZ81" s="1149"/>
      <c r="CA81" s="1149"/>
      <c r="CB81" s="1149"/>
      <c r="CC81" s="1149"/>
      <c r="CD81" s="1149"/>
      <c r="CE81" s="1149"/>
      <c r="CF81" s="1150"/>
      <c r="CG81" s="1154">
        <f>'1. подк.неподк. факт'!Z312</f>
        <v>4307.4105799999998</v>
      </c>
      <c r="CH81" s="1155"/>
      <c r="CI81" s="1155"/>
      <c r="CJ81" s="1155"/>
      <c r="CK81" s="1155"/>
      <c r="CL81" s="1155"/>
      <c r="CM81" s="1155"/>
      <c r="CN81" s="1155"/>
      <c r="CO81" s="1155"/>
      <c r="CP81" s="1156"/>
      <c r="CQ81" s="1291"/>
      <c r="CR81" s="1292"/>
      <c r="CS81" s="1292"/>
      <c r="CT81" s="1292"/>
      <c r="CU81" s="1292"/>
      <c r="CV81" s="1292"/>
      <c r="CW81" s="1292"/>
      <c r="CX81" s="1292"/>
      <c r="CY81" s="1292"/>
      <c r="CZ81" s="1292"/>
      <c r="DA81" s="1292"/>
      <c r="DB81" s="1292"/>
      <c r="DC81" s="1292"/>
      <c r="DD81" s="1292"/>
      <c r="DE81" s="1292"/>
      <c r="DF81" s="1292"/>
      <c r="DG81" s="1293"/>
      <c r="DH81" s="1217"/>
      <c r="DI81" s="1057"/>
    </row>
    <row r="82" spans="1:116" s="38" customFormat="1" ht="30" customHeight="1" outlineLevel="1">
      <c r="A82" s="1175"/>
      <c r="B82" s="1176"/>
      <c r="C82" s="1176"/>
      <c r="D82" s="1176"/>
      <c r="E82" s="1176"/>
      <c r="F82" s="1176"/>
      <c r="G82" s="1176"/>
      <c r="H82" s="1176"/>
      <c r="I82" s="1177"/>
      <c r="J82" s="1047"/>
      <c r="K82" s="1178" t="s">
        <v>1431</v>
      </c>
      <c r="L82" s="1178"/>
      <c r="M82" s="1178"/>
      <c r="N82" s="1178"/>
      <c r="O82" s="1178"/>
      <c r="P82" s="1178"/>
      <c r="Q82" s="1178"/>
      <c r="R82" s="1178"/>
      <c r="S82" s="1178"/>
      <c r="T82" s="1178"/>
      <c r="U82" s="1178"/>
      <c r="V82" s="1178"/>
      <c r="W82" s="1178"/>
      <c r="X82" s="1178"/>
      <c r="Y82" s="1178"/>
      <c r="Z82" s="1178"/>
      <c r="AA82" s="1178"/>
      <c r="AB82" s="1178"/>
      <c r="AC82" s="1178"/>
      <c r="AD82" s="1178"/>
      <c r="AE82" s="1178"/>
      <c r="AF82" s="1178"/>
      <c r="AG82" s="1178"/>
      <c r="AH82" s="1178"/>
      <c r="AI82" s="1178"/>
      <c r="AJ82" s="1178"/>
      <c r="AK82" s="1178"/>
      <c r="AL82" s="1178"/>
      <c r="AM82" s="1178"/>
      <c r="AN82" s="1178"/>
      <c r="AO82" s="1178"/>
      <c r="AP82" s="1178"/>
      <c r="AQ82" s="1178"/>
      <c r="AR82" s="1178"/>
      <c r="AS82" s="1178"/>
      <c r="AT82" s="1178"/>
      <c r="AU82" s="1178"/>
      <c r="AV82" s="1178"/>
      <c r="AW82" s="1178"/>
      <c r="AX82" s="1178"/>
      <c r="AY82" s="1178"/>
      <c r="AZ82" s="1178"/>
      <c r="BA82" s="1178"/>
      <c r="BB82" s="1178"/>
      <c r="BC82" s="1178"/>
      <c r="BD82" s="1178"/>
      <c r="BE82" s="1178"/>
      <c r="BF82" s="1178"/>
      <c r="BG82" s="1178"/>
      <c r="BH82" s="1048"/>
      <c r="BI82" s="1179" t="s">
        <v>121</v>
      </c>
      <c r="BJ82" s="1180"/>
      <c r="BK82" s="1180"/>
      <c r="BL82" s="1180"/>
      <c r="BM82" s="1180"/>
      <c r="BN82" s="1180"/>
      <c r="BO82" s="1180"/>
      <c r="BP82" s="1180"/>
      <c r="BQ82" s="1180"/>
      <c r="BR82" s="1180"/>
      <c r="BS82" s="1181"/>
      <c r="BT82" s="1215"/>
      <c r="BU82" s="1052">
        <v>0</v>
      </c>
      <c r="BV82" s="1052">
        <v>8989.5300000000007</v>
      </c>
      <c r="BW82" s="1148">
        <v>0</v>
      </c>
      <c r="BX82" s="1149"/>
      <c r="BY82" s="1149"/>
      <c r="BZ82" s="1149"/>
      <c r="CA82" s="1149"/>
      <c r="CB82" s="1149"/>
      <c r="CC82" s="1149"/>
      <c r="CD82" s="1149"/>
      <c r="CE82" s="1149"/>
      <c r="CF82" s="1150"/>
      <c r="CG82" s="1154">
        <v>0</v>
      </c>
      <c r="CH82" s="1155"/>
      <c r="CI82" s="1155"/>
      <c r="CJ82" s="1155"/>
      <c r="CK82" s="1155"/>
      <c r="CL82" s="1155"/>
      <c r="CM82" s="1155"/>
      <c r="CN82" s="1155"/>
      <c r="CO82" s="1155"/>
      <c r="CP82" s="1156"/>
      <c r="CQ82" s="1291"/>
      <c r="CR82" s="1292"/>
      <c r="CS82" s="1292"/>
      <c r="CT82" s="1292"/>
      <c r="CU82" s="1292"/>
      <c r="CV82" s="1292"/>
      <c r="CW82" s="1292"/>
      <c r="CX82" s="1292"/>
      <c r="CY82" s="1292"/>
      <c r="CZ82" s="1292"/>
      <c r="DA82" s="1292"/>
      <c r="DB82" s="1292"/>
      <c r="DC82" s="1292"/>
      <c r="DD82" s="1292"/>
      <c r="DE82" s="1292"/>
      <c r="DF82" s="1292"/>
      <c r="DG82" s="1293"/>
      <c r="DH82" s="1217"/>
      <c r="DI82" s="1057"/>
      <c r="DJ82" s="416">
        <f>CG18-BW18</f>
        <v>541261.65540009923</v>
      </c>
    </row>
    <row r="83" spans="1:116" s="38" customFormat="1" ht="30" customHeight="1" outlineLevel="1">
      <c r="A83" s="1175"/>
      <c r="B83" s="1176"/>
      <c r="C83" s="1176"/>
      <c r="D83" s="1176"/>
      <c r="E83" s="1176"/>
      <c r="F83" s="1176"/>
      <c r="G83" s="1176"/>
      <c r="H83" s="1176"/>
      <c r="I83" s="1177"/>
      <c r="J83" s="1047"/>
      <c r="K83" s="1178" t="s">
        <v>2194</v>
      </c>
      <c r="L83" s="1178"/>
      <c r="M83" s="1178"/>
      <c r="N83" s="1178"/>
      <c r="O83" s="1178"/>
      <c r="P83" s="1178"/>
      <c r="Q83" s="1178"/>
      <c r="R83" s="1178"/>
      <c r="S83" s="1178"/>
      <c r="T83" s="1178"/>
      <c r="U83" s="1178"/>
      <c r="V83" s="1178"/>
      <c r="W83" s="1178"/>
      <c r="X83" s="1178"/>
      <c r="Y83" s="1178"/>
      <c r="Z83" s="1178"/>
      <c r="AA83" s="1178"/>
      <c r="AB83" s="1178"/>
      <c r="AC83" s="1178"/>
      <c r="AD83" s="1178"/>
      <c r="AE83" s="1178"/>
      <c r="AF83" s="1178"/>
      <c r="AG83" s="1178"/>
      <c r="AH83" s="1178"/>
      <c r="AI83" s="1178"/>
      <c r="AJ83" s="1178"/>
      <c r="AK83" s="1178"/>
      <c r="AL83" s="1178"/>
      <c r="AM83" s="1178"/>
      <c r="AN83" s="1178"/>
      <c r="AO83" s="1178"/>
      <c r="AP83" s="1178"/>
      <c r="AQ83" s="1178"/>
      <c r="AR83" s="1178"/>
      <c r="AS83" s="1178"/>
      <c r="AT83" s="1178"/>
      <c r="AU83" s="1178"/>
      <c r="AV83" s="1178"/>
      <c r="AW83" s="1178"/>
      <c r="AX83" s="1178"/>
      <c r="AY83" s="1178"/>
      <c r="AZ83" s="1178"/>
      <c r="BA83" s="1178"/>
      <c r="BB83" s="1178"/>
      <c r="BC83" s="1178"/>
      <c r="BD83" s="1178"/>
      <c r="BE83" s="1178"/>
      <c r="BF83" s="1178"/>
      <c r="BG83" s="1178"/>
      <c r="BH83" s="1048"/>
      <c r="BI83" s="1179" t="s">
        <v>121</v>
      </c>
      <c r="BJ83" s="1180"/>
      <c r="BK83" s="1180"/>
      <c r="BL83" s="1180"/>
      <c r="BM83" s="1180"/>
      <c r="BN83" s="1180"/>
      <c r="BO83" s="1180"/>
      <c r="BP83" s="1180"/>
      <c r="BQ83" s="1180"/>
      <c r="BR83" s="1180"/>
      <c r="BS83" s="1181"/>
      <c r="BT83" s="1215"/>
      <c r="BU83" s="1052">
        <v>0</v>
      </c>
      <c r="BV83" s="1052">
        <v>13039.01</v>
      </c>
      <c r="BW83" s="1148">
        <v>0</v>
      </c>
      <c r="BX83" s="1149"/>
      <c r="BY83" s="1149"/>
      <c r="BZ83" s="1149"/>
      <c r="CA83" s="1149"/>
      <c r="CB83" s="1149"/>
      <c r="CC83" s="1149"/>
      <c r="CD83" s="1149"/>
      <c r="CE83" s="1149"/>
      <c r="CF83" s="1150"/>
      <c r="CG83" s="1154">
        <f>'1. подк.неподк. факт'!Z286-CG73-CG74-CG75-CG76-CG77-CG78-CG79-CG80-CG81-CG82-2.6</f>
        <v>24196.100589999915</v>
      </c>
      <c r="CH83" s="1155"/>
      <c r="CI83" s="1155"/>
      <c r="CJ83" s="1155"/>
      <c r="CK83" s="1155"/>
      <c r="CL83" s="1155"/>
      <c r="CM83" s="1155"/>
      <c r="CN83" s="1155"/>
      <c r="CO83" s="1155"/>
      <c r="CP83" s="1156"/>
      <c r="CQ83" s="1160"/>
      <c r="CR83" s="1161"/>
      <c r="CS83" s="1161"/>
      <c r="CT83" s="1161"/>
      <c r="CU83" s="1161"/>
      <c r="CV83" s="1161"/>
      <c r="CW83" s="1161"/>
      <c r="CX83" s="1161"/>
      <c r="CY83" s="1161"/>
      <c r="CZ83" s="1161"/>
      <c r="DA83" s="1161"/>
      <c r="DB83" s="1161"/>
      <c r="DC83" s="1161"/>
      <c r="DD83" s="1161"/>
      <c r="DE83" s="1161"/>
      <c r="DF83" s="1161"/>
      <c r="DG83" s="1162"/>
      <c r="DH83" s="1217"/>
      <c r="DI83" s="1057"/>
    </row>
    <row r="84" spans="1:116" s="38" customFormat="1" ht="45" customHeight="1">
      <c r="A84" s="1175" t="s">
        <v>4</v>
      </c>
      <c r="B84" s="1176"/>
      <c r="C84" s="1176"/>
      <c r="D84" s="1176"/>
      <c r="E84" s="1176"/>
      <c r="F84" s="1176"/>
      <c r="G84" s="1176"/>
      <c r="H84" s="1176"/>
      <c r="I84" s="1177"/>
      <c r="J84" s="1047"/>
      <c r="K84" s="1188" t="s">
        <v>173</v>
      </c>
      <c r="L84" s="1188"/>
      <c r="M84" s="1188"/>
      <c r="N84" s="1188"/>
      <c r="O84" s="1188"/>
      <c r="P84" s="1188"/>
      <c r="Q84" s="1188"/>
      <c r="R84" s="1188"/>
      <c r="S84" s="1188"/>
      <c r="T84" s="1188"/>
      <c r="U84" s="1188"/>
      <c r="V84" s="1188"/>
      <c r="W84" s="1188"/>
      <c r="X84" s="1188"/>
      <c r="Y84" s="1188"/>
      <c r="Z84" s="1188"/>
      <c r="AA84" s="1188"/>
      <c r="AB84" s="1188"/>
      <c r="AC84" s="1188"/>
      <c r="AD84" s="1188"/>
      <c r="AE84" s="1188"/>
      <c r="AF84" s="1188"/>
      <c r="AG84" s="1188"/>
      <c r="AH84" s="1188"/>
      <c r="AI84" s="1188"/>
      <c r="AJ84" s="1188"/>
      <c r="AK84" s="1188"/>
      <c r="AL84" s="1188"/>
      <c r="AM84" s="1188"/>
      <c r="AN84" s="1188"/>
      <c r="AO84" s="1188"/>
      <c r="AP84" s="1188"/>
      <c r="AQ84" s="1188"/>
      <c r="AR84" s="1188"/>
      <c r="AS84" s="1188"/>
      <c r="AT84" s="1188"/>
      <c r="AU84" s="1188"/>
      <c r="AV84" s="1188"/>
      <c r="AW84" s="1188"/>
      <c r="AX84" s="1188"/>
      <c r="AY84" s="1188"/>
      <c r="AZ84" s="1188"/>
      <c r="BA84" s="1188"/>
      <c r="BB84" s="1188"/>
      <c r="BC84" s="1188"/>
      <c r="BD84" s="1188"/>
      <c r="BE84" s="1188"/>
      <c r="BF84" s="1188"/>
      <c r="BG84" s="1188"/>
      <c r="BH84" s="1048"/>
      <c r="BI84" s="1179" t="s">
        <v>121</v>
      </c>
      <c r="BJ84" s="1180"/>
      <c r="BK84" s="1180"/>
      <c r="BL84" s="1180"/>
      <c r="BM84" s="1180"/>
      <c r="BN84" s="1180"/>
      <c r="BO84" s="1180"/>
      <c r="BP84" s="1180"/>
      <c r="BQ84" s="1180"/>
      <c r="BR84" s="1180"/>
      <c r="BS84" s="1181"/>
      <c r="BT84" s="1215"/>
      <c r="BU84" s="1059">
        <v>317532.76</v>
      </c>
      <c r="BV84" s="1059">
        <v>763710.26</v>
      </c>
      <c r="BW84" s="1220">
        <f>345140.3-BW62</f>
        <v>317659.25599999999</v>
      </c>
      <c r="BX84" s="1221"/>
      <c r="BY84" s="1221"/>
      <c r="BZ84" s="1221"/>
      <c r="CA84" s="1221"/>
      <c r="CB84" s="1221"/>
      <c r="CC84" s="1221"/>
      <c r="CD84" s="1221"/>
      <c r="CE84" s="1221"/>
      <c r="CF84" s="1222"/>
      <c r="CG84" s="1223">
        <v>771007</v>
      </c>
      <c r="CH84" s="1224"/>
      <c r="CI84" s="1224"/>
      <c r="CJ84" s="1224"/>
      <c r="CK84" s="1224"/>
      <c r="CL84" s="1224"/>
      <c r="CM84" s="1224"/>
      <c r="CN84" s="1224"/>
      <c r="CO84" s="1224"/>
      <c r="CP84" s="1225"/>
      <c r="CQ84" s="1151"/>
      <c r="CR84" s="1152"/>
      <c r="CS84" s="1152"/>
      <c r="CT84" s="1152"/>
      <c r="CU84" s="1152"/>
      <c r="CV84" s="1152"/>
      <c r="CW84" s="1152"/>
      <c r="CX84" s="1152"/>
      <c r="CY84" s="1152"/>
      <c r="CZ84" s="1152"/>
      <c r="DA84" s="1152"/>
      <c r="DB84" s="1152"/>
      <c r="DC84" s="1152"/>
      <c r="DD84" s="1152"/>
      <c r="DE84" s="1152"/>
      <c r="DF84" s="1152"/>
      <c r="DG84" s="1153"/>
      <c r="DH84" s="1200"/>
      <c r="DI84" s="1057">
        <f t="shared" ref="DI84:DI113" si="2">CG84*100/BW84-100</f>
        <v>142.71510602543248</v>
      </c>
    </row>
    <row r="85" spans="1:116" s="38" customFormat="1" ht="30" customHeight="1">
      <c r="A85" s="1175" t="s">
        <v>174</v>
      </c>
      <c r="B85" s="1176"/>
      <c r="C85" s="1176"/>
      <c r="D85" s="1176"/>
      <c r="E85" s="1176"/>
      <c r="F85" s="1176"/>
      <c r="G85" s="1176"/>
      <c r="H85" s="1176"/>
      <c r="I85" s="1177"/>
      <c r="J85" s="1047"/>
      <c r="K85" s="1188" t="s">
        <v>175</v>
      </c>
      <c r="L85" s="1188"/>
      <c r="M85" s="1188"/>
      <c r="N85" s="1188"/>
      <c r="O85" s="1188"/>
      <c r="P85" s="1188"/>
      <c r="Q85" s="1188"/>
      <c r="R85" s="1188"/>
      <c r="S85" s="1188"/>
      <c r="T85" s="1188"/>
      <c r="U85" s="1188"/>
      <c r="V85" s="1188"/>
      <c r="W85" s="1188"/>
      <c r="X85" s="1188"/>
      <c r="Y85" s="1188"/>
      <c r="Z85" s="1188"/>
      <c r="AA85" s="1188"/>
      <c r="AB85" s="1188"/>
      <c r="AC85" s="1188"/>
      <c r="AD85" s="1188"/>
      <c r="AE85" s="1188"/>
      <c r="AF85" s="1188"/>
      <c r="AG85" s="1188"/>
      <c r="AH85" s="1188"/>
      <c r="AI85" s="1188"/>
      <c r="AJ85" s="1188"/>
      <c r="AK85" s="1188"/>
      <c r="AL85" s="1188"/>
      <c r="AM85" s="1188"/>
      <c r="AN85" s="1188"/>
      <c r="AO85" s="1188"/>
      <c r="AP85" s="1188"/>
      <c r="AQ85" s="1188"/>
      <c r="AR85" s="1188"/>
      <c r="AS85" s="1188"/>
      <c r="AT85" s="1188"/>
      <c r="AU85" s="1188"/>
      <c r="AV85" s="1188"/>
      <c r="AW85" s="1188"/>
      <c r="AX85" s="1188"/>
      <c r="AY85" s="1188"/>
      <c r="AZ85" s="1188"/>
      <c r="BA85" s="1188"/>
      <c r="BB85" s="1188"/>
      <c r="BC85" s="1188"/>
      <c r="BD85" s="1188"/>
      <c r="BE85" s="1188"/>
      <c r="BF85" s="1188"/>
      <c r="BG85" s="1188"/>
      <c r="BH85" s="1048"/>
      <c r="BI85" s="1179" t="s">
        <v>121</v>
      </c>
      <c r="BJ85" s="1180"/>
      <c r="BK85" s="1180"/>
      <c r="BL85" s="1180"/>
      <c r="BM85" s="1180"/>
      <c r="BN85" s="1180"/>
      <c r="BO85" s="1180"/>
      <c r="BP85" s="1180"/>
      <c r="BQ85" s="1180"/>
      <c r="BR85" s="1180"/>
      <c r="BS85" s="1181"/>
      <c r="BT85" s="1215"/>
      <c r="BU85" s="1052">
        <v>269296.2</v>
      </c>
      <c r="BV85" s="1052">
        <v>292233.26</v>
      </c>
      <c r="BW85" s="1148">
        <f>BW22+BW26+BW24</f>
        <v>215754.38823125989</v>
      </c>
      <c r="BX85" s="1149"/>
      <c r="BY85" s="1149"/>
      <c r="BZ85" s="1149"/>
      <c r="CA85" s="1149"/>
      <c r="CB85" s="1149"/>
      <c r="CC85" s="1149"/>
      <c r="CD85" s="1149"/>
      <c r="CE85" s="1149"/>
      <c r="CF85" s="1150"/>
      <c r="CG85" s="1148">
        <f>CG22+CG26+CG24</f>
        <v>300910</v>
      </c>
      <c r="CH85" s="1149"/>
      <c r="CI85" s="1149"/>
      <c r="CJ85" s="1149"/>
      <c r="CK85" s="1149"/>
      <c r="CL85" s="1149"/>
      <c r="CM85" s="1149"/>
      <c r="CN85" s="1149"/>
      <c r="CO85" s="1149"/>
      <c r="CP85" s="1150"/>
      <c r="CQ85" s="1151"/>
      <c r="CR85" s="1152"/>
      <c r="CS85" s="1152"/>
      <c r="CT85" s="1152"/>
      <c r="CU85" s="1152"/>
      <c r="CV85" s="1152"/>
      <c r="CW85" s="1152"/>
      <c r="CX85" s="1152"/>
      <c r="CY85" s="1152"/>
      <c r="CZ85" s="1152"/>
      <c r="DA85" s="1152"/>
      <c r="DB85" s="1152"/>
      <c r="DC85" s="1152"/>
      <c r="DD85" s="1152"/>
      <c r="DE85" s="1152"/>
      <c r="DF85" s="1152"/>
      <c r="DG85" s="1153"/>
      <c r="DH85" s="1218"/>
      <c r="DI85" s="1057">
        <f t="shared" si="2"/>
        <v>39.468773945614799</v>
      </c>
    </row>
    <row r="86" spans="1:116" s="38" customFormat="1" ht="45" customHeight="1">
      <c r="A86" s="1175" t="s">
        <v>176</v>
      </c>
      <c r="B86" s="1176"/>
      <c r="C86" s="1176"/>
      <c r="D86" s="1176"/>
      <c r="E86" s="1176"/>
      <c r="F86" s="1176"/>
      <c r="G86" s="1176"/>
      <c r="H86" s="1176"/>
      <c r="I86" s="1177"/>
      <c r="J86" s="1047"/>
      <c r="K86" s="1188" t="s">
        <v>177</v>
      </c>
      <c r="L86" s="1188"/>
      <c r="M86" s="1188"/>
      <c r="N86" s="1188"/>
      <c r="O86" s="1188"/>
      <c r="P86" s="1188"/>
      <c r="Q86" s="1188"/>
      <c r="R86" s="1188"/>
      <c r="S86" s="1188"/>
      <c r="T86" s="1188"/>
      <c r="U86" s="1188"/>
      <c r="V86" s="1188"/>
      <c r="W86" s="1188"/>
      <c r="X86" s="1188"/>
      <c r="Y86" s="1188"/>
      <c r="Z86" s="1188"/>
      <c r="AA86" s="1188"/>
      <c r="AB86" s="1188"/>
      <c r="AC86" s="1188"/>
      <c r="AD86" s="1188"/>
      <c r="AE86" s="1188"/>
      <c r="AF86" s="1188"/>
      <c r="AG86" s="1188"/>
      <c r="AH86" s="1188"/>
      <c r="AI86" s="1188"/>
      <c r="AJ86" s="1188"/>
      <c r="AK86" s="1188"/>
      <c r="AL86" s="1188"/>
      <c r="AM86" s="1188"/>
      <c r="AN86" s="1188"/>
      <c r="AO86" s="1188"/>
      <c r="AP86" s="1188"/>
      <c r="AQ86" s="1188"/>
      <c r="AR86" s="1188"/>
      <c r="AS86" s="1188"/>
      <c r="AT86" s="1188"/>
      <c r="AU86" s="1188"/>
      <c r="AV86" s="1188"/>
      <c r="AW86" s="1188"/>
      <c r="AX86" s="1188"/>
      <c r="AY86" s="1188"/>
      <c r="AZ86" s="1188"/>
      <c r="BA86" s="1188"/>
      <c r="BB86" s="1188"/>
      <c r="BC86" s="1188"/>
      <c r="BD86" s="1188"/>
      <c r="BE86" s="1188"/>
      <c r="BF86" s="1188"/>
      <c r="BG86" s="1188"/>
      <c r="BH86" s="1048"/>
      <c r="BI86" s="1179" t="s">
        <v>121</v>
      </c>
      <c r="BJ86" s="1180"/>
      <c r="BK86" s="1180"/>
      <c r="BL86" s="1180"/>
      <c r="BM86" s="1180"/>
      <c r="BN86" s="1180"/>
      <c r="BO86" s="1180"/>
      <c r="BP86" s="1180"/>
      <c r="BQ86" s="1180"/>
      <c r="BR86" s="1180"/>
      <c r="BS86" s="1181"/>
      <c r="BT86" s="1227"/>
      <c r="BU86" s="1052">
        <v>2470880.5099999998</v>
      </c>
      <c r="BV86" s="1052">
        <v>2544802.7799999998</v>
      </c>
      <c r="BW86" s="1148">
        <f>[63]Лист1!$D$10</f>
        <v>2963716.16</v>
      </c>
      <c r="BX86" s="1149"/>
      <c r="BY86" s="1149"/>
      <c r="BZ86" s="1149"/>
      <c r="CA86" s="1149"/>
      <c r="CB86" s="1149"/>
      <c r="CC86" s="1149"/>
      <c r="CD86" s="1149"/>
      <c r="CE86" s="1149"/>
      <c r="CF86" s="1150"/>
      <c r="CG86" s="1148">
        <f>'1.6'!BT24</f>
        <v>3193462</v>
      </c>
      <c r="CH86" s="1149"/>
      <c r="CI86" s="1149"/>
      <c r="CJ86" s="1149"/>
      <c r="CK86" s="1149"/>
      <c r="CL86" s="1149"/>
      <c r="CM86" s="1149"/>
      <c r="CN86" s="1149"/>
      <c r="CO86" s="1149"/>
      <c r="CP86" s="1150"/>
      <c r="CQ86" s="1151"/>
      <c r="CR86" s="1152"/>
      <c r="CS86" s="1152"/>
      <c r="CT86" s="1152"/>
      <c r="CU86" s="1152"/>
      <c r="CV86" s="1152"/>
      <c r="CW86" s="1152"/>
      <c r="CX86" s="1152"/>
      <c r="CY86" s="1152"/>
      <c r="CZ86" s="1152"/>
      <c r="DA86" s="1152"/>
      <c r="DB86" s="1152"/>
      <c r="DC86" s="1152"/>
      <c r="DD86" s="1152"/>
      <c r="DE86" s="1152"/>
      <c r="DF86" s="1152"/>
      <c r="DG86" s="1153"/>
      <c r="DH86" s="1219"/>
      <c r="DI86" s="1057">
        <f t="shared" si="2"/>
        <v>7.7519515229150642</v>
      </c>
      <c r="DJ86" s="418">
        <f>'1.6.'!BT24</f>
        <v>3193462</v>
      </c>
    </row>
    <row r="87" spans="1:116" s="38" customFormat="1" ht="40.200000000000003" customHeight="1">
      <c r="A87" s="1192" t="s">
        <v>2</v>
      </c>
      <c r="B87" s="1193"/>
      <c r="C87" s="1193"/>
      <c r="D87" s="1193"/>
      <c r="E87" s="1193"/>
      <c r="F87" s="1193"/>
      <c r="G87" s="1193"/>
      <c r="H87" s="1193"/>
      <c r="I87" s="1194"/>
      <c r="J87" s="39"/>
      <c r="K87" s="1195" t="s">
        <v>178</v>
      </c>
      <c r="L87" s="1195"/>
      <c r="M87" s="1195"/>
      <c r="N87" s="1195"/>
      <c r="O87" s="1195"/>
      <c r="P87" s="1195"/>
      <c r="Q87" s="1195"/>
      <c r="R87" s="1195"/>
      <c r="S87" s="1195"/>
      <c r="T87" s="1195"/>
      <c r="U87" s="1195"/>
      <c r="V87" s="1195"/>
      <c r="W87" s="1195"/>
      <c r="X87" s="1195"/>
      <c r="Y87" s="1195"/>
      <c r="Z87" s="1195"/>
      <c r="AA87" s="1195"/>
      <c r="AB87" s="1195"/>
      <c r="AC87" s="1195"/>
      <c r="AD87" s="1195"/>
      <c r="AE87" s="1195"/>
      <c r="AF87" s="1195"/>
      <c r="AG87" s="1195"/>
      <c r="AH87" s="1195"/>
      <c r="AI87" s="1195"/>
      <c r="AJ87" s="1195"/>
      <c r="AK87" s="1195"/>
      <c r="AL87" s="1195"/>
      <c r="AM87" s="1195"/>
      <c r="AN87" s="1195"/>
      <c r="AO87" s="1195"/>
      <c r="AP87" s="1195"/>
      <c r="AQ87" s="1195"/>
      <c r="AR87" s="1195"/>
      <c r="AS87" s="1195"/>
      <c r="AT87" s="1195"/>
      <c r="AU87" s="1195"/>
      <c r="AV87" s="1195"/>
      <c r="AW87" s="1195"/>
      <c r="AX87" s="1195"/>
      <c r="AY87" s="1195"/>
      <c r="AZ87" s="1195"/>
      <c r="BA87" s="1195"/>
      <c r="BB87" s="1195"/>
      <c r="BC87" s="1195"/>
      <c r="BD87" s="1195"/>
      <c r="BE87" s="1195"/>
      <c r="BF87" s="1195"/>
      <c r="BG87" s="1195"/>
      <c r="BH87" s="40"/>
      <c r="BI87" s="1196" t="s">
        <v>179</v>
      </c>
      <c r="BJ87" s="1197"/>
      <c r="BK87" s="1197"/>
      <c r="BL87" s="1197"/>
      <c r="BM87" s="1197"/>
      <c r="BN87" s="1197"/>
      <c r="BO87" s="1197"/>
      <c r="BP87" s="1197"/>
      <c r="BQ87" s="1197"/>
      <c r="BR87" s="1197"/>
      <c r="BS87" s="1198"/>
      <c r="BT87" s="48">
        <v>42449</v>
      </c>
      <c r="BU87" s="1052">
        <v>1217</v>
      </c>
      <c r="BV87" s="1052">
        <v>1278</v>
      </c>
      <c r="BW87" s="1148">
        <v>1218.28</v>
      </c>
      <c r="BX87" s="1149"/>
      <c r="BY87" s="1149"/>
      <c r="BZ87" s="1149"/>
      <c r="CA87" s="1149"/>
      <c r="CB87" s="1149"/>
      <c r="CC87" s="1149"/>
      <c r="CD87" s="1149"/>
      <c r="CE87" s="1149"/>
      <c r="CF87" s="1150"/>
      <c r="CG87" s="1148">
        <v>1273.7157337399999</v>
      </c>
      <c r="CH87" s="1149"/>
      <c r="CI87" s="1149"/>
      <c r="CJ87" s="1149"/>
      <c r="CK87" s="1149"/>
      <c r="CL87" s="1149"/>
      <c r="CM87" s="1149"/>
      <c r="CN87" s="1149"/>
      <c r="CO87" s="1149"/>
      <c r="CP87" s="1150"/>
      <c r="CQ87" s="1151"/>
      <c r="CR87" s="1152"/>
      <c r="CS87" s="1152"/>
      <c r="CT87" s="1152"/>
      <c r="CU87" s="1152"/>
      <c r="CV87" s="1152"/>
      <c r="CW87" s="1152"/>
      <c r="CX87" s="1152"/>
      <c r="CY87" s="1152"/>
      <c r="CZ87" s="1152"/>
      <c r="DA87" s="1152"/>
      <c r="DB87" s="1152"/>
      <c r="DC87" s="1152"/>
      <c r="DD87" s="1152"/>
      <c r="DE87" s="1152"/>
      <c r="DF87" s="1152"/>
      <c r="DG87" s="1153"/>
      <c r="DH87" s="42" t="s">
        <v>180</v>
      </c>
      <c r="DI87" s="1057">
        <f t="shared" si="2"/>
        <v>4.5503278179072026</v>
      </c>
    </row>
    <row r="88" spans="1:116" s="38" customFormat="1" ht="70.95" customHeight="1">
      <c r="A88" s="1192" t="s">
        <v>3</v>
      </c>
      <c r="B88" s="1193"/>
      <c r="C88" s="1193"/>
      <c r="D88" s="1193"/>
      <c r="E88" s="1193"/>
      <c r="F88" s="1193"/>
      <c r="G88" s="1193"/>
      <c r="H88" s="1193"/>
      <c r="I88" s="1194"/>
      <c r="J88" s="39"/>
      <c r="K88" s="1195" t="s">
        <v>181</v>
      </c>
      <c r="L88" s="1195"/>
      <c r="M88" s="1195"/>
      <c r="N88" s="1195"/>
      <c r="O88" s="1195"/>
      <c r="P88" s="1195"/>
      <c r="Q88" s="1195"/>
      <c r="R88" s="1195"/>
      <c r="S88" s="1195"/>
      <c r="T88" s="1195"/>
      <c r="U88" s="1195"/>
      <c r="V88" s="1195"/>
      <c r="W88" s="1195"/>
      <c r="X88" s="1195"/>
      <c r="Y88" s="1195"/>
      <c r="Z88" s="1195"/>
      <c r="AA88" s="1195"/>
      <c r="AB88" s="1195"/>
      <c r="AC88" s="1195"/>
      <c r="AD88" s="1195"/>
      <c r="AE88" s="1195"/>
      <c r="AF88" s="1195"/>
      <c r="AG88" s="1195"/>
      <c r="AH88" s="1195"/>
      <c r="AI88" s="1195"/>
      <c r="AJ88" s="1195"/>
      <c r="AK88" s="1195"/>
      <c r="AL88" s="1195"/>
      <c r="AM88" s="1195"/>
      <c r="AN88" s="1195"/>
      <c r="AO88" s="1195"/>
      <c r="AP88" s="1195"/>
      <c r="AQ88" s="1195"/>
      <c r="AR88" s="1195"/>
      <c r="AS88" s="1195"/>
      <c r="AT88" s="1195"/>
      <c r="AU88" s="1195"/>
      <c r="AV88" s="1195"/>
      <c r="AW88" s="1195"/>
      <c r="AX88" s="1195"/>
      <c r="AY88" s="1195"/>
      <c r="AZ88" s="1195"/>
      <c r="BA88" s="1195"/>
      <c r="BB88" s="1195"/>
      <c r="BC88" s="1195"/>
      <c r="BD88" s="1195"/>
      <c r="BE88" s="1195"/>
      <c r="BF88" s="1195"/>
      <c r="BG88" s="1195"/>
      <c r="BH88" s="40"/>
      <c r="BI88" s="1196" t="s">
        <v>182</v>
      </c>
      <c r="BJ88" s="1197"/>
      <c r="BK88" s="1197"/>
      <c r="BL88" s="1197"/>
      <c r="BM88" s="1197"/>
      <c r="BN88" s="1197"/>
      <c r="BO88" s="1197"/>
      <c r="BP88" s="1197"/>
      <c r="BQ88" s="1197"/>
      <c r="BR88" s="1197"/>
      <c r="BS88" s="1198"/>
      <c r="BT88" s="48">
        <v>42449</v>
      </c>
      <c r="BU88" s="1052">
        <v>2030.7</v>
      </c>
      <c r="BV88" s="1052">
        <v>1990.74</v>
      </c>
      <c r="BW88" s="1172">
        <v>2432.6999999999998</v>
      </c>
      <c r="BX88" s="1173"/>
      <c r="BY88" s="1173"/>
      <c r="BZ88" s="1173"/>
      <c r="CA88" s="1173"/>
      <c r="CB88" s="1173"/>
      <c r="CC88" s="1173"/>
      <c r="CD88" s="1173"/>
      <c r="CE88" s="1173"/>
      <c r="CF88" s="1174"/>
      <c r="CG88" s="1172">
        <f>CG86/CG87</f>
        <v>2507.2015014080625</v>
      </c>
      <c r="CH88" s="1173"/>
      <c r="CI88" s="1173"/>
      <c r="CJ88" s="1173"/>
      <c r="CK88" s="1173"/>
      <c r="CL88" s="1173"/>
      <c r="CM88" s="1173"/>
      <c r="CN88" s="1173"/>
      <c r="CO88" s="1173"/>
      <c r="CP88" s="1174"/>
      <c r="CQ88" s="1151"/>
      <c r="CR88" s="1152"/>
      <c r="CS88" s="1152"/>
      <c r="CT88" s="1152"/>
      <c r="CU88" s="1152"/>
      <c r="CV88" s="1152"/>
      <c r="CW88" s="1152"/>
      <c r="CX88" s="1152"/>
      <c r="CY88" s="1152"/>
      <c r="CZ88" s="1152"/>
      <c r="DA88" s="1152"/>
      <c r="DB88" s="1152"/>
      <c r="DC88" s="1152"/>
      <c r="DD88" s="1152"/>
      <c r="DE88" s="1152"/>
      <c r="DF88" s="1152"/>
      <c r="DG88" s="1153"/>
      <c r="DH88" s="42" t="s">
        <v>183</v>
      </c>
      <c r="DI88" s="1057">
        <f t="shared" si="2"/>
        <v>3.0625026270424911</v>
      </c>
      <c r="DL88" s="399"/>
    </row>
    <row r="89" spans="1:116" s="38" customFormat="1" ht="57" customHeight="1">
      <c r="A89" s="1192" t="s">
        <v>184</v>
      </c>
      <c r="B89" s="1193"/>
      <c r="C89" s="1193"/>
      <c r="D89" s="1193"/>
      <c r="E89" s="1193"/>
      <c r="F89" s="1193"/>
      <c r="G89" s="1193"/>
      <c r="H89" s="1193"/>
      <c r="I89" s="1194"/>
      <c r="J89" s="39"/>
      <c r="K89" s="1195" t="s">
        <v>185</v>
      </c>
      <c r="L89" s="1195"/>
      <c r="M89" s="1195"/>
      <c r="N89" s="1195"/>
      <c r="O89" s="1195"/>
      <c r="P89" s="1195"/>
      <c r="Q89" s="1195"/>
      <c r="R89" s="1195"/>
      <c r="S89" s="1195"/>
      <c r="T89" s="1195"/>
      <c r="U89" s="1195"/>
      <c r="V89" s="1195"/>
      <c r="W89" s="1195"/>
      <c r="X89" s="1195"/>
      <c r="Y89" s="1195"/>
      <c r="Z89" s="1195"/>
      <c r="AA89" s="1195"/>
      <c r="AB89" s="1195"/>
      <c r="AC89" s="1195"/>
      <c r="AD89" s="1195"/>
      <c r="AE89" s="1195"/>
      <c r="AF89" s="1195"/>
      <c r="AG89" s="1195"/>
      <c r="AH89" s="1195"/>
      <c r="AI89" s="1195"/>
      <c r="AJ89" s="1195"/>
      <c r="AK89" s="1195"/>
      <c r="AL89" s="1195"/>
      <c r="AM89" s="1195"/>
      <c r="AN89" s="1195"/>
      <c r="AO89" s="1195"/>
      <c r="AP89" s="1195"/>
      <c r="AQ89" s="1195"/>
      <c r="AR89" s="1195"/>
      <c r="AS89" s="1195"/>
      <c r="AT89" s="1195"/>
      <c r="AU89" s="1195"/>
      <c r="AV89" s="1195"/>
      <c r="AW89" s="1195"/>
      <c r="AX89" s="1195"/>
      <c r="AY89" s="1195"/>
      <c r="AZ89" s="1195"/>
      <c r="BA89" s="1195"/>
      <c r="BB89" s="1195"/>
      <c r="BC89" s="1195"/>
      <c r="BD89" s="1195"/>
      <c r="BE89" s="1195"/>
      <c r="BF89" s="1195"/>
      <c r="BG89" s="1195"/>
      <c r="BH89" s="40"/>
      <c r="BI89" s="1196" t="s">
        <v>118</v>
      </c>
      <c r="BJ89" s="1197"/>
      <c r="BK89" s="1197"/>
      <c r="BL89" s="1197"/>
      <c r="BM89" s="1197"/>
      <c r="BN89" s="1197"/>
      <c r="BO89" s="1197"/>
      <c r="BP89" s="1197"/>
      <c r="BQ89" s="1197"/>
      <c r="BR89" s="1197"/>
      <c r="BS89" s="1198"/>
      <c r="BT89" s="50"/>
      <c r="BU89" s="1052"/>
      <c r="BV89" s="1052"/>
      <c r="BW89" s="1196" t="s">
        <v>118</v>
      </c>
      <c r="BX89" s="1197"/>
      <c r="BY89" s="1197"/>
      <c r="BZ89" s="1197"/>
      <c r="CA89" s="1197"/>
      <c r="CB89" s="1197"/>
      <c r="CC89" s="1197"/>
      <c r="CD89" s="1197"/>
      <c r="CE89" s="1197"/>
      <c r="CF89" s="1198"/>
      <c r="CG89" s="1196" t="s">
        <v>118</v>
      </c>
      <c r="CH89" s="1197"/>
      <c r="CI89" s="1197"/>
      <c r="CJ89" s="1197"/>
      <c r="CK89" s="1197"/>
      <c r="CL89" s="1197"/>
      <c r="CM89" s="1197"/>
      <c r="CN89" s="1197"/>
      <c r="CO89" s="1197"/>
      <c r="CP89" s="1198"/>
      <c r="CQ89" s="1210" t="s">
        <v>118</v>
      </c>
      <c r="CR89" s="1211"/>
      <c r="CS89" s="1211"/>
      <c r="CT89" s="1211"/>
      <c r="CU89" s="1211"/>
      <c r="CV89" s="1211"/>
      <c r="CW89" s="1211"/>
      <c r="CX89" s="1211"/>
      <c r="CY89" s="1211"/>
      <c r="CZ89" s="1211"/>
      <c r="DA89" s="1211"/>
      <c r="DB89" s="1211"/>
      <c r="DC89" s="1211"/>
      <c r="DD89" s="1211"/>
      <c r="DE89" s="1211"/>
      <c r="DF89" s="1211"/>
      <c r="DG89" s="1212"/>
      <c r="DH89" s="41" t="s">
        <v>118</v>
      </c>
      <c r="DI89" s="1057" t="e">
        <f t="shared" si="2"/>
        <v>#VALUE!</v>
      </c>
    </row>
    <row r="90" spans="1:116" s="38" customFormat="1" ht="60" customHeight="1">
      <c r="A90" s="1192" t="s">
        <v>119</v>
      </c>
      <c r="B90" s="1193"/>
      <c r="C90" s="1193"/>
      <c r="D90" s="1193"/>
      <c r="E90" s="1193"/>
      <c r="F90" s="1193"/>
      <c r="G90" s="1193"/>
      <c r="H90" s="1193"/>
      <c r="I90" s="1194"/>
      <c r="J90" s="39"/>
      <c r="K90" s="1195" t="s">
        <v>186</v>
      </c>
      <c r="L90" s="1195"/>
      <c r="M90" s="1195"/>
      <c r="N90" s="1195"/>
      <c r="O90" s="1195"/>
      <c r="P90" s="1195"/>
      <c r="Q90" s="1195"/>
      <c r="R90" s="1195"/>
      <c r="S90" s="1195"/>
      <c r="T90" s="1195"/>
      <c r="U90" s="1195"/>
      <c r="V90" s="1195"/>
      <c r="W90" s="1195"/>
      <c r="X90" s="1195"/>
      <c r="Y90" s="1195"/>
      <c r="Z90" s="1195"/>
      <c r="AA90" s="1195"/>
      <c r="AB90" s="1195"/>
      <c r="AC90" s="1195"/>
      <c r="AD90" s="1195"/>
      <c r="AE90" s="1195"/>
      <c r="AF90" s="1195"/>
      <c r="AG90" s="1195"/>
      <c r="AH90" s="1195"/>
      <c r="AI90" s="1195"/>
      <c r="AJ90" s="1195"/>
      <c r="AK90" s="1195"/>
      <c r="AL90" s="1195"/>
      <c r="AM90" s="1195"/>
      <c r="AN90" s="1195"/>
      <c r="AO90" s="1195"/>
      <c r="AP90" s="1195"/>
      <c r="AQ90" s="1195"/>
      <c r="AR90" s="1195"/>
      <c r="AS90" s="1195"/>
      <c r="AT90" s="1195"/>
      <c r="AU90" s="1195"/>
      <c r="AV90" s="1195"/>
      <c r="AW90" s="1195"/>
      <c r="AX90" s="1195"/>
      <c r="AY90" s="1195"/>
      <c r="AZ90" s="1195"/>
      <c r="BA90" s="1195"/>
      <c r="BB90" s="1195"/>
      <c r="BC90" s="1195"/>
      <c r="BD90" s="1195"/>
      <c r="BE90" s="1195"/>
      <c r="BF90" s="1195"/>
      <c r="BG90" s="1195"/>
      <c r="BH90" s="40"/>
      <c r="BI90" s="1196" t="s">
        <v>187</v>
      </c>
      <c r="BJ90" s="1197"/>
      <c r="BK90" s="1197"/>
      <c r="BL90" s="1197"/>
      <c r="BM90" s="1197"/>
      <c r="BN90" s="1197"/>
      <c r="BO90" s="1197"/>
      <c r="BP90" s="1197"/>
      <c r="BQ90" s="1197"/>
      <c r="BR90" s="1197"/>
      <c r="BS90" s="1198"/>
      <c r="BT90" s="48">
        <v>42449</v>
      </c>
      <c r="BU90" s="1052">
        <v>924275</v>
      </c>
      <c r="BV90" s="1052">
        <v>965771</v>
      </c>
      <c r="BW90" s="1169">
        <v>965771</v>
      </c>
      <c r="BX90" s="1170"/>
      <c r="BY90" s="1170"/>
      <c r="BZ90" s="1170"/>
      <c r="CA90" s="1170"/>
      <c r="CB90" s="1170"/>
      <c r="CC90" s="1170"/>
      <c r="CD90" s="1170"/>
      <c r="CE90" s="1170"/>
      <c r="CF90" s="1171"/>
      <c r="CG90" s="1169">
        <v>822237</v>
      </c>
      <c r="CH90" s="1170"/>
      <c r="CI90" s="1170"/>
      <c r="CJ90" s="1170"/>
      <c r="CK90" s="1170"/>
      <c r="CL90" s="1170"/>
      <c r="CM90" s="1170"/>
      <c r="CN90" s="1170"/>
      <c r="CO90" s="1170"/>
      <c r="CP90" s="1171"/>
      <c r="CQ90" s="1151"/>
      <c r="CR90" s="1152"/>
      <c r="CS90" s="1152"/>
      <c r="CT90" s="1152"/>
      <c r="CU90" s="1152"/>
      <c r="CV90" s="1152"/>
      <c r="CW90" s="1152"/>
      <c r="CX90" s="1152"/>
      <c r="CY90" s="1152"/>
      <c r="CZ90" s="1152"/>
      <c r="DA90" s="1152"/>
      <c r="DB90" s="1152"/>
      <c r="DC90" s="1152"/>
      <c r="DD90" s="1152"/>
      <c r="DE90" s="1152"/>
      <c r="DF90" s="1152"/>
      <c r="DG90" s="1153"/>
      <c r="DH90" s="42" t="s">
        <v>188</v>
      </c>
      <c r="DI90" s="1057">
        <f t="shared" si="2"/>
        <v>-14.862115346184552</v>
      </c>
    </row>
    <row r="91" spans="1:116" s="38" customFormat="1" ht="36" customHeight="1">
      <c r="A91" s="1192" t="s">
        <v>189</v>
      </c>
      <c r="B91" s="1193"/>
      <c r="C91" s="1193"/>
      <c r="D91" s="1193"/>
      <c r="E91" s="1193"/>
      <c r="F91" s="1193"/>
      <c r="G91" s="1193"/>
      <c r="H91" s="1193"/>
      <c r="I91" s="1194"/>
      <c r="J91" s="39"/>
      <c r="K91" s="1195" t="s">
        <v>190</v>
      </c>
      <c r="L91" s="1195"/>
      <c r="M91" s="1195"/>
      <c r="N91" s="1195"/>
      <c r="O91" s="1195"/>
      <c r="P91" s="1195"/>
      <c r="Q91" s="1195"/>
      <c r="R91" s="1195"/>
      <c r="S91" s="1195"/>
      <c r="T91" s="1195"/>
      <c r="U91" s="1195"/>
      <c r="V91" s="1195"/>
      <c r="W91" s="1195"/>
      <c r="X91" s="1195"/>
      <c r="Y91" s="1195"/>
      <c r="Z91" s="1195"/>
      <c r="AA91" s="1195"/>
      <c r="AB91" s="1195"/>
      <c r="AC91" s="1195"/>
      <c r="AD91" s="1195"/>
      <c r="AE91" s="1195"/>
      <c r="AF91" s="1195"/>
      <c r="AG91" s="1195"/>
      <c r="AH91" s="1195"/>
      <c r="AI91" s="1195"/>
      <c r="AJ91" s="1195"/>
      <c r="AK91" s="1195"/>
      <c r="AL91" s="1195"/>
      <c r="AM91" s="1195"/>
      <c r="AN91" s="1195"/>
      <c r="AO91" s="1195"/>
      <c r="AP91" s="1195"/>
      <c r="AQ91" s="1195"/>
      <c r="AR91" s="1195"/>
      <c r="AS91" s="1195"/>
      <c r="AT91" s="1195"/>
      <c r="AU91" s="1195"/>
      <c r="AV91" s="1195"/>
      <c r="AW91" s="1195"/>
      <c r="AX91" s="1195"/>
      <c r="AY91" s="1195"/>
      <c r="AZ91" s="1195"/>
      <c r="BA91" s="1195"/>
      <c r="BB91" s="1195"/>
      <c r="BC91" s="1195"/>
      <c r="BD91" s="1195"/>
      <c r="BE91" s="1195"/>
      <c r="BF91" s="1195"/>
      <c r="BG91" s="1195"/>
      <c r="BH91" s="40"/>
      <c r="BI91" s="1196" t="s">
        <v>191</v>
      </c>
      <c r="BJ91" s="1197"/>
      <c r="BK91" s="1197"/>
      <c r="BL91" s="1197"/>
      <c r="BM91" s="1197"/>
      <c r="BN91" s="1197"/>
      <c r="BO91" s="1197"/>
      <c r="BP91" s="1197"/>
      <c r="BQ91" s="1197"/>
      <c r="BR91" s="1197"/>
      <c r="BS91" s="1198"/>
      <c r="BT91" s="1207">
        <v>42449</v>
      </c>
      <c r="BU91" s="1052">
        <v>2289</v>
      </c>
      <c r="BV91" s="1052">
        <v>2365</v>
      </c>
      <c r="BW91" s="1169">
        <v>2194.6999999999998</v>
      </c>
      <c r="BX91" s="1170"/>
      <c r="BY91" s="1170"/>
      <c r="BZ91" s="1170"/>
      <c r="CA91" s="1170"/>
      <c r="CB91" s="1170"/>
      <c r="CC91" s="1170"/>
      <c r="CD91" s="1170"/>
      <c r="CE91" s="1170"/>
      <c r="CF91" s="1171"/>
      <c r="CG91" s="1169">
        <v>2261.4</v>
      </c>
      <c r="CH91" s="1170"/>
      <c r="CI91" s="1170"/>
      <c r="CJ91" s="1170"/>
      <c r="CK91" s="1170"/>
      <c r="CL91" s="1170"/>
      <c r="CM91" s="1170"/>
      <c r="CN91" s="1170"/>
      <c r="CO91" s="1170"/>
      <c r="CP91" s="1171"/>
      <c r="CQ91" s="1294" t="s">
        <v>2199</v>
      </c>
      <c r="CR91" s="1295"/>
      <c r="CS91" s="1295"/>
      <c r="CT91" s="1295"/>
      <c r="CU91" s="1295"/>
      <c r="CV91" s="1295"/>
      <c r="CW91" s="1295"/>
      <c r="CX91" s="1295"/>
      <c r="CY91" s="1295"/>
      <c r="CZ91" s="1295"/>
      <c r="DA91" s="1295"/>
      <c r="DB91" s="1295"/>
      <c r="DC91" s="1295"/>
      <c r="DD91" s="1295"/>
      <c r="DE91" s="1295"/>
      <c r="DF91" s="1295"/>
      <c r="DG91" s="1296"/>
      <c r="DH91" s="1199" t="s">
        <v>192</v>
      </c>
      <c r="DI91" s="1057">
        <f t="shared" si="2"/>
        <v>3.0391397457511431</v>
      </c>
    </row>
    <row r="92" spans="1:116" s="38" customFormat="1" ht="16.95" customHeight="1">
      <c r="A92" s="1192" t="s">
        <v>7</v>
      </c>
      <c r="B92" s="1193"/>
      <c r="C92" s="1193"/>
      <c r="D92" s="1193"/>
      <c r="E92" s="1193"/>
      <c r="F92" s="1193"/>
      <c r="G92" s="1193"/>
      <c r="H92" s="1193"/>
      <c r="I92" s="1194"/>
      <c r="J92" s="1047"/>
      <c r="K92" s="1188" t="s">
        <v>1572</v>
      </c>
      <c r="L92" s="1188"/>
      <c r="M92" s="1188"/>
      <c r="N92" s="1188"/>
      <c r="O92" s="1188"/>
      <c r="P92" s="1188"/>
      <c r="Q92" s="1188"/>
      <c r="R92" s="1188"/>
      <c r="S92" s="1188"/>
      <c r="T92" s="1188"/>
      <c r="U92" s="1188"/>
      <c r="V92" s="1188"/>
      <c r="W92" s="1188"/>
      <c r="X92" s="1188"/>
      <c r="Y92" s="1188"/>
      <c r="Z92" s="1188"/>
      <c r="AA92" s="1188"/>
      <c r="AB92" s="1188"/>
      <c r="AC92" s="1188"/>
      <c r="AD92" s="1188"/>
      <c r="AE92" s="1188"/>
      <c r="AF92" s="1188"/>
      <c r="AG92" s="1188"/>
      <c r="AH92" s="1188"/>
      <c r="AI92" s="1188"/>
      <c r="AJ92" s="1188"/>
      <c r="AK92" s="1188"/>
      <c r="AL92" s="1188"/>
      <c r="AM92" s="1188"/>
      <c r="AN92" s="1188"/>
      <c r="AO92" s="1188"/>
      <c r="AP92" s="1188"/>
      <c r="AQ92" s="1188"/>
      <c r="AR92" s="1188"/>
      <c r="AS92" s="1188"/>
      <c r="AT92" s="1188"/>
      <c r="AU92" s="1188"/>
      <c r="AV92" s="1188"/>
      <c r="AW92" s="1188"/>
      <c r="AX92" s="1188"/>
      <c r="AY92" s="1188"/>
      <c r="AZ92" s="1188"/>
      <c r="BA92" s="1188"/>
      <c r="BB92" s="1188"/>
      <c r="BC92" s="1188"/>
      <c r="BD92" s="1188"/>
      <c r="BE92" s="1188"/>
      <c r="BF92" s="1188"/>
      <c r="BG92" s="1188"/>
      <c r="BH92" s="1216"/>
      <c r="BI92" s="1179" t="s">
        <v>191</v>
      </c>
      <c r="BJ92" s="1164"/>
      <c r="BK92" s="1164"/>
      <c r="BL92" s="1164"/>
      <c r="BM92" s="1164"/>
      <c r="BN92" s="1164"/>
      <c r="BO92" s="1164"/>
      <c r="BP92" s="1164"/>
      <c r="BQ92" s="1164"/>
      <c r="BR92" s="1164"/>
      <c r="BS92" s="1165"/>
      <c r="BT92" s="1215"/>
      <c r="BU92" s="1052" t="s">
        <v>63</v>
      </c>
      <c r="BV92" s="1052" t="s">
        <v>63</v>
      </c>
      <c r="BW92" s="1163" t="s">
        <v>63</v>
      </c>
      <c r="BX92" s="1164"/>
      <c r="BY92" s="1164"/>
      <c r="BZ92" s="1164"/>
      <c r="CA92" s="1164"/>
      <c r="CB92" s="1164"/>
      <c r="CC92" s="1164"/>
      <c r="CD92" s="1164"/>
      <c r="CE92" s="1164"/>
      <c r="CF92" s="1165"/>
      <c r="CG92" s="1163" t="s">
        <v>63</v>
      </c>
      <c r="CH92" s="1164"/>
      <c r="CI92" s="1164"/>
      <c r="CJ92" s="1164"/>
      <c r="CK92" s="1164"/>
      <c r="CL92" s="1164"/>
      <c r="CM92" s="1164"/>
      <c r="CN92" s="1164"/>
      <c r="CO92" s="1164"/>
      <c r="CP92" s="1165"/>
      <c r="CQ92" s="1291"/>
      <c r="CR92" s="1292"/>
      <c r="CS92" s="1292"/>
      <c r="CT92" s="1292"/>
      <c r="CU92" s="1292"/>
      <c r="CV92" s="1292"/>
      <c r="CW92" s="1292"/>
      <c r="CX92" s="1292"/>
      <c r="CY92" s="1292"/>
      <c r="CZ92" s="1292"/>
      <c r="DA92" s="1292"/>
      <c r="DB92" s="1292"/>
      <c r="DC92" s="1292"/>
      <c r="DD92" s="1292"/>
      <c r="DE92" s="1292"/>
      <c r="DF92" s="1292"/>
      <c r="DG92" s="1293"/>
      <c r="DH92" s="1217"/>
      <c r="DI92" s="1057"/>
    </row>
    <row r="93" spans="1:116" s="38" customFormat="1" ht="16.95" customHeight="1">
      <c r="A93" s="1192" t="s">
        <v>2073</v>
      </c>
      <c r="B93" s="1193"/>
      <c r="C93" s="1193"/>
      <c r="D93" s="1193"/>
      <c r="E93" s="1193"/>
      <c r="F93" s="1193"/>
      <c r="G93" s="1193"/>
      <c r="H93" s="1193"/>
      <c r="I93" s="1194"/>
      <c r="J93" s="1047"/>
      <c r="K93" s="1188" t="s">
        <v>1573</v>
      </c>
      <c r="L93" s="1188"/>
      <c r="M93" s="1188"/>
      <c r="N93" s="1188"/>
      <c r="O93" s="1188"/>
      <c r="P93" s="1188"/>
      <c r="Q93" s="1188"/>
      <c r="R93" s="1188"/>
      <c r="S93" s="1188"/>
      <c r="T93" s="1188"/>
      <c r="U93" s="1188"/>
      <c r="V93" s="1188"/>
      <c r="W93" s="1188"/>
      <c r="X93" s="1188"/>
      <c r="Y93" s="1188"/>
      <c r="Z93" s="1188"/>
      <c r="AA93" s="1188"/>
      <c r="AB93" s="1188"/>
      <c r="AC93" s="1188"/>
      <c r="AD93" s="1188"/>
      <c r="AE93" s="1188"/>
      <c r="AF93" s="1188"/>
      <c r="AG93" s="1188"/>
      <c r="AH93" s="1188"/>
      <c r="AI93" s="1188"/>
      <c r="AJ93" s="1188"/>
      <c r="AK93" s="1188"/>
      <c r="AL93" s="1188"/>
      <c r="AM93" s="1188"/>
      <c r="AN93" s="1188"/>
      <c r="AO93" s="1188"/>
      <c r="AP93" s="1188"/>
      <c r="AQ93" s="1188"/>
      <c r="AR93" s="1188"/>
      <c r="AS93" s="1188"/>
      <c r="AT93" s="1188"/>
      <c r="AU93" s="1188"/>
      <c r="AV93" s="1188"/>
      <c r="AW93" s="1188"/>
      <c r="AX93" s="1188"/>
      <c r="AY93" s="1188"/>
      <c r="AZ93" s="1188"/>
      <c r="BA93" s="1188"/>
      <c r="BB93" s="1188"/>
      <c r="BC93" s="1188"/>
      <c r="BD93" s="1188"/>
      <c r="BE93" s="1188"/>
      <c r="BF93" s="1188"/>
      <c r="BG93" s="1188"/>
      <c r="BH93" s="1216"/>
      <c r="BI93" s="1179" t="s">
        <v>191</v>
      </c>
      <c r="BJ93" s="1164"/>
      <c r="BK93" s="1164"/>
      <c r="BL93" s="1164"/>
      <c r="BM93" s="1164"/>
      <c r="BN93" s="1164"/>
      <c r="BO93" s="1164"/>
      <c r="BP93" s="1164"/>
      <c r="BQ93" s="1164"/>
      <c r="BR93" s="1164"/>
      <c r="BS93" s="1165"/>
      <c r="BT93" s="1215"/>
      <c r="BU93" s="1052">
        <v>76</v>
      </c>
      <c r="BV93" s="1052">
        <v>96</v>
      </c>
      <c r="BW93" s="1166">
        <v>76.400000000000006</v>
      </c>
      <c r="BX93" s="1167"/>
      <c r="BY93" s="1167"/>
      <c r="BZ93" s="1167"/>
      <c r="CA93" s="1167"/>
      <c r="CB93" s="1167"/>
      <c r="CC93" s="1167"/>
      <c r="CD93" s="1167"/>
      <c r="CE93" s="1167"/>
      <c r="CF93" s="1168"/>
      <c r="CG93" s="1166">
        <v>76.400000000000006</v>
      </c>
      <c r="CH93" s="1167"/>
      <c r="CI93" s="1167"/>
      <c r="CJ93" s="1167"/>
      <c r="CK93" s="1167"/>
      <c r="CL93" s="1167"/>
      <c r="CM93" s="1167"/>
      <c r="CN93" s="1167"/>
      <c r="CO93" s="1167"/>
      <c r="CP93" s="1168"/>
      <c r="CQ93" s="1291"/>
      <c r="CR93" s="1292"/>
      <c r="CS93" s="1292"/>
      <c r="CT93" s="1292"/>
      <c r="CU93" s="1292"/>
      <c r="CV93" s="1292"/>
      <c r="CW93" s="1292"/>
      <c r="CX93" s="1292"/>
      <c r="CY93" s="1292"/>
      <c r="CZ93" s="1292"/>
      <c r="DA93" s="1292"/>
      <c r="DB93" s="1292"/>
      <c r="DC93" s="1292"/>
      <c r="DD93" s="1292"/>
      <c r="DE93" s="1292"/>
      <c r="DF93" s="1292"/>
      <c r="DG93" s="1293"/>
      <c r="DH93" s="1217"/>
      <c r="DI93" s="1057">
        <f t="shared" si="2"/>
        <v>0</v>
      </c>
    </row>
    <row r="94" spans="1:116" s="38" customFormat="1" ht="16.95" customHeight="1">
      <c r="A94" s="1192" t="s">
        <v>2195</v>
      </c>
      <c r="B94" s="1193"/>
      <c r="C94" s="1193"/>
      <c r="D94" s="1193"/>
      <c r="E94" s="1193"/>
      <c r="F94" s="1193"/>
      <c r="G94" s="1193"/>
      <c r="H94" s="1193"/>
      <c r="I94" s="1194"/>
      <c r="J94" s="1047"/>
      <c r="K94" s="1188" t="s">
        <v>1574</v>
      </c>
      <c r="L94" s="1188"/>
      <c r="M94" s="1188"/>
      <c r="N94" s="1188"/>
      <c r="O94" s="1188"/>
      <c r="P94" s="1188"/>
      <c r="Q94" s="1188"/>
      <c r="R94" s="1188"/>
      <c r="S94" s="1188"/>
      <c r="T94" s="1188"/>
      <c r="U94" s="1188"/>
      <c r="V94" s="1188"/>
      <c r="W94" s="1188"/>
      <c r="X94" s="1188"/>
      <c r="Y94" s="1188"/>
      <c r="Z94" s="1188"/>
      <c r="AA94" s="1188"/>
      <c r="AB94" s="1188"/>
      <c r="AC94" s="1188"/>
      <c r="AD94" s="1188"/>
      <c r="AE94" s="1188"/>
      <c r="AF94" s="1188"/>
      <c r="AG94" s="1188"/>
      <c r="AH94" s="1188"/>
      <c r="AI94" s="1188"/>
      <c r="AJ94" s="1188"/>
      <c r="AK94" s="1188"/>
      <c r="AL94" s="1188"/>
      <c r="AM94" s="1188"/>
      <c r="AN94" s="1188"/>
      <c r="AO94" s="1188"/>
      <c r="AP94" s="1188"/>
      <c r="AQ94" s="1188"/>
      <c r="AR94" s="1188"/>
      <c r="AS94" s="1188"/>
      <c r="AT94" s="1188"/>
      <c r="AU94" s="1188"/>
      <c r="AV94" s="1188"/>
      <c r="AW94" s="1188"/>
      <c r="AX94" s="1188"/>
      <c r="AY94" s="1188"/>
      <c r="AZ94" s="1188"/>
      <c r="BA94" s="1188"/>
      <c r="BB94" s="1188"/>
      <c r="BC94" s="1188"/>
      <c r="BD94" s="1188"/>
      <c r="BE94" s="1188"/>
      <c r="BF94" s="1188"/>
      <c r="BG94" s="1188"/>
      <c r="BH94" s="1216"/>
      <c r="BI94" s="1179" t="s">
        <v>191</v>
      </c>
      <c r="BJ94" s="1164"/>
      <c r="BK94" s="1164"/>
      <c r="BL94" s="1164"/>
      <c r="BM94" s="1164"/>
      <c r="BN94" s="1164"/>
      <c r="BO94" s="1164"/>
      <c r="BP94" s="1164"/>
      <c r="BQ94" s="1164"/>
      <c r="BR94" s="1164"/>
      <c r="BS94" s="1165"/>
      <c r="BT94" s="1215"/>
      <c r="BU94" s="1052">
        <v>2213</v>
      </c>
      <c r="BV94" s="1052">
        <v>2269</v>
      </c>
      <c r="BW94" s="1166">
        <v>2118.3000000000002</v>
      </c>
      <c r="BX94" s="1167"/>
      <c r="BY94" s="1167"/>
      <c r="BZ94" s="1167"/>
      <c r="CA94" s="1167"/>
      <c r="CB94" s="1167"/>
      <c r="CC94" s="1167"/>
      <c r="CD94" s="1167"/>
      <c r="CE94" s="1167"/>
      <c r="CF94" s="1168"/>
      <c r="CG94" s="1166">
        <v>2185</v>
      </c>
      <c r="CH94" s="1167"/>
      <c r="CI94" s="1167"/>
      <c r="CJ94" s="1167"/>
      <c r="CK94" s="1167"/>
      <c r="CL94" s="1167"/>
      <c r="CM94" s="1167"/>
      <c r="CN94" s="1167"/>
      <c r="CO94" s="1167"/>
      <c r="CP94" s="1168"/>
      <c r="CQ94" s="1291"/>
      <c r="CR94" s="1292"/>
      <c r="CS94" s="1292"/>
      <c r="CT94" s="1292"/>
      <c r="CU94" s="1292"/>
      <c r="CV94" s="1292"/>
      <c r="CW94" s="1292"/>
      <c r="CX94" s="1292"/>
      <c r="CY94" s="1292"/>
      <c r="CZ94" s="1292"/>
      <c r="DA94" s="1292"/>
      <c r="DB94" s="1292"/>
      <c r="DC94" s="1292"/>
      <c r="DD94" s="1292"/>
      <c r="DE94" s="1292"/>
      <c r="DF94" s="1292"/>
      <c r="DG94" s="1293"/>
      <c r="DH94" s="1217"/>
      <c r="DI94" s="1057">
        <f t="shared" si="2"/>
        <v>3.1487513572204051</v>
      </c>
    </row>
    <row r="95" spans="1:116" s="38" customFormat="1" ht="16.95" customHeight="1">
      <c r="A95" s="1192" t="s">
        <v>2196</v>
      </c>
      <c r="B95" s="1193"/>
      <c r="C95" s="1193"/>
      <c r="D95" s="1193"/>
      <c r="E95" s="1193"/>
      <c r="F95" s="1193"/>
      <c r="G95" s="1193"/>
      <c r="H95" s="1193"/>
      <c r="I95" s="1194"/>
      <c r="J95" s="1047"/>
      <c r="K95" s="1188" t="s">
        <v>1575</v>
      </c>
      <c r="L95" s="1188"/>
      <c r="M95" s="1188"/>
      <c r="N95" s="1188"/>
      <c r="O95" s="1188"/>
      <c r="P95" s="1188"/>
      <c r="Q95" s="1188"/>
      <c r="R95" s="1188"/>
      <c r="S95" s="1188"/>
      <c r="T95" s="1188"/>
      <c r="U95" s="1188"/>
      <c r="V95" s="1188"/>
      <c r="W95" s="1188"/>
      <c r="X95" s="1188"/>
      <c r="Y95" s="1188"/>
      <c r="Z95" s="1188"/>
      <c r="AA95" s="1188"/>
      <c r="AB95" s="1188"/>
      <c r="AC95" s="1188"/>
      <c r="AD95" s="1188"/>
      <c r="AE95" s="1188"/>
      <c r="AF95" s="1188"/>
      <c r="AG95" s="1188"/>
      <c r="AH95" s="1188"/>
      <c r="AI95" s="1188"/>
      <c r="AJ95" s="1188"/>
      <c r="AK95" s="1188"/>
      <c r="AL95" s="1188"/>
      <c r="AM95" s="1188"/>
      <c r="AN95" s="1188"/>
      <c r="AO95" s="1188"/>
      <c r="AP95" s="1188"/>
      <c r="AQ95" s="1188"/>
      <c r="AR95" s="1188"/>
      <c r="AS95" s="1188"/>
      <c r="AT95" s="1188"/>
      <c r="AU95" s="1188"/>
      <c r="AV95" s="1188"/>
      <c r="AW95" s="1188"/>
      <c r="AX95" s="1188"/>
      <c r="AY95" s="1188"/>
      <c r="AZ95" s="1188"/>
      <c r="BA95" s="1188"/>
      <c r="BB95" s="1188"/>
      <c r="BC95" s="1188"/>
      <c r="BD95" s="1188"/>
      <c r="BE95" s="1188"/>
      <c r="BF95" s="1188"/>
      <c r="BG95" s="1188"/>
      <c r="BH95" s="1216"/>
      <c r="BI95" s="1179" t="s">
        <v>191</v>
      </c>
      <c r="BJ95" s="1164"/>
      <c r="BK95" s="1164"/>
      <c r="BL95" s="1164"/>
      <c r="BM95" s="1164"/>
      <c r="BN95" s="1164"/>
      <c r="BO95" s="1164"/>
      <c r="BP95" s="1164"/>
      <c r="BQ95" s="1164"/>
      <c r="BR95" s="1164"/>
      <c r="BS95" s="1165"/>
      <c r="BT95" s="1215"/>
      <c r="BU95" s="1052" t="s">
        <v>63</v>
      </c>
      <c r="BV95" s="1052" t="s">
        <v>63</v>
      </c>
      <c r="BW95" s="1163" t="s">
        <v>63</v>
      </c>
      <c r="BX95" s="1164"/>
      <c r="BY95" s="1164"/>
      <c r="BZ95" s="1164"/>
      <c r="CA95" s="1164"/>
      <c r="CB95" s="1164"/>
      <c r="CC95" s="1164"/>
      <c r="CD95" s="1164"/>
      <c r="CE95" s="1164"/>
      <c r="CF95" s="1165"/>
      <c r="CG95" s="1163" t="s">
        <v>63</v>
      </c>
      <c r="CH95" s="1164"/>
      <c r="CI95" s="1164"/>
      <c r="CJ95" s="1164"/>
      <c r="CK95" s="1164"/>
      <c r="CL95" s="1164"/>
      <c r="CM95" s="1164"/>
      <c r="CN95" s="1164"/>
      <c r="CO95" s="1164"/>
      <c r="CP95" s="1165"/>
      <c r="CQ95" s="1291"/>
      <c r="CR95" s="1292"/>
      <c r="CS95" s="1292"/>
      <c r="CT95" s="1292"/>
      <c r="CU95" s="1292"/>
      <c r="CV95" s="1292"/>
      <c r="CW95" s="1292"/>
      <c r="CX95" s="1292"/>
      <c r="CY95" s="1292"/>
      <c r="CZ95" s="1292"/>
      <c r="DA95" s="1292"/>
      <c r="DB95" s="1292"/>
      <c r="DC95" s="1292"/>
      <c r="DD95" s="1292"/>
      <c r="DE95" s="1292"/>
      <c r="DF95" s="1292"/>
      <c r="DG95" s="1293"/>
      <c r="DH95" s="1217"/>
      <c r="DI95" s="1057"/>
    </row>
    <row r="96" spans="1:116" s="38" customFormat="1" ht="30" customHeight="1">
      <c r="A96" s="1192" t="s">
        <v>193</v>
      </c>
      <c r="B96" s="1193"/>
      <c r="C96" s="1193"/>
      <c r="D96" s="1193"/>
      <c r="E96" s="1193"/>
      <c r="F96" s="1193"/>
      <c r="G96" s="1193"/>
      <c r="H96" s="1193"/>
      <c r="I96" s="1194"/>
      <c r="J96" s="39"/>
      <c r="K96" s="1195" t="s">
        <v>194</v>
      </c>
      <c r="L96" s="1195"/>
      <c r="M96" s="1195"/>
      <c r="N96" s="1195"/>
      <c r="O96" s="1195"/>
      <c r="P96" s="1195"/>
      <c r="Q96" s="1195"/>
      <c r="R96" s="1195"/>
      <c r="S96" s="1195"/>
      <c r="T96" s="1195"/>
      <c r="U96" s="1195"/>
      <c r="V96" s="1195"/>
      <c r="W96" s="1195"/>
      <c r="X96" s="1195"/>
      <c r="Y96" s="1195"/>
      <c r="Z96" s="1195"/>
      <c r="AA96" s="1195"/>
      <c r="AB96" s="1195"/>
      <c r="AC96" s="1195"/>
      <c r="AD96" s="1195"/>
      <c r="AE96" s="1195"/>
      <c r="AF96" s="1195"/>
      <c r="AG96" s="1195"/>
      <c r="AH96" s="1195"/>
      <c r="AI96" s="1195"/>
      <c r="AJ96" s="1195"/>
      <c r="AK96" s="1195"/>
      <c r="AL96" s="1195"/>
      <c r="AM96" s="1195"/>
      <c r="AN96" s="1195"/>
      <c r="AO96" s="1195"/>
      <c r="AP96" s="1195"/>
      <c r="AQ96" s="1195"/>
      <c r="AR96" s="1195"/>
      <c r="AS96" s="1195"/>
      <c r="AT96" s="1195"/>
      <c r="AU96" s="1195"/>
      <c r="AV96" s="1195"/>
      <c r="AW96" s="1195"/>
      <c r="AX96" s="1195"/>
      <c r="AY96" s="1195"/>
      <c r="AZ96" s="1195"/>
      <c r="BA96" s="1195"/>
      <c r="BB96" s="1195"/>
      <c r="BC96" s="1195"/>
      <c r="BD96" s="1195"/>
      <c r="BE96" s="1195"/>
      <c r="BF96" s="1195"/>
      <c r="BG96" s="1195"/>
      <c r="BH96" s="40"/>
      <c r="BI96" s="1196" t="s">
        <v>43</v>
      </c>
      <c r="BJ96" s="1197"/>
      <c r="BK96" s="1197"/>
      <c r="BL96" s="1197"/>
      <c r="BM96" s="1197"/>
      <c r="BN96" s="1197"/>
      <c r="BO96" s="1197"/>
      <c r="BP96" s="1197"/>
      <c r="BQ96" s="1197"/>
      <c r="BR96" s="1197"/>
      <c r="BS96" s="1198"/>
      <c r="BT96" s="1209"/>
      <c r="BU96" s="1052">
        <v>36156</v>
      </c>
      <c r="BV96" s="1052">
        <v>37275</v>
      </c>
      <c r="BW96" s="1148">
        <v>37274.800000000003</v>
      </c>
      <c r="BX96" s="1149"/>
      <c r="BY96" s="1149"/>
      <c r="BZ96" s="1149"/>
      <c r="CA96" s="1149"/>
      <c r="CB96" s="1149"/>
      <c r="CC96" s="1149"/>
      <c r="CD96" s="1149"/>
      <c r="CE96" s="1149"/>
      <c r="CF96" s="1150"/>
      <c r="CG96" s="1148">
        <v>37423</v>
      </c>
      <c r="CH96" s="1149"/>
      <c r="CI96" s="1149"/>
      <c r="CJ96" s="1149"/>
      <c r="CK96" s="1149"/>
      <c r="CL96" s="1149"/>
      <c r="CM96" s="1149"/>
      <c r="CN96" s="1149"/>
      <c r="CO96" s="1149"/>
      <c r="CP96" s="1150"/>
      <c r="CQ96" s="1291"/>
      <c r="CR96" s="1292"/>
      <c r="CS96" s="1292"/>
      <c r="CT96" s="1292"/>
      <c r="CU96" s="1292"/>
      <c r="CV96" s="1292"/>
      <c r="CW96" s="1292"/>
      <c r="CX96" s="1292"/>
      <c r="CY96" s="1292"/>
      <c r="CZ96" s="1292"/>
      <c r="DA96" s="1292"/>
      <c r="DB96" s="1292"/>
      <c r="DC96" s="1292"/>
      <c r="DD96" s="1292"/>
      <c r="DE96" s="1292"/>
      <c r="DF96" s="1292"/>
      <c r="DG96" s="1293"/>
      <c r="DH96" s="1200"/>
      <c r="DI96" s="1057">
        <f t="shared" si="2"/>
        <v>0.39758764634551369</v>
      </c>
    </row>
    <row r="97" spans="1:113" s="38" customFormat="1" ht="16.95" customHeight="1">
      <c r="A97" s="1192" t="s">
        <v>7</v>
      </c>
      <c r="B97" s="1193"/>
      <c r="C97" s="1193"/>
      <c r="D97" s="1193"/>
      <c r="E97" s="1193"/>
      <c r="F97" s="1193"/>
      <c r="G97" s="1193"/>
      <c r="H97" s="1193"/>
      <c r="I97" s="1194"/>
      <c r="J97" s="1047"/>
      <c r="K97" s="1188" t="s">
        <v>1572</v>
      </c>
      <c r="L97" s="1188"/>
      <c r="M97" s="1188"/>
      <c r="N97" s="1188"/>
      <c r="O97" s="1188"/>
      <c r="P97" s="1188"/>
      <c r="Q97" s="1188"/>
      <c r="R97" s="1188"/>
      <c r="S97" s="1188"/>
      <c r="T97" s="1188"/>
      <c r="U97" s="1188"/>
      <c r="V97" s="1188"/>
      <c r="W97" s="1188"/>
      <c r="X97" s="1188"/>
      <c r="Y97" s="1188"/>
      <c r="Z97" s="1188"/>
      <c r="AA97" s="1188"/>
      <c r="AB97" s="1188"/>
      <c r="AC97" s="1188"/>
      <c r="AD97" s="1188"/>
      <c r="AE97" s="1188"/>
      <c r="AF97" s="1188"/>
      <c r="AG97" s="1188"/>
      <c r="AH97" s="1188"/>
      <c r="AI97" s="1188"/>
      <c r="AJ97" s="1188"/>
      <c r="AK97" s="1188"/>
      <c r="AL97" s="1188"/>
      <c r="AM97" s="1188"/>
      <c r="AN97" s="1188"/>
      <c r="AO97" s="1188"/>
      <c r="AP97" s="1188"/>
      <c r="AQ97" s="1188"/>
      <c r="AR97" s="1188"/>
      <c r="AS97" s="1188"/>
      <c r="AT97" s="1188"/>
      <c r="AU97" s="1188"/>
      <c r="AV97" s="1188"/>
      <c r="AW97" s="1188"/>
      <c r="AX97" s="1188"/>
      <c r="AY97" s="1188"/>
      <c r="AZ97" s="1188"/>
      <c r="BA97" s="1188"/>
      <c r="BB97" s="1188"/>
      <c r="BC97" s="1188"/>
      <c r="BD97" s="1188"/>
      <c r="BE97" s="1188"/>
      <c r="BF97" s="1188"/>
      <c r="BG97" s="1188"/>
      <c r="BH97" s="1216"/>
      <c r="BI97" s="1179" t="s">
        <v>43</v>
      </c>
      <c r="BJ97" s="1164"/>
      <c r="BK97" s="1164"/>
      <c r="BL97" s="1164"/>
      <c r="BM97" s="1164"/>
      <c r="BN97" s="1164"/>
      <c r="BO97" s="1164"/>
      <c r="BP97" s="1164"/>
      <c r="BQ97" s="1164"/>
      <c r="BR97" s="1164"/>
      <c r="BS97" s="1165"/>
      <c r="BT97" s="1209"/>
      <c r="BU97" s="1052">
        <v>24</v>
      </c>
      <c r="BV97" s="1052">
        <v>24</v>
      </c>
      <c r="BW97" s="1166">
        <f>BV97</f>
        <v>24</v>
      </c>
      <c r="BX97" s="1167"/>
      <c r="BY97" s="1167"/>
      <c r="BZ97" s="1167"/>
      <c r="CA97" s="1167"/>
      <c r="CB97" s="1167"/>
      <c r="CC97" s="1167"/>
      <c r="CD97" s="1167"/>
      <c r="CE97" s="1167"/>
      <c r="CF97" s="1168"/>
      <c r="CG97" s="1166">
        <v>24.13</v>
      </c>
      <c r="CH97" s="1167"/>
      <c r="CI97" s="1167"/>
      <c r="CJ97" s="1167"/>
      <c r="CK97" s="1167"/>
      <c r="CL97" s="1167"/>
      <c r="CM97" s="1167"/>
      <c r="CN97" s="1167"/>
      <c r="CO97" s="1167"/>
      <c r="CP97" s="1168"/>
      <c r="CQ97" s="1291"/>
      <c r="CR97" s="1292"/>
      <c r="CS97" s="1292"/>
      <c r="CT97" s="1292"/>
      <c r="CU97" s="1292"/>
      <c r="CV97" s="1292"/>
      <c r="CW97" s="1292"/>
      <c r="CX97" s="1292"/>
      <c r="CY97" s="1292"/>
      <c r="CZ97" s="1292"/>
      <c r="DA97" s="1292"/>
      <c r="DB97" s="1292"/>
      <c r="DC97" s="1292"/>
      <c r="DD97" s="1292"/>
      <c r="DE97" s="1292"/>
      <c r="DF97" s="1292"/>
      <c r="DG97" s="1293"/>
      <c r="DH97" s="1200"/>
      <c r="DI97" s="1057">
        <f t="shared" si="2"/>
        <v>0.5416666666666714</v>
      </c>
    </row>
    <row r="98" spans="1:113" s="38" customFormat="1" ht="16.95" customHeight="1">
      <c r="A98" s="1192" t="s">
        <v>2073</v>
      </c>
      <c r="B98" s="1193"/>
      <c r="C98" s="1193"/>
      <c r="D98" s="1193"/>
      <c r="E98" s="1193"/>
      <c r="F98" s="1193"/>
      <c r="G98" s="1193"/>
      <c r="H98" s="1193"/>
      <c r="I98" s="1194"/>
      <c r="J98" s="1047"/>
      <c r="K98" s="1188" t="s">
        <v>1573</v>
      </c>
      <c r="L98" s="1188"/>
      <c r="M98" s="1188"/>
      <c r="N98" s="1188"/>
      <c r="O98" s="1188"/>
      <c r="P98" s="1188"/>
      <c r="Q98" s="1188"/>
      <c r="R98" s="1188"/>
      <c r="S98" s="1188"/>
      <c r="T98" s="1188"/>
      <c r="U98" s="1188"/>
      <c r="V98" s="1188"/>
      <c r="W98" s="1188"/>
      <c r="X98" s="1188"/>
      <c r="Y98" s="1188"/>
      <c r="Z98" s="1188"/>
      <c r="AA98" s="1188"/>
      <c r="AB98" s="1188"/>
      <c r="AC98" s="1188"/>
      <c r="AD98" s="1188"/>
      <c r="AE98" s="1188"/>
      <c r="AF98" s="1188"/>
      <c r="AG98" s="1188"/>
      <c r="AH98" s="1188"/>
      <c r="AI98" s="1188"/>
      <c r="AJ98" s="1188"/>
      <c r="AK98" s="1188"/>
      <c r="AL98" s="1188"/>
      <c r="AM98" s="1188"/>
      <c r="AN98" s="1188"/>
      <c r="AO98" s="1188"/>
      <c r="AP98" s="1188"/>
      <c r="AQ98" s="1188"/>
      <c r="AR98" s="1188"/>
      <c r="AS98" s="1188"/>
      <c r="AT98" s="1188"/>
      <c r="AU98" s="1188"/>
      <c r="AV98" s="1188"/>
      <c r="AW98" s="1188"/>
      <c r="AX98" s="1188"/>
      <c r="AY98" s="1188"/>
      <c r="AZ98" s="1188"/>
      <c r="BA98" s="1188"/>
      <c r="BB98" s="1188"/>
      <c r="BC98" s="1188"/>
      <c r="BD98" s="1188"/>
      <c r="BE98" s="1188"/>
      <c r="BF98" s="1188"/>
      <c r="BG98" s="1188"/>
      <c r="BH98" s="1216"/>
      <c r="BI98" s="1179" t="s">
        <v>43</v>
      </c>
      <c r="BJ98" s="1164"/>
      <c r="BK98" s="1164"/>
      <c r="BL98" s="1164"/>
      <c r="BM98" s="1164"/>
      <c r="BN98" s="1164"/>
      <c r="BO98" s="1164"/>
      <c r="BP98" s="1164"/>
      <c r="BQ98" s="1164"/>
      <c r="BR98" s="1164"/>
      <c r="BS98" s="1165"/>
      <c r="BT98" s="1209"/>
      <c r="BU98" s="1052">
        <v>27</v>
      </c>
      <c r="BV98" s="1052">
        <v>46</v>
      </c>
      <c r="BW98" s="1166">
        <f t="shared" ref="BW98:BW100" si="3">BV98</f>
        <v>46</v>
      </c>
      <c r="BX98" s="1167"/>
      <c r="BY98" s="1167"/>
      <c r="BZ98" s="1167"/>
      <c r="CA98" s="1167"/>
      <c r="CB98" s="1167"/>
      <c r="CC98" s="1167"/>
      <c r="CD98" s="1167"/>
      <c r="CE98" s="1167"/>
      <c r="CF98" s="1168"/>
      <c r="CG98" s="1166">
        <f>703.86-657.8</f>
        <v>46.060000000000059</v>
      </c>
      <c r="CH98" s="1167"/>
      <c r="CI98" s="1167"/>
      <c r="CJ98" s="1167"/>
      <c r="CK98" s="1167"/>
      <c r="CL98" s="1167"/>
      <c r="CM98" s="1167"/>
      <c r="CN98" s="1167"/>
      <c r="CO98" s="1167"/>
      <c r="CP98" s="1168"/>
      <c r="CQ98" s="1291"/>
      <c r="CR98" s="1292"/>
      <c r="CS98" s="1292"/>
      <c r="CT98" s="1292"/>
      <c r="CU98" s="1292"/>
      <c r="CV98" s="1292"/>
      <c r="CW98" s="1292"/>
      <c r="CX98" s="1292"/>
      <c r="CY98" s="1292"/>
      <c r="CZ98" s="1292"/>
      <c r="DA98" s="1292"/>
      <c r="DB98" s="1292"/>
      <c r="DC98" s="1292"/>
      <c r="DD98" s="1292"/>
      <c r="DE98" s="1292"/>
      <c r="DF98" s="1292"/>
      <c r="DG98" s="1293"/>
      <c r="DH98" s="1200"/>
      <c r="DI98" s="1057">
        <f t="shared" si="2"/>
        <v>0.13043478260881614</v>
      </c>
    </row>
    <row r="99" spans="1:113" s="38" customFormat="1" ht="16.95" customHeight="1">
      <c r="A99" s="1192" t="s">
        <v>2195</v>
      </c>
      <c r="B99" s="1193"/>
      <c r="C99" s="1193"/>
      <c r="D99" s="1193"/>
      <c r="E99" s="1193"/>
      <c r="F99" s="1193"/>
      <c r="G99" s="1193"/>
      <c r="H99" s="1193"/>
      <c r="I99" s="1194"/>
      <c r="J99" s="1047"/>
      <c r="K99" s="1188" t="s">
        <v>1574</v>
      </c>
      <c r="L99" s="1188"/>
      <c r="M99" s="1188"/>
      <c r="N99" s="1188"/>
      <c r="O99" s="1188"/>
      <c r="P99" s="1188"/>
      <c r="Q99" s="1188"/>
      <c r="R99" s="1188"/>
      <c r="S99" s="1188"/>
      <c r="T99" s="1188"/>
      <c r="U99" s="1188"/>
      <c r="V99" s="1188"/>
      <c r="W99" s="1188"/>
      <c r="X99" s="1188"/>
      <c r="Y99" s="1188"/>
      <c r="Z99" s="1188"/>
      <c r="AA99" s="1188"/>
      <c r="AB99" s="1188"/>
      <c r="AC99" s="1188"/>
      <c r="AD99" s="1188"/>
      <c r="AE99" s="1188"/>
      <c r="AF99" s="1188"/>
      <c r="AG99" s="1188"/>
      <c r="AH99" s="1188"/>
      <c r="AI99" s="1188"/>
      <c r="AJ99" s="1188"/>
      <c r="AK99" s="1188"/>
      <c r="AL99" s="1188"/>
      <c r="AM99" s="1188"/>
      <c r="AN99" s="1188"/>
      <c r="AO99" s="1188"/>
      <c r="AP99" s="1188"/>
      <c r="AQ99" s="1188"/>
      <c r="AR99" s="1188"/>
      <c r="AS99" s="1188"/>
      <c r="AT99" s="1188"/>
      <c r="AU99" s="1188"/>
      <c r="AV99" s="1188"/>
      <c r="AW99" s="1188"/>
      <c r="AX99" s="1188"/>
      <c r="AY99" s="1188"/>
      <c r="AZ99" s="1188"/>
      <c r="BA99" s="1188"/>
      <c r="BB99" s="1188"/>
      <c r="BC99" s="1188"/>
      <c r="BD99" s="1188"/>
      <c r="BE99" s="1188"/>
      <c r="BF99" s="1188"/>
      <c r="BG99" s="1188"/>
      <c r="BH99" s="1216"/>
      <c r="BI99" s="1179" t="s">
        <v>43</v>
      </c>
      <c r="BJ99" s="1164"/>
      <c r="BK99" s="1164"/>
      <c r="BL99" s="1164"/>
      <c r="BM99" s="1164"/>
      <c r="BN99" s="1164"/>
      <c r="BO99" s="1164"/>
      <c r="BP99" s="1164"/>
      <c r="BQ99" s="1164"/>
      <c r="BR99" s="1164"/>
      <c r="BS99" s="1165"/>
      <c r="BT99" s="1209"/>
      <c r="BU99" s="1052">
        <v>12650</v>
      </c>
      <c r="BV99" s="1052">
        <v>12093</v>
      </c>
      <c r="BW99" s="1166">
        <f t="shared" si="3"/>
        <v>12093</v>
      </c>
      <c r="BX99" s="1167"/>
      <c r="BY99" s="1167"/>
      <c r="BZ99" s="1167"/>
      <c r="CA99" s="1167"/>
      <c r="CB99" s="1167"/>
      <c r="CC99" s="1167"/>
      <c r="CD99" s="1167"/>
      <c r="CE99" s="1167"/>
      <c r="CF99" s="1168"/>
      <c r="CG99" s="1166">
        <f>73336.57-60164.6</f>
        <v>13171.970000000008</v>
      </c>
      <c r="CH99" s="1167"/>
      <c r="CI99" s="1167"/>
      <c r="CJ99" s="1167"/>
      <c r="CK99" s="1167"/>
      <c r="CL99" s="1167"/>
      <c r="CM99" s="1167"/>
      <c r="CN99" s="1167"/>
      <c r="CO99" s="1167"/>
      <c r="CP99" s="1168"/>
      <c r="CQ99" s="1291"/>
      <c r="CR99" s="1292"/>
      <c r="CS99" s="1292"/>
      <c r="CT99" s="1292"/>
      <c r="CU99" s="1292"/>
      <c r="CV99" s="1292"/>
      <c r="CW99" s="1292"/>
      <c r="CX99" s="1292"/>
      <c r="CY99" s="1292"/>
      <c r="CZ99" s="1292"/>
      <c r="DA99" s="1292"/>
      <c r="DB99" s="1292"/>
      <c r="DC99" s="1292"/>
      <c r="DD99" s="1292"/>
      <c r="DE99" s="1292"/>
      <c r="DF99" s="1292"/>
      <c r="DG99" s="1293"/>
      <c r="DH99" s="1200"/>
      <c r="DI99" s="1057">
        <f t="shared" si="2"/>
        <v>8.9222690812867711</v>
      </c>
    </row>
    <row r="100" spans="1:113" s="38" customFormat="1" ht="16.95" customHeight="1">
      <c r="A100" s="1192" t="s">
        <v>2196</v>
      </c>
      <c r="B100" s="1193"/>
      <c r="C100" s="1193"/>
      <c r="D100" s="1193"/>
      <c r="E100" s="1193"/>
      <c r="F100" s="1193"/>
      <c r="G100" s="1193"/>
      <c r="H100" s="1193"/>
      <c r="I100" s="1194"/>
      <c r="J100" s="1047"/>
      <c r="K100" s="1188" t="s">
        <v>1575</v>
      </c>
      <c r="L100" s="1188"/>
      <c r="M100" s="1188"/>
      <c r="N100" s="1188"/>
      <c r="O100" s="1188"/>
      <c r="P100" s="1188"/>
      <c r="Q100" s="1188"/>
      <c r="R100" s="1188"/>
      <c r="S100" s="1188"/>
      <c r="T100" s="1188"/>
      <c r="U100" s="1188"/>
      <c r="V100" s="1188"/>
      <c r="W100" s="1188"/>
      <c r="X100" s="1188"/>
      <c r="Y100" s="1188"/>
      <c r="Z100" s="1188"/>
      <c r="AA100" s="1188"/>
      <c r="AB100" s="1188"/>
      <c r="AC100" s="1188"/>
      <c r="AD100" s="1188"/>
      <c r="AE100" s="1188"/>
      <c r="AF100" s="1188"/>
      <c r="AG100" s="1188"/>
      <c r="AH100" s="1188"/>
      <c r="AI100" s="1188"/>
      <c r="AJ100" s="1188"/>
      <c r="AK100" s="1188"/>
      <c r="AL100" s="1188"/>
      <c r="AM100" s="1188"/>
      <c r="AN100" s="1188"/>
      <c r="AO100" s="1188"/>
      <c r="AP100" s="1188"/>
      <c r="AQ100" s="1188"/>
      <c r="AR100" s="1188"/>
      <c r="AS100" s="1188"/>
      <c r="AT100" s="1188"/>
      <c r="AU100" s="1188"/>
      <c r="AV100" s="1188"/>
      <c r="AW100" s="1188"/>
      <c r="AX100" s="1188"/>
      <c r="AY100" s="1188"/>
      <c r="AZ100" s="1188"/>
      <c r="BA100" s="1188"/>
      <c r="BB100" s="1188"/>
      <c r="BC100" s="1188"/>
      <c r="BD100" s="1188"/>
      <c r="BE100" s="1188"/>
      <c r="BF100" s="1188"/>
      <c r="BG100" s="1188"/>
      <c r="BH100" s="1216"/>
      <c r="BI100" s="1179" t="s">
        <v>43</v>
      </c>
      <c r="BJ100" s="1164"/>
      <c r="BK100" s="1164"/>
      <c r="BL100" s="1164"/>
      <c r="BM100" s="1164"/>
      <c r="BN100" s="1164"/>
      <c r="BO100" s="1164"/>
      <c r="BP100" s="1164"/>
      <c r="BQ100" s="1164"/>
      <c r="BR100" s="1164"/>
      <c r="BS100" s="1165"/>
      <c r="BT100" s="1209"/>
      <c r="BU100" s="1052">
        <v>23455</v>
      </c>
      <c r="BV100" s="1052">
        <v>24112</v>
      </c>
      <c r="BW100" s="1166">
        <f t="shared" si="3"/>
        <v>24112</v>
      </c>
      <c r="BX100" s="1167"/>
      <c r="BY100" s="1167"/>
      <c r="BZ100" s="1167"/>
      <c r="CA100" s="1167"/>
      <c r="CB100" s="1167"/>
      <c r="CC100" s="1167"/>
      <c r="CD100" s="1167"/>
      <c r="CE100" s="1167"/>
      <c r="CF100" s="1168"/>
      <c r="CG100" s="1166">
        <v>24180.83</v>
      </c>
      <c r="CH100" s="1167"/>
      <c r="CI100" s="1167"/>
      <c r="CJ100" s="1167"/>
      <c r="CK100" s="1167"/>
      <c r="CL100" s="1167"/>
      <c r="CM100" s="1167"/>
      <c r="CN100" s="1167"/>
      <c r="CO100" s="1167"/>
      <c r="CP100" s="1168"/>
      <c r="CQ100" s="1291"/>
      <c r="CR100" s="1292"/>
      <c r="CS100" s="1292"/>
      <c r="CT100" s="1292"/>
      <c r="CU100" s="1292"/>
      <c r="CV100" s="1292"/>
      <c r="CW100" s="1292"/>
      <c r="CX100" s="1292"/>
      <c r="CY100" s="1292"/>
      <c r="CZ100" s="1292"/>
      <c r="DA100" s="1292"/>
      <c r="DB100" s="1292"/>
      <c r="DC100" s="1292"/>
      <c r="DD100" s="1292"/>
      <c r="DE100" s="1292"/>
      <c r="DF100" s="1292"/>
      <c r="DG100" s="1293"/>
      <c r="DH100" s="1200"/>
      <c r="DI100" s="1057">
        <f t="shared" si="2"/>
        <v>0.28545952222960125</v>
      </c>
    </row>
    <row r="101" spans="1:113" s="38" customFormat="1" ht="30" customHeight="1">
      <c r="A101" s="1192" t="s">
        <v>195</v>
      </c>
      <c r="B101" s="1193"/>
      <c r="C101" s="1193"/>
      <c r="D101" s="1193"/>
      <c r="E101" s="1193"/>
      <c r="F101" s="1193"/>
      <c r="G101" s="1193"/>
      <c r="H101" s="1193"/>
      <c r="I101" s="1194"/>
      <c r="J101" s="39"/>
      <c r="K101" s="1195" t="s">
        <v>196</v>
      </c>
      <c r="L101" s="1195"/>
      <c r="M101" s="1195"/>
      <c r="N101" s="1195"/>
      <c r="O101" s="1195"/>
      <c r="P101" s="1195"/>
      <c r="Q101" s="1195"/>
      <c r="R101" s="1195"/>
      <c r="S101" s="1195"/>
      <c r="T101" s="1195"/>
      <c r="U101" s="1195"/>
      <c r="V101" s="1195"/>
      <c r="W101" s="1195"/>
      <c r="X101" s="1195"/>
      <c r="Y101" s="1195"/>
      <c r="Z101" s="1195"/>
      <c r="AA101" s="1195"/>
      <c r="AB101" s="1195"/>
      <c r="AC101" s="1195"/>
      <c r="AD101" s="1195"/>
      <c r="AE101" s="1195"/>
      <c r="AF101" s="1195"/>
      <c r="AG101" s="1195"/>
      <c r="AH101" s="1195"/>
      <c r="AI101" s="1195"/>
      <c r="AJ101" s="1195"/>
      <c r="AK101" s="1195"/>
      <c r="AL101" s="1195"/>
      <c r="AM101" s="1195"/>
      <c r="AN101" s="1195"/>
      <c r="AO101" s="1195"/>
      <c r="AP101" s="1195"/>
      <c r="AQ101" s="1195"/>
      <c r="AR101" s="1195"/>
      <c r="AS101" s="1195"/>
      <c r="AT101" s="1195"/>
      <c r="AU101" s="1195"/>
      <c r="AV101" s="1195"/>
      <c r="AW101" s="1195"/>
      <c r="AX101" s="1195"/>
      <c r="AY101" s="1195"/>
      <c r="AZ101" s="1195"/>
      <c r="BA101" s="1195"/>
      <c r="BB101" s="1195"/>
      <c r="BC101" s="1195"/>
      <c r="BD101" s="1195"/>
      <c r="BE101" s="1195"/>
      <c r="BF101" s="1195"/>
      <c r="BG101" s="1195"/>
      <c r="BH101" s="40"/>
      <c r="BI101" s="1196" t="s">
        <v>43</v>
      </c>
      <c r="BJ101" s="1197"/>
      <c r="BK101" s="1197"/>
      <c r="BL101" s="1197"/>
      <c r="BM101" s="1197"/>
      <c r="BN101" s="1197"/>
      <c r="BO101" s="1197"/>
      <c r="BP101" s="1197"/>
      <c r="BQ101" s="1197"/>
      <c r="BR101" s="1197"/>
      <c r="BS101" s="1198"/>
      <c r="BT101" s="1209"/>
      <c r="BU101" s="1052">
        <v>55052</v>
      </c>
      <c r="BV101" s="1052">
        <v>60488</v>
      </c>
      <c r="BW101" s="1148">
        <v>60488.4</v>
      </c>
      <c r="BX101" s="1149"/>
      <c r="BY101" s="1149"/>
      <c r="BZ101" s="1149"/>
      <c r="CA101" s="1149"/>
      <c r="CB101" s="1149"/>
      <c r="CC101" s="1149"/>
      <c r="CD101" s="1149"/>
      <c r="CE101" s="1149"/>
      <c r="CF101" s="1150"/>
      <c r="CG101" s="1148">
        <v>60822.42</v>
      </c>
      <c r="CH101" s="1149"/>
      <c r="CI101" s="1149"/>
      <c r="CJ101" s="1149"/>
      <c r="CK101" s="1149"/>
      <c r="CL101" s="1149"/>
      <c r="CM101" s="1149"/>
      <c r="CN101" s="1149"/>
      <c r="CO101" s="1149"/>
      <c r="CP101" s="1150"/>
      <c r="CQ101" s="1291"/>
      <c r="CR101" s="1292"/>
      <c r="CS101" s="1292"/>
      <c r="CT101" s="1292"/>
      <c r="CU101" s="1292"/>
      <c r="CV101" s="1292"/>
      <c r="CW101" s="1292"/>
      <c r="CX101" s="1292"/>
      <c r="CY101" s="1292"/>
      <c r="CZ101" s="1292"/>
      <c r="DA101" s="1292"/>
      <c r="DB101" s="1292"/>
      <c r="DC101" s="1292"/>
      <c r="DD101" s="1292"/>
      <c r="DE101" s="1292"/>
      <c r="DF101" s="1292"/>
      <c r="DG101" s="1293"/>
      <c r="DH101" s="1200"/>
      <c r="DI101" s="1057">
        <f t="shared" si="2"/>
        <v>0.55220505088578875</v>
      </c>
    </row>
    <row r="102" spans="1:113" s="38" customFormat="1" ht="16.95" customHeight="1">
      <c r="A102" s="1192" t="s">
        <v>7</v>
      </c>
      <c r="B102" s="1193"/>
      <c r="C102" s="1193"/>
      <c r="D102" s="1193"/>
      <c r="E102" s="1193"/>
      <c r="F102" s="1193"/>
      <c r="G102" s="1193"/>
      <c r="H102" s="1193"/>
      <c r="I102" s="1194"/>
      <c r="J102" s="1047"/>
      <c r="K102" s="1188" t="s">
        <v>1572</v>
      </c>
      <c r="L102" s="1188"/>
      <c r="M102" s="1188"/>
      <c r="N102" s="1188"/>
      <c r="O102" s="1188"/>
      <c r="P102" s="1188"/>
      <c r="Q102" s="1188"/>
      <c r="R102" s="1188"/>
      <c r="S102" s="1188"/>
      <c r="T102" s="1188"/>
      <c r="U102" s="1188"/>
      <c r="V102" s="1188"/>
      <c r="W102" s="1188"/>
      <c r="X102" s="1188"/>
      <c r="Y102" s="1188"/>
      <c r="Z102" s="1188"/>
      <c r="AA102" s="1188"/>
      <c r="AB102" s="1188"/>
      <c r="AC102" s="1188"/>
      <c r="AD102" s="1188"/>
      <c r="AE102" s="1188"/>
      <c r="AF102" s="1188"/>
      <c r="AG102" s="1188"/>
      <c r="AH102" s="1188"/>
      <c r="AI102" s="1188"/>
      <c r="AJ102" s="1188"/>
      <c r="AK102" s="1188"/>
      <c r="AL102" s="1188"/>
      <c r="AM102" s="1188"/>
      <c r="AN102" s="1188"/>
      <c r="AO102" s="1188"/>
      <c r="AP102" s="1188"/>
      <c r="AQ102" s="1188"/>
      <c r="AR102" s="1188"/>
      <c r="AS102" s="1188"/>
      <c r="AT102" s="1188"/>
      <c r="AU102" s="1188"/>
      <c r="AV102" s="1188"/>
      <c r="AW102" s="1188"/>
      <c r="AX102" s="1188"/>
      <c r="AY102" s="1188"/>
      <c r="AZ102" s="1188"/>
      <c r="BA102" s="1188"/>
      <c r="BB102" s="1188"/>
      <c r="BC102" s="1188"/>
      <c r="BD102" s="1188"/>
      <c r="BE102" s="1188"/>
      <c r="BF102" s="1188"/>
      <c r="BG102" s="1188"/>
      <c r="BH102" s="1216"/>
      <c r="BI102" s="1179" t="s">
        <v>43</v>
      </c>
      <c r="BJ102" s="1164"/>
      <c r="BK102" s="1164"/>
      <c r="BL102" s="1164"/>
      <c r="BM102" s="1164"/>
      <c r="BN102" s="1164"/>
      <c r="BO102" s="1164"/>
      <c r="BP102" s="1164"/>
      <c r="BQ102" s="1164"/>
      <c r="BR102" s="1164"/>
      <c r="BS102" s="1165"/>
      <c r="BT102" s="1209"/>
      <c r="BU102" s="1052" t="s">
        <v>63</v>
      </c>
      <c r="BV102" s="1052" t="s">
        <v>63</v>
      </c>
      <c r="BW102" s="1163" t="s">
        <v>63</v>
      </c>
      <c r="BX102" s="1164"/>
      <c r="BY102" s="1164"/>
      <c r="BZ102" s="1164"/>
      <c r="CA102" s="1164"/>
      <c r="CB102" s="1164"/>
      <c r="CC102" s="1164"/>
      <c r="CD102" s="1164"/>
      <c r="CE102" s="1164"/>
      <c r="CF102" s="1165"/>
      <c r="CG102" s="1163" t="s">
        <v>63</v>
      </c>
      <c r="CH102" s="1164"/>
      <c r="CI102" s="1164"/>
      <c r="CJ102" s="1164"/>
      <c r="CK102" s="1164"/>
      <c r="CL102" s="1164"/>
      <c r="CM102" s="1164"/>
      <c r="CN102" s="1164"/>
      <c r="CO102" s="1164"/>
      <c r="CP102" s="1165"/>
      <c r="CQ102" s="1291"/>
      <c r="CR102" s="1292"/>
      <c r="CS102" s="1292"/>
      <c r="CT102" s="1292"/>
      <c r="CU102" s="1292"/>
      <c r="CV102" s="1292"/>
      <c r="CW102" s="1292"/>
      <c r="CX102" s="1292"/>
      <c r="CY102" s="1292"/>
      <c r="CZ102" s="1292"/>
      <c r="DA102" s="1292"/>
      <c r="DB102" s="1292"/>
      <c r="DC102" s="1292"/>
      <c r="DD102" s="1292"/>
      <c r="DE102" s="1292"/>
      <c r="DF102" s="1292"/>
      <c r="DG102" s="1293"/>
      <c r="DH102" s="1200"/>
      <c r="DI102" s="1057"/>
    </row>
    <row r="103" spans="1:113" s="38" customFormat="1" ht="16.95" customHeight="1">
      <c r="A103" s="1192" t="s">
        <v>2073</v>
      </c>
      <c r="B103" s="1193"/>
      <c r="C103" s="1193"/>
      <c r="D103" s="1193"/>
      <c r="E103" s="1193"/>
      <c r="F103" s="1193"/>
      <c r="G103" s="1193"/>
      <c r="H103" s="1193"/>
      <c r="I103" s="1194"/>
      <c r="J103" s="1047"/>
      <c r="K103" s="1188" t="s">
        <v>1573</v>
      </c>
      <c r="L103" s="1188"/>
      <c r="M103" s="1188"/>
      <c r="N103" s="1188"/>
      <c r="O103" s="1188"/>
      <c r="P103" s="1188"/>
      <c r="Q103" s="1188"/>
      <c r="R103" s="1188"/>
      <c r="S103" s="1188"/>
      <c r="T103" s="1188"/>
      <c r="U103" s="1188"/>
      <c r="V103" s="1188"/>
      <c r="W103" s="1188"/>
      <c r="X103" s="1188"/>
      <c r="Y103" s="1188"/>
      <c r="Z103" s="1188"/>
      <c r="AA103" s="1188"/>
      <c r="AB103" s="1188"/>
      <c r="AC103" s="1188"/>
      <c r="AD103" s="1188"/>
      <c r="AE103" s="1188"/>
      <c r="AF103" s="1188"/>
      <c r="AG103" s="1188"/>
      <c r="AH103" s="1188"/>
      <c r="AI103" s="1188"/>
      <c r="AJ103" s="1188"/>
      <c r="AK103" s="1188"/>
      <c r="AL103" s="1188"/>
      <c r="AM103" s="1188"/>
      <c r="AN103" s="1188"/>
      <c r="AO103" s="1188"/>
      <c r="AP103" s="1188"/>
      <c r="AQ103" s="1188"/>
      <c r="AR103" s="1188"/>
      <c r="AS103" s="1188"/>
      <c r="AT103" s="1188"/>
      <c r="AU103" s="1188"/>
      <c r="AV103" s="1188"/>
      <c r="AW103" s="1188"/>
      <c r="AX103" s="1188"/>
      <c r="AY103" s="1188"/>
      <c r="AZ103" s="1188"/>
      <c r="BA103" s="1188"/>
      <c r="BB103" s="1188"/>
      <c r="BC103" s="1188"/>
      <c r="BD103" s="1188"/>
      <c r="BE103" s="1188"/>
      <c r="BF103" s="1188"/>
      <c r="BG103" s="1188"/>
      <c r="BH103" s="1216"/>
      <c r="BI103" s="1179" t="s">
        <v>43</v>
      </c>
      <c r="BJ103" s="1164"/>
      <c r="BK103" s="1164"/>
      <c r="BL103" s="1164"/>
      <c r="BM103" s="1164"/>
      <c r="BN103" s="1164"/>
      <c r="BO103" s="1164"/>
      <c r="BP103" s="1164"/>
      <c r="BQ103" s="1164"/>
      <c r="BR103" s="1164"/>
      <c r="BS103" s="1165"/>
      <c r="BT103" s="1209"/>
      <c r="BU103" s="1052">
        <v>463</v>
      </c>
      <c r="BV103" s="1052">
        <v>658</v>
      </c>
      <c r="BW103" s="1166">
        <f>BV103</f>
        <v>658</v>
      </c>
      <c r="BX103" s="1167"/>
      <c r="BY103" s="1167"/>
      <c r="BZ103" s="1167"/>
      <c r="CA103" s="1167"/>
      <c r="CB103" s="1167"/>
      <c r="CC103" s="1167"/>
      <c r="CD103" s="1167"/>
      <c r="CE103" s="1167"/>
      <c r="CF103" s="1168"/>
      <c r="CG103" s="1166">
        <v>657.8</v>
      </c>
      <c r="CH103" s="1167"/>
      <c r="CI103" s="1167"/>
      <c r="CJ103" s="1167"/>
      <c r="CK103" s="1167"/>
      <c r="CL103" s="1167"/>
      <c r="CM103" s="1167"/>
      <c r="CN103" s="1167"/>
      <c r="CO103" s="1167"/>
      <c r="CP103" s="1168"/>
      <c r="CQ103" s="1291"/>
      <c r="CR103" s="1292"/>
      <c r="CS103" s="1292"/>
      <c r="CT103" s="1292"/>
      <c r="CU103" s="1292"/>
      <c r="CV103" s="1292"/>
      <c r="CW103" s="1292"/>
      <c r="CX103" s="1292"/>
      <c r="CY103" s="1292"/>
      <c r="CZ103" s="1292"/>
      <c r="DA103" s="1292"/>
      <c r="DB103" s="1292"/>
      <c r="DC103" s="1292"/>
      <c r="DD103" s="1292"/>
      <c r="DE103" s="1292"/>
      <c r="DF103" s="1292"/>
      <c r="DG103" s="1293"/>
      <c r="DH103" s="1200"/>
      <c r="DI103" s="1057">
        <f t="shared" si="2"/>
        <v>-3.0395136778111009E-2</v>
      </c>
    </row>
    <row r="104" spans="1:113" s="38" customFormat="1" ht="16.95" customHeight="1">
      <c r="A104" s="1192" t="s">
        <v>2195</v>
      </c>
      <c r="B104" s="1193"/>
      <c r="C104" s="1193"/>
      <c r="D104" s="1193"/>
      <c r="E104" s="1193"/>
      <c r="F104" s="1193"/>
      <c r="G104" s="1193"/>
      <c r="H104" s="1193"/>
      <c r="I104" s="1194"/>
      <c r="J104" s="1047"/>
      <c r="K104" s="1188" t="s">
        <v>1574</v>
      </c>
      <c r="L104" s="1188"/>
      <c r="M104" s="1188"/>
      <c r="N104" s="1188"/>
      <c r="O104" s="1188"/>
      <c r="P104" s="1188"/>
      <c r="Q104" s="1188"/>
      <c r="R104" s="1188"/>
      <c r="S104" s="1188"/>
      <c r="T104" s="1188"/>
      <c r="U104" s="1188"/>
      <c r="V104" s="1188"/>
      <c r="W104" s="1188"/>
      <c r="X104" s="1188"/>
      <c r="Y104" s="1188"/>
      <c r="Z104" s="1188"/>
      <c r="AA104" s="1188"/>
      <c r="AB104" s="1188"/>
      <c r="AC104" s="1188"/>
      <c r="AD104" s="1188"/>
      <c r="AE104" s="1188"/>
      <c r="AF104" s="1188"/>
      <c r="AG104" s="1188"/>
      <c r="AH104" s="1188"/>
      <c r="AI104" s="1188"/>
      <c r="AJ104" s="1188"/>
      <c r="AK104" s="1188"/>
      <c r="AL104" s="1188"/>
      <c r="AM104" s="1188"/>
      <c r="AN104" s="1188"/>
      <c r="AO104" s="1188"/>
      <c r="AP104" s="1188"/>
      <c r="AQ104" s="1188"/>
      <c r="AR104" s="1188"/>
      <c r="AS104" s="1188"/>
      <c r="AT104" s="1188"/>
      <c r="AU104" s="1188"/>
      <c r="AV104" s="1188"/>
      <c r="AW104" s="1188"/>
      <c r="AX104" s="1188"/>
      <c r="AY104" s="1188"/>
      <c r="AZ104" s="1188"/>
      <c r="BA104" s="1188"/>
      <c r="BB104" s="1188"/>
      <c r="BC104" s="1188"/>
      <c r="BD104" s="1188"/>
      <c r="BE104" s="1188"/>
      <c r="BF104" s="1188"/>
      <c r="BG104" s="1188"/>
      <c r="BH104" s="1216"/>
      <c r="BI104" s="1179" t="s">
        <v>43</v>
      </c>
      <c r="BJ104" s="1164"/>
      <c r="BK104" s="1164"/>
      <c r="BL104" s="1164"/>
      <c r="BM104" s="1164"/>
      <c r="BN104" s="1164"/>
      <c r="BO104" s="1164"/>
      <c r="BP104" s="1164"/>
      <c r="BQ104" s="1164"/>
      <c r="BR104" s="1164"/>
      <c r="BS104" s="1165"/>
      <c r="BT104" s="1209"/>
      <c r="BU104" s="1052">
        <v>54589</v>
      </c>
      <c r="BV104" s="1052">
        <v>59831</v>
      </c>
      <c r="BW104" s="1166">
        <f>BV104</f>
        <v>59831</v>
      </c>
      <c r="BX104" s="1167"/>
      <c r="BY104" s="1167"/>
      <c r="BZ104" s="1167"/>
      <c r="CA104" s="1167"/>
      <c r="CB104" s="1167"/>
      <c r="CC104" s="1167"/>
      <c r="CD104" s="1167"/>
      <c r="CE104" s="1167"/>
      <c r="CF104" s="1168"/>
      <c r="CG104" s="1166">
        <v>60164.6</v>
      </c>
      <c r="CH104" s="1167"/>
      <c r="CI104" s="1167"/>
      <c r="CJ104" s="1167"/>
      <c r="CK104" s="1167"/>
      <c r="CL104" s="1167"/>
      <c r="CM104" s="1167"/>
      <c r="CN104" s="1167"/>
      <c r="CO104" s="1167"/>
      <c r="CP104" s="1168"/>
      <c r="CQ104" s="1291"/>
      <c r="CR104" s="1292"/>
      <c r="CS104" s="1292"/>
      <c r="CT104" s="1292"/>
      <c r="CU104" s="1292"/>
      <c r="CV104" s="1292"/>
      <c r="CW104" s="1292"/>
      <c r="CX104" s="1292"/>
      <c r="CY104" s="1292"/>
      <c r="CZ104" s="1292"/>
      <c r="DA104" s="1292"/>
      <c r="DB104" s="1292"/>
      <c r="DC104" s="1292"/>
      <c r="DD104" s="1292"/>
      <c r="DE104" s="1292"/>
      <c r="DF104" s="1292"/>
      <c r="DG104" s="1293"/>
      <c r="DH104" s="1200"/>
      <c r="DI104" s="1057">
        <f t="shared" si="2"/>
        <v>0.5575704902141041</v>
      </c>
    </row>
    <row r="105" spans="1:113" s="38" customFormat="1" ht="16.95" customHeight="1">
      <c r="A105" s="1192" t="s">
        <v>2196</v>
      </c>
      <c r="B105" s="1193"/>
      <c r="C105" s="1193"/>
      <c r="D105" s="1193"/>
      <c r="E105" s="1193"/>
      <c r="F105" s="1193"/>
      <c r="G105" s="1193"/>
      <c r="H105" s="1193"/>
      <c r="I105" s="1194"/>
      <c r="J105" s="1047"/>
      <c r="K105" s="1188" t="s">
        <v>1575</v>
      </c>
      <c r="L105" s="1188"/>
      <c r="M105" s="1188"/>
      <c r="N105" s="1188"/>
      <c r="O105" s="1188"/>
      <c r="P105" s="1188"/>
      <c r="Q105" s="1188"/>
      <c r="R105" s="1188"/>
      <c r="S105" s="1188"/>
      <c r="T105" s="1188"/>
      <c r="U105" s="1188"/>
      <c r="V105" s="1188"/>
      <c r="W105" s="1188"/>
      <c r="X105" s="1188"/>
      <c r="Y105" s="1188"/>
      <c r="Z105" s="1188"/>
      <c r="AA105" s="1188"/>
      <c r="AB105" s="1188"/>
      <c r="AC105" s="1188"/>
      <c r="AD105" s="1188"/>
      <c r="AE105" s="1188"/>
      <c r="AF105" s="1188"/>
      <c r="AG105" s="1188"/>
      <c r="AH105" s="1188"/>
      <c r="AI105" s="1188"/>
      <c r="AJ105" s="1188"/>
      <c r="AK105" s="1188"/>
      <c r="AL105" s="1188"/>
      <c r="AM105" s="1188"/>
      <c r="AN105" s="1188"/>
      <c r="AO105" s="1188"/>
      <c r="AP105" s="1188"/>
      <c r="AQ105" s="1188"/>
      <c r="AR105" s="1188"/>
      <c r="AS105" s="1188"/>
      <c r="AT105" s="1188"/>
      <c r="AU105" s="1188"/>
      <c r="AV105" s="1188"/>
      <c r="AW105" s="1188"/>
      <c r="AX105" s="1188"/>
      <c r="AY105" s="1188"/>
      <c r="AZ105" s="1188"/>
      <c r="BA105" s="1188"/>
      <c r="BB105" s="1188"/>
      <c r="BC105" s="1188"/>
      <c r="BD105" s="1188"/>
      <c r="BE105" s="1188"/>
      <c r="BF105" s="1188"/>
      <c r="BG105" s="1188"/>
      <c r="BH105" s="1216"/>
      <c r="BI105" s="1179" t="s">
        <v>43</v>
      </c>
      <c r="BJ105" s="1164"/>
      <c r="BK105" s="1164"/>
      <c r="BL105" s="1164"/>
      <c r="BM105" s="1164"/>
      <c r="BN105" s="1164"/>
      <c r="BO105" s="1164"/>
      <c r="BP105" s="1164"/>
      <c r="BQ105" s="1164"/>
      <c r="BR105" s="1164"/>
      <c r="BS105" s="1165"/>
      <c r="BT105" s="1209"/>
      <c r="BU105" s="1052" t="s">
        <v>63</v>
      </c>
      <c r="BV105" s="1052" t="s">
        <v>63</v>
      </c>
      <c r="BW105" s="1163" t="s">
        <v>63</v>
      </c>
      <c r="BX105" s="1164"/>
      <c r="BY105" s="1164"/>
      <c r="BZ105" s="1164"/>
      <c r="CA105" s="1164"/>
      <c r="CB105" s="1164"/>
      <c r="CC105" s="1164"/>
      <c r="CD105" s="1164"/>
      <c r="CE105" s="1164"/>
      <c r="CF105" s="1165"/>
      <c r="CG105" s="1163" t="s">
        <v>63</v>
      </c>
      <c r="CH105" s="1164"/>
      <c r="CI105" s="1164"/>
      <c r="CJ105" s="1164"/>
      <c r="CK105" s="1164"/>
      <c r="CL105" s="1164"/>
      <c r="CM105" s="1164"/>
      <c r="CN105" s="1164"/>
      <c r="CO105" s="1164"/>
      <c r="CP105" s="1165"/>
      <c r="CQ105" s="1291"/>
      <c r="CR105" s="1292"/>
      <c r="CS105" s="1292"/>
      <c r="CT105" s="1292"/>
      <c r="CU105" s="1292"/>
      <c r="CV105" s="1292"/>
      <c r="CW105" s="1292"/>
      <c r="CX105" s="1292"/>
      <c r="CY105" s="1292"/>
      <c r="CZ105" s="1292"/>
      <c r="DA105" s="1292"/>
      <c r="DB105" s="1292"/>
      <c r="DC105" s="1292"/>
      <c r="DD105" s="1292"/>
      <c r="DE105" s="1292"/>
      <c r="DF105" s="1292"/>
      <c r="DG105" s="1293"/>
      <c r="DH105" s="1200"/>
      <c r="DI105" s="1057"/>
    </row>
    <row r="106" spans="1:113" s="38" customFormat="1" ht="15" customHeight="1">
      <c r="A106" s="1192" t="s">
        <v>197</v>
      </c>
      <c r="B106" s="1193"/>
      <c r="C106" s="1193"/>
      <c r="D106" s="1193"/>
      <c r="E106" s="1193"/>
      <c r="F106" s="1193"/>
      <c r="G106" s="1193"/>
      <c r="H106" s="1193"/>
      <c r="I106" s="1194"/>
      <c r="J106" s="39"/>
      <c r="K106" s="1195" t="s">
        <v>198</v>
      </c>
      <c r="L106" s="1195"/>
      <c r="M106" s="1195"/>
      <c r="N106" s="1195"/>
      <c r="O106" s="1195"/>
      <c r="P106" s="1195"/>
      <c r="Q106" s="1195"/>
      <c r="R106" s="1195"/>
      <c r="S106" s="1195"/>
      <c r="T106" s="1195"/>
      <c r="U106" s="1195"/>
      <c r="V106" s="1195"/>
      <c r="W106" s="1195"/>
      <c r="X106" s="1195"/>
      <c r="Y106" s="1195"/>
      <c r="Z106" s="1195"/>
      <c r="AA106" s="1195"/>
      <c r="AB106" s="1195"/>
      <c r="AC106" s="1195"/>
      <c r="AD106" s="1195"/>
      <c r="AE106" s="1195"/>
      <c r="AF106" s="1195"/>
      <c r="AG106" s="1195"/>
      <c r="AH106" s="1195"/>
      <c r="AI106" s="1195"/>
      <c r="AJ106" s="1195"/>
      <c r="AK106" s="1195"/>
      <c r="AL106" s="1195"/>
      <c r="AM106" s="1195"/>
      <c r="AN106" s="1195"/>
      <c r="AO106" s="1195"/>
      <c r="AP106" s="1195"/>
      <c r="AQ106" s="1195"/>
      <c r="AR106" s="1195"/>
      <c r="AS106" s="1195"/>
      <c r="AT106" s="1195"/>
      <c r="AU106" s="1195"/>
      <c r="AV106" s="1195"/>
      <c r="AW106" s="1195"/>
      <c r="AX106" s="1195"/>
      <c r="AY106" s="1195"/>
      <c r="AZ106" s="1195"/>
      <c r="BA106" s="1195"/>
      <c r="BB106" s="1195"/>
      <c r="BC106" s="1195"/>
      <c r="BD106" s="1195"/>
      <c r="BE106" s="1195"/>
      <c r="BF106" s="1195"/>
      <c r="BG106" s="1195"/>
      <c r="BH106" s="40"/>
      <c r="BI106" s="1196" t="s">
        <v>199</v>
      </c>
      <c r="BJ106" s="1197"/>
      <c r="BK106" s="1197"/>
      <c r="BL106" s="1197"/>
      <c r="BM106" s="1197"/>
      <c r="BN106" s="1197"/>
      <c r="BO106" s="1197"/>
      <c r="BP106" s="1197"/>
      <c r="BQ106" s="1197"/>
      <c r="BR106" s="1197"/>
      <c r="BS106" s="1198"/>
      <c r="BT106" s="1209"/>
      <c r="BU106" s="1052">
        <v>18635</v>
      </c>
      <c r="BV106" s="1052">
        <v>19545</v>
      </c>
      <c r="BW106" s="1148">
        <v>19544.7</v>
      </c>
      <c r="BX106" s="1149"/>
      <c r="BY106" s="1149"/>
      <c r="BZ106" s="1149"/>
      <c r="CA106" s="1149"/>
      <c r="CB106" s="1149"/>
      <c r="CC106" s="1149"/>
      <c r="CD106" s="1149"/>
      <c r="CE106" s="1149"/>
      <c r="CF106" s="1150"/>
      <c r="CG106" s="1148">
        <v>19622.900000000001</v>
      </c>
      <c r="CH106" s="1149"/>
      <c r="CI106" s="1149"/>
      <c r="CJ106" s="1149"/>
      <c r="CK106" s="1149"/>
      <c r="CL106" s="1149"/>
      <c r="CM106" s="1149"/>
      <c r="CN106" s="1149"/>
      <c r="CO106" s="1149"/>
      <c r="CP106" s="1150"/>
      <c r="CQ106" s="1291"/>
      <c r="CR106" s="1292"/>
      <c r="CS106" s="1292"/>
      <c r="CT106" s="1292"/>
      <c r="CU106" s="1292"/>
      <c r="CV106" s="1292"/>
      <c r="CW106" s="1292"/>
      <c r="CX106" s="1292"/>
      <c r="CY106" s="1292"/>
      <c r="CZ106" s="1292"/>
      <c r="DA106" s="1292"/>
      <c r="DB106" s="1292"/>
      <c r="DC106" s="1292"/>
      <c r="DD106" s="1292"/>
      <c r="DE106" s="1292"/>
      <c r="DF106" s="1292"/>
      <c r="DG106" s="1293"/>
      <c r="DH106" s="1200"/>
      <c r="DI106" s="1057">
        <f t="shared" si="2"/>
        <v>0.40010846930370292</v>
      </c>
    </row>
    <row r="107" spans="1:113" s="38" customFormat="1" ht="16.95" customHeight="1">
      <c r="A107" s="1192" t="s">
        <v>7</v>
      </c>
      <c r="B107" s="1193"/>
      <c r="C107" s="1193"/>
      <c r="D107" s="1193"/>
      <c r="E107" s="1193"/>
      <c r="F107" s="1193"/>
      <c r="G107" s="1193"/>
      <c r="H107" s="1193"/>
      <c r="I107" s="1194"/>
      <c r="J107" s="1047"/>
      <c r="K107" s="1188" t="s">
        <v>1572</v>
      </c>
      <c r="L107" s="1188"/>
      <c r="M107" s="1188"/>
      <c r="N107" s="1188"/>
      <c r="O107" s="1188"/>
      <c r="P107" s="1188"/>
      <c r="Q107" s="1188"/>
      <c r="R107" s="1188"/>
      <c r="S107" s="1188"/>
      <c r="T107" s="1188"/>
      <c r="U107" s="1188"/>
      <c r="V107" s="1188"/>
      <c r="W107" s="1188"/>
      <c r="X107" s="1188"/>
      <c r="Y107" s="1188"/>
      <c r="Z107" s="1188"/>
      <c r="AA107" s="1188"/>
      <c r="AB107" s="1188"/>
      <c r="AC107" s="1188"/>
      <c r="AD107" s="1188"/>
      <c r="AE107" s="1188"/>
      <c r="AF107" s="1188"/>
      <c r="AG107" s="1188"/>
      <c r="AH107" s="1188"/>
      <c r="AI107" s="1188"/>
      <c r="AJ107" s="1188"/>
      <c r="AK107" s="1188"/>
      <c r="AL107" s="1188"/>
      <c r="AM107" s="1188"/>
      <c r="AN107" s="1188"/>
      <c r="AO107" s="1188"/>
      <c r="AP107" s="1188"/>
      <c r="AQ107" s="1188"/>
      <c r="AR107" s="1188"/>
      <c r="AS107" s="1188"/>
      <c r="AT107" s="1188"/>
      <c r="AU107" s="1188"/>
      <c r="AV107" s="1188"/>
      <c r="AW107" s="1188"/>
      <c r="AX107" s="1188"/>
      <c r="AY107" s="1188"/>
      <c r="AZ107" s="1188"/>
      <c r="BA107" s="1188"/>
      <c r="BB107" s="1188"/>
      <c r="BC107" s="1188"/>
      <c r="BD107" s="1188"/>
      <c r="BE107" s="1188"/>
      <c r="BF107" s="1188"/>
      <c r="BG107" s="1188"/>
      <c r="BH107" s="1216"/>
      <c r="BI107" s="1179" t="s">
        <v>199</v>
      </c>
      <c r="BJ107" s="1164"/>
      <c r="BK107" s="1164"/>
      <c r="BL107" s="1164"/>
      <c r="BM107" s="1164"/>
      <c r="BN107" s="1164"/>
      <c r="BO107" s="1164"/>
      <c r="BP107" s="1164"/>
      <c r="BQ107" s="1164"/>
      <c r="BR107" s="1164"/>
      <c r="BS107" s="1165"/>
      <c r="BT107" s="1209"/>
      <c r="BU107" s="1052">
        <v>13</v>
      </c>
      <c r="BV107" s="1052">
        <v>13</v>
      </c>
      <c r="BW107" s="1166">
        <f>BV107</f>
        <v>13</v>
      </c>
      <c r="BX107" s="1167"/>
      <c r="BY107" s="1167"/>
      <c r="BZ107" s="1167"/>
      <c r="CA107" s="1167"/>
      <c r="CB107" s="1167"/>
      <c r="CC107" s="1167"/>
      <c r="CD107" s="1167"/>
      <c r="CE107" s="1167"/>
      <c r="CF107" s="1168"/>
      <c r="CG107" s="1166">
        <v>12.7</v>
      </c>
      <c r="CH107" s="1167"/>
      <c r="CI107" s="1167"/>
      <c r="CJ107" s="1167"/>
      <c r="CK107" s="1167"/>
      <c r="CL107" s="1167"/>
      <c r="CM107" s="1167"/>
      <c r="CN107" s="1167"/>
      <c r="CO107" s="1167"/>
      <c r="CP107" s="1168"/>
      <c r="CQ107" s="1291"/>
      <c r="CR107" s="1292"/>
      <c r="CS107" s="1292"/>
      <c r="CT107" s="1292"/>
      <c r="CU107" s="1292"/>
      <c r="CV107" s="1292"/>
      <c r="CW107" s="1292"/>
      <c r="CX107" s="1292"/>
      <c r="CY107" s="1292"/>
      <c r="CZ107" s="1292"/>
      <c r="DA107" s="1292"/>
      <c r="DB107" s="1292"/>
      <c r="DC107" s="1292"/>
      <c r="DD107" s="1292"/>
      <c r="DE107" s="1292"/>
      <c r="DF107" s="1292"/>
      <c r="DG107" s="1293"/>
      <c r="DH107" s="1200"/>
      <c r="DI107" s="1057">
        <f t="shared" si="2"/>
        <v>-2.3076923076923066</v>
      </c>
    </row>
    <row r="108" spans="1:113" s="38" customFormat="1" ht="16.95" customHeight="1">
      <c r="A108" s="1192" t="s">
        <v>2073</v>
      </c>
      <c r="B108" s="1193"/>
      <c r="C108" s="1193"/>
      <c r="D108" s="1193"/>
      <c r="E108" s="1193"/>
      <c r="F108" s="1193"/>
      <c r="G108" s="1193"/>
      <c r="H108" s="1193"/>
      <c r="I108" s="1194"/>
      <c r="J108" s="1047"/>
      <c r="K108" s="1188" t="s">
        <v>1573</v>
      </c>
      <c r="L108" s="1188"/>
      <c r="M108" s="1188"/>
      <c r="N108" s="1188"/>
      <c r="O108" s="1188"/>
      <c r="P108" s="1188"/>
      <c r="Q108" s="1188"/>
      <c r="R108" s="1188"/>
      <c r="S108" s="1188"/>
      <c r="T108" s="1188"/>
      <c r="U108" s="1188"/>
      <c r="V108" s="1188"/>
      <c r="W108" s="1188"/>
      <c r="X108" s="1188"/>
      <c r="Y108" s="1188"/>
      <c r="Z108" s="1188"/>
      <c r="AA108" s="1188"/>
      <c r="AB108" s="1188"/>
      <c r="AC108" s="1188"/>
      <c r="AD108" s="1188"/>
      <c r="AE108" s="1188"/>
      <c r="AF108" s="1188"/>
      <c r="AG108" s="1188"/>
      <c r="AH108" s="1188"/>
      <c r="AI108" s="1188"/>
      <c r="AJ108" s="1188"/>
      <c r="AK108" s="1188"/>
      <c r="AL108" s="1188"/>
      <c r="AM108" s="1188"/>
      <c r="AN108" s="1188"/>
      <c r="AO108" s="1188"/>
      <c r="AP108" s="1188"/>
      <c r="AQ108" s="1188"/>
      <c r="AR108" s="1188"/>
      <c r="AS108" s="1188"/>
      <c r="AT108" s="1188"/>
      <c r="AU108" s="1188"/>
      <c r="AV108" s="1188"/>
      <c r="AW108" s="1188"/>
      <c r="AX108" s="1188"/>
      <c r="AY108" s="1188"/>
      <c r="AZ108" s="1188"/>
      <c r="BA108" s="1188"/>
      <c r="BB108" s="1188"/>
      <c r="BC108" s="1188"/>
      <c r="BD108" s="1188"/>
      <c r="BE108" s="1188"/>
      <c r="BF108" s="1188"/>
      <c r="BG108" s="1188"/>
      <c r="BH108" s="1216"/>
      <c r="BI108" s="1179" t="s">
        <v>199</v>
      </c>
      <c r="BJ108" s="1164"/>
      <c r="BK108" s="1164"/>
      <c r="BL108" s="1164"/>
      <c r="BM108" s="1164"/>
      <c r="BN108" s="1164"/>
      <c r="BO108" s="1164"/>
      <c r="BP108" s="1164"/>
      <c r="BQ108" s="1164"/>
      <c r="BR108" s="1164"/>
      <c r="BS108" s="1165"/>
      <c r="BT108" s="1209"/>
      <c r="BU108" s="1052">
        <v>19</v>
      </c>
      <c r="BV108" s="1052">
        <v>23</v>
      </c>
      <c r="BW108" s="1166">
        <f t="shared" ref="BW108:BW110" si="4">BV108</f>
        <v>23</v>
      </c>
      <c r="BX108" s="1167"/>
      <c r="BY108" s="1167"/>
      <c r="BZ108" s="1167"/>
      <c r="CA108" s="1167"/>
      <c r="CB108" s="1167"/>
      <c r="CC108" s="1167"/>
      <c r="CD108" s="1167"/>
      <c r="CE108" s="1167"/>
      <c r="CF108" s="1168"/>
      <c r="CG108" s="1166">
        <v>22.71</v>
      </c>
      <c r="CH108" s="1167"/>
      <c r="CI108" s="1167"/>
      <c r="CJ108" s="1167"/>
      <c r="CK108" s="1167"/>
      <c r="CL108" s="1167"/>
      <c r="CM108" s="1167"/>
      <c r="CN108" s="1167"/>
      <c r="CO108" s="1167"/>
      <c r="CP108" s="1168"/>
      <c r="CQ108" s="1291"/>
      <c r="CR108" s="1292"/>
      <c r="CS108" s="1292"/>
      <c r="CT108" s="1292"/>
      <c r="CU108" s="1292"/>
      <c r="CV108" s="1292"/>
      <c r="CW108" s="1292"/>
      <c r="CX108" s="1292"/>
      <c r="CY108" s="1292"/>
      <c r="CZ108" s="1292"/>
      <c r="DA108" s="1292"/>
      <c r="DB108" s="1292"/>
      <c r="DC108" s="1292"/>
      <c r="DD108" s="1292"/>
      <c r="DE108" s="1292"/>
      <c r="DF108" s="1292"/>
      <c r="DG108" s="1293"/>
      <c r="DH108" s="1200"/>
      <c r="DI108" s="1057">
        <f t="shared" si="2"/>
        <v>-1.2608695652173907</v>
      </c>
    </row>
    <row r="109" spans="1:113" s="38" customFormat="1" ht="16.95" customHeight="1">
      <c r="A109" s="1192" t="s">
        <v>2195</v>
      </c>
      <c r="B109" s="1193"/>
      <c r="C109" s="1193"/>
      <c r="D109" s="1193"/>
      <c r="E109" s="1193"/>
      <c r="F109" s="1193"/>
      <c r="G109" s="1193"/>
      <c r="H109" s="1193"/>
      <c r="I109" s="1194"/>
      <c r="J109" s="1047"/>
      <c r="K109" s="1188" t="s">
        <v>1574</v>
      </c>
      <c r="L109" s="1188"/>
      <c r="M109" s="1188"/>
      <c r="N109" s="1188"/>
      <c r="O109" s="1188"/>
      <c r="P109" s="1188"/>
      <c r="Q109" s="1188"/>
      <c r="R109" s="1188"/>
      <c r="S109" s="1188"/>
      <c r="T109" s="1188"/>
      <c r="U109" s="1188"/>
      <c r="V109" s="1188"/>
      <c r="W109" s="1188"/>
      <c r="X109" s="1188"/>
      <c r="Y109" s="1188"/>
      <c r="Z109" s="1188"/>
      <c r="AA109" s="1188"/>
      <c r="AB109" s="1188"/>
      <c r="AC109" s="1188"/>
      <c r="AD109" s="1188"/>
      <c r="AE109" s="1188"/>
      <c r="AF109" s="1188"/>
      <c r="AG109" s="1188"/>
      <c r="AH109" s="1188"/>
      <c r="AI109" s="1188"/>
      <c r="AJ109" s="1188"/>
      <c r="AK109" s="1188"/>
      <c r="AL109" s="1188"/>
      <c r="AM109" s="1188"/>
      <c r="AN109" s="1188"/>
      <c r="AO109" s="1188"/>
      <c r="AP109" s="1188"/>
      <c r="AQ109" s="1188"/>
      <c r="AR109" s="1188"/>
      <c r="AS109" s="1188"/>
      <c r="AT109" s="1188"/>
      <c r="AU109" s="1188"/>
      <c r="AV109" s="1188"/>
      <c r="AW109" s="1188"/>
      <c r="AX109" s="1188"/>
      <c r="AY109" s="1188"/>
      <c r="AZ109" s="1188"/>
      <c r="BA109" s="1188"/>
      <c r="BB109" s="1188"/>
      <c r="BC109" s="1188"/>
      <c r="BD109" s="1188"/>
      <c r="BE109" s="1188"/>
      <c r="BF109" s="1188"/>
      <c r="BG109" s="1188"/>
      <c r="BH109" s="1216"/>
      <c r="BI109" s="1179" t="s">
        <v>199</v>
      </c>
      <c r="BJ109" s="1164"/>
      <c r="BK109" s="1164"/>
      <c r="BL109" s="1164"/>
      <c r="BM109" s="1164"/>
      <c r="BN109" s="1164"/>
      <c r="BO109" s="1164"/>
      <c r="BP109" s="1164"/>
      <c r="BQ109" s="1164"/>
      <c r="BR109" s="1164"/>
      <c r="BS109" s="1165"/>
      <c r="BT109" s="1209"/>
      <c r="BU109" s="1052">
        <v>5224</v>
      </c>
      <c r="BV109" s="1052">
        <v>5463</v>
      </c>
      <c r="BW109" s="1166">
        <f t="shared" si="4"/>
        <v>5463</v>
      </c>
      <c r="BX109" s="1167"/>
      <c r="BY109" s="1167"/>
      <c r="BZ109" s="1167"/>
      <c r="CA109" s="1167"/>
      <c r="CB109" s="1167"/>
      <c r="CC109" s="1167"/>
      <c r="CD109" s="1167"/>
      <c r="CE109" s="1167"/>
      <c r="CF109" s="1168"/>
      <c r="CG109" s="1166">
        <v>5496.79</v>
      </c>
      <c r="CH109" s="1167"/>
      <c r="CI109" s="1167"/>
      <c r="CJ109" s="1167"/>
      <c r="CK109" s="1167"/>
      <c r="CL109" s="1167"/>
      <c r="CM109" s="1167"/>
      <c r="CN109" s="1167"/>
      <c r="CO109" s="1167"/>
      <c r="CP109" s="1168"/>
      <c r="CQ109" s="1291"/>
      <c r="CR109" s="1292"/>
      <c r="CS109" s="1292"/>
      <c r="CT109" s="1292"/>
      <c r="CU109" s="1292"/>
      <c r="CV109" s="1292"/>
      <c r="CW109" s="1292"/>
      <c r="CX109" s="1292"/>
      <c r="CY109" s="1292"/>
      <c r="CZ109" s="1292"/>
      <c r="DA109" s="1292"/>
      <c r="DB109" s="1292"/>
      <c r="DC109" s="1292"/>
      <c r="DD109" s="1292"/>
      <c r="DE109" s="1292"/>
      <c r="DF109" s="1292"/>
      <c r="DG109" s="1293"/>
      <c r="DH109" s="1200"/>
      <c r="DI109" s="1057">
        <f t="shared" si="2"/>
        <v>0.61852462017206733</v>
      </c>
    </row>
    <row r="110" spans="1:113" s="38" customFormat="1" ht="16.95" customHeight="1">
      <c r="A110" s="1192" t="s">
        <v>2196</v>
      </c>
      <c r="B110" s="1193"/>
      <c r="C110" s="1193"/>
      <c r="D110" s="1193"/>
      <c r="E110" s="1193"/>
      <c r="F110" s="1193"/>
      <c r="G110" s="1193"/>
      <c r="H110" s="1193"/>
      <c r="I110" s="1194"/>
      <c r="J110" s="1047"/>
      <c r="K110" s="1188" t="s">
        <v>1575</v>
      </c>
      <c r="L110" s="1188"/>
      <c r="M110" s="1188"/>
      <c r="N110" s="1188"/>
      <c r="O110" s="1188"/>
      <c r="P110" s="1188"/>
      <c r="Q110" s="1188"/>
      <c r="R110" s="1188"/>
      <c r="S110" s="1188"/>
      <c r="T110" s="1188"/>
      <c r="U110" s="1188"/>
      <c r="V110" s="1188"/>
      <c r="W110" s="1188"/>
      <c r="X110" s="1188"/>
      <c r="Y110" s="1188"/>
      <c r="Z110" s="1188"/>
      <c r="AA110" s="1188"/>
      <c r="AB110" s="1188"/>
      <c r="AC110" s="1188"/>
      <c r="AD110" s="1188"/>
      <c r="AE110" s="1188"/>
      <c r="AF110" s="1188"/>
      <c r="AG110" s="1188"/>
      <c r="AH110" s="1188"/>
      <c r="AI110" s="1188"/>
      <c r="AJ110" s="1188"/>
      <c r="AK110" s="1188"/>
      <c r="AL110" s="1188"/>
      <c r="AM110" s="1188"/>
      <c r="AN110" s="1188"/>
      <c r="AO110" s="1188"/>
      <c r="AP110" s="1188"/>
      <c r="AQ110" s="1188"/>
      <c r="AR110" s="1188"/>
      <c r="AS110" s="1188"/>
      <c r="AT110" s="1188"/>
      <c r="AU110" s="1188"/>
      <c r="AV110" s="1188"/>
      <c r="AW110" s="1188"/>
      <c r="AX110" s="1188"/>
      <c r="AY110" s="1188"/>
      <c r="AZ110" s="1188"/>
      <c r="BA110" s="1188"/>
      <c r="BB110" s="1188"/>
      <c r="BC110" s="1188"/>
      <c r="BD110" s="1188"/>
      <c r="BE110" s="1188"/>
      <c r="BF110" s="1188"/>
      <c r="BG110" s="1188"/>
      <c r="BH110" s="1216"/>
      <c r="BI110" s="1179" t="s">
        <v>199</v>
      </c>
      <c r="BJ110" s="1164"/>
      <c r="BK110" s="1164"/>
      <c r="BL110" s="1164"/>
      <c r="BM110" s="1164"/>
      <c r="BN110" s="1164"/>
      <c r="BO110" s="1164"/>
      <c r="BP110" s="1164"/>
      <c r="BQ110" s="1164"/>
      <c r="BR110" s="1164"/>
      <c r="BS110" s="1165"/>
      <c r="BT110" s="1209"/>
      <c r="BU110" s="1052">
        <v>13380</v>
      </c>
      <c r="BV110" s="1052">
        <v>14046</v>
      </c>
      <c r="BW110" s="1166">
        <f t="shared" si="4"/>
        <v>14046</v>
      </c>
      <c r="BX110" s="1167"/>
      <c r="BY110" s="1167"/>
      <c r="BZ110" s="1167"/>
      <c r="CA110" s="1167"/>
      <c r="CB110" s="1167"/>
      <c r="CC110" s="1167"/>
      <c r="CD110" s="1167"/>
      <c r="CE110" s="1167"/>
      <c r="CF110" s="1168"/>
      <c r="CG110" s="1166">
        <v>14090.7</v>
      </c>
      <c r="CH110" s="1167"/>
      <c r="CI110" s="1167"/>
      <c r="CJ110" s="1167"/>
      <c r="CK110" s="1167"/>
      <c r="CL110" s="1167"/>
      <c r="CM110" s="1167"/>
      <c r="CN110" s="1167"/>
      <c r="CO110" s="1167"/>
      <c r="CP110" s="1168"/>
      <c r="CQ110" s="1291"/>
      <c r="CR110" s="1292"/>
      <c r="CS110" s="1292"/>
      <c r="CT110" s="1292"/>
      <c r="CU110" s="1292"/>
      <c r="CV110" s="1292"/>
      <c r="CW110" s="1292"/>
      <c r="CX110" s="1292"/>
      <c r="CY110" s="1292"/>
      <c r="CZ110" s="1292"/>
      <c r="DA110" s="1292"/>
      <c r="DB110" s="1292"/>
      <c r="DC110" s="1292"/>
      <c r="DD110" s="1292"/>
      <c r="DE110" s="1292"/>
      <c r="DF110" s="1292"/>
      <c r="DG110" s="1293"/>
      <c r="DH110" s="1200"/>
      <c r="DI110" s="1057">
        <f t="shared" si="2"/>
        <v>0.31824006834686713</v>
      </c>
    </row>
    <row r="111" spans="1:113" s="38" customFormat="1" ht="15" customHeight="1">
      <c r="A111" s="1192" t="s">
        <v>200</v>
      </c>
      <c r="B111" s="1193"/>
      <c r="C111" s="1193"/>
      <c r="D111" s="1193"/>
      <c r="E111" s="1193"/>
      <c r="F111" s="1193"/>
      <c r="G111" s="1193"/>
      <c r="H111" s="1193"/>
      <c r="I111" s="1194"/>
      <c r="J111" s="39"/>
      <c r="K111" s="1195" t="s">
        <v>201</v>
      </c>
      <c r="L111" s="1195"/>
      <c r="M111" s="1195"/>
      <c r="N111" s="1195"/>
      <c r="O111" s="1195"/>
      <c r="P111" s="1195"/>
      <c r="Q111" s="1195"/>
      <c r="R111" s="1195"/>
      <c r="S111" s="1195"/>
      <c r="T111" s="1195"/>
      <c r="U111" s="1195"/>
      <c r="V111" s="1195"/>
      <c r="W111" s="1195"/>
      <c r="X111" s="1195"/>
      <c r="Y111" s="1195"/>
      <c r="Z111" s="1195"/>
      <c r="AA111" s="1195"/>
      <c r="AB111" s="1195"/>
      <c r="AC111" s="1195"/>
      <c r="AD111" s="1195"/>
      <c r="AE111" s="1195"/>
      <c r="AF111" s="1195"/>
      <c r="AG111" s="1195"/>
      <c r="AH111" s="1195"/>
      <c r="AI111" s="1195"/>
      <c r="AJ111" s="1195"/>
      <c r="AK111" s="1195"/>
      <c r="AL111" s="1195"/>
      <c r="AM111" s="1195"/>
      <c r="AN111" s="1195"/>
      <c r="AO111" s="1195"/>
      <c r="AP111" s="1195"/>
      <c r="AQ111" s="1195"/>
      <c r="AR111" s="1195"/>
      <c r="AS111" s="1195"/>
      <c r="AT111" s="1195"/>
      <c r="AU111" s="1195"/>
      <c r="AV111" s="1195"/>
      <c r="AW111" s="1195"/>
      <c r="AX111" s="1195"/>
      <c r="AY111" s="1195"/>
      <c r="AZ111" s="1195"/>
      <c r="BA111" s="1195"/>
      <c r="BB111" s="1195"/>
      <c r="BC111" s="1195"/>
      <c r="BD111" s="1195"/>
      <c r="BE111" s="1195"/>
      <c r="BF111" s="1195"/>
      <c r="BG111" s="1195"/>
      <c r="BH111" s="40"/>
      <c r="BI111" s="1196" t="s">
        <v>202</v>
      </c>
      <c r="BJ111" s="1197"/>
      <c r="BK111" s="1197"/>
      <c r="BL111" s="1197"/>
      <c r="BM111" s="1197"/>
      <c r="BN111" s="1197"/>
      <c r="BO111" s="1197"/>
      <c r="BP111" s="1197"/>
      <c r="BQ111" s="1197"/>
      <c r="BR111" s="1197"/>
      <c r="BS111" s="1198"/>
      <c r="BT111" s="1208"/>
      <c r="BU111" s="1052">
        <v>24</v>
      </c>
      <c r="BV111" s="1052">
        <v>24</v>
      </c>
      <c r="BW111" s="1148">
        <v>23.9</v>
      </c>
      <c r="BX111" s="1149"/>
      <c r="BY111" s="1149"/>
      <c r="BZ111" s="1149"/>
      <c r="CA111" s="1149"/>
      <c r="CB111" s="1149"/>
      <c r="CC111" s="1149"/>
      <c r="CD111" s="1149"/>
      <c r="CE111" s="1149"/>
      <c r="CF111" s="1150"/>
      <c r="CG111" s="1148">
        <v>23.9</v>
      </c>
      <c r="CH111" s="1149"/>
      <c r="CI111" s="1149"/>
      <c r="CJ111" s="1149"/>
      <c r="CK111" s="1149"/>
      <c r="CL111" s="1149"/>
      <c r="CM111" s="1149"/>
      <c r="CN111" s="1149"/>
      <c r="CO111" s="1149"/>
      <c r="CP111" s="1150"/>
      <c r="CQ111" s="1160"/>
      <c r="CR111" s="1161"/>
      <c r="CS111" s="1161"/>
      <c r="CT111" s="1161"/>
      <c r="CU111" s="1161"/>
      <c r="CV111" s="1161"/>
      <c r="CW111" s="1161"/>
      <c r="CX111" s="1161"/>
      <c r="CY111" s="1161"/>
      <c r="CZ111" s="1161"/>
      <c r="DA111" s="1161"/>
      <c r="DB111" s="1161"/>
      <c r="DC111" s="1161"/>
      <c r="DD111" s="1161"/>
      <c r="DE111" s="1161"/>
      <c r="DF111" s="1161"/>
      <c r="DG111" s="1162"/>
      <c r="DH111" s="1213"/>
      <c r="DI111" s="1057">
        <f t="shared" si="2"/>
        <v>0</v>
      </c>
    </row>
    <row r="112" spans="1:113" s="38" customFormat="1" ht="43.95" customHeight="1">
      <c r="A112" s="1192" t="s">
        <v>203</v>
      </c>
      <c r="B112" s="1193"/>
      <c r="C112" s="1193"/>
      <c r="D112" s="1193"/>
      <c r="E112" s="1193"/>
      <c r="F112" s="1193"/>
      <c r="G112" s="1193"/>
      <c r="H112" s="1193"/>
      <c r="I112" s="1194"/>
      <c r="J112" s="39"/>
      <c r="K112" s="1214" t="s">
        <v>204</v>
      </c>
      <c r="L112" s="1214"/>
      <c r="M112" s="1214"/>
      <c r="N112" s="1214"/>
      <c r="O112" s="1214"/>
      <c r="P112" s="1214"/>
      <c r="Q112" s="1214"/>
      <c r="R112" s="1214"/>
      <c r="S112" s="1214"/>
      <c r="T112" s="1214"/>
      <c r="U112" s="1214"/>
      <c r="V112" s="1214"/>
      <c r="W112" s="1214"/>
      <c r="X112" s="1214"/>
      <c r="Y112" s="1214"/>
      <c r="Z112" s="1214"/>
      <c r="AA112" s="1214"/>
      <c r="AB112" s="1214"/>
      <c r="AC112" s="1214"/>
      <c r="AD112" s="1214"/>
      <c r="AE112" s="1214"/>
      <c r="AF112" s="1214"/>
      <c r="AG112" s="1214"/>
      <c r="AH112" s="1214"/>
      <c r="AI112" s="1214"/>
      <c r="AJ112" s="1214"/>
      <c r="AK112" s="1214"/>
      <c r="AL112" s="1214"/>
      <c r="AM112" s="1214"/>
      <c r="AN112" s="1214"/>
      <c r="AO112" s="1214"/>
      <c r="AP112" s="1214"/>
      <c r="AQ112" s="1214"/>
      <c r="AR112" s="1214"/>
      <c r="AS112" s="1214"/>
      <c r="AT112" s="1214"/>
      <c r="AU112" s="1214"/>
      <c r="AV112" s="1214"/>
      <c r="AW112" s="1214"/>
      <c r="AX112" s="1214"/>
      <c r="AY112" s="1214"/>
      <c r="AZ112" s="1214"/>
      <c r="BA112" s="1214"/>
      <c r="BB112" s="1214"/>
      <c r="BC112" s="1214"/>
      <c r="BD112" s="1214"/>
      <c r="BE112" s="1214"/>
      <c r="BF112" s="1214"/>
      <c r="BG112" s="1214"/>
      <c r="BH112" s="40"/>
      <c r="BI112" s="1196" t="s">
        <v>121</v>
      </c>
      <c r="BJ112" s="1197"/>
      <c r="BK112" s="1197"/>
      <c r="BL112" s="1197"/>
      <c r="BM112" s="1197"/>
      <c r="BN112" s="1197"/>
      <c r="BO112" s="1197"/>
      <c r="BP112" s="1197"/>
      <c r="BQ112" s="1197"/>
      <c r="BR112" s="1197"/>
      <c r="BS112" s="1198"/>
      <c r="BT112" s="1207">
        <v>42449</v>
      </c>
      <c r="BU112" s="1052">
        <v>630755.09</v>
      </c>
      <c r="BV112" s="1052">
        <v>266827</v>
      </c>
      <c r="BW112" s="1148">
        <v>866626</v>
      </c>
      <c r="BX112" s="1149"/>
      <c r="BY112" s="1149"/>
      <c r="BZ112" s="1149"/>
      <c r="CA112" s="1149"/>
      <c r="CB112" s="1149"/>
      <c r="CC112" s="1149"/>
      <c r="CD112" s="1149"/>
      <c r="CE112" s="1149"/>
      <c r="CF112" s="1150"/>
      <c r="CG112" s="1148">
        <v>674503</v>
      </c>
      <c r="CH112" s="1149"/>
      <c r="CI112" s="1149"/>
      <c r="CJ112" s="1149"/>
      <c r="CK112" s="1149"/>
      <c r="CL112" s="1149"/>
      <c r="CM112" s="1149"/>
      <c r="CN112" s="1149"/>
      <c r="CO112" s="1149"/>
      <c r="CP112" s="1150"/>
      <c r="CQ112" s="1157" t="s">
        <v>2200</v>
      </c>
      <c r="CR112" s="1158"/>
      <c r="CS112" s="1158"/>
      <c r="CT112" s="1158"/>
      <c r="CU112" s="1158"/>
      <c r="CV112" s="1158"/>
      <c r="CW112" s="1158"/>
      <c r="CX112" s="1158"/>
      <c r="CY112" s="1158"/>
      <c r="CZ112" s="1158"/>
      <c r="DA112" s="1158"/>
      <c r="DB112" s="1158"/>
      <c r="DC112" s="1158"/>
      <c r="DD112" s="1158"/>
      <c r="DE112" s="1158"/>
      <c r="DF112" s="1158"/>
      <c r="DG112" s="1159"/>
      <c r="DH112" s="1199" t="s">
        <v>205</v>
      </c>
      <c r="DI112" s="1057">
        <f t="shared" si="2"/>
        <v>-22.169078702923755</v>
      </c>
    </row>
    <row r="113" spans="1:113" s="38" customFormat="1" ht="52.95" customHeight="1">
      <c r="A113" s="1192" t="s">
        <v>206</v>
      </c>
      <c r="B113" s="1193"/>
      <c r="C113" s="1193"/>
      <c r="D113" s="1193"/>
      <c r="E113" s="1193"/>
      <c r="F113" s="1193"/>
      <c r="G113" s="1193"/>
      <c r="H113" s="1193"/>
      <c r="I113" s="1194"/>
      <c r="J113" s="39"/>
      <c r="K113" s="1214" t="s">
        <v>207</v>
      </c>
      <c r="L113" s="1214"/>
      <c r="M113" s="1214"/>
      <c r="N113" s="1214"/>
      <c r="O113" s="1214"/>
      <c r="P113" s="1214"/>
      <c r="Q113" s="1214"/>
      <c r="R113" s="1214"/>
      <c r="S113" s="1214"/>
      <c r="T113" s="1214"/>
      <c r="U113" s="1214"/>
      <c r="V113" s="1214"/>
      <c r="W113" s="1214"/>
      <c r="X113" s="1214"/>
      <c r="Y113" s="1214"/>
      <c r="Z113" s="1214"/>
      <c r="AA113" s="1214"/>
      <c r="AB113" s="1214"/>
      <c r="AC113" s="1214"/>
      <c r="AD113" s="1214"/>
      <c r="AE113" s="1214"/>
      <c r="AF113" s="1214"/>
      <c r="AG113" s="1214"/>
      <c r="AH113" s="1214"/>
      <c r="AI113" s="1214"/>
      <c r="AJ113" s="1214"/>
      <c r="AK113" s="1214"/>
      <c r="AL113" s="1214"/>
      <c r="AM113" s="1214"/>
      <c r="AN113" s="1214"/>
      <c r="AO113" s="1214"/>
      <c r="AP113" s="1214"/>
      <c r="AQ113" s="1214"/>
      <c r="AR113" s="1214"/>
      <c r="AS113" s="1214"/>
      <c r="AT113" s="1214"/>
      <c r="AU113" s="1214"/>
      <c r="AV113" s="1214"/>
      <c r="AW113" s="1214"/>
      <c r="AX113" s="1214"/>
      <c r="AY113" s="1214"/>
      <c r="AZ113" s="1214"/>
      <c r="BA113" s="1214"/>
      <c r="BB113" s="1214"/>
      <c r="BC113" s="1214"/>
      <c r="BD113" s="1214"/>
      <c r="BE113" s="1214"/>
      <c r="BF113" s="1214"/>
      <c r="BG113" s="1214"/>
      <c r="BH113" s="40"/>
      <c r="BI113" s="1196" t="s">
        <v>121</v>
      </c>
      <c r="BJ113" s="1197"/>
      <c r="BK113" s="1197"/>
      <c r="BL113" s="1197"/>
      <c r="BM113" s="1197"/>
      <c r="BN113" s="1197"/>
      <c r="BO113" s="1197"/>
      <c r="BP113" s="1197"/>
      <c r="BQ113" s="1197"/>
      <c r="BR113" s="1197"/>
      <c r="BS113" s="1198"/>
      <c r="BT113" s="1208"/>
      <c r="BU113" s="1052">
        <v>240314</v>
      </c>
      <c r="BV113" s="1052">
        <v>38403</v>
      </c>
      <c r="BW113" s="1148">
        <v>399152</v>
      </c>
      <c r="BX113" s="1149"/>
      <c r="BY113" s="1149"/>
      <c r="BZ113" s="1149"/>
      <c r="CA113" s="1149"/>
      <c r="CB113" s="1149"/>
      <c r="CC113" s="1149"/>
      <c r="CD113" s="1149"/>
      <c r="CE113" s="1149"/>
      <c r="CF113" s="1150"/>
      <c r="CG113" s="1148">
        <v>254266</v>
      </c>
      <c r="CH113" s="1149"/>
      <c r="CI113" s="1149"/>
      <c r="CJ113" s="1149"/>
      <c r="CK113" s="1149"/>
      <c r="CL113" s="1149"/>
      <c r="CM113" s="1149"/>
      <c r="CN113" s="1149"/>
      <c r="CO113" s="1149"/>
      <c r="CP113" s="1150"/>
      <c r="CQ113" s="1160"/>
      <c r="CR113" s="1161"/>
      <c r="CS113" s="1161"/>
      <c r="CT113" s="1161"/>
      <c r="CU113" s="1161"/>
      <c r="CV113" s="1161"/>
      <c r="CW113" s="1161"/>
      <c r="CX113" s="1161"/>
      <c r="CY113" s="1161"/>
      <c r="CZ113" s="1161"/>
      <c r="DA113" s="1161"/>
      <c r="DB113" s="1161"/>
      <c r="DC113" s="1161"/>
      <c r="DD113" s="1161"/>
      <c r="DE113" s="1161"/>
      <c r="DF113" s="1161"/>
      <c r="DG113" s="1162"/>
      <c r="DH113" s="1213"/>
      <c r="DI113" s="1057">
        <f t="shared" si="2"/>
        <v>-36.298452719765905</v>
      </c>
    </row>
    <row r="114" spans="1:113" s="38" customFormat="1" ht="45" customHeight="1">
      <c r="A114" s="1192" t="s">
        <v>208</v>
      </c>
      <c r="B114" s="1193"/>
      <c r="C114" s="1193"/>
      <c r="D114" s="1193"/>
      <c r="E114" s="1193"/>
      <c r="F114" s="1193"/>
      <c r="G114" s="1193"/>
      <c r="H114" s="1193"/>
      <c r="I114" s="1194"/>
      <c r="J114" s="39"/>
      <c r="K114" s="1195" t="s">
        <v>209</v>
      </c>
      <c r="L114" s="1195"/>
      <c r="M114" s="1195"/>
      <c r="N114" s="1195"/>
      <c r="O114" s="1195"/>
      <c r="P114" s="1195"/>
      <c r="Q114" s="1195"/>
      <c r="R114" s="1195"/>
      <c r="S114" s="1195"/>
      <c r="T114" s="1195"/>
      <c r="U114" s="1195"/>
      <c r="V114" s="1195"/>
      <c r="W114" s="1195"/>
      <c r="X114" s="1195"/>
      <c r="Y114" s="1195"/>
      <c r="Z114" s="1195"/>
      <c r="AA114" s="1195"/>
      <c r="AB114" s="1195"/>
      <c r="AC114" s="1195"/>
      <c r="AD114" s="1195"/>
      <c r="AE114" s="1195"/>
      <c r="AF114" s="1195"/>
      <c r="AG114" s="1195"/>
      <c r="AH114" s="1195"/>
      <c r="AI114" s="1195"/>
      <c r="AJ114" s="1195"/>
      <c r="AK114" s="1195"/>
      <c r="AL114" s="1195"/>
      <c r="AM114" s="1195"/>
      <c r="AN114" s="1195"/>
      <c r="AO114" s="1195"/>
      <c r="AP114" s="1195"/>
      <c r="AQ114" s="1195"/>
      <c r="AR114" s="1195"/>
      <c r="AS114" s="1195"/>
      <c r="AT114" s="1195"/>
      <c r="AU114" s="1195"/>
      <c r="AV114" s="1195"/>
      <c r="AW114" s="1195"/>
      <c r="AX114" s="1195"/>
      <c r="AY114" s="1195"/>
      <c r="AZ114" s="1195"/>
      <c r="BA114" s="1195"/>
      <c r="BB114" s="1195"/>
      <c r="BC114" s="1195"/>
      <c r="BD114" s="1195"/>
      <c r="BE114" s="1195"/>
      <c r="BF114" s="1195"/>
      <c r="BG114" s="1195"/>
      <c r="BH114" s="40"/>
      <c r="BI114" s="1196" t="s">
        <v>202</v>
      </c>
      <c r="BJ114" s="1197"/>
      <c r="BK114" s="1197"/>
      <c r="BL114" s="1197"/>
      <c r="BM114" s="1197"/>
      <c r="BN114" s="1197"/>
      <c r="BO114" s="1197"/>
      <c r="BP114" s="1197"/>
      <c r="BQ114" s="1197"/>
      <c r="BR114" s="1197"/>
      <c r="BS114" s="1198"/>
      <c r="BT114" s="48">
        <v>42449</v>
      </c>
      <c r="BU114" s="1060">
        <v>17.940000000000001</v>
      </c>
      <c r="BV114" s="1056"/>
      <c r="BW114" s="1196">
        <v>17.91</v>
      </c>
      <c r="BX114" s="1197"/>
      <c r="BY114" s="1197"/>
      <c r="BZ114" s="1197"/>
      <c r="CA114" s="1197"/>
      <c r="CB114" s="1197"/>
      <c r="CC114" s="1197"/>
      <c r="CD114" s="1197"/>
      <c r="CE114" s="1197"/>
      <c r="CF114" s="1198"/>
      <c r="CG114" s="1196" t="s">
        <v>118</v>
      </c>
      <c r="CH114" s="1197"/>
      <c r="CI114" s="1197"/>
      <c r="CJ114" s="1197"/>
      <c r="CK114" s="1197"/>
      <c r="CL114" s="1197"/>
      <c r="CM114" s="1197"/>
      <c r="CN114" s="1197"/>
      <c r="CO114" s="1197"/>
      <c r="CP114" s="1198"/>
      <c r="CQ114" s="1210"/>
      <c r="CR114" s="1211"/>
      <c r="CS114" s="1211"/>
      <c r="CT114" s="1211"/>
      <c r="CU114" s="1211"/>
      <c r="CV114" s="1211"/>
      <c r="CW114" s="1211"/>
      <c r="CX114" s="1211"/>
      <c r="CY114" s="1211"/>
      <c r="CZ114" s="1211"/>
      <c r="DA114" s="1211"/>
      <c r="DB114" s="1211"/>
      <c r="DC114" s="1211"/>
      <c r="DD114" s="1211"/>
      <c r="DE114" s="1211"/>
      <c r="DF114" s="1211"/>
      <c r="DG114" s="1212"/>
      <c r="DH114" s="42" t="s">
        <v>210</v>
      </c>
    </row>
    <row r="116" spans="1:113" s="34" customFormat="1" ht="13.2">
      <c r="G116" s="34" t="s">
        <v>211</v>
      </c>
    </row>
    <row r="117" spans="1:113" s="34" customFormat="1" ht="44.4" customHeight="1">
      <c r="A117" s="1202" t="s">
        <v>212</v>
      </c>
      <c r="B117" s="1203"/>
      <c r="C117" s="1203"/>
      <c r="D117" s="1203"/>
      <c r="E117" s="1203"/>
      <c r="F117" s="1203"/>
      <c r="G117" s="1203"/>
      <c r="H117" s="1203"/>
      <c r="I117" s="1203"/>
      <c r="J117" s="1203"/>
      <c r="K117" s="1203"/>
      <c r="L117" s="1203"/>
      <c r="M117" s="1203"/>
      <c r="N117" s="1203"/>
      <c r="O117" s="1203"/>
      <c r="P117" s="1203"/>
      <c r="Q117" s="1203"/>
      <c r="R117" s="1203"/>
      <c r="S117" s="1203"/>
      <c r="T117" s="1203"/>
      <c r="U117" s="1203"/>
      <c r="V117" s="1203"/>
      <c r="W117" s="1203"/>
      <c r="X117" s="1203"/>
      <c r="Y117" s="1203"/>
      <c r="Z117" s="1203"/>
      <c r="AA117" s="1203"/>
      <c r="AB117" s="1203"/>
      <c r="AC117" s="1203"/>
      <c r="AD117" s="1203"/>
      <c r="AE117" s="1203"/>
      <c r="AF117" s="1203"/>
      <c r="AG117" s="1203"/>
      <c r="AH117" s="1203"/>
      <c r="AI117" s="1203"/>
      <c r="AJ117" s="1203"/>
      <c r="AK117" s="1203"/>
      <c r="AL117" s="1203"/>
      <c r="AM117" s="1203"/>
      <c r="AN117" s="1203"/>
      <c r="AO117" s="1203"/>
      <c r="AP117" s="1203"/>
      <c r="AQ117" s="1203"/>
      <c r="AR117" s="1203"/>
      <c r="AS117" s="1203"/>
      <c r="AT117" s="1203"/>
      <c r="AU117" s="1203"/>
      <c r="AV117" s="1203"/>
      <c r="AW117" s="1203"/>
      <c r="AX117" s="1203"/>
      <c r="AY117" s="1203"/>
      <c r="AZ117" s="1203"/>
      <c r="BA117" s="1203"/>
      <c r="BB117" s="1203"/>
      <c r="BC117" s="1203"/>
      <c r="BD117" s="1203"/>
      <c r="BE117" s="1203"/>
      <c r="BF117" s="1203"/>
      <c r="BG117" s="1203"/>
      <c r="BH117" s="1203"/>
      <c r="BI117" s="1203"/>
      <c r="BJ117" s="1203"/>
      <c r="BK117" s="1203"/>
      <c r="BL117" s="1203"/>
      <c r="BM117" s="1203"/>
      <c r="BN117" s="1203"/>
      <c r="BO117" s="1203"/>
      <c r="BP117" s="1203"/>
      <c r="BQ117" s="1203"/>
      <c r="BR117" s="1203"/>
      <c r="BS117" s="1203"/>
      <c r="BT117" s="1203"/>
      <c r="BU117" s="1203"/>
      <c r="BV117" s="1203"/>
      <c r="BW117" s="1203"/>
      <c r="BX117" s="1203"/>
      <c r="BY117" s="1203"/>
      <c r="BZ117" s="1203"/>
      <c r="CA117" s="1203"/>
      <c r="CB117" s="1203"/>
      <c r="CC117" s="1203"/>
      <c r="CD117" s="1203"/>
      <c r="CE117" s="1203"/>
      <c r="CF117" s="1203"/>
      <c r="CG117" s="1203"/>
      <c r="CH117" s="1203"/>
      <c r="CI117" s="1203"/>
      <c r="CJ117" s="1203"/>
      <c r="CK117" s="1203"/>
      <c r="CL117" s="1203"/>
      <c r="CM117" s="1203"/>
      <c r="CN117" s="1203"/>
      <c r="CO117" s="1203"/>
      <c r="CP117" s="1203"/>
      <c r="CQ117" s="1203"/>
      <c r="CR117" s="1203"/>
      <c r="CS117" s="1203"/>
      <c r="CT117" s="1203"/>
      <c r="CU117" s="1203"/>
      <c r="CV117" s="1203"/>
      <c r="CW117" s="1203"/>
      <c r="CX117" s="1203"/>
      <c r="CY117" s="1203"/>
      <c r="CZ117" s="1203"/>
      <c r="DA117" s="1203"/>
      <c r="DB117" s="1203"/>
      <c r="DC117" s="1203"/>
      <c r="DD117" s="1203"/>
      <c r="DE117" s="1203"/>
      <c r="DF117" s="1203"/>
      <c r="DG117" s="1203"/>
      <c r="DH117" s="1204"/>
    </row>
    <row r="118" spans="1:113" s="34" customFormat="1" ht="25.5" customHeight="1">
      <c r="A118" s="1202" t="s">
        <v>213</v>
      </c>
      <c r="B118" s="1203"/>
      <c r="C118" s="1203"/>
      <c r="D118" s="1203"/>
      <c r="E118" s="1203"/>
      <c r="F118" s="1203"/>
      <c r="G118" s="1203"/>
      <c r="H118" s="1203"/>
      <c r="I118" s="1203"/>
      <c r="J118" s="1203"/>
      <c r="K118" s="1203"/>
      <c r="L118" s="1203"/>
      <c r="M118" s="1203"/>
      <c r="N118" s="1203"/>
      <c r="O118" s="1203"/>
      <c r="P118" s="1203"/>
      <c r="Q118" s="1203"/>
      <c r="R118" s="1203"/>
      <c r="S118" s="1203"/>
      <c r="T118" s="1203"/>
      <c r="U118" s="1203"/>
      <c r="V118" s="1203"/>
      <c r="W118" s="1203"/>
      <c r="X118" s="1203"/>
      <c r="Y118" s="1203"/>
      <c r="Z118" s="1203"/>
      <c r="AA118" s="1203"/>
      <c r="AB118" s="1203"/>
      <c r="AC118" s="1203"/>
      <c r="AD118" s="1203"/>
      <c r="AE118" s="1203"/>
      <c r="AF118" s="1203"/>
      <c r="AG118" s="1203"/>
      <c r="AH118" s="1203"/>
      <c r="AI118" s="1203"/>
      <c r="AJ118" s="1203"/>
      <c r="AK118" s="1203"/>
      <c r="AL118" s="1203"/>
      <c r="AM118" s="1203"/>
      <c r="AN118" s="1203"/>
      <c r="AO118" s="1203"/>
      <c r="AP118" s="1203"/>
      <c r="AQ118" s="1203"/>
      <c r="AR118" s="1203"/>
      <c r="AS118" s="1203"/>
      <c r="AT118" s="1203"/>
      <c r="AU118" s="1203"/>
      <c r="AV118" s="1203"/>
      <c r="AW118" s="1203"/>
      <c r="AX118" s="1203"/>
      <c r="AY118" s="1203"/>
      <c r="AZ118" s="1203"/>
      <c r="BA118" s="1203"/>
      <c r="BB118" s="1203"/>
      <c r="BC118" s="1203"/>
      <c r="BD118" s="1203"/>
      <c r="BE118" s="1203"/>
      <c r="BF118" s="1203"/>
      <c r="BG118" s="1203"/>
      <c r="BH118" s="1203"/>
      <c r="BI118" s="1203"/>
      <c r="BJ118" s="1203"/>
      <c r="BK118" s="1203"/>
      <c r="BL118" s="1203"/>
      <c r="BM118" s="1203"/>
      <c r="BN118" s="1203"/>
      <c r="BO118" s="1203"/>
      <c r="BP118" s="1203"/>
      <c r="BQ118" s="1203"/>
      <c r="BR118" s="1203"/>
      <c r="BS118" s="1203"/>
      <c r="BT118" s="1203"/>
      <c r="BU118" s="1203"/>
      <c r="BV118" s="1203"/>
      <c r="BW118" s="1203"/>
      <c r="BX118" s="1203"/>
      <c r="BY118" s="1203"/>
      <c r="BZ118" s="1203"/>
      <c r="CA118" s="1203"/>
      <c r="CB118" s="1203"/>
      <c r="CC118" s="1203"/>
      <c r="CD118" s="1203"/>
      <c r="CE118" s="1203"/>
      <c r="CF118" s="1203"/>
      <c r="CG118" s="1203"/>
      <c r="CH118" s="1203"/>
      <c r="CI118" s="1203"/>
      <c r="CJ118" s="1203"/>
      <c r="CK118" s="1203"/>
      <c r="CL118" s="1203"/>
      <c r="CM118" s="1203"/>
      <c r="CN118" s="1203"/>
      <c r="CO118" s="1203"/>
      <c r="CP118" s="1203"/>
      <c r="CQ118" s="1203"/>
      <c r="CR118" s="1203"/>
      <c r="CS118" s="1203"/>
      <c r="CT118" s="1203"/>
      <c r="CU118" s="1203"/>
      <c r="CV118" s="1203"/>
      <c r="CW118" s="1203"/>
      <c r="CX118" s="1203"/>
      <c r="CY118" s="1203"/>
      <c r="CZ118" s="1203"/>
      <c r="DA118" s="1203"/>
      <c r="DB118" s="1203"/>
      <c r="DC118" s="1203"/>
      <c r="DD118" s="1203"/>
      <c r="DE118" s="1203"/>
      <c r="DF118" s="1203"/>
      <c r="DG118" s="1203"/>
      <c r="DH118" s="1204"/>
    </row>
    <row r="119" spans="1:113" s="34" customFormat="1" ht="25.5" customHeight="1">
      <c r="A119" s="1202" t="s">
        <v>214</v>
      </c>
      <c r="B119" s="1203"/>
      <c r="C119" s="1203"/>
      <c r="D119" s="1203"/>
      <c r="E119" s="1203"/>
      <c r="F119" s="1203"/>
      <c r="G119" s="1203"/>
      <c r="H119" s="1203"/>
      <c r="I119" s="1203"/>
      <c r="J119" s="1203"/>
      <c r="K119" s="1203"/>
      <c r="L119" s="1203"/>
      <c r="M119" s="1203"/>
      <c r="N119" s="1203"/>
      <c r="O119" s="1203"/>
      <c r="P119" s="1203"/>
      <c r="Q119" s="1203"/>
      <c r="R119" s="1203"/>
      <c r="S119" s="1203"/>
      <c r="T119" s="1203"/>
      <c r="U119" s="1203"/>
      <c r="V119" s="1203"/>
      <c r="W119" s="1203"/>
      <c r="X119" s="1203"/>
      <c r="Y119" s="1203"/>
      <c r="Z119" s="1203"/>
      <c r="AA119" s="1203"/>
      <c r="AB119" s="1203"/>
      <c r="AC119" s="1203"/>
      <c r="AD119" s="1203"/>
      <c r="AE119" s="1203"/>
      <c r="AF119" s="1203"/>
      <c r="AG119" s="1203"/>
      <c r="AH119" s="1203"/>
      <c r="AI119" s="1203"/>
      <c r="AJ119" s="1203"/>
      <c r="AK119" s="1203"/>
      <c r="AL119" s="1203"/>
      <c r="AM119" s="1203"/>
      <c r="AN119" s="1203"/>
      <c r="AO119" s="1203"/>
      <c r="AP119" s="1203"/>
      <c r="AQ119" s="1203"/>
      <c r="AR119" s="1203"/>
      <c r="AS119" s="1203"/>
      <c r="AT119" s="1203"/>
      <c r="AU119" s="1203"/>
      <c r="AV119" s="1203"/>
      <c r="AW119" s="1203"/>
      <c r="AX119" s="1203"/>
      <c r="AY119" s="1203"/>
      <c r="AZ119" s="1203"/>
      <c r="BA119" s="1203"/>
      <c r="BB119" s="1203"/>
      <c r="BC119" s="1203"/>
      <c r="BD119" s="1203"/>
      <c r="BE119" s="1203"/>
      <c r="BF119" s="1203"/>
      <c r="BG119" s="1203"/>
      <c r="BH119" s="1203"/>
      <c r="BI119" s="1203"/>
      <c r="BJ119" s="1203"/>
      <c r="BK119" s="1203"/>
      <c r="BL119" s="1203"/>
      <c r="BM119" s="1203"/>
      <c r="BN119" s="1203"/>
      <c r="BO119" s="1203"/>
      <c r="BP119" s="1203"/>
      <c r="BQ119" s="1203"/>
      <c r="BR119" s="1203"/>
      <c r="BS119" s="1203"/>
      <c r="BT119" s="1203"/>
      <c r="BU119" s="1203"/>
      <c r="BV119" s="1203"/>
      <c r="BW119" s="1203"/>
      <c r="BX119" s="1203"/>
      <c r="BY119" s="1203"/>
      <c r="BZ119" s="1203"/>
      <c r="CA119" s="1203"/>
      <c r="CB119" s="1203"/>
      <c r="CC119" s="1203"/>
      <c r="CD119" s="1203"/>
      <c r="CE119" s="1203"/>
      <c r="CF119" s="1203"/>
      <c r="CG119" s="1203"/>
      <c r="CH119" s="1203"/>
      <c r="CI119" s="1203"/>
      <c r="CJ119" s="1203"/>
      <c r="CK119" s="1203"/>
      <c r="CL119" s="1203"/>
      <c r="CM119" s="1203"/>
      <c r="CN119" s="1203"/>
      <c r="CO119" s="1203"/>
      <c r="CP119" s="1203"/>
      <c r="CQ119" s="1203"/>
      <c r="CR119" s="1203"/>
      <c r="CS119" s="1203"/>
      <c r="CT119" s="1203"/>
      <c r="CU119" s="1203"/>
      <c r="CV119" s="1203"/>
      <c r="CW119" s="1203"/>
      <c r="CX119" s="1203"/>
      <c r="CY119" s="1203"/>
      <c r="CZ119" s="1203"/>
      <c r="DA119" s="1203"/>
      <c r="DB119" s="1203"/>
      <c r="DC119" s="1203"/>
      <c r="DD119" s="1203"/>
      <c r="DE119" s="1203"/>
      <c r="DF119" s="1203"/>
      <c r="DG119" s="1203"/>
      <c r="DH119" s="1204"/>
    </row>
    <row r="120" spans="1:113" s="34" customFormat="1" ht="25.5" customHeight="1">
      <c r="A120" s="1202" t="s">
        <v>215</v>
      </c>
      <c r="B120" s="1203"/>
      <c r="C120" s="1203"/>
      <c r="D120" s="1203"/>
      <c r="E120" s="1203"/>
      <c r="F120" s="1203"/>
      <c r="G120" s="1203"/>
      <c r="H120" s="1203"/>
      <c r="I120" s="1203"/>
      <c r="J120" s="1203"/>
      <c r="K120" s="1203"/>
      <c r="L120" s="1203"/>
      <c r="M120" s="1203"/>
      <c r="N120" s="1203"/>
      <c r="O120" s="1203"/>
      <c r="P120" s="1203"/>
      <c r="Q120" s="1203"/>
      <c r="R120" s="1203"/>
      <c r="S120" s="1203"/>
      <c r="T120" s="1203"/>
      <c r="U120" s="1203"/>
      <c r="V120" s="1203"/>
      <c r="W120" s="1203"/>
      <c r="X120" s="1203"/>
      <c r="Y120" s="1203"/>
      <c r="Z120" s="1203"/>
      <c r="AA120" s="1203"/>
      <c r="AB120" s="1203"/>
      <c r="AC120" s="1203"/>
      <c r="AD120" s="1203"/>
      <c r="AE120" s="1203"/>
      <c r="AF120" s="1203"/>
      <c r="AG120" s="1203"/>
      <c r="AH120" s="1203"/>
      <c r="AI120" s="1203"/>
      <c r="AJ120" s="1203"/>
      <c r="AK120" s="1203"/>
      <c r="AL120" s="1203"/>
      <c r="AM120" s="1203"/>
      <c r="AN120" s="1203"/>
      <c r="AO120" s="1203"/>
      <c r="AP120" s="1203"/>
      <c r="AQ120" s="1203"/>
      <c r="AR120" s="1203"/>
      <c r="AS120" s="1203"/>
      <c r="AT120" s="1203"/>
      <c r="AU120" s="1203"/>
      <c r="AV120" s="1203"/>
      <c r="AW120" s="1203"/>
      <c r="AX120" s="1203"/>
      <c r="AY120" s="1203"/>
      <c r="AZ120" s="1203"/>
      <c r="BA120" s="1203"/>
      <c r="BB120" s="1203"/>
      <c r="BC120" s="1203"/>
      <c r="BD120" s="1203"/>
      <c r="BE120" s="1203"/>
      <c r="BF120" s="1203"/>
      <c r="BG120" s="1203"/>
      <c r="BH120" s="1203"/>
      <c r="BI120" s="1203"/>
      <c r="BJ120" s="1203"/>
      <c r="BK120" s="1203"/>
      <c r="BL120" s="1203"/>
      <c r="BM120" s="1203"/>
      <c r="BN120" s="1203"/>
      <c r="BO120" s="1203"/>
      <c r="BP120" s="1203"/>
      <c r="BQ120" s="1203"/>
      <c r="BR120" s="1203"/>
      <c r="BS120" s="1203"/>
      <c r="BT120" s="1203"/>
      <c r="BU120" s="1203"/>
      <c r="BV120" s="1203"/>
      <c r="BW120" s="1203"/>
      <c r="BX120" s="1203"/>
      <c r="BY120" s="1203"/>
      <c r="BZ120" s="1203"/>
      <c r="CA120" s="1203"/>
      <c r="CB120" s="1203"/>
      <c r="CC120" s="1203"/>
      <c r="CD120" s="1203"/>
      <c r="CE120" s="1203"/>
      <c r="CF120" s="1203"/>
      <c r="CG120" s="1203"/>
      <c r="CH120" s="1203"/>
      <c r="CI120" s="1203"/>
      <c r="CJ120" s="1203"/>
      <c r="CK120" s="1203"/>
      <c r="CL120" s="1203"/>
      <c r="CM120" s="1203"/>
      <c r="CN120" s="1203"/>
      <c r="CO120" s="1203"/>
      <c r="CP120" s="1203"/>
      <c r="CQ120" s="1203"/>
      <c r="CR120" s="1203"/>
      <c r="CS120" s="1203"/>
      <c r="CT120" s="1203"/>
      <c r="CU120" s="1203"/>
      <c r="CV120" s="1203"/>
      <c r="CW120" s="1203"/>
      <c r="CX120" s="1203"/>
      <c r="CY120" s="1203"/>
      <c r="CZ120" s="1203"/>
      <c r="DA120" s="1203"/>
      <c r="DB120" s="1203"/>
      <c r="DC120" s="1203"/>
      <c r="DD120" s="1203"/>
      <c r="DE120" s="1203"/>
      <c r="DF120" s="1203"/>
      <c r="DG120" s="1203"/>
      <c r="DH120" s="1204"/>
    </row>
    <row r="121" spans="1:113" s="34" customFormat="1" ht="25.5" customHeight="1">
      <c r="A121" s="1202" t="s">
        <v>216</v>
      </c>
      <c r="B121" s="1203"/>
      <c r="C121" s="1203"/>
      <c r="D121" s="1203"/>
      <c r="E121" s="1203"/>
      <c r="F121" s="1203"/>
      <c r="G121" s="1203"/>
      <c r="H121" s="1203"/>
      <c r="I121" s="1203"/>
      <c r="J121" s="1203"/>
      <c r="K121" s="1203"/>
      <c r="L121" s="1203"/>
      <c r="M121" s="1203"/>
      <c r="N121" s="1203"/>
      <c r="O121" s="1203"/>
      <c r="P121" s="1203"/>
      <c r="Q121" s="1203"/>
      <c r="R121" s="1203"/>
      <c r="S121" s="1203"/>
      <c r="T121" s="1203"/>
      <c r="U121" s="1203"/>
      <c r="V121" s="1203"/>
      <c r="W121" s="1203"/>
      <c r="X121" s="1203"/>
      <c r="Y121" s="1203"/>
      <c r="Z121" s="1203"/>
      <c r="AA121" s="1203"/>
      <c r="AB121" s="1203"/>
      <c r="AC121" s="1203"/>
      <c r="AD121" s="1203"/>
      <c r="AE121" s="1203"/>
      <c r="AF121" s="1203"/>
      <c r="AG121" s="1203"/>
      <c r="AH121" s="1203"/>
      <c r="AI121" s="1203"/>
      <c r="AJ121" s="1203"/>
      <c r="AK121" s="1203"/>
      <c r="AL121" s="1203"/>
      <c r="AM121" s="1203"/>
      <c r="AN121" s="1203"/>
      <c r="AO121" s="1203"/>
      <c r="AP121" s="1203"/>
      <c r="AQ121" s="1203"/>
      <c r="AR121" s="1203"/>
      <c r="AS121" s="1203"/>
      <c r="AT121" s="1203"/>
      <c r="AU121" s="1203"/>
      <c r="AV121" s="1203"/>
      <c r="AW121" s="1203"/>
      <c r="AX121" s="1203"/>
      <c r="AY121" s="1203"/>
      <c r="AZ121" s="1203"/>
      <c r="BA121" s="1203"/>
      <c r="BB121" s="1203"/>
      <c r="BC121" s="1203"/>
      <c r="BD121" s="1203"/>
      <c r="BE121" s="1203"/>
      <c r="BF121" s="1203"/>
      <c r="BG121" s="1203"/>
      <c r="BH121" s="1203"/>
      <c r="BI121" s="1203"/>
      <c r="BJ121" s="1203"/>
      <c r="BK121" s="1203"/>
      <c r="BL121" s="1203"/>
      <c r="BM121" s="1203"/>
      <c r="BN121" s="1203"/>
      <c r="BO121" s="1203"/>
      <c r="BP121" s="1203"/>
      <c r="BQ121" s="1203"/>
      <c r="BR121" s="1203"/>
      <c r="BS121" s="1203"/>
      <c r="BT121" s="1203"/>
      <c r="BU121" s="1203"/>
      <c r="BV121" s="1203"/>
      <c r="BW121" s="1203"/>
      <c r="BX121" s="1203"/>
      <c r="BY121" s="1203"/>
      <c r="BZ121" s="1203"/>
      <c r="CA121" s="1203"/>
      <c r="CB121" s="1203"/>
      <c r="CC121" s="1203"/>
      <c r="CD121" s="1203"/>
      <c r="CE121" s="1203"/>
      <c r="CF121" s="1203"/>
      <c r="CG121" s="1203"/>
      <c r="CH121" s="1203"/>
      <c r="CI121" s="1203"/>
      <c r="CJ121" s="1203"/>
      <c r="CK121" s="1203"/>
      <c r="CL121" s="1203"/>
      <c r="CM121" s="1203"/>
      <c r="CN121" s="1203"/>
      <c r="CO121" s="1203"/>
      <c r="CP121" s="1203"/>
      <c r="CQ121" s="1203"/>
      <c r="CR121" s="1203"/>
      <c r="CS121" s="1203"/>
      <c r="CT121" s="1203"/>
      <c r="CU121" s="1203"/>
      <c r="CV121" s="1203"/>
      <c r="CW121" s="1203"/>
      <c r="CX121" s="1203"/>
      <c r="CY121" s="1203"/>
      <c r="CZ121" s="1203"/>
      <c r="DA121" s="1203"/>
      <c r="DB121" s="1203"/>
      <c r="DC121" s="1203"/>
      <c r="DD121" s="1203"/>
      <c r="DE121" s="1203"/>
      <c r="DF121" s="1203"/>
      <c r="DG121" s="1203"/>
      <c r="DH121" s="1204"/>
    </row>
    <row r="122" spans="1:113" ht="3" customHeight="1"/>
  </sheetData>
  <mergeCells count="560">
    <mergeCell ref="A110:I110"/>
    <mergeCell ref="K110:BH110"/>
    <mergeCell ref="BI110:BS110"/>
    <mergeCell ref="BW110:CF110"/>
    <mergeCell ref="CG110:CP110"/>
    <mergeCell ref="CQ20:DG24"/>
    <mergeCell ref="CQ25:DG26"/>
    <mergeCell ref="CQ27:DG50"/>
    <mergeCell ref="CQ62:DG63"/>
    <mergeCell ref="CQ65:DG83"/>
    <mergeCell ref="CQ91:DG111"/>
    <mergeCell ref="K107:BH107"/>
    <mergeCell ref="A108:I108"/>
    <mergeCell ref="K108:BH108"/>
    <mergeCell ref="BI108:BS108"/>
    <mergeCell ref="BW108:CF108"/>
    <mergeCell ref="CG108:CP108"/>
    <mergeCell ref="A109:I109"/>
    <mergeCell ref="K109:BH109"/>
    <mergeCell ref="BI109:BS109"/>
    <mergeCell ref="BW109:CF109"/>
    <mergeCell ref="CG109:CP109"/>
    <mergeCell ref="A104:I104"/>
    <mergeCell ref="K104:BH104"/>
    <mergeCell ref="BI104:BS104"/>
    <mergeCell ref="BW104:CF104"/>
    <mergeCell ref="CG104:CP104"/>
    <mergeCell ref="A105:I105"/>
    <mergeCell ref="K105:BH105"/>
    <mergeCell ref="BI105:BS105"/>
    <mergeCell ref="BW105:CF105"/>
    <mergeCell ref="CG105:CP105"/>
    <mergeCell ref="A100:I100"/>
    <mergeCell ref="K100:BH100"/>
    <mergeCell ref="BI100:BS100"/>
    <mergeCell ref="BW100:CF100"/>
    <mergeCell ref="CG100:CP100"/>
    <mergeCell ref="K102:BH102"/>
    <mergeCell ref="A103:I103"/>
    <mergeCell ref="K103:BH103"/>
    <mergeCell ref="BI103:BS103"/>
    <mergeCell ref="BW103:CF103"/>
    <mergeCell ref="CG103:CP103"/>
    <mergeCell ref="BI101:BS101"/>
    <mergeCell ref="BW101:CF101"/>
    <mergeCell ref="CG101:CP101"/>
    <mergeCell ref="A98:I98"/>
    <mergeCell ref="K98:BH98"/>
    <mergeCell ref="BI98:BS98"/>
    <mergeCell ref="BW98:CF98"/>
    <mergeCell ref="CG98:CP98"/>
    <mergeCell ref="A99:I99"/>
    <mergeCell ref="K99:BH99"/>
    <mergeCell ref="BI99:BS99"/>
    <mergeCell ref="BW99:CF99"/>
    <mergeCell ref="CG99:CP99"/>
    <mergeCell ref="CG97:CP97"/>
    <mergeCell ref="A92:I92"/>
    <mergeCell ref="A93:I93"/>
    <mergeCell ref="A94:I94"/>
    <mergeCell ref="A95:I95"/>
    <mergeCell ref="K92:BH92"/>
    <mergeCell ref="K93:BH93"/>
    <mergeCell ref="K94:BH94"/>
    <mergeCell ref="K95:BH95"/>
    <mergeCell ref="BI92:BS92"/>
    <mergeCell ref="BI93:BS93"/>
    <mergeCell ref="BI94:BS94"/>
    <mergeCell ref="BI95:BS95"/>
    <mergeCell ref="A50:I50"/>
    <mergeCell ref="K50:BG50"/>
    <mergeCell ref="BI50:BS50"/>
    <mergeCell ref="BW50:CF50"/>
    <mergeCell ref="CG50:CP50"/>
    <mergeCell ref="A52:I52"/>
    <mergeCell ref="K52:BG52"/>
    <mergeCell ref="BI52:BS52"/>
    <mergeCell ref="BW52:CF52"/>
    <mergeCell ref="CG52:CP52"/>
    <mergeCell ref="A51:I51"/>
    <mergeCell ref="K51:BG51"/>
    <mergeCell ref="BI51:BS51"/>
    <mergeCell ref="BW51:CF51"/>
    <mergeCell ref="BO1:DH1"/>
    <mergeCell ref="BO2:DH2"/>
    <mergeCell ref="BO3:DH3"/>
    <mergeCell ref="A5:DH5"/>
    <mergeCell ref="A6:DH6"/>
    <mergeCell ref="A7:DH7"/>
    <mergeCell ref="DH15:DH16"/>
    <mergeCell ref="BW16:CF16"/>
    <mergeCell ref="CG16:CP16"/>
    <mergeCell ref="A8:DH8"/>
    <mergeCell ref="AG10:CL10"/>
    <mergeCell ref="J11:BN11"/>
    <mergeCell ref="J12:BN12"/>
    <mergeCell ref="AQ13:AX13"/>
    <mergeCell ref="AY13:AZ13"/>
    <mergeCell ref="BA13:BH13"/>
    <mergeCell ref="BU15:BV15"/>
    <mergeCell ref="A15:I16"/>
    <mergeCell ref="J15:BH16"/>
    <mergeCell ref="BI15:BS16"/>
    <mergeCell ref="BW15:CP15"/>
    <mergeCell ref="CQ15:DG16"/>
    <mergeCell ref="A18:I18"/>
    <mergeCell ref="K18:BG18"/>
    <mergeCell ref="BI18:BS18"/>
    <mergeCell ref="BW18:CF18"/>
    <mergeCell ref="CG18:CP18"/>
    <mergeCell ref="CQ18:DG18"/>
    <mergeCell ref="A17:I17"/>
    <mergeCell ref="K17:BG17"/>
    <mergeCell ref="BI17:BS17"/>
    <mergeCell ref="BW17:CF17"/>
    <mergeCell ref="CG17:CP17"/>
    <mergeCell ref="CQ17:DG17"/>
    <mergeCell ref="BW20:CF20"/>
    <mergeCell ref="CG20:CP20"/>
    <mergeCell ref="BT18:BT53"/>
    <mergeCell ref="A19:I19"/>
    <mergeCell ref="K19:BG19"/>
    <mergeCell ref="BI19:BS19"/>
    <mergeCell ref="BW19:CF19"/>
    <mergeCell ref="CG19:CP19"/>
    <mergeCell ref="CQ19:DG19"/>
    <mergeCell ref="A20:I20"/>
    <mergeCell ref="K20:BG20"/>
    <mergeCell ref="BI20:BS20"/>
    <mergeCell ref="A23:I23"/>
    <mergeCell ref="K23:BG23"/>
    <mergeCell ref="BI23:BS23"/>
    <mergeCell ref="BW23:CF23"/>
    <mergeCell ref="CG23:CP23"/>
    <mergeCell ref="A22:I22"/>
    <mergeCell ref="K22:BG22"/>
    <mergeCell ref="BI22:BS22"/>
    <mergeCell ref="BW22:CF22"/>
    <mergeCell ref="CG22:CP22"/>
    <mergeCell ref="A21:I21"/>
    <mergeCell ref="K21:BG21"/>
    <mergeCell ref="BI21:BS21"/>
    <mergeCell ref="BW21:CF21"/>
    <mergeCell ref="CG21:CP21"/>
    <mergeCell ref="A25:I25"/>
    <mergeCell ref="K25:BG25"/>
    <mergeCell ref="BI25:BS25"/>
    <mergeCell ref="BW25:CF25"/>
    <mergeCell ref="CG25:CP25"/>
    <mergeCell ref="A24:I24"/>
    <mergeCell ref="K24:BG24"/>
    <mergeCell ref="BI24:BS24"/>
    <mergeCell ref="BW24:CF24"/>
    <mergeCell ref="CG24:CP24"/>
    <mergeCell ref="A27:I27"/>
    <mergeCell ref="K27:BG27"/>
    <mergeCell ref="BI27:BS27"/>
    <mergeCell ref="BW27:CF27"/>
    <mergeCell ref="CG27:CP27"/>
    <mergeCell ref="A26:I26"/>
    <mergeCell ref="K26:BG26"/>
    <mergeCell ref="BI26:BS26"/>
    <mergeCell ref="BW26:CF26"/>
    <mergeCell ref="CG26:CP26"/>
    <mergeCell ref="A29:I29"/>
    <mergeCell ref="K29:BG29"/>
    <mergeCell ref="BI29:BS29"/>
    <mergeCell ref="BW29:CF29"/>
    <mergeCell ref="CG29:CP29"/>
    <mergeCell ref="A28:I28"/>
    <mergeCell ref="K28:BG28"/>
    <mergeCell ref="BI28:BS28"/>
    <mergeCell ref="BW28:CF28"/>
    <mergeCell ref="CG28:CP28"/>
    <mergeCell ref="BW30:CF30"/>
    <mergeCell ref="CG30:CP30"/>
    <mergeCell ref="A42:I42"/>
    <mergeCell ref="K42:BG42"/>
    <mergeCell ref="BI42:BS42"/>
    <mergeCell ref="BW34:CF34"/>
    <mergeCell ref="CG34:CP34"/>
    <mergeCell ref="BW35:CF35"/>
    <mergeCell ref="CG35:CP35"/>
    <mergeCell ref="BW36:CF36"/>
    <mergeCell ref="CG36:CP36"/>
    <mergeCell ref="BW31:CF31"/>
    <mergeCell ref="CG31:CP31"/>
    <mergeCell ref="BW32:CF32"/>
    <mergeCell ref="CG32:CP32"/>
    <mergeCell ref="BW33:CF33"/>
    <mergeCell ref="CG33:CP33"/>
    <mergeCell ref="BW40:CF40"/>
    <mergeCell ref="CG40:CP40"/>
    <mergeCell ref="BW41:CF41"/>
    <mergeCell ref="CG41:CP41"/>
    <mergeCell ref="A41:I41"/>
    <mergeCell ref="K41:BG41"/>
    <mergeCell ref="BI41:BS41"/>
    <mergeCell ref="A40:I40"/>
    <mergeCell ref="K40:BG40"/>
    <mergeCell ref="BI40:BS40"/>
    <mergeCell ref="A30:I30"/>
    <mergeCell ref="K30:BG30"/>
    <mergeCell ref="BI30:BS30"/>
    <mergeCell ref="CG51:CP51"/>
    <mergeCell ref="CQ51:DG51"/>
    <mergeCell ref="A54:I54"/>
    <mergeCell ref="K54:BG54"/>
    <mergeCell ref="BI54:BS54"/>
    <mergeCell ref="BW54:CF54"/>
    <mergeCell ref="CG54:CP54"/>
    <mergeCell ref="CQ54:DG54"/>
    <mergeCell ref="A53:I53"/>
    <mergeCell ref="K53:BG53"/>
    <mergeCell ref="BI53:BS53"/>
    <mergeCell ref="BW53:CF53"/>
    <mergeCell ref="CG53:CP53"/>
    <mergeCell ref="CQ53:DG53"/>
    <mergeCell ref="CQ52:DG52"/>
    <mergeCell ref="BW37:CF37"/>
    <mergeCell ref="CG37:CP37"/>
    <mergeCell ref="BW38:CF38"/>
    <mergeCell ref="A57:I57"/>
    <mergeCell ref="K57:BG57"/>
    <mergeCell ref="BI57:BS57"/>
    <mergeCell ref="BW57:CF57"/>
    <mergeCell ref="CG57:CP57"/>
    <mergeCell ref="CQ57:DG57"/>
    <mergeCell ref="DH55:DH56"/>
    <mergeCell ref="A56:I56"/>
    <mergeCell ref="K56:BG56"/>
    <mergeCell ref="BI56:BS56"/>
    <mergeCell ref="BW56:CF56"/>
    <mergeCell ref="CG56:CP56"/>
    <mergeCell ref="CQ56:DG56"/>
    <mergeCell ref="A55:I55"/>
    <mergeCell ref="K55:BG55"/>
    <mergeCell ref="BI55:BS55"/>
    <mergeCell ref="BW55:CF55"/>
    <mergeCell ref="CG55:CP55"/>
    <mergeCell ref="CQ55:DG55"/>
    <mergeCell ref="DH58:DH61"/>
    <mergeCell ref="A59:I59"/>
    <mergeCell ref="K59:BG59"/>
    <mergeCell ref="BI59:BS59"/>
    <mergeCell ref="BW59:CF59"/>
    <mergeCell ref="CG59:CP59"/>
    <mergeCell ref="CQ59:DG59"/>
    <mergeCell ref="A60:I60"/>
    <mergeCell ref="K60:BG60"/>
    <mergeCell ref="BI60:BS60"/>
    <mergeCell ref="A58:I58"/>
    <mergeCell ref="K58:BG58"/>
    <mergeCell ref="BI58:BS58"/>
    <mergeCell ref="BW58:CF58"/>
    <mergeCell ref="CG58:CP58"/>
    <mergeCell ref="CQ58:DG58"/>
    <mergeCell ref="BW60:CF60"/>
    <mergeCell ref="CG60:CP60"/>
    <mergeCell ref="CQ60:DG60"/>
    <mergeCell ref="A61:I61"/>
    <mergeCell ref="K61:BG61"/>
    <mergeCell ref="BI61:BS61"/>
    <mergeCell ref="BW61:CF61"/>
    <mergeCell ref="CG61:CP61"/>
    <mergeCell ref="CQ61:DG61"/>
    <mergeCell ref="CG66:CP66"/>
    <mergeCell ref="BW67:CF67"/>
    <mergeCell ref="CG67:CP67"/>
    <mergeCell ref="A68:I68"/>
    <mergeCell ref="K68:BG68"/>
    <mergeCell ref="A62:I62"/>
    <mergeCell ref="K62:BG62"/>
    <mergeCell ref="BI62:BS62"/>
    <mergeCell ref="BW62:CF62"/>
    <mergeCell ref="CG62:CP62"/>
    <mergeCell ref="A64:I64"/>
    <mergeCell ref="K64:BG64"/>
    <mergeCell ref="BI64:BS64"/>
    <mergeCell ref="BW64:CF64"/>
    <mergeCell ref="CG64:CP64"/>
    <mergeCell ref="CQ64:DG64"/>
    <mergeCell ref="A63:I63"/>
    <mergeCell ref="K63:BG63"/>
    <mergeCell ref="BI63:BS63"/>
    <mergeCell ref="BW63:CF63"/>
    <mergeCell ref="CG63:CP63"/>
    <mergeCell ref="BW66:CF66"/>
    <mergeCell ref="A66:I66"/>
    <mergeCell ref="DH65:DH86"/>
    <mergeCell ref="A84:I84"/>
    <mergeCell ref="K84:BG84"/>
    <mergeCell ref="BI84:BS84"/>
    <mergeCell ref="BW84:CF84"/>
    <mergeCell ref="CG84:CP84"/>
    <mergeCell ref="CQ84:DG84"/>
    <mergeCell ref="A85:I85"/>
    <mergeCell ref="K85:BG85"/>
    <mergeCell ref="BI85:BS85"/>
    <mergeCell ref="A65:I65"/>
    <mergeCell ref="K65:BG65"/>
    <mergeCell ref="BI65:BS65"/>
    <mergeCell ref="BW65:CF65"/>
    <mergeCell ref="CG65:CP65"/>
    <mergeCell ref="BW85:CF85"/>
    <mergeCell ref="CG85:CP85"/>
    <mergeCell ref="CQ85:DG85"/>
    <mergeCell ref="A86:I86"/>
    <mergeCell ref="K86:BG86"/>
    <mergeCell ref="BI86:BS86"/>
    <mergeCell ref="BW86:CF86"/>
    <mergeCell ref="CG86:CP86"/>
    <mergeCell ref="BT65:BT86"/>
    <mergeCell ref="K90:BG90"/>
    <mergeCell ref="BI90:BS90"/>
    <mergeCell ref="BW90:CF90"/>
    <mergeCell ref="A71:I71"/>
    <mergeCell ref="K71:BG71"/>
    <mergeCell ref="BI71:BS71"/>
    <mergeCell ref="A72:I72"/>
    <mergeCell ref="K72:BG72"/>
    <mergeCell ref="BI72:BS72"/>
    <mergeCell ref="A73:I73"/>
    <mergeCell ref="BI73:BS73"/>
    <mergeCell ref="A74:I74"/>
    <mergeCell ref="K74:BG74"/>
    <mergeCell ref="BI74:BS74"/>
    <mergeCell ref="A75:I75"/>
    <mergeCell ref="A88:I88"/>
    <mergeCell ref="K88:BG88"/>
    <mergeCell ref="BI88:BS88"/>
    <mergeCell ref="BW88:CF88"/>
    <mergeCell ref="A87:I87"/>
    <mergeCell ref="K87:BG87"/>
    <mergeCell ref="BI87:BS87"/>
    <mergeCell ref="A89:I89"/>
    <mergeCell ref="K73:BG73"/>
    <mergeCell ref="K89:BG89"/>
    <mergeCell ref="BI89:BS89"/>
    <mergeCell ref="BW89:CF89"/>
    <mergeCell ref="CG89:CP89"/>
    <mergeCell ref="CQ89:DG89"/>
    <mergeCell ref="DH91:DH111"/>
    <mergeCell ref="A96:I96"/>
    <mergeCell ref="K96:BG96"/>
    <mergeCell ref="BI96:BS96"/>
    <mergeCell ref="A91:I91"/>
    <mergeCell ref="K91:BG91"/>
    <mergeCell ref="BI91:BS91"/>
    <mergeCell ref="BW91:CF91"/>
    <mergeCell ref="CG91:CP91"/>
    <mergeCell ref="BW96:CF96"/>
    <mergeCell ref="CG96:CP96"/>
    <mergeCell ref="BI102:BS102"/>
    <mergeCell ref="BW102:CF102"/>
    <mergeCell ref="CG102:CP102"/>
    <mergeCell ref="A101:I101"/>
    <mergeCell ref="K101:BG101"/>
    <mergeCell ref="CG94:CP94"/>
    <mergeCell ref="BW95:CF95"/>
    <mergeCell ref="A90:I90"/>
    <mergeCell ref="BI112:BS112"/>
    <mergeCell ref="BW112:CF112"/>
    <mergeCell ref="CG112:CP112"/>
    <mergeCell ref="A111:I111"/>
    <mergeCell ref="K111:BG111"/>
    <mergeCell ref="BI111:BS111"/>
    <mergeCell ref="BW111:CF111"/>
    <mergeCell ref="CG111:CP111"/>
    <mergeCell ref="BT91:BT111"/>
    <mergeCell ref="A107:I107"/>
    <mergeCell ref="BI107:BS107"/>
    <mergeCell ref="BW107:CF107"/>
    <mergeCell ref="CG107:CP107"/>
    <mergeCell ref="A106:I106"/>
    <mergeCell ref="K106:BG106"/>
    <mergeCell ref="BI106:BS106"/>
    <mergeCell ref="BW106:CF106"/>
    <mergeCell ref="CG106:CP106"/>
    <mergeCell ref="A102:I102"/>
    <mergeCell ref="CG95:CP95"/>
    <mergeCell ref="A97:I97"/>
    <mergeCell ref="K97:BH97"/>
    <mergeCell ref="BI97:BS97"/>
    <mergeCell ref="BW97:CF97"/>
    <mergeCell ref="DH18:DH53"/>
    <mergeCell ref="A117:DH117"/>
    <mergeCell ref="A118:DH118"/>
    <mergeCell ref="A119:DH119"/>
    <mergeCell ref="A120:DH120"/>
    <mergeCell ref="A121:DH121"/>
    <mergeCell ref="BT15:BT16"/>
    <mergeCell ref="BT55:BT56"/>
    <mergeCell ref="BT58:BT61"/>
    <mergeCell ref="A114:I114"/>
    <mergeCell ref="K114:BG114"/>
    <mergeCell ref="BI114:BS114"/>
    <mergeCell ref="BW114:CF114"/>
    <mergeCell ref="CG114:CP114"/>
    <mergeCell ref="CQ114:DG114"/>
    <mergeCell ref="DH112:DH113"/>
    <mergeCell ref="A113:I113"/>
    <mergeCell ref="K113:BG113"/>
    <mergeCell ref="BI113:BS113"/>
    <mergeCell ref="BW113:CF113"/>
    <mergeCell ref="CG113:CP113"/>
    <mergeCell ref="BT112:BT113"/>
    <mergeCell ref="A112:I112"/>
    <mergeCell ref="K112:BG112"/>
    <mergeCell ref="CG38:CP38"/>
    <mergeCell ref="BW39:CF39"/>
    <mergeCell ref="CG39:CP39"/>
    <mergeCell ref="A37:I37"/>
    <mergeCell ref="K37:BG37"/>
    <mergeCell ref="BI37:BS37"/>
    <mergeCell ref="A38:I38"/>
    <mergeCell ref="K38:BG38"/>
    <mergeCell ref="BI38:BS38"/>
    <mergeCell ref="A39:I39"/>
    <mergeCell ref="K39:BG39"/>
    <mergeCell ref="BI39:BS39"/>
    <mergeCell ref="A31:I31"/>
    <mergeCell ref="K31:BG31"/>
    <mergeCell ref="BI31:BS31"/>
    <mergeCell ref="A32:I32"/>
    <mergeCell ref="K32:BG32"/>
    <mergeCell ref="BI32:BS32"/>
    <mergeCell ref="A33:I33"/>
    <mergeCell ref="K33:BG33"/>
    <mergeCell ref="BI33:BS33"/>
    <mergeCell ref="A34:I34"/>
    <mergeCell ref="K34:BG34"/>
    <mergeCell ref="BI34:BS34"/>
    <mergeCell ref="A35:I35"/>
    <mergeCell ref="K35:BG35"/>
    <mergeCell ref="BI35:BS35"/>
    <mergeCell ref="A36:I36"/>
    <mergeCell ref="K36:BG36"/>
    <mergeCell ref="BI36:BS36"/>
    <mergeCell ref="BW49:CF49"/>
    <mergeCell ref="CG49:CP49"/>
    <mergeCell ref="A49:I49"/>
    <mergeCell ref="K49:BG49"/>
    <mergeCell ref="BI49:BS49"/>
    <mergeCell ref="A47:I47"/>
    <mergeCell ref="K47:BG47"/>
    <mergeCell ref="BI47:BS47"/>
    <mergeCell ref="BW45:CF45"/>
    <mergeCell ref="CG45:CP45"/>
    <mergeCell ref="BW46:CF46"/>
    <mergeCell ref="CG46:CP46"/>
    <mergeCell ref="BW47:CF47"/>
    <mergeCell ref="CG47:CP47"/>
    <mergeCell ref="A48:I48"/>
    <mergeCell ref="K48:BG48"/>
    <mergeCell ref="BI48:BS48"/>
    <mergeCell ref="BW48:CF48"/>
    <mergeCell ref="CG48:CP48"/>
    <mergeCell ref="BW68:CF68"/>
    <mergeCell ref="BW74:CF74"/>
    <mergeCell ref="BI68:BS68"/>
    <mergeCell ref="A69:I69"/>
    <mergeCell ref="K69:BG69"/>
    <mergeCell ref="BI69:BS69"/>
    <mergeCell ref="BW42:CF42"/>
    <mergeCell ref="CG42:CP42"/>
    <mergeCell ref="BW43:CF43"/>
    <mergeCell ref="CG43:CP43"/>
    <mergeCell ref="BW44:CF44"/>
    <mergeCell ref="CG44:CP44"/>
    <mergeCell ref="A44:I44"/>
    <mergeCell ref="K44:BG44"/>
    <mergeCell ref="BI44:BS44"/>
    <mergeCell ref="A43:I43"/>
    <mergeCell ref="K43:BG43"/>
    <mergeCell ref="BI43:BS43"/>
    <mergeCell ref="A45:I45"/>
    <mergeCell ref="K45:BG45"/>
    <mergeCell ref="BI45:BS45"/>
    <mergeCell ref="A46:I46"/>
    <mergeCell ref="K46:BG46"/>
    <mergeCell ref="BI46:BS46"/>
    <mergeCell ref="K66:BG66"/>
    <mergeCell ref="BI66:BS66"/>
    <mergeCell ref="A67:I67"/>
    <mergeCell ref="K67:BG67"/>
    <mergeCell ref="BI67:BS67"/>
    <mergeCell ref="A70:I70"/>
    <mergeCell ref="K70:BG70"/>
    <mergeCell ref="BI70:BS70"/>
    <mergeCell ref="A78:I78"/>
    <mergeCell ref="K78:BG78"/>
    <mergeCell ref="BI78:BS78"/>
    <mergeCell ref="K75:BG75"/>
    <mergeCell ref="BI75:BS75"/>
    <mergeCell ref="A76:I76"/>
    <mergeCell ref="K76:BG76"/>
    <mergeCell ref="BI76:BS76"/>
    <mergeCell ref="A77:I77"/>
    <mergeCell ref="K77:BG77"/>
    <mergeCell ref="BI77:BS77"/>
    <mergeCell ref="BW77:CF77"/>
    <mergeCell ref="CG77:CP77"/>
    <mergeCell ref="A79:I79"/>
    <mergeCell ref="K79:BG79"/>
    <mergeCell ref="BI79:BS79"/>
    <mergeCell ref="A80:I80"/>
    <mergeCell ref="K80:BG80"/>
    <mergeCell ref="BI80:BS80"/>
    <mergeCell ref="A81:I81"/>
    <mergeCell ref="K81:BG81"/>
    <mergeCell ref="BI81:BS81"/>
    <mergeCell ref="CQ88:DG88"/>
    <mergeCell ref="BW87:CF87"/>
    <mergeCell ref="A82:I82"/>
    <mergeCell ref="K82:BG82"/>
    <mergeCell ref="BI82:BS82"/>
    <mergeCell ref="A83:I83"/>
    <mergeCell ref="K83:BG83"/>
    <mergeCell ref="BI83:BS83"/>
    <mergeCell ref="CG68:CP68"/>
    <mergeCell ref="BW69:CF69"/>
    <mergeCell ref="CG69:CP69"/>
    <mergeCell ref="BW71:CF71"/>
    <mergeCell ref="CG71:CP71"/>
    <mergeCell ref="BW72:CF72"/>
    <mergeCell ref="CG72:CP72"/>
    <mergeCell ref="BW73:CF73"/>
    <mergeCell ref="CG73:CP73"/>
    <mergeCell ref="BW70:CF70"/>
    <mergeCell ref="CG70:CP70"/>
    <mergeCell ref="CG74:CP74"/>
    <mergeCell ref="BW75:CF75"/>
    <mergeCell ref="CG75:CP75"/>
    <mergeCell ref="BW76:CF76"/>
    <mergeCell ref="CG76:CP76"/>
    <mergeCell ref="CG87:CP87"/>
    <mergeCell ref="CQ87:DG87"/>
    <mergeCell ref="BW78:CF78"/>
    <mergeCell ref="CG78:CP78"/>
    <mergeCell ref="CQ112:DG113"/>
    <mergeCell ref="BW82:CF82"/>
    <mergeCell ref="CG82:CP82"/>
    <mergeCell ref="BW83:CF83"/>
    <mergeCell ref="CG83:CP83"/>
    <mergeCell ref="BW79:CF79"/>
    <mergeCell ref="CG79:CP79"/>
    <mergeCell ref="BW80:CF80"/>
    <mergeCell ref="CG80:CP80"/>
    <mergeCell ref="BW81:CF81"/>
    <mergeCell ref="CG81:CP81"/>
    <mergeCell ref="CQ86:DG86"/>
    <mergeCell ref="BW92:CF92"/>
    <mergeCell ref="CG92:CP92"/>
    <mergeCell ref="BW93:CF93"/>
    <mergeCell ref="CG93:CP93"/>
    <mergeCell ref="BW94:CF94"/>
    <mergeCell ref="CG90:CP90"/>
    <mergeCell ref="CQ90:DG90"/>
    <mergeCell ref="CG88:CP88"/>
  </mergeCells>
  <pageMargins left="0.78740157480314965" right="0.31496062992125984" top="0.59055118110236227" bottom="0.19685039370078741" header="0.19685039370078741" footer="0.19685039370078741"/>
  <pageSetup paperSize="9" scale="81" fitToHeight="0" orientation="landscape" r:id="rId1"/>
  <headerFooter differentFirst="1" alignWithMargins="0">
    <oddHeader>&amp;C2</oddHeader>
  </headerFooter>
  <colBreaks count="1" manualBreakCount="1">
    <brk id="111" max="122"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J384"/>
  <sheetViews>
    <sheetView view="pageBreakPreview" topLeftCell="B1" zoomScale="60" workbookViewId="0">
      <pane xSplit="5" ySplit="28" topLeftCell="M131" activePane="bottomRight" state="frozen"/>
      <selection activeCell="G25" sqref="G25"/>
      <selection pane="topRight" activeCell="G25" sqref="G25"/>
      <selection pane="bottomLeft" activeCell="G25" sqref="G25"/>
      <selection pane="bottomRight" activeCell="G25" sqref="G25:I25"/>
    </sheetView>
  </sheetViews>
  <sheetFormatPr defaultColWidth="9.109375" defaultRowHeight="16.8" outlineLevelRow="3" outlineLevelCol="2"/>
  <cols>
    <col min="1" max="1" width="12.109375" style="105" hidden="1" customWidth="1"/>
    <col min="2" max="2" width="14.6640625" style="106" customWidth="1"/>
    <col min="3" max="3" width="13.5546875" style="107" hidden="1" customWidth="1"/>
    <col min="4" max="4" width="48.5546875" style="214" customWidth="1"/>
    <col min="5" max="5" width="52.5546875" style="52" hidden="1" customWidth="1" outlineLevel="1"/>
    <col min="6" max="6" width="14" style="52" customWidth="1" collapsed="1"/>
    <col min="7" max="7" width="22.5546875" style="52" hidden="1" customWidth="1"/>
    <col min="8" max="9" width="22.109375" style="52" hidden="1" customWidth="1"/>
    <col min="10" max="10" width="21.6640625" style="52" hidden="1" customWidth="1"/>
    <col min="11" max="11" width="21.44140625" style="52" hidden="1" customWidth="1"/>
    <col min="12" max="12" width="23.44140625" style="52" hidden="1" customWidth="1"/>
    <col min="13" max="13" width="22.6640625" style="52" customWidth="1"/>
    <col min="14" max="14" width="20.33203125" style="52" hidden="1" customWidth="1" outlineLevel="2"/>
    <col min="15" max="15" width="24.5546875" style="52" hidden="1" customWidth="1" outlineLevel="2"/>
    <col min="16" max="17" width="20.33203125" style="52" hidden="1" customWidth="1" outlineLevel="2"/>
    <col min="18" max="18" width="24.109375" style="52" hidden="1" customWidth="1" outlineLevel="2"/>
    <col min="19" max="19" width="25.5546875" style="52" hidden="1" customWidth="1" outlineLevel="2"/>
    <col min="20" max="20" width="25.6640625" style="52" hidden="1" customWidth="1" outlineLevel="2"/>
    <col min="21" max="21" width="23.88671875" style="52" hidden="1" customWidth="1" outlineLevel="1" collapsed="1"/>
    <col min="22" max="24" width="24.44140625" style="52" hidden="1" customWidth="1" outlineLevel="1"/>
    <col min="25" max="25" width="26.109375" style="52" customWidth="1" collapsed="1"/>
    <col min="26" max="27" width="26.109375" style="52" hidden="1" customWidth="1" outlineLevel="2"/>
    <col min="28" max="29" width="22.109375" style="52" hidden="1" customWidth="1" outlineLevel="2"/>
    <col min="30" max="30" width="19.33203125" style="52" hidden="1" customWidth="1" outlineLevel="1" collapsed="1"/>
    <col min="31" max="35" width="19.33203125" style="52" hidden="1" customWidth="1" outlineLevel="1"/>
    <col min="36" max="36" width="12.6640625" style="52" bestFit="1" customWidth="1" collapsed="1"/>
    <col min="37" max="16384" width="9.109375" style="52"/>
  </cols>
  <sheetData>
    <row r="1" spans="4:33">
      <c r="D1" s="52"/>
    </row>
    <row r="2" spans="4:33" ht="21" thickBot="1">
      <c r="D2" s="52"/>
      <c r="G2" s="53" t="s">
        <v>228</v>
      </c>
      <c r="H2" s="53"/>
      <c r="I2" s="53"/>
      <c r="J2" s="53"/>
      <c r="K2" s="53"/>
      <c r="L2" s="53"/>
      <c r="M2" s="53"/>
      <c r="N2" s="53"/>
      <c r="O2" s="1370" t="s">
        <v>228</v>
      </c>
      <c r="P2" s="1370"/>
      <c r="Q2" s="1370"/>
      <c r="R2" s="1370"/>
      <c r="S2" s="1370"/>
      <c r="T2" s="1370"/>
      <c r="U2" s="1370"/>
      <c r="V2" s="1370"/>
      <c r="W2" s="1370"/>
      <c r="X2" s="1370"/>
      <c r="Y2" s="1370"/>
      <c r="Z2" s="1370"/>
      <c r="AA2" s="1370"/>
      <c r="AB2" s="54"/>
      <c r="AC2" s="54"/>
      <c r="AD2" s="54"/>
    </row>
    <row r="3" spans="4:33" ht="33" customHeight="1">
      <c r="D3" s="52"/>
      <c r="G3" s="1371" t="s">
        <v>229</v>
      </c>
      <c r="H3" s="1373" t="s">
        <v>230</v>
      </c>
      <c r="I3" s="1374" t="s">
        <v>231</v>
      </c>
      <c r="J3" s="1374" t="s">
        <v>232</v>
      </c>
      <c r="K3" s="1374" t="s">
        <v>233</v>
      </c>
      <c r="L3" s="1374" t="s">
        <v>234</v>
      </c>
      <c r="M3" s="1374"/>
      <c r="N3" s="1374" t="s">
        <v>235</v>
      </c>
      <c r="O3" s="1375" t="s">
        <v>229</v>
      </c>
      <c r="P3" s="1377" t="s">
        <v>230</v>
      </c>
      <c r="Q3" s="1363" t="s">
        <v>231</v>
      </c>
      <c r="R3" s="1363" t="s">
        <v>232</v>
      </c>
      <c r="S3" s="1363" t="s">
        <v>233</v>
      </c>
      <c r="T3" s="1365" t="s">
        <v>236</v>
      </c>
      <c r="U3" s="1366"/>
      <c r="V3" s="1366"/>
      <c r="W3" s="1366"/>
      <c r="X3" s="1366"/>
      <c r="Y3" s="1367"/>
      <c r="Z3" s="1363" t="s">
        <v>235</v>
      </c>
      <c r="AA3" s="1368" t="s">
        <v>237</v>
      </c>
      <c r="AB3" s="55"/>
      <c r="AC3" s="55"/>
      <c r="AD3" s="56"/>
      <c r="AE3" s="1353" t="s">
        <v>238</v>
      </c>
      <c r="AF3" s="1353" t="s">
        <v>239</v>
      </c>
      <c r="AG3" s="57"/>
    </row>
    <row r="4" spans="4:33" ht="49.5" customHeight="1" thickBot="1">
      <c r="D4" s="52"/>
      <c r="G4" s="1372"/>
      <c r="H4" s="1373"/>
      <c r="I4" s="1374"/>
      <c r="J4" s="1374"/>
      <c r="K4" s="1374"/>
      <c r="L4" s="56" t="s">
        <v>240</v>
      </c>
      <c r="M4" s="56" t="s">
        <v>241</v>
      </c>
      <c r="N4" s="1374"/>
      <c r="O4" s="1376"/>
      <c r="P4" s="1378"/>
      <c r="Q4" s="1364"/>
      <c r="R4" s="1364"/>
      <c r="S4" s="1364"/>
      <c r="T4" s="58" t="s">
        <v>240</v>
      </c>
      <c r="U4" s="59"/>
      <c r="V4" s="59"/>
      <c r="W4" s="59"/>
      <c r="X4" s="59"/>
      <c r="Y4" s="58" t="s">
        <v>241</v>
      </c>
      <c r="Z4" s="1364"/>
      <c r="AA4" s="1369"/>
      <c r="AB4" s="55"/>
      <c r="AC4" s="55"/>
      <c r="AD4" s="56"/>
      <c r="AE4" s="1354"/>
      <c r="AF4" s="1354"/>
      <c r="AG4" s="57"/>
    </row>
    <row r="5" spans="4:33" ht="15.75" hidden="1" customHeight="1" outlineLevel="1">
      <c r="D5" s="52"/>
      <c r="G5" s="60" t="s">
        <v>242</v>
      </c>
      <c r="H5" s="61" t="s">
        <v>243</v>
      </c>
      <c r="I5" s="62">
        <v>1</v>
      </c>
      <c r="J5" s="62">
        <v>2</v>
      </c>
      <c r="K5" s="62">
        <v>3</v>
      </c>
      <c r="L5" s="62">
        <v>5</v>
      </c>
      <c r="M5" s="62">
        <v>6</v>
      </c>
      <c r="N5" s="62">
        <v>7</v>
      </c>
      <c r="O5" s="63" t="s">
        <v>242</v>
      </c>
      <c r="P5" s="64" t="s">
        <v>243</v>
      </c>
      <c r="Q5" s="65">
        <v>1</v>
      </c>
      <c r="R5" s="65">
        <v>2</v>
      </c>
      <c r="S5" s="65">
        <v>3</v>
      </c>
      <c r="T5" s="65">
        <v>4</v>
      </c>
      <c r="U5" s="65"/>
      <c r="V5" s="65"/>
      <c r="W5" s="65"/>
      <c r="X5" s="65"/>
      <c r="Y5" s="65">
        <v>5</v>
      </c>
      <c r="Z5" s="65">
        <v>6</v>
      </c>
      <c r="AA5" s="66">
        <v>7</v>
      </c>
      <c r="AB5" s="67"/>
      <c r="AC5" s="67"/>
      <c r="AD5" s="57"/>
      <c r="AE5" s="68"/>
      <c r="AF5" s="68"/>
      <c r="AG5" s="57"/>
    </row>
    <row r="6" spans="4:33" hidden="1" outlineLevel="1">
      <c r="D6" s="52"/>
      <c r="G6" s="69" t="s">
        <v>244</v>
      </c>
      <c r="H6" s="60" t="s">
        <v>202</v>
      </c>
      <c r="I6" s="70">
        <v>5.7000000000000002E-2</v>
      </c>
      <c r="J6" s="70">
        <v>5.8999999999999997E-2</v>
      </c>
      <c r="K6" s="70">
        <v>5.1999999999999998E-2</v>
      </c>
      <c r="L6" s="70">
        <v>4.7E-2</v>
      </c>
      <c r="M6" s="70">
        <v>4.8000000000000001E-2</v>
      </c>
      <c r="N6" s="70">
        <v>5.0999999999999997E-2</v>
      </c>
      <c r="O6" s="71" t="s">
        <v>244</v>
      </c>
      <c r="P6" s="72" t="s">
        <v>202</v>
      </c>
      <c r="Q6" s="73">
        <v>5.7000000000000002E-2</v>
      </c>
      <c r="R6" s="73">
        <v>5.8999999999999997E-2</v>
      </c>
      <c r="S6" s="73">
        <v>5.1999999999999998E-2</v>
      </c>
      <c r="T6" s="73">
        <v>1.0549999999999999</v>
      </c>
      <c r="U6" s="74"/>
      <c r="V6" s="74"/>
      <c r="W6" s="74"/>
      <c r="X6" s="74"/>
      <c r="Y6" s="73">
        <v>1.0449999999999999</v>
      </c>
      <c r="Z6" s="73">
        <v>1.0780000000000001</v>
      </c>
      <c r="AA6" s="73">
        <v>1.0740000000000001</v>
      </c>
      <c r="AB6" s="75"/>
      <c r="AC6" s="75"/>
      <c r="AD6" s="70"/>
      <c r="AE6" s="70">
        <v>1.0469999999999999</v>
      </c>
      <c r="AF6" s="70">
        <v>1.048</v>
      </c>
      <c r="AG6" s="57"/>
    </row>
    <row r="7" spans="4:33" ht="53.25" hidden="1" customHeight="1" outlineLevel="1">
      <c r="D7" s="52"/>
      <c r="G7" s="69" t="s">
        <v>245</v>
      </c>
      <c r="H7" s="60" t="s">
        <v>202</v>
      </c>
      <c r="I7" s="70">
        <v>0.01</v>
      </c>
      <c r="J7" s="76">
        <v>1.2500000000000001E-2</v>
      </c>
      <c r="K7" s="70">
        <v>1.4999999999999999E-2</v>
      </c>
      <c r="L7" s="76">
        <v>7.4999999999999997E-3</v>
      </c>
      <c r="M7" s="76">
        <v>7.4999999999999997E-3</v>
      </c>
      <c r="N7" s="70">
        <v>1.4999999999999999E-2</v>
      </c>
      <c r="O7" s="71" t="s">
        <v>245</v>
      </c>
      <c r="P7" s="72" t="s">
        <v>202</v>
      </c>
      <c r="Q7" s="73">
        <v>0.01</v>
      </c>
      <c r="R7" s="77">
        <v>1.2500000000000001E-2</v>
      </c>
      <c r="S7" s="73">
        <v>1.4999999999999999E-2</v>
      </c>
      <c r="T7" s="78">
        <v>1.4999999999999999E-2</v>
      </c>
      <c r="U7" s="79"/>
      <c r="V7" s="79"/>
      <c r="W7" s="79"/>
      <c r="X7" s="79"/>
      <c r="Y7" s="78">
        <v>1.4999999999999999E-2</v>
      </c>
      <c r="Z7" s="78">
        <v>1.4999999999999999E-2</v>
      </c>
      <c r="AA7" s="78">
        <v>1.4999999999999999E-2</v>
      </c>
      <c r="AB7" s="75"/>
      <c r="AC7" s="75"/>
      <c r="AD7" s="70"/>
      <c r="AE7" s="76">
        <v>1.4999999999999999E-2</v>
      </c>
      <c r="AF7" s="76">
        <v>1.4999999999999999E-2</v>
      </c>
      <c r="AG7" s="57"/>
    </row>
    <row r="8" spans="4:33" ht="20.25" hidden="1" customHeight="1" outlineLevel="1">
      <c r="D8" s="52"/>
      <c r="G8" s="69" t="s">
        <v>246</v>
      </c>
      <c r="H8" s="60" t="s">
        <v>43</v>
      </c>
      <c r="I8" s="80">
        <v>88178.861000000004</v>
      </c>
      <c r="J8" s="80">
        <v>91207.98</v>
      </c>
      <c r="K8" s="80">
        <v>91207.98</v>
      </c>
      <c r="L8" s="80">
        <v>98255.76</v>
      </c>
      <c r="M8" s="80">
        <v>98394.84</v>
      </c>
      <c r="N8" s="80">
        <v>98255.76</v>
      </c>
      <c r="O8" s="71" t="s">
        <v>246</v>
      </c>
      <c r="P8" s="72" t="s">
        <v>43</v>
      </c>
      <c r="Q8" s="81">
        <v>88178.861000000004</v>
      </c>
      <c r="R8" s="81">
        <v>91207.98</v>
      </c>
      <c r="S8" s="81">
        <v>91207.98</v>
      </c>
      <c r="T8" s="81">
        <v>97763.19</v>
      </c>
      <c r="U8" s="74"/>
      <c r="V8" s="74"/>
      <c r="W8" s="74"/>
      <c r="X8" s="74"/>
      <c r="Y8" s="81">
        <v>97763.19</v>
      </c>
      <c r="Z8" s="81">
        <f>'[64]6. расчет УЕ'!H107</f>
        <v>98245.424199999994</v>
      </c>
      <c r="AA8" s="82">
        <f>Z8</f>
        <v>98245.424199999994</v>
      </c>
      <c r="AB8" s="83"/>
      <c r="AC8" s="83"/>
      <c r="AD8" s="80"/>
      <c r="AE8" s="80">
        <v>98255.76</v>
      </c>
      <c r="AF8" s="80">
        <v>98394.84</v>
      </c>
      <c r="AG8" s="57"/>
    </row>
    <row r="9" spans="4:33" ht="40.5" hidden="1" customHeight="1" outlineLevel="1">
      <c r="D9" s="52"/>
      <c r="G9" s="69" t="s">
        <v>247</v>
      </c>
      <c r="H9" s="60" t="s">
        <v>202</v>
      </c>
      <c r="I9" s="76">
        <v>0</v>
      </c>
      <c r="J9" s="76">
        <v>6.5699999999999995E-2</v>
      </c>
      <c r="K9" s="76">
        <v>0</v>
      </c>
      <c r="L9" s="76">
        <v>7.7299999999999994E-2</v>
      </c>
      <c r="M9" s="76">
        <f>IF(L8=0,0,(M8-L8)/L8)</f>
        <v>1.41548953465936E-3</v>
      </c>
      <c r="N9" s="76">
        <v>7.7299999999999994E-2</v>
      </c>
      <c r="O9" s="71" t="s">
        <v>247</v>
      </c>
      <c r="P9" s="72" t="s">
        <v>202</v>
      </c>
      <c r="Q9" s="77">
        <v>0</v>
      </c>
      <c r="R9" s="77">
        <v>6.5699999999999995E-2</v>
      </c>
      <c r="S9" s="77">
        <v>0</v>
      </c>
      <c r="T9" s="84">
        <f>IF(T8=0,0,(T8-S8)/S8)+100%</f>
        <v>1.0718710139178611</v>
      </c>
      <c r="U9" s="74"/>
      <c r="V9" s="74"/>
      <c r="W9" s="74"/>
      <c r="X9" s="74"/>
      <c r="Y9" s="84">
        <f>IF(T8=0,0,(Y8-T8)/T8)+100%</f>
        <v>1</v>
      </c>
      <c r="Z9" s="84">
        <f>IF(S8=0,0,(T8-S8)/S8)+100%</f>
        <v>1.0718710139178611</v>
      </c>
      <c r="AA9" s="85">
        <f>IF(S8=0,0,(T8-S8)/S8)+100%</f>
        <v>1.0718710139178611</v>
      </c>
      <c r="AB9" s="86"/>
      <c r="AC9" s="86"/>
      <c r="AD9" s="76"/>
      <c r="AE9" s="76">
        <f>IF(AE8=0,0,(AE8-S8)/S8)+100%</f>
        <v>1.0772715282149654</v>
      </c>
      <c r="AF9" s="76">
        <f>IF(AF8=0,0,(AF8-AE8)/AE8)+100%</f>
        <v>1.0014154895346594</v>
      </c>
      <c r="AG9" s="57"/>
    </row>
    <row r="10" spans="4:33" ht="53.25" hidden="1" customHeight="1" outlineLevel="1">
      <c r="D10" s="52"/>
      <c r="G10" s="87" t="s">
        <v>248</v>
      </c>
      <c r="H10" s="61"/>
      <c r="I10" s="70"/>
      <c r="J10" s="60">
        <v>0.75</v>
      </c>
      <c r="K10" s="60">
        <v>0.75</v>
      </c>
      <c r="L10" s="60">
        <v>1.5</v>
      </c>
      <c r="M10" s="60">
        <v>1.5</v>
      </c>
      <c r="N10" s="60">
        <v>0.75</v>
      </c>
      <c r="O10" s="88" t="s">
        <v>248</v>
      </c>
      <c r="P10" s="89"/>
      <c r="Q10" s="73"/>
      <c r="R10" s="72">
        <v>0.75</v>
      </c>
      <c r="S10" s="72">
        <v>0.75</v>
      </c>
      <c r="T10" s="90">
        <v>0.75</v>
      </c>
      <c r="U10" s="79"/>
      <c r="V10" s="79"/>
      <c r="W10" s="79"/>
      <c r="X10" s="79"/>
      <c r="Y10" s="90">
        <v>0.75</v>
      </c>
      <c r="Z10" s="90">
        <v>0.75</v>
      </c>
      <c r="AA10" s="90">
        <v>0.75</v>
      </c>
      <c r="AB10" s="91"/>
      <c r="AC10" s="91"/>
      <c r="AD10" s="60"/>
      <c r="AE10" s="92">
        <v>0.75</v>
      </c>
      <c r="AF10" s="92">
        <v>0.75</v>
      </c>
      <c r="AG10" s="57"/>
    </row>
    <row r="11" spans="4:33" ht="32.4" customHeight="1" collapsed="1" thickBot="1">
      <c r="D11" s="52"/>
      <c r="G11" s="93" t="s">
        <v>249</v>
      </c>
      <c r="H11" s="61"/>
      <c r="I11" s="70">
        <v>1.04643</v>
      </c>
      <c r="J11" s="94">
        <f>(1+J6)*(1-J7)*(1+J9*J10)</f>
        <v>1.0972924471874999</v>
      </c>
      <c r="K11" s="94">
        <v>1.036</v>
      </c>
      <c r="L11" s="95">
        <v>1.0367999999999999</v>
      </c>
      <c r="M11" s="94">
        <v>1.0353000000000001</v>
      </c>
      <c r="N11" s="95">
        <v>1.0365</v>
      </c>
      <c r="O11" s="96" t="s">
        <v>249</v>
      </c>
      <c r="P11" s="97"/>
      <c r="Q11" s="98">
        <v>1.04643</v>
      </c>
      <c r="R11" s="99">
        <f>(1+R6)*(1-R7)*(1+R9*R10)</f>
        <v>1.0972924471874999</v>
      </c>
      <c r="S11" s="99">
        <v>1.036</v>
      </c>
      <c r="T11" s="100">
        <f>(1+T6)*(1-T7)*(1+T9*T10)/100+1</f>
        <v>1.0365141588219788</v>
      </c>
      <c r="U11" s="101">
        <f t="shared" ref="U11:X11" si="0">(1+U6)*(1-U7)*(1+U9*U10)</f>
        <v>1</v>
      </c>
      <c r="V11" s="101">
        <f t="shared" si="0"/>
        <v>1</v>
      </c>
      <c r="W11" s="101">
        <f t="shared" si="0"/>
        <v>1</v>
      </c>
      <c r="X11" s="101">
        <f t="shared" si="0"/>
        <v>1</v>
      </c>
      <c r="Y11" s="100">
        <f>(1+Y6)*(1-Y7)*(1+Y9*Y10)/100+1</f>
        <v>1.0352506875</v>
      </c>
      <c r="Z11" s="100">
        <f>(1+Z6)*(1-Z7)*(1+Z9*Z10)/100+1</f>
        <v>1.0369228331056313</v>
      </c>
      <c r="AA11" s="100">
        <f>(1+AA6)*(1-AA7)*(1+AA9*AA10)/100+1</f>
        <v>1.03685175931717</v>
      </c>
      <c r="AB11" s="102"/>
      <c r="AC11" s="102"/>
      <c r="AD11" s="94"/>
      <c r="AE11" s="95">
        <f>AE6*(1-AE7)*(1+AE9*AE10)/100+1</f>
        <v>1.0186453355551783</v>
      </c>
      <c r="AF11" s="95">
        <f>AF6*(1-AF7)*(1+AF9*AF10)/100+1</f>
        <v>1.0180758588615262</v>
      </c>
      <c r="AG11" s="57"/>
    </row>
    <row r="12" spans="4:33" ht="17.399999999999999" hidden="1" thickBot="1">
      <c r="D12" s="52"/>
      <c r="T12" s="103"/>
      <c r="U12" s="103"/>
      <c r="V12" s="103"/>
      <c r="W12" s="103"/>
      <c r="X12" s="103"/>
      <c r="Y12" s="103"/>
      <c r="Z12" s="103"/>
      <c r="AB12" s="67"/>
      <c r="AC12" s="67"/>
      <c r="AD12" s="67"/>
      <c r="AE12" s="103">
        <f>T11-AE11</f>
        <v>1.7868823266800504E-2</v>
      </c>
      <c r="AF12" s="103">
        <f>U11-AF11</f>
        <v>-1.8075858861526184E-2</v>
      </c>
    </row>
    <row r="13" spans="4:33" ht="17.399999999999999" hidden="1" thickBot="1">
      <c r="D13" s="52"/>
      <c r="T13" s="104"/>
    </row>
    <row r="14" spans="4:33" ht="17.399999999999999" hidden="1" thickBot="1">
      <c r="D14" s="52"/>
    </row>
    <row r="15" spans="4:33" ht="17.399999999999999" hidden="1" thickBot="1">
      <c r="D15" s="52"/>
    </row>
    <row r="16" spans="4:33" ht="17.399999999999999" hidden="1" thickBot="1">
      <c r="D16" s="52"/>
    </row>
    <row r="17" spans="1:36" ht="17.399999999999999" hidden="1" thickBot="1">
      <c r="D17" s="52"/>
    </row>
    <row r="18" spans="1:36" ht="17.399999999999999" hidden="1" thickBot="1">
      <c r="D18" s="52"/>
    </row>
    <row r="19" spans="1:36" ht="17.399999999999999" hidden="1" thickBot="1">
      <c r="D19" s="52"/>
    </row>
    <row r="20" spans="1:36" ht="17.399999999999999" hidden="1" thickBot="1">
      <c r="D20" s="52"/>
    </row>
    <row r="21" spans="1:36" ht="17.399999999999999" hidden="1" thickBot="1">
      <c r="D21" s="52"/>
    </row>
    <row r="22" spans="1:36" ht="17.399999999999999" hidden="1" thickBot="1">
      <c r="D22" s="52"/>
    </row>
    <row r="23" spans="1:36" ht="28.5" customHeight="1">
      <c r="A23" s="108"/>
      <c r="B23" s="109"/>
      <c r="C23" s="110"/>
      <c r="D23" s="111"/>
      <c r="E23" s="1355"/>
      <c r="F23" s="1355"/>
      <c r="G23" s="112"/>
      <c r="H23" s="112"/>
      <c r="I23" s="112"/>
      <c r="J23" s="111"/>
      <c r="K23" s="111"/>
      <c r="L23" s="111"/>
      <c r="M23" s="111"/>
      <c r="N23" s="111"/>
      <c r="O23" s="111"/>
      <c r="P23" s="111"/>
      <c r="Q23" s="111"/>
      <c r="R23" s="111"/>
      <c r="S23" s="113" t="s">
        <v>250</v>
      </c>
      <c r="T23" s="114">
        <v>1.0364536789698664</v>
      </c>
      <c r="U23" s="114">
        <v>1</v>
      </c>
      <c r="V23" s="114">
        <v>1</v>
      </c>
      <c r="W23" s="114">
        <v>1</v>
      </c>
      <c r="X23" s="114">
        <v>1</v>
      </c>
      <c r="Y23" s="114">
        <v>1.0353238157904636</v>
      </c>
      <c r="Z23" s="114">
        <v>1.0370057376157218</v>
      </c>
      <c r="AA23" s="114">
        <v>1.0370057376157218</v>
      </c>
    </row>
    <row r="24" spans="1:36" s="116" customFormat="1" ht="25.5" customHeight="1">
      <c r="A24" s="115"/>
      <c r="B24" s="1356" t="s">
        <v>251</v>
      </c>
      <c r="C24" s="1357"/>
      <c r="D24" s="1357"/>
      <c r="E24" s="1357"/>
      <c r="F24" s="1357"/>
      <c r="G24" s="1357"/>
      <c r="H24" s="1357"/>
      <c r="I24" s="1357"/>
      <c r="J24" s="1357"/>
      <c r="K24" s="1357"/>
      <c r="L24" s="1357"/>
      <c r="M24" s="1357"/>
      <c r="N24" s="1357"/>
      <c r="O24" s="1357"/>
      <c r="P24" s="1357"/>
      <c r="Q24" s="1357"/>
      <c r="R24" s="1357"/>
      <c r="S24" s="1357"/>
      <c r="T24" s="1357"/>
      <c r="U24" s="1357"/>
      <c r="V24" s="1357"/>
      <c r="W24" s="1357"/>
      <c r="X24" s="1357"/>
      <c r="Y24" s="1357"/>
      <c r="Z24" s="1358"/>
      <c r="AA24" s="1359"/>
    </row>
    <row r="25" spans="1:36" ht="25.5" customHeight="1">
      <c r="A25" s="1360" t="s">
        <v>110</v>
      </c>
      <c r="B25" s="1350" t="s">
        <v>110</v>
      </c>
      <c r="C25" s="1361" t="s">
        <v>252</v>
      </c>
      <c r="D25" s="1362" t="s">
        <v>253</v>
      </c>
      <c r="E25" s="1362" t="s">
        <v>254</v>
      </c>
      <c r="F25" s="1350" t="s">
        <v>255</v>
      </c>
      <c r="G25" s="1340" t="s">
        <v>256</v>
      </c>
      <c r="H25" s="1341"/>
      <c r="I25" s="1342"/>
      <c r="J25" s="1343" t="s">
        <v>257</v>
      </c>
      <c r="K25" s="1343"/>
      <c r="L25" s="1343"/>
      <c r="M25" s="1344" t="s">
        <v>258</v>
      </c>
      <c r="N25" s="1344"/>
      <c r="O25" s="1344"/>
      <c r="P25" s="1344"/>
      <c r="Q25" s="1344"/>
      <c r="R25" s="1344"/>
      <c r="S25" s="1344"/>
      <c r="T25" s="1344"/>
      <c r="U25" s="1344"/>
      <c r="V25" s="1344"/>
      <c r="W25" s="1345"/>
      <c r="X25" s="117"/>
      <c r="Y25" s="118" t="s">
        <v>259</v>
      </c>
      <c r="Z25" s="1346" t="s">
        <v>260</v>
      </c>
      <c r="AA25" s="1347"/>
      <c r="AB25" s="1347"/>
      <c r="AC25" s="1347"/>
      <c r="AD25" s="1347"/>
      <c r="AE25" s="1347"/>
      <c r="AF25" s="1347"/>
      <c r="AG25" s="1347"/>
      <c r="AH25" s="1347"/>
      <c r="AI25" s="1348"/>
    </row>
    <row r="26" spans="1:36" ht="120.75" customHeight="1">
      <c r="A26" s="1360"/>
      <c r="B26" s="1350"/>
      <c r="C26" s="1361"/>
      <c r="D26" s="1362"/>
      <c r="E26" s="1362"/>
      <c r="F26" s="1350"/>
      <c r="G26" s="119"/>
      <c r="H26" s="120"/>
      <c r="I26" s="121"/>
      <c r="J26" s="122"/>
      <c r="K26" s="122"/>
      <c r="L26" s="122"/>
      <c r="M26" s="1349" t="s">
        <v>261</v>
      </c>
      <c r="N26" s="1350" t="s">
        <v>262</v>
      </c>
      <c r="O26" s="1350" t="s">
        <v>263</v>
      </c>
      <c r="P26" s="122"/>
      <c r="Q26" s="122"/>
      <c r="R26" s="1351" t="s">
        <v>264</v>
      </c>
      <c r="S26" s="1352" t="s">
        <v>265</v>
      </c>
      <c r="T26" s="1352" t="s">
        <v>266</v>
      </c>
      <c r="U26" s="122"/>
      <c r="V26" s="122"/>
      <c r="W26" s="123"/>
      <c r="X26" s="123"/>
      <c r="Y26" s="1349" t="s">
        <v>261</v>
      </c>
      <c r="Z26" s="1349" t="s">
        <v>261</v>
      </c>
      <c r="AA26" s="1349" t="s">
        <v>267</v>
      </c>
      <c r="AB26" s="1351" t="s">
        <v>268</v>
      </c>
      <c r="AC26" s="1351" t="s">
        <v>269</v>
      </c>
      <c r="AD26" s="1330" t="s">
        <v>270</v>
      </c>
      <c r="AE26" s="1331"/>
      <c r="AF26" s="1330" t="s">
        <v>271</v>
      </c>
      <c r="AG26" s="1331"/>
      <c r="AH26" s="1330" t="s">
        <v>272</v>
      </c>
      <c r="AI26" s="1331"/>
    </row>
    <row r="27" spans="1:36" ht="21.75" customHeight="1">
      <c r="A27" s="1360"/>
      <c r="B27" s="1350"/>
      <c r="C27" s="1361"/>
      <c r="D27" s="1362"/>
      <c r="E27" s="1362"/>
      <c r="F27" s="1350"/>
      <c r="G27" s="124" t="s">
        <v>261</v>
      </c>
      <c r="H27" s="124" t="s">
        <v>273</v>
      </c>
      <c r="I27" s="124" t="s">
        <v>264</v>
      </c>
      <c r="J27" s="124" t="s">
        <v>261</v>
      </c>
      <c r="K27" s="124" t="s">
        <v>273</v>
      </c>
      <c r="L27" s="124" t="s">
        <v>264</v>
      </c>
      <c r="M27" s="1349"/>
      <c r="N27" s="1350"/>
      <c r="O27" s="1350"/>
      <c r="P27" s="125" t="s">
        <v>274</v>
      </c>
      <c r="Q27" s="126" t="s">
        <v>275</v>
      </c>
      <c r="R27" s="1351"/>
      <c r="S27" s="1352"/>
      <c r="T27" s="1352"/>
      <c r="U27" s="127" t="s">
        <v>276</v>
      </c>
      <c r="V27" s="127" t="s">
        <v>277</v>
      </c>
      <c r="W27" s="127" t="s">
        <v>278</v>
      </c>
      <c r="X27" s="127" t="s">
        <v>279</v>
      </c>
      <c r="Y27" s="1349"/>
      <c r="Z27" s="1349"/>
      <c r="AA27" s="1349"/>
      <c r="AB27" s="1351"/>
      <c r="AC27" s="1351"/>
      <c r="AD27" s="128" t="s">
        <v>280</v>
      </c>
      <c r="AE27" s="128" t="s">
        <v>281</v>
      </c>
      <c r="AF27" s="128" t="s">
        <v>280</v>
      </c>
      <c r="AG27" s="128" t="s">
        <v>281</v>
      </c>
      <c r="AH27" s="128" t="s">
        <v>280</v>
      </c>
      <c r="AI27" s="128" t="s">
        <v>281</v>
      </c>
      <c r="AJ27" s="52">
        <f>Y29-AJ33</f>
        <v>102151.74413942013</v>
      </c>
    </row>
    <row r="28" spans="1:36" ht="15.6" customHeight="1">
      <c r="A28" s="129"/>
      <c r="B28" s="130">
        <v>1</v>
      </c>
      <c r="C28" s="131"/>
      <c r="D28" s="132">
        <v>2</v>
      </c>
      <c r="E28" s="133"/>
      <c r="F28" s="130">
        <v>3</v>
      </c>
      <c r="G28" s="130">
        <v>4</v>
      </c>
      <c r="H28" s="130">
        <v>5</v>
      </c>
      <c r="I28" s="130">
        <v>6</v>
      </c>
      <c r="J28" s="130">
        <v>7</v>
      </c>
      <c r="K28" s="130">
        <v>8</v>
      </c>
      <c r="L28" s="130">
        <v>9</v>
      </c>
      <c r="M28" s="134">
        <v>10</v>
      </c>
      <c r="N28" s="134">
        <v>11</v>
      </c>
      <c r="O28" s="134">
        <v>12</v>
      </c>
      <c r="P28" s="135">
        <v>13</v>
      </c>
      <c r="Q28" s="134">
        <v>14</v>
      </c>
      <c r="R28" s="136">
        <v>15</v>
      </c>
      <c r="S28" s="136" t="s">
        <v>282</v>
      </c>
      <c r="T28" s="136" t="s">
        <v>283</v>
      </c>
      <c r="U28" s="137" t="s">
        <v>284</v>
      </c>
      <c r="V28" s="137" t="s">
        <v>285</v>
      </c>
      <c r="W28" s="137" t="s">
        <v>286</v>
      </c>
      <c r="X28" s="137" t="s">
        <v>287</v>
      </c>
      <c r="Y28" s="138">
        <v>19</v>
      </c>
      <c r="Z28" s="138">
        <v>20</v>
      </c>
      <c r="AA28" s="138">
        <v>21</v>
      </c>
      <c r="AB28" s="138">
        <v>22</v>
      </c>
      <c r="AC28" s="138"/>
      <c r="AD28" s="138" t="s">
        <v>288</v>
      </c>
      <c r="AE28" s="138" t="s">
        <v>289</v>
      </c>
      <c r="AF28" s="138" t="s">
        <v>290</v>
      </c>
      <c r="AG28" s="138" t="s">
        <v>291</v>
      </c>
      <c r="AH28" s="138" t="s">
        <v>292</v>
      </c>
      <c r="AI28" s="138" t="s">
        <v>293</v>
      </c>
    </row>
    <row r="29" spans="1:36" ht="33" customHeight="1">
      <c r="A29" s="139"/>
      <c r="B29" s="140" t="s">
        <v>294</v>
      </c>
      <c r="C29" s="141"/>
      <c r="D29" s="142" t="s">
        <v>295</v>
      </c>
      <c r="E29" s="142" t="s">
        <v>295</v>
      </c>
      <c r="F29" s="143" t="s">
        <v>121</v>
      </c>
      <c r="G29" s="144">
        <f t="shared" ref="G29:AA29" si="1">G30+G91</f>
        <v>309350.688156844</v>
      </c>
      <c r="H29" s="144">
        <f t="shared" si="1"/>
        <v>281134.99747999996</v>
      </c>
      <c r="I29" s="144">
        <f t="shared" si="1"/>
        <v>268183.54100000003</v>
      </c>
      <c r="J29" s="144">
        <f t="shared" si="1"/>
        <v>339442.26575850789</v>
      </c>
      <c r="K29" s="144">
        <f t="shared" si="1"/>
        <v>240103.97205999997</v>
      </c>
      <c r="L29" s="144">
        <f t="shared" si="1"/>
        <v>228441.34996999998</v>
      </c>
      <c r="M29" s="144">
        <f t="shared" si="1"/>
        <v>283152.32154194725</v>
      </c>
      <c r="N29" s="144">
        <f t="shared" si="1"/>
        <v>305115.74258999998</v>
      </c>
      <c r="O29" s="144">
        <f t="shared" si="1"/>
        <v>297781.96194000001</v>
      </c>
      <c r="P29" s="145">
        <f t="shared" si="1"/>
        <v>296780.96320253209</v>
      </c>
      <c r="Q29" s="144">
        <f t="shared" si="1"/>
        <v>296780.96320253209</v>
      </c>
      <c r="R29" s="144">
        <f t="shared" si="1"/>
        <v>280661.4856325321</v>
      </c>
      <c r="S29" s="144">
        <f>R29-M29</f>
        <v>-2490.8359094151529</v>
      </c>
      <c r="T29" s="144">
        <f>R29-O29</f>
        <v>-17120.476307467907</v>
      </c>
      <c r="U29" s="146" t="e">
        <f>R29-#REF!</f>
        <v>#REF!</v>
      </c>
      <c r="V29" s="146">
        <f>R29-M29</f>
        <v>-2490.8359094151529</v>
      </c>
      <c r="W29" s="146">
        <f>Q29-P29</f>
        <v>0</v>
      </c>
      <c r="X29" s="146" t="e">
        <f>O29-#REF!</f>
        <v>#REF!</v>
      </c>
      <c r="Y29" s="144">
        <f t="shared" si="1"/>
        <v>243877.70857893719</v>
      </c>
      <c r="Z29" s="144">
        <f t="shared" si="1"/>
        <v>255576.48924877457</v>
      </c>
      <c r="AA29" s="144">
        <f t="shared" si="1"/>
        <v>423519.77948830312</v>
      </c>
      <c r="AB29" s="144">
        <f>AB30+AB91</f>
        <v>252865.03119831113</v>
      </c>
      <c r="AC29" s="144">
        <f>AB29</f>
        <v>252865.03119831113</v>
      </c>
      <c r="AD29" s="144">
        <f>AB29-Y29</f>
        <v>8987.3226193739392</v>
      </c>
      <c r="AE29" s="144">
        <f>AB29/Y29*100-100</f>
        <v>3.6851759317169979</v>
      </c>
      <c r="AF29" s="144">
        <f>AB29-Z29</f>
        <v>-2711.4580504634359</v>
      </c>
      <c r="AG29" s="144">
        <f>AB29/Z29*100-100</f>
        <v>-1.0609184195437251</v>
      </c>
      <c r="AH29" s="144">
        <f>AB29-AA29</f>
        <v>-170654.74828999199</v>
      </c>
      <c r="AI29" s="144">
        <f>AB29/AA29*100-100</f>
        <v>-40.294398645602136</v>
      </c>
      <c r="AJ29" s="52">
        <f>Y29+Y113</f>
        <v>317906.13237067999</v>
      </c>
    </row>
    <row r="30" spans="1:36" ht="33" customHeight="1" outlineLevel="1">
      <c r="A30" s="139"/>
      <c r="B30" s="140" t="s">
        <v>296</v>
      </c>
      <c r="C30" s="141"/>
      <c r="D30" s="142" t="s">
        <v>297</v>
      </c>
      <c r="E30" s="142" t="s">
        <v>297</v>
      </c>
      <c r="F30" s="143" t="s">
        <v>121</v>
      </c>
      <c r="G30" s="144">
        <f t="shared" ref="G30:AA30" si="2">G34+G42+G46+G52+G56+G61+G65+G70+G79+G87+G90</f>
        <v>242340.01013794073</v>
      </c>
      <c r="H30" s="144">
        <f t="shared" si="2"/>
        <v>230759.85590999995</v>
      </c>
      <c r="I30" s="144">
        <f t="shared" si="2"/>
        <v>217808.40100000001</v>
      </c>
      <c r="J30" s="144">
        <f t="shared" si="2"/>
        <v>265913.2358133911</v>
      </c>
      <c r="K30" s="144">
        <f t="shared" si="2"/>
        <v>185754.21470999997</v>
      </c>
      <c r="L30" s="144">
        <f t="shared" si="2"/>
        <v>174091.58879999997</v>
      </c>
      <c r="M30" s="144">
        <f t="shared" si="2"/>
        <v>232420.03955532395</v>
      </c>
      <c r="N30" s="144">
        <f t="shared" si="2"/>
        <v>241865.25547999996</v>
      </c>
      <c r="O30" s="144">
        <f t="shared" si="2"/>
        <v>236239.99015</v>
      </c>
      <c r="P30" s="145">
        <f t="shared" si="2"/>
        <v>235238.99141253211</v>
      </c>
      <c r="Q30" s="144">
        <f t="shared" si="2"/>
        <v>235238.99141253211</v>
      </c>
      <c r="R30" s="144">
        <f t="shared" si="2"/>
        <v>219119.51384253212</v>
      </c>
      <c r="S30" s="144">
        <f t="shared" ref="S30:S93" si="3">R30-M30</f>
        <v>-13300.52571279183</v>
      </c>
      <c r="T30" s="144">
        <f t="shared" ref="T30:T93" si="4">R30-O30</f>
        <v>-17120.476307467878</v>
      </c>
      <c r="U30" s="146" t="e">
        <f>R30-#REF!</f>
        <v>#REF!</v>
      </c>
      <c r="V30" s="146">
        <f t="shared" ref="V30:V93" si="5">R30-M30</f>
        <v>-13300.52571279183</v>
      </c>
      <c r="W30" s="146">
        <f t="shared" ref="W30:W93" si="6">Q30-P30</f>
        <v>0</v>
      </c>
      <c r="X30" s="146" t="e">
        <f>O30-#REF!</f>
        <v>#REF!</v>
      </c>
      <c r="Y30" s="144">
        <f t="shared" si="2"/>
        <v>182238.28569201095</v>
      </c>
      <c r="Z30" s="144">
        <f t="shared" si="2"/>
        <v>191163.29233193659</v>
      </c>
      <c r="AA30" s="144">
        <f t="shared" si="2"/>
        <v>332276.39552201366</v>
      </c>
      <c r="AB30" s="144">
        <f>AB34+AB42+AB46+AB52+AB56+AB61+AB65+AB70+AB79+AB87+AB90</f>
        <v>188954.08713470661</v>
      </c>
      <c r="AC30" s="144">
        <f t="shared" ref="AC30:AC93" si="7">AB30</f>
        <v>188954.08713470661</v>
      </c>
      <c r="AD30" s="144">
        <f t="shared" ref="AD30:AD93" si="8">AB30-Y30</f>
        <v>6715.8014426956652</v>
      </c>
      <c r="AE30" s="144">
        <f t="shared" ref="AE30:AE93" si="9">AB30/Y30*100-100</f>
        <v>3.6851759317169979</v>
      </c>
      <c r="AF30" s="144">
        <f t="shared" ref="AF30:AF93" si="10">AB30-Z30</f>
        <v>-2209.2051972299814</v>
      </c>
      <c r="AG30" s="144">
        <f t="shared" ref="AG30:AG93" si="11">AB30/Z30*100-100</f>
        <v>-1.1556639197204817</v>
      </c>
      <c r="AH30" s="144">
        <f t="shared" ref="AH30:AH93" si="12">AB30-AA30</f>
        <v>-143322.30838730704</v>
      </c>
      <c r="AI30" s="144">
        <f t="shared" ref="AI30:AI93" si="13">AB30/AA30*100-100</f>
        <v>-43.133460672746402</v>
      </c>
    </row>
    <row r="31" spans="1:36" ht="33" customHeight="1" outlineLevel="3">
      <c r="A31" s="139">
        <v>1</v>
      </c>
      <c r="B31" s="143" t="s">
        <v>126</v>
      </c>
      <c r="C31" s="147" t="s">
        <v>298</v>
      </c>
      <c r="D31" s="148" t="s">
        <v>299</v>
      </c>
      <c r="E31" s="149" t="s">
        <v>300</v>
      </c>
      <c r="F31" s="143" t="s">
        <v>121</v>
      </c>
      <c r="G31" s="143">
        <v>324.51180348142424</v>
      </c>
      <c r="H31" s="143">
        <v>183.71635000000001</v>
      </c>
      <c r="I31" s="143">
        <v>183.72</v>
      </c>
      <c r="J31" s="143">
        <v>356.07814785874052</v>
      </c>
      <c r="K31" s="143">
        <v>401.94812999999999</v>
      </c>
      <c r="L31" s="143">
        <v>401.95</v>
      </c>
      <c r="M31" s="143">
        <v>330.63396039921264</v>
      </c>
      <c r="N31" s="143">
        <v>502.42376999999993</v>
      </c>
      <c r="O31" s="143">
        <v>502.42376999999993</v>
      </c>
      <c r="P31" s="150">
        <v>502.42376999999993</v>
      </c>
      <c r="Q31" s="143">
        <v>502.42376999999993</v>
      </c>
      <c r="R31" s="143">
        <v>502.42376999999993</v>
      </c>
      <c r="S31" s="143">
        <f t="shared" si="3"/>
        <v>171.78980960078729</v>
      </c>
      <c r="T31" s="143">
        <f t="shared" si="4"/>
        <v>0</v>
      </c>
      <c r="U31" s="151" t="e">
        <f>R31-#REF!</f>
        <v>#REF!</v>
      </c>
      <c r="V31" s="151">
        <f t="shared" si="5"/>
        <v>171.78980960078729</v>
      </c>
      <c r="W31" s="151">
        <f t="shared" si="6"/>
        <v>0</v>
      </c>
      <c r="X31" s="151" t="e">
        <f>O31-#REF!</f>
        <v>#REF!</v>
      </c>
      <c r="Y31" s="143">
        <f>'[65]2. подк.неподк.'!V19</f>
        <v>348.81882822116933</v>
      </c>
      <c r="Z31" s="143">
        <f>'[65]2. подк.неподк.'!W19</f>
        <v>364.5156754911219</v>
      </c>
      <c r="AA31" s="143">
        <f>'[65]2. подк.неподк.'!X19</f>
        <v>969.85746178841623</v>
      </c>
      <c r="AB31" s="143">
        <f>Y31*$AA$11</f>
        <v>361.6734157240731</v>
      </c>
      <c r="AC31" s="144">
        <f t="shared" si="7"/>
        <v>361.6734157240731</v>
      </c>
      <c r="AD31" s="143">
        <f t="shared" si="8"/>
        <v>12.854587502903769</v>
      </c>
      <c r="AE31" s="143">
        <f t="shared" si="9"/>
        <v>3.6851759317169979</v>
      </c>
      <c r="AF31" s="143">
        <f t="shared" si="10"/>
        <v>-2.8422597670488017</v>
      </c>
      <c r="AG31" s="143">
        <f t="shared" si="11"/>
        <v>-0.77973595051004452</v>
      </c>
      <c r="AH31" s="143">
        <f t="shared" si="12"/>
        <v>-608.18404606434319</v>
      </c>
      <c r="AI31" s="143">
        <f t="shared" si="13"/>
        <v>-62.708601008528852</v>
      </c>
    </row>
    <row r="32" spans="1:36" ht="33" customHeight="1" outlineLevel="3">
      <c r="A32" s="152">
        <v>2</v>
      </c>
      <c r="B32" s="143" t="s">
        <v>128</v>
      </c>
      <c r="C32" s="147" t="s">
        <v>301</v>
      </c>
      <c r="D32" s="148" t="s">
        <v>302</v>
      </c>
      <c r="E32" s="149" t="s">
        <v>303</v>
      </c>
      <c r="F32" s="143" t="s">
        <v>121</v>
      </c>
      <c r="G32" s="143">
        <v>957.54981027277597</v>
      </c>
      <c r="H32" s="143">
        <v>430.84805999999998</v>
      </c>
      <c r="I32" s="143">
        <v>83.198059999999998</v>
      </c>
      <c r="J32" s="143">
        <v>1050.693870813041</v>
      </c>
      <c r="K32" s="143">
        <v>342.46424000000002</v>
      </c>
      <c r="L32" s="143">
        <v>342.46</v>
      </c>
      <c r="M32" s="143">
        <v>87.069880378300709</v>
      </c>
      <c r="N32" s="143">
        <v>156.28928000000002</v>
      </c>
      <c r="O32" s="143">
        <v>151.01801</v>
      </c>
      <c r="P32" s="150">
        <v>151.01801</v>
      </c>
      <c r="Q32" s="143">
        <v>151.01801</v>
      </c>
      <c r="R32" s="143">
        <v>151.01801</v>
      </c>
      <c r="S32" s="143">
        <f t="shared" si="3"/>
        <v>63.948129621699294</v>
      </c>
      <c r="T32" s="143">
        <f t="shared" si="4"/>
        <v>0</v>
      </c>
      <c r="U32" s="151" t="e">
        <f>R32-#REF!</f>
        <v>#REF!</v>
      </c>
      <c r="V32" s="151">
        <f t="shared" si="5"/>
        <v>63.948129621699294</v>
      </c>
      <c r="W32" s="151">
        <f t="shared" si="6"/>
        <v>0</v>
      </c>
      <c r="X32" s="151" t="e">
        <f>O32-#REF!</f>
        <v>#REF!</v>
      </c>
      <c r="Y32" s="143">
        <f>'[65]2. подк.неподк.'!V20</f>
        <v>388.39244749999989</v>
      </c>
      <c r="Z32" s="143">
        <f>'[65]2. подк.неподк.'!W20</f>
        <v>405.87010763749987</v>
      </c>
      <c r="AA32" s="143">
        <f>'[65]2. подк.неподк.'!X20</f>
        <v>1945.5006796043717</v>
      </c>
      <c r="AB32" s="143">
        <f>Y32*$AA$11</f>
        <v>402.70539249587648</v>
      </c>
      <c r="AC32" s="144">
        <f t="shared" si="7"/>
        <v>402.70539249587648</v>
      </c>
      <c r="AD32" s="143">
        <f t="shared" si="8"/>
        <v>14.312944995876592</v>
      </c>
      <c r="AE32" s="143">
        <f t="shared" si="9"/>
        <v>3.6851759317169979</v>
      </c>
      <c r="AF32" s="143">
        <f t="shared" si="10"/>
        <v>-3.1647151416233896</v>
      </c>
      <c r="AG32" s="143">
        <f t="shared" si="11"/>
        <v>-0.77973595051004452</v>
      </c>
      <c r="AH32" s="143">
        <f t="shared" si="12"/>
        <v>-1542.7952871084954</v>
      </c>
      <c r="AI32" s="143">
        <f t="shared" si="13"/>
        <v>-79.300680965181215</v>
      </c>
    </row>
    <row r="33" spans="1:36" ht="33" customHeight="1" outlineLevel="3">
      <c r="A33" s="139">
        <v>3</v>
      </c>
      <c r="B33" s="143" t="s">
        <v>130</v>
      </c>
      <c r="C33" s="147" t="s">
        <v>304</v>
      </c>
      <c r="D33" s="148" t="s">
        <v>305</v>
      </c>
      <c r="E33" s="149" t="s">
        <v>306</v>
      </c>
      <c r="F33" s="143" t="s">
        <v>121</v>
      </c>
      <c r="G33" s="143">
        <v>8597.0598922308891</v>
      </c>
      <c r="H33" s="143">
        <v>13706.690549999999</v>
      </c>
      <c r="I33" s="143">
        <v>13706.69</v>
      </c>
      <c r="J33" s="143">
        <v>9433.3245528046555</v>
      </c>
      <c r="K33" s="143">
        <v>12209.585720000001</v>
      </c>
      <c r="L33" s="143">
        <v>12209.59</v>
      </c>
      <c r="M33" s="143">
        <v>11508.547144853132</v>
      </c>
      <c r="N33" s="143">
        <v>14368.167649999999</v>
      </c>
      <c r="O33" s="143">
        <v>14251.2431</v>
      </c>
      <c r="P33" s="150">
        <v>14251.2431</v>
      </c>
      <c r="Q33" s="143">
        <v>14251.2431</v>
      </c>
      <c r="R33" s="143">
        <v>14251.2431</v>
      </c>
      <c r="S33" s="143">
        <f t="shared" si="3"/>
        <v>2742.6959551468681</v>
      </c>
      <c r="T33" s="143">
        <f t="shared" si="4"/>
        <v>0</v>
      </c>
      <c r="U33" s="151" t="e">
        <f>R33-#REF!</f>
        <v>#REF!</v>
      </c>
      <c r="V33" s="151">
        <f t="shared" si="5"/>
        <v>2742.6959551468681</v>
      </c>
      <c r="W33" s="151">
        <f t="shared" si="6"/>
        <v>0</v>
      </c>
      <c r="X33" s="151" t="e">
        <f>O33-#REF!</f>
        <v>#REF!</v>
      </c>
      <c r="Y33" s="151">
        <f>'[65]2. подк.неподк.'!V21</f>
        <v>12141.517237820053</v>
      </c>
      <c r="Z33" s="143">
        <f>'[65]2. подк.неподк.'!W21</f>
        <v>12687.885513521955</v>
      </c>
      <c r="AA33" s="143">
        <f>'[65]2. подк.неподк.'!X21</f>
        <v>19441.68</v>
      </c>
      <c r="AB33" s="143">
        <f>Y33*$AA$11</f>
        <v>12588.953508813469</v>
      </c>
      <c r="AC33" s="144">
        <f t="shared" si="7"/>
        <v>12588.953508813469</v>
      </c>
      <c r="AD33" s="143">
        <f t="shared" si="8"/>
        <v>447.43627099341575</v>
      </c>
      <c r="AE33" s="143">
        <f t="shared" si="9"/>
        <v>3.6851759317169979</v>
      </c>
      <c r="AF33" s="143">
        <f t="shared" si="10"/>
        <v>-98.932004708485692</v>
      </c>
      <c r="AG33" s="143">
        <f t="shared" si="11"/>
        <v>-0.77973595051004452</v>
      </c>
      <c r="AH33" s="143">
        <f t="shared" si="12"/>
        <v>-6852.7264911865313</v>
      </c>
      <c r="AI33" s="143">
        <f t="shared" si="13"/>
        <v>-35.247604585542675</v>
      </c>
      <c r="AJ33" s="52">
        <f>Y33+Y51+Y55+Y57+Y58++Y66</f>
        <v>141725.96443951706</v>
      </c>
    </row>
    <row r="34" spans="1:36" s="161" customFormat="1" ht="33" customHeight="1" outlineLevel="2">
      <c r="A34" s="153"/>
      <c r="B34" s="154"/>
      <c r="C34" s="155"/>
      <c r="D34" s="156" t="s">
        <v>307</v>
      </c>
      <c r="E34" s="157"/>
      <c r="F34" s="158"/>
      <c r="G34" s="154">
        <f t="shared" ref="G34:I34" si="14">G31+G32+G33</f>
        <v>9879.1215059850892</v>
      </c>
      <c r="H34" s="154">
        <f t="shared" si="14"/>
        <v>14321.254959999998</v>
      </c>
      <c r="I34" s="154">
        <f t="shared" si="14"/>
        <v>13973.60806</v>
      </c>
      <c r="J34" s="154">
        <f>J31+J32+J33</f>
        <v>10840.096571476437</v>
      </c>
      <c r="K34" s="154">
        <f t="shared" ref="K34:AB34" si="15">K31+K32+K33</f>
        <v>12953.998090000001</v>
      </c>
      <c r="L34" s="154">
        <f t="shared" si="15"/>
        <v>12954</v>
      </c>
      <c r="M34" s="154">
        <f t="shared" si="15"/>
        <v>11926.250985630644</v>
      </c>
      <c r="N34" s="154">
        <f t="shared" si="15"/>
        <v>15026.8807</v>
      </c>
      <c r="O34" s="154">
        <f t="shared" si="15"/>
        <v>14904.684879999999</v>
      </c>
      <c r="P34" s="159">
        <f t="shared" si="15"/>
        <v>14904.684879999999</v>
      </c>
      <c r="Q34" s="154">
        <f t="shared" si="15"/>
        <v>14904.684879999999</v>
      </c>
      <c r="R34" s="154">
        <f t="shared" si="15"/>
        <v>14904.684879999999</v>
      </c>
      <c r="S34" s="144">
        <f t="shared" si="3"/>
        <v>2978.4338943693547</v>
      </c>
      <c r="T34" s="144">
        <f t="shared" si="4"/>
        <v>0</v>
      </c>
      <c r="U34" s="160" t="e">
        <f>R34-#REF!</f>
        <v>#REF!</v>
      </c>
      <c r="V34" s="160">
        <f t="shared" si="5"/>
        <v>2978.4338943693547</v>
      </c>
      <c r="W34" s="160">
        <f t="shared" si="6"/>
        <v>0</v>
      </c>
      <c r="X34" s="160" t="e">
        <f>O34-#REF!</f>
        <v>#REF!</v>
      </c>
      <c r="Y34" s="154">
        <f t="shared" si="15"/>
        <v>12878.728513541222</v>
      </c>
      <c r="Z34" s="154">
        <f t="shared" si="15"/>
        <v>13458.271296650577</v>
      </c>
      <c r="AA34" s="154">
        <f t="shared" si="15"/>
        <v>22357.03814139279</v>
      </c>
      <c r="AB34" s="154">
        <f t="shared" si="15"/>
        <v>13353.332317033419</v>
      </c>
      <c r="AC34" s="144">
        <f t="shared" si="7"/>
        <v>13353.332317033419</v>
      </c>
      <c r="AD34" s="154">
        <f t="shared" si="8"/>
        <v>474.60380349219668</v>
      </c>
      <c r="AE34" s="154">
        <f t="shared" si="9"/>
        <v>3.6851759317169979</v>
      </c>
      <c r="AF34" s="154">
        <f t="shared" si="10"/>
        <v>-104.93897961715811</v>
      </c>
      <c r="AG34" s="154">
        <f t="shared" si="11"/>
        <v>-0.77973595051004452</v>
      </c>
      <c r="AH34" s="154">
        <f t="shared" si="12"/>
        <v>-9003.705824359371</v>
      </c>
      <c r="AI34" s="154">
        <f t="shared" si="13"/>
        <v>-40.272355253040068</v>
      </c>
    </row>
    <row r="35" spans="1:36" ht="33" customHeight="1" outlineLevel="3">
      <c r="A35" s="139" t="s">
        <v>195</v>
      </c>
      <c r="B35" s="143" t="s">
        <v>308</v>
      </c>
      <c r="C35" s="147" t="s">
        <v>309</v>
      </c>
      <c r="D35" s="148" t="s">
        <v>310</v>
      </c>
      <c r="E35" s="149" t="s">
        <v>311</v>
      </c>
      <c r="F35" s="143" t="s">
        <v>121</v>
      </c>
      <c r="G35" s="143">
        <v>964.01821034217039</v>
      </c>
      <c r="H35" s="143">
        <v>1613.7833900000001</v>
      </c>
      <c r="I35" s="143">
        <v>1613.78</v>
      </c>
      <c r="J35" s="143">
        <v>1057.7914737094827</v>
      </c>
      <c r="K35" s="143">
        <v>1971.7940000000001</v>
      </c>
      <c r="L35" s="143">
        <v>1971.79</v>
      </c>
      <c r="M35" s="143">
        <v>1939.03</v>
      </c>
      <c r="N35" s="143">
        <v>2393.2037599999999</v>
      </c>
      <c r="O35" s="143">
        <v>1981.9687799999997</v>
      </c>
      <c r="P35" s="150">
        <v>1981.9687799999997</v>
      </c>
      <c r="Q35" s="143">
        <v>1981.9687799999997</v>
      </c>
      <c r="R35" s="143">
        <v>1981.9687799999997</v>
      </c>
      <c r="S35" s="143">
        <f>R35-M35</f>
        <v>42.938779999999724</v>
      </c>
      <c r="T35" s="143">
        <f>R35-O35</f>
        <v>0</v>
      </c>
      <c r="U35" s="151" t="e">
        <f>R35-#REF!</f>
        <v>#REF!</v>
      </c>
      <c r="V35" s="151">
        <f t="shared" si="5"/>
        <v>42.938779999999724</v>
      </c>
      <c r="W35" s="151">
        <f t="shared" si="6"/>
        <v>0</v>
      </c>
      <c r="X35" s="151" t="e">
        <f>O35-#REF!</f>
        <v>#REF!</v>
      </c>
      <c r="Y35" s="143">
        <f>'[65]2. подк.неподк.'!V23</f>
        <v>2045.6766499999999</v>
      </c>
      <c r="Z35" s="143">
        <f>'[65]2. подк.неподк.'!W23</f>
        <v>2137.7320992499999</v>
      </c>
      <c r="AA35" s="143">
        <f>'[65]2. подк.неподк.'!X23</f>
        <v>2858.98</v>
      </c>
      <c r="AB35" s="143">
        <f t="shared" ref="AB35:AB41" si="16">Y35*$AA$11</f>
        <v>2121.0634335465543</v>
      </c>
      <c r="AC35" s="144">
        <f t="shared" si="7"/>
        <v>2121.0634335465543</v>
      </c>
      <c r="AD35" s="143">
        <f t="shared" si="8"/>
        <v>75.386783546554398</v>
      </c>
      <c r="AE35" s="143">
        <f t="shared" si="9"/>
        <v>3.6851759317169979</v>
      </c>
      <c r="AF35" s="143">
        <f t="shared" si="10"/>
        <v>-16.66866570344564</v>
      </c>
      <c r="AG35" s="143">
        <f t="shared" si="11"/>
        <v>-0.77973595051005873</v>
      </c>
      <c r="AH35" s="143">
        <f t="shared" si="12"/>
        <v>-737.91656645344574</v>
      </c>
      <c r="AI35" s="143">
        <f t="shared" si="13"/>
        <v>-25.810483684861225</v>
      </c>
    </row>
    <row r="36" spans="1:36" ht="33" customHeight="1" outlineLevel="3">
      <c r="A36" s="139" t="s">
        <v>197</v>
      </c>
      <c r="B36" s="143" t="s">
        <v>312</v>
      </c>
      <c r="C36" s="147" t="s">
        <v>313</v>
      </c>
      <c r="D36" s="148" t="s">
        <v>314</v>
      </c>
      <c r="E36" s="149" t="s">
        <v>315</v>
      </c>
      <c r="F36" s="143" t="s">
        <v>121</v>
      </c>
      <c r="G36" s="143">
        <v>1106.1170118666332</v>
      </c>
      <c r="H36" s="143">
        <v>239.94213999999999</v>
      </c>
      <c r="I36" s="143">
        <v>239.94</v>
      </c>
      <c r="J36" s="143">
        <v>1213.712699122394</v>
      </c>
      <c r="K36" s="143">
        <v>228.50139999999999</v>
      </c>
      <c r="L36" s="143">
        <v>228.5</v>
      </c>
      <c r="M36" s="143">
        <v>216.28047451465258</v>
      </c>
      <c r="N36" s="143">
        <v>333.86768999999993</v>
      </c>
      <c r="O36" s="143">
        <v>259.60739000000001</v>
      </c>
      <c r="P36" s="150">
        <v>259.60739000000001</v>
      </c>
      <c r="Q36" s="143">
        <v>259.60739000000001</v>
      </c>
      <c r="R36" s="143">
        <v>259.60739000000001</v>
      </c>
      <c r="S36" s="143">
        <f t="shared" si="3"/>
        <v>43.326915485347428</v>
      </c>
      <c r="T36" s="143">
        <f t="shared" si="4"/>
        <v>0</v>
      </c>
      <c r="U36" s="151" t="e">
        <f>R36-#REF!</f>
        <v>#REF!</v>
      </c>
      <c r="V36" s="151">
        <f t="shared" si="5"/>
        <v>43.326915485347428</v>
      </c>
      <c r="W36" s="151">
        <f t="shared" si="6"/>
        <v>0</v>
      </c>
      <c r="X36" s="151" t="e">
        <f>O36-#REF!</f>
        <v>#REF!</v>
      </c>
      <c r="Y36" s="143">
        <f>'[65]2. подк.неподк.'!V24</f>
        <v>259.14756249999999</v>
      </c>
      <c r="Z36" s="143">
        <f>'[65]2. подк.неподк.'!W24</f>
        <v>270.80920281249996</v>
      </c>
      <c r="AA36" s="143">
        <f>'[65]2. подк.неподк.'!X24</f>
        <v>357.37099999999998</v>
      </c>
      <c r="AB36" s="143">
        <f t="shared" si="16"/>
        <v>268.69760610088127</v>
      </c>
      <c r="AC36" s="144">
        <f t="shared" si="7"/>
        <v>268.69760610088127</v>
      </c>
      <c r="AD36" s="143">
        <f t="shared" si="8"/>
        <v>9.5500436008812812</v>
      </c>
      <c r="AE36" s="143">
        <f t="shared" si="9"/>
        <v>3.6851759317169979</v>
      </c>
      <c r="AF36" s="143">
        <f t="shared" si="10"/>
        <v>-2.111596711618688</v>
      </c>
      <c r="AG36" s="143">
        <f t="shared" si="11"/>
        <v>-0.77973595051003031</v>
      </c>
      <c r="AH36" s="143">
        <f t="shared" si="12"/>
        <v>-88.673393899118707</v>
      </c>
      <c r="AI36" s="143">
        <f t="shared" si="13"/>
        <v>-24.812699939032186</v>
      </c>
    </row>
    <row r="37" spans="1:36" ht="33" customHeight="1" outlineLevel="3">
      <c r="A37" s="139" t="s">
        <v>200</v>
      </c>
      <c r="B37" s="143" t="s">
        <v>316</v>
      </c>
      <c r="C37" s="147" t="s">
        <v>317</v>
      </c>
      <c r="D37" s="148" t="s">
        <v>318</v>
      </c>
      <c r="E37" s="149" t="s">
        <v>319</v>
      </c>
      <c r="F37" s="143" t="s">
        <v>121</v>
      </c>
      <c r="G37" s="143">
        <v>1912.977820522789</v>
      </c>
      <c r="H37" s="143">
        <v>1363.45228</v>
      </c>
      <c r="I37" s="143">
        <v>1363.45</v>
      </c>
      <c r="J37" s="143">
        <v>2099.0595470454023</v>
      </c>
      <c r="K37" s="143">
        <v>1606.0888</v>
      </c>
      <c r="L37" s="143">
        <v>1606.0888</v>
      </c>
      <c r="M37" s="143">
        <v>1315.1554948213659</v>
      </c>
      <c r="N37" s="143">
        <v>1611.47596</v>
      </c>
      <c r="O37" s="143">
        <v>1429.86446</v>
      </c>
      <c r="P37" s="150">
        <v>1429.86446</v>
      </c>
      <c r="Q37" s="143">
        <v>1429.86446</v>
      </c>
      <c r="R37" s="143">
        <v>1429.86446</v>
      </c>
      <c r="S37" s="143">
        <f t="shared" si="3"/>
        <v>114.70896517863412</v>
      </c>
      <c r="T37" s="143">
        <f t="shared" si="4"/>
        <v>0</v>
      </c>
      <c r="U37" s="151" t="e">
        <f>R37-#REF!</f>
        <v>#REF!</v>
      </c>
      <c r="V37" s="151">
        <f t="shared" si="5"/>
        <v>114.70896517863412</v>
      </c>
      <c r="W37" s="151">
        <f t="shared" si="6"/>
        <v>0</v>
      </c>
      <c r="X37" s="151" t="e">
        <f>O37-#REF!</f>
        <v>#REF!</v>
      </c>
      <c r="Y37" s="143">
        <f>'[65]2. подк.неподк.'!V25</f>
        <v>1821.5054602999996</v>
      </c>
      <c r="Z37" s="143">
        <f>'[65]2. подк.неподк.'!W25</f>
        <v>1903.4732060134995</v>
      </c>
      <c r="AA37" s="143">
        <f>'[65]2. подк.неподк.'!X25</f>
        <v>1903.4732060134995</v>
      </c>
      <c r="AB37" s="143">
        <f t="shared" si="16"/>
        <v>1888.6311411178863</v>
      </c>
      <c r="AC37" s="144">
        <f t="shared" si="7"/>
        <v>1888.6311411178863</v>
      </c>
      <c r="AD37" s="143">
        <f t="shared" si="8"/>
        <v>67.125680817886632</v>
      </c>
      <c r="AE37" s="143">
        <f t="shared" si="9"/>
        <v>3.6851759317169979</v>
      </c>
      <c r="AF37" s="143">
        <f t="shared" si="10"/>
        <v>-14.842064895613248</v>
      </c>
      <c r="AG37" s="143">
        <f t="shared" si="11"/>
        <v>-0.77973595051004452</v>
      </c>
      <c r="AH37" s="143">
        <f t="shared" si="12"/>
        <v>-14.842064895613248</v>
      </c>
      <c r="AI37" s="143">
        <f t="shared" si="13"/>
        <v>-0.77973595051004452</v>
      </c>
    </row>
    <row r="38" spans="1:36" ht="33" customHeight="1" outlineLevel="3">
      <c r="A38" s="139" t="s">
        <v>203</v>
      </c>
      <c r="B38" s="143" t="s">
        <v>320</v>
      </c>
      <c r="C38" s="147" t="s">
        <v>321</v>
      </c>
      <c r="D38" s="148" t="s">
        <v>322</v>
      </c>
      <c r="E38" s="149" t="s">
        <v>323</v>
      </c>
      <c r="F38" s="143" t="s">
        <v>121</v>
      </c>
      <c r="G38" s="143">
        <v>325.64480349357927</v>
      </c>
      <c r="H38" s="143">
        <v>604.36022000000003</v>
      </c>
      <c r="I38" s="143">
        <v>604.36</v>
      </c>
      <c r="J38" s="143">
        <v>357.32135855716183</v>
      </c>
      <c r="K38" s="143">
        <v>741.08637999999996</v>
      </c>
      <c r="L38" s="143">
        <v>741.09</v>
      </c>
      <c r="M38" s="143">
        <v>664.82934533809566</v>
      </c>
      <c r="N38" s="143">
        <v>720.21055999999999</v>
      </c>
      <c r="O38" s="143">
        <v>637.74403999999993</v>
      </c>
      <c r="P38" s="150">
        <v>637.74403999999993</v>
      </c>
      <c r="Q38" s="143">
        <v>637.74403999999993</v>
      </c>
      <c r="R38" s="143">
        <v>637.74403999999993</v>
      </c>
      <c r="S38" s="143">
        <f t="shared" si="3"/>
        <v>-27.085305338095736</v>
      </c>
      <c r="T38" s="143">
        <f t="shared" si="4"/>
        <v>0</v>
      </c>
      <c r="U38" s="151" t="e">
        <f>R38-#REF!</f>
        <v>#REF!</v>
      </c>
      <c r="V38" s="151">
        <f t="shared" si="5"/>
        <v>-27.085305338095736</v>
      </c>
      <c r="W38" s="151">
        <f t="shared" si="6"/>
        <v>0</v>
      </c>
      <c r="X38" s="151" t="e">
        <f>O38-#REF!</f>
        <v>#REF!</v>
      </c>
      <c r="Y38" s="143">
        <f>'[65]2. подк.неподк.'!V26</f>
        <v>701.39495933169087</v>
      </c>
      <c r="Z38" s="143">
        <f>'[65]2. подк.неподк.'!W26</f>
        <v>732.95773250161687</v>
      </c>
      <c r="AA38" s="143">
        <f>'[65]2. подк.неподк.'!X26</f>
        <v>796.94</v>
      </c>
      <c r="AB38" s="143">
        <f t="shared" si="16"/>
        <v>727.24259755925857</v>
      </c>
      <c r="AC38" s="144">
        <f t="shared" si="7"/>
        <v>727.24259755925857</v>
      </c>
      <c r="AD38" s="143">
        <f t="shared" si="8"/>
        <v>25.8476382275677</v>
      </c>
      <c r="AE38" s="143">
        <f t="shared" si="9"/>
        <v>3.6851759317169979</v>
      </c>
      <c r="AF38" s="143">
        <f t="shared" si="10"/>
        <v>-5.7151349423583042</v>
      </c>
      <c r="AG38" s="143">
        <f t="shared" si="11"/>
        <v>-0.77973595051004452</v>
      </c>
      <c r="AH38" s="143">
        <f t="shared" si="12"/>
        <v>-69.697402440741484</v>
      </c>
      <c r="AI38" s="143">
        <f t="shared" si="13"/>
        <v>-8.745627329628519</v>
      </c>
    </row>
    <row r="39" spans="1:36" ht="33" customHeight="1" outlineLevel="3">
      <c r="A39" s="139" t="s">
        <v>208</v>
      </c>
      <c r="B39" s="143" t="s">
        <v>324</v>
      </c>
      <c r="C39" s="147" t="s">
        <v>325</v>
      </c>
      <c r="D39" s="148" t="s">
        <v>326</v>
      </c>
      <c r="E39" s="149" t="s">
        <v>327</v>
      </c>
      <c r="F39" s="143" t="s">
        <v>121</v>
      </c>
      <c r="G39" s="143">
        <v>77.97100083648769</v>
      </c>
      <c r="H39" s="143">
        <v>597.54999999999995</v>
      </c>
      <c r="I39" s="143">
        <v>0</v>
      </c>
      <c r="J39" s="143">
        <v>85.56</v>
      </c>
      <c r="K39" s="143">
        <v>624.18822</v>
      </c>
      <c r="L39" s="143">
        <v>624.19000000000005</v>
      </c>
      <c r="M39" s="143">
        <v>0</v>
      </c>
      <c r="N39" s="143">
        <v>764.88661000000002</v>
      </c>
      <c r="O39" s="143">
        <v>727.73423000000003</v>
      </c>
      <c r="P39" s="150">
        <v>727.73423000000003</v>
      </c>
      <c r="Q39" s="143">
        <v>727.73423000000003</v>
      </c>
      <c r="R39" s="143">
        <v>727.73423000000003</v>
      </c>
      <c r="S39" s="143">
        <f t="shared" si="3"/>
        <v>727.73423000000003</v>
      </c>
      <c r="T39" s="143">
        <f t="shared" si="4"/>
        <v>0</v>
      </c>
      <c r="U39" s="151" t="e">
        <f>R39-#REF!</f>
        <v>#REF!</v>
      </c>
      <c r="V39" s="151">
        <f t="shared" si="5"/>
        <v>727.73423000000003</v>
      </c>
      <c r="W39" s="151">
        <f t="shared" si="6"/>
        <v>0</v>
      </c>
      <c r="X39" s="151" t="e">
        <f>O39-#REF!</f>
        <v>#REF!</v>
      </c>
      <c r="Y39" s="143">
        <f>'[65]2. подк.неподк.'!V27</f>
        <v>0</v>
      </c>
      <c r="Z39" s="143">
        <f>'[65]2. подк.неподк.'!W27</f>
        <v>0</v>
      </c>
      <c r="AA39" s="143">
        <f>'[65]2. подк.неподк.'!X27</f>
        <v>1169.28</v>
      </c>
      <c r="AB39" s="143">
        <f t="shared" si="16"/>
        <v>0</v>
      </c>
      <c r="AC39" s="144">
        <f t="shared" si="7"/>
        <v>0</v>
      </c>
      <c r="AD39" s="143">
        <f t="shared" si="8"/>
        <v>0</v>
      </c>
      <c r="AE39" s="143"/>
      <c r="AF39" s="143">
        <f t="shared" si="10"/>
        <v>0</v>
      </c>
      <c r="AG39" s="143"/>
      <c r="AH39" s="143">
        <f t="shared" si="12"/>
        <v>-1169.28</v>
      </c>
      <c r="AI39" s="143">
        <f t="shared" si="13"/>
        <v>-100</v>
      </c>
    </row>
    <row r="40" spans="1:36" ht="33" customHeight="1" outlineLevel="3">
      <c r="A40" s="139" t="s">
        <v>328</v>
      </c>
      <c r="B40" s="143" t="s">
        <v>329</v>
      </c>
      <c r="C40" s="147" t="s">
        <v>330</v>
      </c>
      <c r="D40" s="148" t="s">
        <v>331</v>
      </c>
      <c r="E40" s="149" t="s">
        <v>332</v>
      </c>
      <c r="F40" s="143" t="s">
        <v>121</v>
      </c>
      <c r="G40" s="143">
        <v>54.796000587861897</v>
      </c>
      <c r="H40" s="143">
        <v>40.915550000000003</v>
      </c>
      <c r="I40" s="143">
        <v>40.92</v>
      </c>
      <c r="J40" s="143">
        <v>60.126190141830115</v>
      </c>
      <c r="K40" s="143">
        <v>40.9666</v>
      </c>
      <c r="L40" s="143">
        <v>40.97</v>
      </c>
      <c r="M40" s="143">
        <v>43.174625614235943</v>
      </c>
      <c r="N40" s="143">
        <v>70.158109999999994</v>
      </c>
      <c r="O40" s="143">
        <v>61.447839999999999</v>
      </c>
      <c r="P40" s="150">
        <v>61.447839999999999</v>
      </c>
      <c r="Q40" s="143">
        <v>61.447839999999999</v>
      </c>
      <c r="R40" s="143">
        <v>61.447839999999999</v>
      </c>
      <c r="S40" s="143">
        <f t="shared" si="3"/>
        <v>18.273214385764057</v>
      </c>
      <c r="T40" s="143">
        <f t="shared" si="4"/>
        <v>0</v>
      </c>
      <c r="U40" s="151" t="e">
        <f>R40-#REF!</f>
        <v>#REF!</v>
      </c>
      <c r="V40" s="151">
        <f t="shared" si="5"/>
        <v>18.273214385764057</v>
      </c>
      <c r="W40" s="151">
        <f t="shared" si="6"/>
        <v>0</v>
      </c>
      <c r="X40" s="151" t="e">
        <f>O40-#REF!</f>
        <v>#REF!</v>
      </c>
      <c r="Y40" s="143">
        <f>'[65]2. подк.неподк.'!V28</f>
        <v>46.465101249999996</v>
      </c>
      <c r="Z40" s="143">
        <f>'[65]2. подк.неподк.'!W28</f>
        <v>48.556030806249993</v>
      </c>
      <c r="AA40" s="143">
        <f>'[65]2. подк.неподк.'!X28</f>
        <v>95.44</v>
      </c>
      <c r="AB40" s="143">
        <f t="shared" si="16"/>
        <v>48.177421977912928</v>
      </c>
      <c r="AC40" s="144">
        <f t="shared" si="7"/>
        <v>48.177421977912928</v>
      </c>
      <c r="AD40" s="143">
        <f t="shared" si="8"/>
        <v>1.7123207279129318</v>
      </c>
      <c r="AE40" s="143">
        <f t="shared" si="9"/>
        <v>3.6851759317169979</v>
      </c>
      <c r="AF40" s="143">
        <f t="shared" si="10"/>
        <v>-0.37860882833706455</v>
      </c>
      <c r="AG40" s="143">
        <f t="shared" si="11"/>
        <v>-0.77973595051005873</v>
      </c>
      <c r="AH40" s="143">
        <f t="shared" si="12"/>
        <v>-47.262578022087069</v>
      </c>
      <c r="AI40" s="143">
        <f t="shared" si="13"/>
        <v>-49.520722990451674</v>
      </c>
    </row>
    <row r="41" spans="1:36" ht="33" customHeight="1" outlineLevel="3">
      <c r="A41" s="139" t="s">
        <v>333</v>
      </c>
      <c r="B41" s="143" t="s">
        <v>334</v>
      </c>
      <c r="C41" s="147" t="s">
        <v>335</v>
      </c>
      <c r="D41" s="162" t="s">
        <v>336</v>
      </c>
      <c r="E41" s="163" t="s">
        <v>337</v>
      </c>
      <c r="F41" s="143" t="s">
        <v>121</v>
      </c>
      <c r="G41" s="143">
        <v>778.59814999999992</v>
      </c>
      <c r="H41" s="143">
        <v>913.96294</v>
      </c>
      <c r="I41" s="143">
        <v>913.96294</v>
      </c>
      <c r="J41" s="143">
        <v>854.33498478233935</v>
      </c>
      <c r="K41" s="143">
        <v>611.12572</v>
      </c>
      <c r="L41" s="143">
        <v>611.13</v>
      </c>
      <c r="M41" s="143">
        <v>799.36314205110443</v>
      </c>
      <c r="N41" s="143">
        <v>375.67715000000004</v>
      </c>
      <c r="O41" s="143">
        <v>362.58231999999998</v>
      </c>
      <c r="P41" s="150">
        <v>362.58231999999998</v>
      </c>
      <c r="Q41" s="143">
        <v>362.58231999999998</v>
      </c>
      <c r="R41" s="143">
        <v>362.58231999999998</v>
      </c>
      <c r="S41" s="143">
        <f t="shared" si="3"/>
        <v>-436.78082205110445</v>
      </c>
      <c r="T41" s="143">
        <f t="shared" si="4"/>
        <v>0</v>
      </c>
      <c r="U41" s="151" t="e">
        <f>R41-#REF!</f>
        <v>#REF!</v>
      </c>
      <c r="V41" s="151">
        <f t="shared" si="5"/>
        <v>-436.78082205110445</v>
      </c>
      <c r="W41" s="151">
        <f t="shared" si="6"/>
        <v>0</v>
      </c>
      <c r="X41" s="151" t="e">
        <f>O41-#REF!</f>
        <v>#REF!</v>
      </c>
      <c r="Y41" s="143">
        <f>'[65]2. подк.неподк.'!V29</f>
        <v>0</v>
      </c>
      <c r="Z41" s="143">
        <f>'[65]2. подк.неподк.'!W29</f>
        <v>724.28721275624991</v>
      </c>
      <c r="AA41" s="143">
        <v>0</v>
      </c>
      <c r="AB41" s="143">
        <f t="shared" si="16"/>
        <v>0</v>
      </c>
      <c r="AC41" s="144">
        <f t="shared" si="7"/>
        <v>0</v>
      </c>
      <c r="AD41" s="143">
        <f t="shared" si="8"/>
        <v>0</v>
      </c>
      <c r="AE41" s="143"/>
      <c r="AF41" s="143">
        <f t="shared" si="10"/>
        <v>-724.28721275624991</v>
      </c>
      <c r="AG41" s="143">
        <f t="shared" si="11"/>
        <v>-100</v>
      </c>
      <c r="AH41" s="143">
        <f t="shared" si="12"/>
        <v>0</v>
      </c>
      <c r="AI41" s="143"/>
    </row>
    <row r="42" spans="1:36" s="161" customFormat="1" ht="33" customHeight="1" outlineLevel="2">
      <c r="A42" s="153"/>
      <c r="B42" s="154"/>
      <c r="C42" s="155"/>
      <c r="D42" s="156" t="s">
        <v>338</v>
      </c>
      <c r="E42" s="157"/>
      <c r="F42" s="158"/>
      <c r="G42" s="154">
        <f t="shared" ref="G42:I42" si="17">G35+G36+G37+G38+G39+G40+G41</f>
        <v>5220.1229976495206</v>
      </c>
      <c r="H42" s="154">
        <f t="shared" si="17"/>
        <v>5373.9665199999999</v>
      </c>
      <c r="I42" s="154">
        <f t="shared" si="17"/>
        <v>4776.4129400000002</v>
      </c>
      <c r="J42" s="154">
        <f>J35+J36+J37+J38+J39+J40+J41</f>
        <v>5727.9062533586102</v>
      </c>
      <c r="K42" s="154">
        <f t="shared" ref="K42:AB42" si="18">K35+K36+K37+K38+K39+K40+K41</f>
        <v>5823.7511199999999</v>
      </c>
      <c r="L42" s="154">
        <f t="shared" si="18"/>
        <v>5823.7587999999996</v>
      </c>
      <c r="M42" s="154">
        <f t="shared" si="18"/>
        <v>4977.8330823394544</v>
      </c>
      <c r="N42" s="154">
        <f t="shared" si="18"/>
        <v>6269.4798400000009</v>
      </c>
      <c r="O42" s="154">
        <f t="shared" si="18"/>
        <v>5460.949059999999</v>
      </c>
      <c r="P42" s="159">
        <f t="shared" si="18"/>
        <v>5460.949059999999</v>
      </c>
      <c r="Q42" s="154">
        <f t="shared" si="18"/>
        <v>5460.949059999999</v>
      </c>
      <c r="R42" s="154">
        <f t="shared" si="18"/>
        <v>5460.949059999999</v>
      </c>
      <c r="S42" s="144">
        <f t="shared" si="3"/>
        <v>483.11597766054456</v>
      </c>
      <c r="T42" s="144">
        <f t="shared" si="4"/>
        <v>0</v>
      </c>
      <c r="U42" s="160" t="e">
        <f>R42-#REF!</f>
        <v>#REF!</v>
      </c>
      <c r="V42" s="160">
        <f t="shared" si="5"/>
        <v>483.11597766054456</v>
      </c>
      <c r="W42" s="160">
        <f t="shared" si="6"/>
        <v>0</v>
      </c>
      <c r="X42" s="160" t="e">
        <f>O42-#REF!</f>
        <v>#REF!</v>
      </c>
      <c r="Y42" s="154">
        <f t="shared" si="18"/>
        <v>4874.1897333816905</v>
      </c>
      <c r="Z42" s="154">
        <f t="shared" si="18"/>
        <v>5817.8154841401165</v>
      </c>
      <c r="AA42" s="154">
        <f t="shared" si="18"/>
        <v>7181.4842060134997</v>
      </c>
      <c r="AB42" s="154">
        <f t="shared" si="18"/>
        <v>5053.8122003024937</v>
      </c>
      <c r="AC42" s="144">
        <f t="shared" si="7"/>
        <v>5053.8122003024937</v>
      </c>
      <c r="AD42" s="154">
        <f t="shared" si="8"/>
        <v>179.62246692080316</v>
      </c>
      <c r="AE42" s="154">
        <f t="shared" si="9"/>
        <v>3.6851759317169979</v>
      </c>
      <c r="AF42" s="154">
        <f t="shared" si="10"/>
        <v>-764.0032838376228</v>
      </c>
      <c r="AG42" s="154">
        <f t="shared" si="11"/>
        <v>-13.132133288179446</v>
      </c>
      <c r="AH42" s="154">
        <f t="shared" si="12"/>
        <v>-2127.672005711006</v>
      </c>
      <c r="AI42" s="154">
        <f t="shared" si="13"/>
        <v>-29.62719048980675</v>
      </c>
    </row>
    <row r="43" spans="1:36" ht="33" customHeight="1" outlineLevel="3">
      <c r="A43" s="139" t="s">
        <v>339</v>
      </c>
      <c r="B43" s="143" t="s">
        <v>340</v>
      </c>
      <c r="C43" s="147" t="s">
        <v>341</v>
      </c>
      <c r="D43" s="148" t="s">
        <v>342</v>
      </c>
      <c r="E43" s="149" t="s">
        <v>343</v>
      </c>
      <c r="F43" s="143" t="s">
        <v>121</v>
      </c>
      <c r="G43" s="143">
        <v>344.02000369071186</v>
      </c>
      <c r="H43" s="143">
        <v>578.1635</v>
      </c>
      <c r="I43" s="143">
        <v>578.16</v>
      </c>
      <c r="J43" s="143">
        <v>377.48397570246721</v>
      </c>
      <c r="K43" s="143">
        <v>677.82369999999992</v>
      </c>
      <c r="L43" s="143">
        <v>677.82</v>
      </c>
      <c r="M43" s="143">
        <v>591.7069573662651</v>
      </c>
      <c r="N43" s="143">
        <v>673.96092999999996</v>
      </c>
      <c r="O43" s="143">
        <v>619.20961</v>
      </c>
      <c r="P43" s="150">
        <v>619.20961</v>
      </c>
      <c r="Q43" s="143">
        <v>619.20961</v>
      </c>
      <c r="R43" s="143">
        <v>619.20961</v>
      </c>
      <c r="S43" s="143">
        <f t="shared" si="3"/>
        <v>27.502652633734897</v>
      </c>
      <c r="T43" s="143">
        <f t="shared" si="4"/>
        <v>0</v>
      </c>
      <c r="U43" s="151" t="e">
        <f>R43-#REF!</f>
        <v>#REF!</v>
      </c>
      <c r="V43" s="151">
        <f t="shared" si="5"/>
        <v>27.502652633734897</v>
      </c>
      <c r="W43" s="151">
        <f t="shared" si="6"/>
        <v>0</v>
      </c>
      <c r="X43" s="151" t="e">
        <f>O43-#REF!</f>
        <v>#REF!</v>
      </c>
      <c r="Y43" s="143">
        <f>'[65]2. подк.неподк.'!V31</f>
        <v>624.25084002140966</v>
      </c>
      <c r="Z43" s="143">
        <f>'[65]2. подк.неподк.'!W31</f>
        <v>652.34212782237307</v>
      </c>
      <c r="AA43" s="143">
        <f>'[65]2. подк.неподк.'!X31</f>
        <v>752.11</v>
      </c>
      <c r="AB43" s="143">
        <f>Y43*$AA$11</f>
        <v>647.25558173141985</v>
      </c>
      <c r="AC43" s="144">
        <f t="shared" si="7"/>
        <v>647.25558173141985</v>
      </c>
      <c r="AD43" s="143">
        <f t="shared" si="8"/>
        <v>23.004741710010194</v>
      </c>
      <c r="AE43" s="143">
        <f t="shared" si="9"/>
        <v>3.6851759317169979</v>
      </c>
      <c r="AF43" s="143">
        <f t="shared" si="10"/>
        <v>-5.0865460909532203</v>
      </c>
      <c r="AG43" s="143">
        <f t="shared" si="11"/>
        <v>-0.77973595051004452</v>
      </c>
      <c r="AH43" s="143">
        <f t="shared" si="12"/>
        <v>-104.85441826858016</v>
      </c>
      <c r="AI43" s="143">
        <f t="shared" si="13"/>
        <v>-13.941367388889944</v>
      </c>
    </row>
    <row r="44" spans="1:36" ht="33" customHeight="1" outlineLevel="3">
      <c r="A44" s="139" t="s">
        <v>344</v>
      </c>
      <c r="B44" s="143" t="s">
        <v>345</v>
      </c>
      <c r="C44" s="147" t="s">
        <v>346</v>
      </c>
      <c r="D44" s="148" t="s">
        <v>347</v>
      </c>
      <c r="E44" s="149" t="s">
        <v>348</v>
      </c>
      <c r="F44" s="143" t="s">
        <v>121</v>
      </c>
      <c r="G44" s="143">
        <v>768.26670824211101</v>
      </c>
      <c r="H44" s="143">
        <v>1638.60491</v>
      </c>
      <c r="I44" s="143">
        <v>1638.6</v>
      </c>
      <c r="J44" s="143">
        <v>842.99857076860269</v>
      </c>
      <c r="K44" s="143">
        <v>2054.4054900000001</v>
      </c>
      <c r="L44" s="143">
        <v>2054.41</v>
      </c>
      <c r="M44" s="143">
        <v>1697.8101135423638</v>
      </c>
      <c r="N44" s="143">
        <v>2230.4424000000004</v>
      </c>
      <c r="O44" s="143">
        <v>2103.3283600000004</v>
      </c>
      <c r="P44" s="150">
        <v>2103.3283600000004</v>
      </c>
      <c r="Q44" s="143">
        <v>2103.3283600000004</v>
      </c>
      <c r="R44" s="143">
        <v>2103.3283600000004</v>
      </c>
      <c r="S44" s="143">
        <f t="shared" si="3"/>
        <v>405.51824645763668</v>
      </c>
      <c r="T44" s="143">
        <f t="shared" si="4"/>
        <v>0</v>
      </c>
      <c r="U44" s="151" t="e">
        <f>R44-#REF!</f>
        <v>#REF!</v>
      </c>
      <c r="V44" s="151">
        <f t="shared" si="5"/>
        <v>405.51824645763668</v>
      </c>
      <c r="W44" s="151">
        <f t="shared" si="6"/>
        <v>0</v>
      </c>
      <c r="X44" s="151" t="e">
        <f>O44-#REF!</f>
        <v>#REF!</v>
      </c>
      <c r="Y44" s="143">
        <f>'[65]2. подк.неподк.'!V32</f>
        <v>1791.1896697871937</v>
      </c>
      <c r="Z44" s="143">
        <f>'[65]2. подк.неподк.'!W32</f>
        <v>1871.7932049276174</v>
      </c>
      <c r="AA44" s="143">
        <f>'[65]2. подк.неподк.'!X32</f>
        <v>2102.98</v>
      </c>
      <c r="AB44" s="143">
        <f>Y44*$AA$11</f>
        <v>1857.1981603895924</v>
      </c>
      <c r="AC44" s="144">
        <f t="shared" si="7"/>
        <v>1857.1981603895924</v>
      </c>
      <c r="AD44" s="143">
        <f t="shared" si="8"/>
        <v>66.008490602398751</v>
      </c>
      <c r="AE44" s="143">
        <f t="shared" si="9"/>
        <v>3.6851759317169979</v>
      </c>
      <c r="AF44" s="143">
        <f t="shared" si="10"/>
        <v>-14.595044538024922</v>
      </c>
      <c r="AG44" s="143">
        <f t="shared" si="11"/>
        <v>-0.77973595051005873</v>
      </c>
      <c r="AH44" s="143">
        <f t="shared" si="12"/>
        <v>-245.78183961040759</v>
      </c>
      <c r="AI44" s="143">
        <f t="shared" si="13"/>
        <v>-11.687312271652971</v>
      </c>
    </row>
    <row r="45" spans="1:36" ht="33" customHeight="1" outlineLevel="3">
      <c r="A45" s="139" t="s">
        <v>349</v>
      </c>
      <c r="B45" s="143" t="s">
        <v>350</v>
      </c>
      <c r="C45" s="147" t="s">
        <v>351</v>
      </c>
      <c r="D45" s="148" t="s">
        <v>352</v>
      </c>
      <c r="E45" s="149" t="s">
        <v>353</v>
      </c>
      <c r="F45" s="143" t="s">
        <v>121</v>
      </c>
      <c r="G45" s="143">
        <v>2843.2635305030703</v>
      </c>
      <c r="H45" s="143">
        <v>5106.8639400000002</v>
      </c>
      <c r="I45" s="143">
        <v>5106.8599999999997</v>
      </c>
      <c r="J45" s="143">
        <v>3119.83724768825</v>
      </c>
      <c r="K45" s="143">
        <v>4459.9827400000004</v>
      </c>
      <c r="L45" s="143">
        <v>4459.9799999999996</v>
      </c>
      <c r="M45" s="143">
        <v>3294.2456328120661</v>
      </c>
      <c r="N45" s="143">
        <v>5264.9426800000001</v>
      </c>
      <c r="O45" s="143">
        <v>4959.6820800000005</v>
      </c>
      <c r="P45" s="150">
        <v>4959.6820800000005</v>
      </c>
      <c r="Q45" s="143">
        <v>4959.6820800000005</v>
      </c>
      <c r="R45" s="143">
        <v>4959.6820800000005</v>
      </c>
      <c r="S45" s="143">
        <f t="shared" si="3"/>
        <v>1665.4364471879344</v>
      </c>
      <c r="T45" s="143">
        <f t="shared" si="4"/>
        <v>0</v>
      </c>
      <c r="U45" s="151" t="e">
        <f>R45-#REF!</f>
        <v>#REF!</v>
      </c>
      <c r="V45" s="151">
        <f t="shared" si="5"/>
        <v>1665.4364471879344</v>
      </c>
      <c r="W45" s="151">
        <f t="shared" si="6"/>
        <v>0</v>
      </c>
      <c r="X45" s="151" t="e">
        <f>O45-#REF!</f>
        <v>#REF!</v>
      </c>
      <c r="Y45" s="143">
        <f>'[65]2. подк.неподк.'!V33</f>
        <v>3475.4291426167297</v>
      </c>
      <c r="Z45" s="143">
        <f>'[65]2. подк.неподк.'!W33</f>
        <v>3631.8234540344824</v>
      </c>
      <c r="AA45" s="143">
        <f>'[65]2. подк.неподк.'!X33</f>
        <v>7141.74</v>
      </c>
      <c r="AB45" s="143">
        <f>Y45*$AA$11</f>
        <v>3603.5048209043198</v>
      </c>
      <c r="AC45" s="144">
        <f t="shared" si="7"/>
        <v>3603.5048209043198</v>
      </c>
      <c r="AD45" s="143">
        <f t="shared" si="8"/>
        <v>128.07567828759011</v>
      </c>
      <c r="AE45" s="143">
        <f t="shared" si="9"/>
        <v>3.6851759317169979</v>
      </c>
      <c r="AF45" s="143">
        <f t="shared" si="10"/>
        <v>-28.318633130162652</v>
      </c>
      <c r="AG45" s="143">
        <f t="shared" si="11"/>
        <v>-0.77973595051005873</v>
      </c>
      <c r="AH45" s="143">
        <f t="shared" si="12"/>
        <v>-3538.23517909568</v>
      </c>
      <c r="AI45" s="143">
        <f t="shared" si="13"/>
        <v>-49.543041038958016</v>
      </c>
    </row>
    <row r="46" spans="1:36" s="161" customFormat="1" ht="33" customHeight="1" outlineLevel="2">
      <c r="A46" s="153"/>
      <c r="B46" s="154"/>
      <c r="C46" s="155"/>
      <c r="D46" s="156" t="s">
        <v>354</v>
      </c>
      <c r="E46" s="157"/>
      <c r="F46" s="158"/>
      <c r="G46" s="154">
        <f t="shared" ref="G46:I46" si="19">G43+G44+G45</f>
        <v>3955.5502424358933</v>
      </c>
      <c r="H46" s="154">
        <f t="shared" si="19"/>
        <v>7323.6323499999999</v>
      </c>
      <c r="I46" s="154">
        <f t="shared" si="19"/>
        <v>7323.619999999999</v>
      </c>
      <c r="J46" s="154">
        <f>J43+J44+J45</f>
        <v>4340.3197941593198</v>
      </c>
      <c r="K46" s="154">
        <f t="shared" ref="K46:AB46" si="20">K43+K44+K45</f>
        <v>7192.2119300000004</v>
      </c>
      <c r="L46" s="154">
        <f t="shared" si="20"/>
        <v>7192.2099999999991</v>
      </c>
      <c r="M46" s="154">
        <f t="shared" si="20"/>
        <v>5583.7627037206948</v>
      </c>
      <c r="N46" s="154">
        <f t="shared" si="20"/>
        <v>8169.3460100000002</v>
      </c>
      <c r="O46" s="154">
        <f t="shared" si="20"/>
        <v>7682.2200500000008</v>
      </c>
      <c r="P46" s="159">
        <f t="shared" si="20"/>
        <v>7682.2200500000008</v>
      </c>
      <c r="Q46" s="154">
        <f t="shared" si="20"/>
        <v>7682.2200500000008</v>
      </c>
      <c r="R46" s="154">
        <f t="shared" si="20"/>
        <v>7682.2200500000008</v>
      </c>
      <c r="S46" s="144">
        <f t="shared" si="3"/>
        <v>2098.457346279306</v>
      </c>
      <c r="T46" s="144">
        <f t="shared" si="4"/>
        <v>0</v>
      </c>
      <c r="U46" s="160" t="e">
        <f>R46-#REF!</f>
        <v>#REF!</v>
      </c>
      <c r="V46" s="160">
        <f t="shared" si="5"/>
        <v>2098.457346279306</v>
      </c>
      <c r="W46" s="160">
        <f t="shared" si="6"/>
        <v>0</v>
      </c>
      <c r="X46" s="160" t="e">
        <f>O46-#REF!</f>
        <v>#REF!</v>
      </c>
      <c r="Y46" s="154">
        <f t="shared" si="20"/>
        <v>5890.8696524253337</v>
      </c>
      <c r="Z46" s="154">
        <f t="shared" si="20"/>
        <v>6155.958786784473</v>
      </c>
      <c r="AA46" s="154">
        <f t="shared" si="20"/>
        <v>9996.83</v>
      </c>
      <c r="AB46" s="154">
        <f t="shared" si="20"/>
        <v>6107.9585630253323</v>
      </c>
      <c r="AC46" s="144">
        <f t="shared" si="7"/>
        <v>6107.9585630253323</v>
      </c>
      <c r="AD46" s="154">
        <f t="shared" si="8"/>
        <v>217.0889105999986</v>
      </c>
      <c r="AE46" s="154">
        <f t="shared" si="9"/>
        <v>3.6851759317169837</v>
      </c>
      <c r="AF46" s="154">
        <f t="shared" si="10"/>
        <v>-48.000223759140681</v>
      </c>
      <c r="AG46" s="154">
        <f t="shared" si="11"/>
        <v>-0.77973595051005873</v>
      </c>
      <c r="AH46" s="154">
        <f t="shared" si="12"/>
        <v>-3888.8714369746676</v>
      </c>
      <c r="AI46" s="154">
        <f t="shared" si="13"/>
        <v>-38.9010460013291</v>
      </c>
    </row>
    <row r="47" spans="1:36" ht="33" customHeight="1" outlineLevel="3">
      <c r="A47" s="139" t="s">
        <v>355</v>
      </c>
      <c r="B47" s="143" t="s">
        <v>356</v>
      </c>
      <c r="C47" s="147" t="s">
        <v>357</v>
      </c>
      <c r="D47" s="148" t="s">
        <v>358</v>
      </c>
      <c r="E47" s="149" t="s">
        <v>359</v>
      </c>
      <c r="F47" s="143" t="s">
        <v>121</v>
      </c>
      <c r="G47" s="143">
        <v>216.49570232260697</v>
      </c>
      <c r="H47" s="143">
        <v>4.6591899999999997</v>
      </c>
      <c r="I47" s="143">
        <v>4.66</v>
      </c>
      <c r="J47" s="143">
        <v>237.5549606374299</v>
      </c>
      <c r="K47" s="143">
        <v>22.356490000000001</v>
      </c>
      <c r="L47" s="143">
        <v>22.36</v>
      </c>
      <c r="M47" s="143">
        <v>25.630903210188759</v>
      </c>
      <c r="N47" s="143">
        <v>7.2084700000000002</v>
      </c>
      <c r="O47" s="143">
        <v>6.0077499999999997</v>
      </c>
      <c r="P47" s="150">
        <v>6.0077499999999997</v>
      </c>
      <c r="Q47" s="143">
        <v>6.0077499999999997</v>
      </c>
      <c r="R47" s="143">
        <v>6.0077499999999997</v>
      </c>
      <c r="S47" s="143">
        <f t="shared" si="3"/>
        <v>-19.623153210188761</v>
      </c>
      <c r="T47" s="143">
        <f t="shared" si="4"/>
        <v>0</v>
      </c>
      <c r="U47" s="151" t="e">
        <f>R47-#REF!</f>
        <v>#REF!</v>
      </c>
      <c r="V47" s="151">
        <f t="shared" si="5"/>
        <v>-19.623153210188761</v>
      </c>
      <c r="W47" s="151">
        <f t="shared" si="6"/>
        <v>0</v>
      </c>
      <c r="X47" s="151" t="e">
        <f>O47-#REF!</f>
        <v>#REF!</v>
      </c>
      <c r="Y47" s="143">
        <f>'[65]2. подк.неподк.'!V35</f>
        <v>25.359034999999999</v>
      </c>
      <c r="Z47" s="143">
        <f>'[65]2. подк.неподк.'!W35</f>
        <v>26.500191574999995</v>
      </c>
      <c r="AA47" s="143">
        <f>'[65]2. подк.неподк.'!X35</f>
        <v>26.500191574999995</v>
      </c>
      <c r="AB47" s="143">
        <f>Y47*$AA$11</f>
        <v>26.293560054335689</v>
      </c>
      <c r="AC47" s="144">
        <f t="shared" si="7"/>
        <v>26.293560054335689</v>
      </c>
      <c r="AD47" s="143">
        <f t="shared" si="8"/>
        <v>0.93452505433569044</v>
      </c>
      <c r="AE47" s="143">
        <f t="shared" si="9"/>
        <v>3.6851759317169979</v>
      </c>
      <c r="AF47" s="143">
        <f t="shared" si="10"/>
        <v>-0.20663152066430612</v>
      </c>
      <c r="AG47" s="143">
        <f t="shared" si="11"/>
        <v>-0.77973595051003031</v>
      </c>
      <c r="AH47" s="143">
        <f t="shared" si="12"/>
        <v>-0.20663152066430612</v>
      </c>
      <c r="AI47" s="143">
        <f t="shared" si="13"/>
        <v>-0.77973595051003031</v>
      </c>
    </row>
    <row r="48" spans="1:36" ht="33" customHeight="1" outlineLevel="3">
      <c r="A48" s="139" t="s">
        <v>360</v>
      </c>
      <c r="B48" s="143" t="s">
        <v>361</v>
      </c>
      <c r="C48" s="147" t="s">
        <v>362</v>
      </c>
      <c r="D48" s="148" t="s">
        <v>363</v>
      </c>
      <c r="E48" s="149" t="s">
        <v>364</v>
      </c>
      <c r="F48" s="143" t="s">
        <v>121</v>
      </c>
      <c r="G48" s="143">
        <v>406.30410435890758</v>
      </c>
      <c r="H48" s="143">
        <v>339.25193000000002</v>
      </c>
      <c r="I48" s="143">
        <v>339.25</v>
      </c>
      <c r="J48" s="143">
        <v>445.82665836931818</v>
      </c>
      <c r="K48" s="143">
        <v>391.63926000000004</v>
      </c>
      <c r="L48" s="143">
        <v>391.64</v>
      </c>
      <c r="M48" s="143">
        <v>334.16433542537249</v>
      </c>
      <c r="N48" s="143">
        <v>299.43599000000006</v>
      </c>
      <c r="O48" s="143">
        <v>273.61684000000002</v>
      </c>
      <c r="P48" s="150">
        <v>273.61684000000002</v>
      </c>
      <c r="Q48" s="143">
        <v>273.61684000000002</v>
      </c>
      <c r="R48" s="143">
        <v>273.61684000000002</v>
      </c>
      <c r="S48" s="143">
        <f t="shared" si="3"/>
        <v>-60.54749542537246</v>
      </c>
      <c r="T48" s="143">
        <f t="shared" si="4"/>
        <v>0</v>
      </c>
      <c r="U48" s="151" t="e">
        <f>R48-#REF!</f>
        <v>#REF!</v>
      </c>
      <c r="V48" s="151">
        <f t="shared" si="5"/>
        <v>-60.54749542537246</v>
      </c>
      <c r="W48" s="151">
        <f t="shared" si="6"/>
        <v>0</v>
      </c>
      <c r="X48" s="151" t="e">
        <f>O48-#REF!</f>
        <v>#REF!</v>
      </c>
      <c r="Y48" s="143">
        <f>'[65]2. подк.неподк.'!V36</f>
        <v>374.26</v>
      </c>
      <c r="Z48" s="143">
        <f>'[65]2. подк.неподк.'!W36</f>
        <v>391.10169999999994</v>
      </c>
      <c r="AA48" s="143">
        <f>'[65]2. подк.неподк.'!X36</f>
        <v>391.10169999999994</v>
      </c>
      <c r="AB48" s="143">
        <f>Y48*$AA$11</f>
        <v>388.05213944204405</v>
      </c>
      <c r="AC48" s="144">
        <f t="shared" si="7"/>
        <v>388.05213944204405</v>
      </c>
      <c r="AD48" s="143">
        <f t="shared" si="8"/>
        <v>13.792139442044061</v>
      </c>
      <c r="AE48" s="143">
        <f t="shared" si="9"/>
        <v>3.6851759317169979</v>
      </c>
      <c r="AF48" s="143">
        <f t="shared" si="10"/>
        <v>-3.0495605579558855</v>
      </c>
      <c r="AG48" s="143">
        <f t="shared" si="11"/>
        <v>-0.77973595051003031</v>
      </c>
      <c r="AH48" s="143">
        <f t="shared" si="12"/>
        <v>-3.0495605579558855</v>
      </c>
      <c r="AI48" s="143">
        <f t="shared" si="13"/>
        <v>-0.77973595051003031</v>
      </c>
    </row>
    <row r="49" spans="1:35" ht="33" customHeight="1" outlineLevel="3">
      <c r="A49" s="139" t="s">
        <v>365</v>
      </c>
      <c r="B49" s="143" t="s">
        <v>366</v>
      </c>
      <c r="C49" s="147" t="s">
        <v>367</v>
      </c>
      <c r="D49" s="148" t="s">
        <v>368</v>
      </c>
      <c r="E49" s="149" t="s">
        <v>369</v>
      </c>
      <c r="F49" s="143" t="s">
        <v>121</v>
      </c>
      <c r="G49" s="143">
        <v>1886.1566202350461</v>
      </c>
      <c r="H49" s="143">
        <v>817.12908000000004</v>
      </c>
      <c r="I49" s="143">
        <v>817.13</v>
      </c>
      <c r="J49" s="143">
        <v>2069.629359239138</v>
      </c>
      <c r="K49" s="143">
        <v>612.67552999999998</v>
      </c>
      <c r="L49" s="143">
        <v>612.67999999999995</v>
      </c>
      <c r="M49" s="143">
        <v>686.08600349633389</v>
      </c>
      <c r="N49" s="143">
        <v>2398.65778</v>
      </c>
      <c r="O49" s="143">
        <v>2270.2747599999998</v>
      </c>
      <c r="P49" s="150">
        <v>2270.2747599999998</v>
      </c>
      <c r="Q49" s="143">
        <v>2270.2747599999998</v>
      </c>
      <c r="R49" s="143">
        <v>2270.2747599999998</v>
      </c>
      <c r="S49" s="143">
        <f t="shared" si="3"/>
        <v>1584.1887565036659</v>
      </c>
      <c r="T49" s="143">
        <f t="shared" si="4"/>
        <v>0</v>
      </c>
      <c r="U49" s="151" t="e">
        <f>R49-#REF!</f>
        <v>#REF!</v>
      </c>
      <c r="V49" s="151">
        <f t="shared" si="5"/>
        <v>1584.1887565036659</v>
      </c>
      <c r="W49" s="151">
        <f t="shared" si="6"/>
        <v>0</v>
      </c>
      <c r="X49" s="151" t="e">
        <f>O49-#REF!</f>
        <v>#REF!</v>
      </c>
      <c r="Y49" s="143">
        <f>'[65]2. подк.неподк.'!V37</f>
        <v>694.85570499999994</v>
      </c>
      <c r="Z49" s="143">
        <f>'[65]2. подк.неподк.'!W37</f>
        <v>726.1242117249999</v>
      </c>
      <c r="AA49" s="143">
        <f>'[65]2. подк.неподк.'!X37</f>
        <v>2648.1181891200004</v>
      </c>
      <c r="AB49" s="143">
        <f>Y49*$AA$11</f>
        <v>720.46236020082245</v>
      </c>
      <c r="AC49" s="144">
        <f t="shared" si="7"/>
        <v>720.46236020082245</v>
      </c>
      <c r="AD49" s="143">
        <f t="shared" si="8"/>
        <v>25.606655200822502</v>
      </c>
      <c r="AE49" s="143">
        <f t="shared" si="9"/>
        <v>3.6851759317169979</v>
      </c>
      <c r="AF49" s="143">
        <f t="shared" si="10"/>
        <v>-5.6618515241774503</v>
      </c>
      <c r="AG49" s="143">
        <f t="shared" si="11"/>
        <v>-0.77973595051004452</v>
      </c>
      <c r="AH49" s="143">
        <f t="shared" si="12"/>
        <v>-1927.655828919178</v>
      </c>
      <c r="AI49" s="143">
        <f t="shared" si="13"/>
        <v>-72.793421261902211</v>
      </c>
    </row>
    <row r="50" spans="1:35" ht="33" customHeight="1" outlineLevel="3">
      <c r="A50" s="139" t="s">
        <v>370</v>
      </c>
      <c r="B50" s="143" t="s">
        <v>371</v>
      </c>
      <c r="C50" s="147" t="s">
        <v>372</v>
      </c>
      <c r="D50" s="148" t="s">
        <v>373</v>
      </c>
      <c r="E50" s="149" t="s">
        <v>374</v>
      </c>
      <c r="F50" s="143" t="s">
        <v>121</v>
      </c>
      <c r="G50" s="143">
        <v>1860.1491199560328</v>
      </c>
      <c r="H50" s="143">
        <v>3184.78422</v>
      </c>
      <c r="I50" s="143">
        <v>3184.78</v>
      </c>
      <c r="J50" s="143">
        <v>2041.092022752649</v>
      </c>
      <c r="K50" s="143">
        <v>3903.74224</v>
      </c>
      <c r="L50" s="143">
        <v>3903.74</v>
      </c>
      <c r="M50" s="143">
        <v>3768.6395106192499</v>
      </c>
      <c r="N50" s="143">
        <v>3774.9549699999998</v>
      </c>
      <c r="O50" s="143">
        <v>3321.1256899999998</v>
      </c>
      <c r="P50" s="150">
        <v>3321.1256899999998</v>
      </c>
      <c r="Q50" s="143">
        <v>3321.1256899999998</v>
      </c>
      <c r="R50" s="143">
        <v>3321.1256899999998</v>
      </c>
      <c r="S50" s="143">
        <f t="shared" si="3"/>
        <v>-447.51382061925005</v>
      </c>
      <c r="T50" s="143">
        <f t="shared" si="4"/>
        <v>0</v>
      </c>
      <c r="U50" s="151" t="e">
        <f>R50-#REF!</f>
        <v>#REF!</v>
      </c>
      <c r="V50" s="151">
        <f t="shared" si="5"/>
        <v>-447.51382061925005</v>
      </c>
      <c r="W50" s="151">
        <f t="shared" si="6"/>
        <v>0</v>
      </c>
      <c r="X50" s="151" t="e">
        <f>O50-#REF!</f>
        <v>#REF!</v>
      </c>
      <c r="Y50" s="143">
        <f>'[65]2. подк.неподк.'!V38</f>
        <v>3975.9146837033086</v>
      </c>
      <c r="Z50" s="143">
        <f>'[65]2. подк.неподк.'!W38</f>
        <v>4154.8308444699569</v>
      </c>
      <c r="AA50" s="143">
        <f>'[65]2. подк.неподк.'!X38</f>
        <v>4167.5502868800004</v>
      </c>
      <c r="AB50" s="143">
        <f>Y50*$AA$11</f>
        <v>4122.4341346927449</v>
      </c>
      <c r="AC50" s="144">
        <f t="shared" si="7"/>
        <v>4122.4341346927449</v>
      </c>
      <c r="AD50" s="143">
        <f t="shared" si="8"/>
        <v>146.51945098943634</v>
      </c>
      <c r="AE50" s="143">
        <f t="shared" si="9"/>
        <v>3.6851759317169979</v>
      </c>
      <c r="AF50" s="143">
        <f t="shared" si="10"/>
        <v>-32.396709777211981</v>
      </c>
      <c r="AG50" s="143">
        <f t="shared" si="11"/>
        <v>-0.77973595051004452</v>
      </c>
      <c r="AH50" s="143">
        <f t="shared" si="12"/>
        <v>-45.116152187255466</v>
      </c>
      <c r="AI50" s="143">
        <f t="shared" si="13"/>
        <v>-1.0825580756466735</v>
      </c>
    </row>
    <row r="51" spans="1:35" ht="33" customHeight="1" outlineLevel="3">
      <c r="A51" s="139" t="s">
        <v>375</v>
      </c>
      <c r="B51" s="143" t="s">
        <v>376</v>
      </c>
      <c r="C51" s="147" t="s">
        <v>377</v>
      </c>
      <c r="D51" s="148" t="s">
        <v>378</v>
      </c>
      <c r="E51" s="149" t="s">
        <v>379</v>
      </c>
      <c r="F51" s="143" t="s">
        <v>121</v>
      </c>
      <c r="G51" s="143">
        <v>1003.4672107653867</v>
      </c>
      <c r="H51" s="143">
        <v>763.01793999999995</v>
      </c>
      <c r="I51" s="143">
        <v>763.02</v>
      </c>
      <c r="J51" s="143">
        <v>1101.0778098454243</v>
      </c>
      <c r="K51" s="143">
        <v>667.05373999999995</v>
      </c>
      <c r="L51" s="143">
        <v>667.05</v>
      </c>
      <c r="M51" s="143">
        <v>646.59543876420594</v>
      </c>
      <c r="N51" s="143">
        <v>773.37952000000007</v>
      </c>
      <c r="O51" s="143">
        <v>671.92167000000006</v>
      </c>
      <c r="P51" s="150">
        <v>671.92167000000006</v>
      </c>
      <c r="Q51" s="143">
        <v>671.92167000000006</v>
      </c>
      <c r="R51" s="143">
        <v>671.92167000000006</v>
      </c>
      <c r="S51" s="143">
        <f t="shared" si="3"/>
        <v>25.326231235794125</v>
      </c>
      <c r="T51" s="143">
        <f t="shared" si="4"/>
        <v>0</v>
      </c>
      <c r="U51" s="151" t="e">
        <f>R51-#REF!</f>
        <v>#REF!</v>
      </c>
      <c r="V51" s="151">
        <f t="shared" si="5"/>
        <v>25.326231235794125</v>
      </c>
      <c r="W51" s="151">
        <f t="shared" si="6"/>
        <v>0</v>
      </c>
      <c r="X51" s="151" t="e">
        <f>O51-#REF!</f>
        <v>#REF!</v>
      </c>
      <c r="Y51" s="151">
        <f>'[65]2. подк.неподк.'!V39</f>
        <v>724.19</v>
      </c>
      <c r="Z51" s="143">
        <f>'[65]2. подк.неподк.'!W39</f>
        <v>756.77855</v>
      </c>
      <c r="AA51" s="143">
        <f>'[65]2. подк.неподк.'!X39</f>
        <v>853.81099008000001</v>
      </c>
      <c r="AB51" s="143">
        <f>Y51*$AA$11</f>
        <v>750.87767557990139</v>
      </c>
      <c r="AC51" s="144">
        <f t="shared" si="7"/>
        <v>750.87767557990139</v>
      </c>
      <c r="AD51" s="143">
        <f t="shared" si="8"/>
        <v>26.687675579901338</v>
      </c>
      <c r="AE51" s="143">
        <f t="shared" si="9"/>
        <v>3.6851759317169979</v>
      </c>
      <c r="AF51" s="143">
        <f t="shared" si="10"/>
        <v>-5.900874420098603</v>
      </c>
      <c r="AG51" s="143">
        <f t="shared" si="11"/>
        <v>-0.77973595051004452</v>
      </c>
      <c r="AH51" s="143">
        <f t="shared" si="12"/>
        <v>-102.93331450009862</v>
      </c>
      <c r="AI51" s="143">
        <f t="shared" si="13"/>
        <v>-12.055749538952881</v>
      </c>
    </row>
    <row r="52" spans="1:35" s="161" customFormat="1" ht="33" customHeight="1" outlineLevel="2">
      <c r="A52" s="153"/>
      <c r="B52" s="154"/>
      <c r="C52" s="155"/>
      <c r="D52" s="156" t="s">
        <v>380</v>
      </c>
      <c r="E52" s="157"/>
      <c r="F52" s="158"/>
      <c r="G52" s="154">
        <f t="shared" ref="G52:I52" si="21">G47+G48+G49+G50+G51</f>
        <v>5372.5727576379804</v>
      </c>
      <c r="H52" s="154">
        <f t="shared" si="21"/>
        <v>5108.8423599999996</v>
      </c>
      <c r="I52" s="154">
        <f t="shared" si="21"/>
        <v>5108.84</v>
      </c>
      <c r="J52" s="154">
        <f>J47+J48+J49+J50+J51</f>
        <v>5895.18081084396</v>
      </c>
      <c r="K52" s="154">
        <f t="shared" ref="K52:AB52" si="22">K47+K48+K49+K50+K51</f>
        <v>5597.4672600000004</v>
      </c>
      <c r="L52" s="154">
        <f t="shared" si="22"/>
        <v>5597.47</v>
      </c>
      <c r="M52" s="154">
        <f t="shared" si="22"/>
        <v>5461.1161915153507</v>
      </c>
      <c r="N52" s="154">
        <f t="shared" si="22"/>
        <v>7253.6367300000002</v>
      </c>
      <c r="O52" s="154">
        <f t="shared" si="22"/>
        <v>6542.9467099999993</v>
      </c>
      <c r="P52" s="159">
        <f t="shared" si="22"/>
        <v>6542.9467099999993</v>
      </c>
      <c r="Q52" s="154">
        <f t="shared" si="22"/>
        <v>6542.9467099999993</v>
      </c>
      <c r="R52" s="154">
        <f t="shared" si="22"/>
        <v>6542.9467099999993</v>
      </c>
      <c r="S52" s="144">
        <f t="shared" si="3"/>
        <v>1081.8305184846486</v>
      </c>
      <c r="T52" s="144">
        <f t="shared" si="4"/>
        <v>0</v>
      </c>
      <c r="U52" s="160" t="e">
        <f>R52-#REF!</f>
        <v>#REF!</v>
      </c>
      <c r="V52" s="160">
        <f t="shared" si="5"/>
        <v>1081.8305184846486</v>
      </c>
      <c r="W52" s="160">
        <f t="shared" si="6"/>
        <v>0</v>
      </c>
      <c r="X52" s="160" t="e">
        <f>O52-#REF!</f>
        <v>#REF!</v>
      </c>
      <c r="Y52" s="154">
        <f t="shared" si="22"/>
        <v>5794.5794237033078</v>
      </c>
      <c r="Z52" s="154">
        <f t="shared" si="22"/>
        <v>6055.3354977699564</v>
      </c>
      <c r="AA52" s="154">
        <f t="shared" si="22"/>
        <v>8087.0813576550008</v>
      </c>
      <c r="AB52" s="154">
        <f t="shared" si="22"/>
        <v>6008.1198699698489</v>
      </c>
      <c r="AC52" s="144">
        <f t="shared" si="7"/>
        <v>6008.1198699698489</v>
      </c>
      <c r="AD52" s="154">
        <f t="shared" si="8"/>
        <v>213.54044626654104</v>
      </c>
      <c r="AE52" s="154">
        <f t="shared" si="9"/>
        <v>3.6851759317170263</v>
      </c>
      <c r="AF52" s="154">
        <f t="shared" si="10"/>
        <v>-47.215627800107541</v>
      </c>
      <c r="AG52" s="154">
        <f t="shared" si="11"/>
        <v>-0.77973595051003031</v>
      </c>
      <c r="AH52" s="154">
        <f t="shared" si="12"/>
        <v>-2078.961487685152</v>
      </c>
      <c r="AI52" s="154">
        <f t="shared" si="13"/>
        <v>-25.707191454396167</v>
      </c>
    </row>
    <row r="53" spans="1:35" ht="33" customHeight="1" outlineLevel="3">
      <c r="A53" s="139" t="s">
        <v>381</v>
      </c>
      <c r="B53" s="143" t="s">
        <v>382</v>
      </c>
      <c r="C53" s="147" t="s">
        <v>383</v>
      </c>
      <c r="D53" s="148" t="s">
        <v>384</v>
      </c>
      <c r="E53" s="149" t="s">
        <v>385</v>
      </c>
      <c r="F53" s="143" t="s">
        <v>121</v>
      </c>
      <c r="G53" s="143">
        <v>57.968400621896002</v>
      </c>
      <c r="H53" s="143">
        <v>14.937290000000001</v>
      </c>
      <c r="I53" s="143">
        <v>14.94</v>
      </c>
      <c r="J53" s="143">
        <v>63.607180097409753</v>
      </c>
      <c r="K53" s="143">
        <v>26.650449999999999</v>
      </c>
      <c r="L53" s="143">
        <v>26.65</v>
      </c>
      <c r="M53" s="143">
        <v>66.672978043463331</v>
      </c>
      <c r="N53" s="143">
        <v>37.232039999999998</v>
      </c>
      <c r="O53" s="143">
        <v>33.242350000000002</v>
      </c>
      <c r="P53" s="150">
        <v>33.242350000000002</v>
      </c>
      <c r="Q53" s="143">
        <v>33.242350000000002</v>
      </c>
      <c r="R53" s="143">
        <v>33.242350000000002</v>
      </c>
      <c r="S53" s="143">
        <f t="shared" si="3"/>
        <v>-33.430628043463329</v>
      </c>
      <c r="T53" s="143">
        <f t="shared" si="4"/>
        <v>0</v>
      </c>
      <c r="U53" s="151" t="e">
        <f>R53-#REF!</f>
        <v>#REF!</v>
      </c>
      <c r="V53" s="151">
        <f t="shared" si="5"/>
        <v>-33.430628043463329</v>
      </c>
      <c r="W53" s="151">
        <f t="shared" si="6"/>
        <v>0</v>
      </c>
      <c r="X53" s="151" t="e">
        <f>O53-#REF!</f>
        <v>#REF!</v>
      </c>
      <c r="Y53" s="143">
        <f>'[65]2. подк.неподк.'!V41</f>
        <v>30.224431249999995</v>
      </c>
      <c r="Z53" s="143">
        <f>'[65]2. подк.неподк.'!W41</f>
        <v>31.584530656249992</v>
      </c>
      <c r="AA53" s="143">
        <f>'[65]2. подк.неподк.'!X41</f>
        <v>58.22</v>
      </c>
      <c r="AB53" s="143">
        <f>Y53*$AA$11</f>
        <v>31.338254715923345</v>
      </c>
      <c r="AC53" s="144">
        <f t="shared" si="7"/>
        <v>31.338254715923345</v>
      </c>
      <c r="AD53" s="143">
        <f t="shared" si="8"/>
        <v>1.1138234659233497</v>
      </c>
      <c r="AE53" s="143">
        <f t="shared" si="9"/>
        <v>3.6851759317169979</v>
      </c>
      <c r="AF53" s="143">
        <f t="shared" si="10"/>
        <v>-0.24627594032664746</v>
      </c>
      <c r="AG53" s="143">
        <f t="shared" si="11"/>
        <v>-0.77973595051004452</v>
      </c>
      <c r="AH53" s="143">
        <f t="shared" si="12"/>
        <v>-26.881745284076654</v>
      </c>
      <c r="AI53" s="143">
        <f t="shared" si="13"/>
        <v>-46.172698873371097</v>
      </c>
    </row>
    <row r="54" spans="1:35" ht="33" customHeight="1" outlineLevel="3">
      <c r="A54" s="139" t="s">
        <v>386</v>
      </c>
      <c r="B54" s="143" t="s">
        <v>387</v>
      </c>
      <c r="C54" s="147" t="s">
        <v>388</v>
      </c>
      <c r="D54" s="148" t="s">
        <v>389</v>
      </c>
      <c r="E54" s="149" t="s">
        <v>390</v>
      </c>
      <c r="F54" s="143" t="s">
        <v>121</v>
      </c>
      <c r="G54" s="143">
        <v>769.32760825349249</v>
      </c>
      <c r="H54" s="143">
        <v>1327.9440300000001</v>
      </c>
      <c r="I54" s="143">
        <v>1327.94</v>
      </c>
      <c r="J54" s="143">
        <v>844.16266805894259</v>
      </c>
      <c r="K54" s="143">
        <v>963.25</v>
      </c>
      <c r="L54" s="143">
        <v>963.25</v>
      </c>
      <c r="M54" s="143">
        <v>891.35150623829929</v>
      </c>
      <c r="N54" s="143">
        <v>1393.3944799999999</v>
      </c>
      <c r="O54" s="143">
        <v>1295.5137099999999</v>
      </c>
      <c r="P54" s="150">
        <v>1295.5137099999999</v>
      </c>
      <c r="Q54" s="143">
        <v>1295.5137099999999</v>
      </c>
      <c r="R54" s="143">
        <v>1295.5137099999999</v>
      </c>
      <c r="S54" s="143">
        <f t="shared" si="3"/>
        <v>404.16220376170065</v>
      </c>
      <c r="T54" s="143">
        <f t="shared" si="4"/>
        <v>0</v>
      </c>
      <c r="U54" s="151" t="e">
        <f>R54-#REF!</f>
        <v>#REF!</v>
      </c>
      <c r="V54" s="151">
        <f t="shared" si="5"/>
        <v>404.16220376170065</v>
      </c>
      <c r="W54" s="151">
        <f t="shared" si="6"/>
        <v>0</v>
      </c>
      <c r="X54" s="151" t="e">
        <f>O54-#REF!</f>
        <v>#REF!</v>
      </c>
      <c r="Y54" s="143">
        <f>'[65]2. подк.неподк.'!V42</f>
        <v>940.37583908140573</v>
      </c>
      <c r="Z54" s="143">
        <f>'[65]2. подк.неподк.'!W42</f>
        <v>982.69275184006892</v>
      </c>
      <c r="AA54" s="143">
        <f>'[65]2. подк.неподк.'!X42</f>
        <v>2359.31</v>
      </c>
      <c r="AB54" s="143">
        <f>Y54*$AA$11</f>
        <v>975.03034317091544</v>
      </c>
      <c r="AC54" s="144">
        <f t="shared" si="7"/>
        <v>975.03034317091544</v>
      </c>
      <c r="AD54" s="143">
        <f t="shared" si="8"/>
        <v>34.654504089509715</v>
      </c>
      <c r="AE54" s="143">
        <f t="shared" si="9"/>
        <v>3.6851759317169979</v>
      </c>
      <c r="AF54" s="143">
        <f t="shared" si="10"/>
        <v>-7.6624086691534785</v>
      </c>
      <c r="AG54" s="143">
        <f t="shared" si="11"/>
        <v>-0.77973595051004452</v>
      </c>
      <c r="AH54" s="143">
        <f t="shared" si="12"/>
        <v>-1384.2796568290846</v>
      </c>
      <c r="AI54" s="143">
        <f t="shared" si="13"/>
        <v>-58.673072077390614</v>
      </c>
    </row>
    <row r="55" spans="1:35" ht="33" customHeight="1" outlineLevel="3">
      <c r="A55" s="139" t="s">
        <v>391</v>
      </c>
      <c r="B55" s="143" t="s">
        <v>392</v>
      </c>
      <c r="C55" s="147" t="s">
        <v>393</v>
      </c>
      <c r="D55" s="148" t="s">
        <v>394</v>
      </c>
      <c r="E55" s="149" t="s">
        <v>395</v>
      </c>
      <c r="F55" s="143" t="s">
        <v>121</v>
      </c>
      <c r="G55" s="143">
        <v>320.40210343733457</v>
      </c>
      <c r="H55" s="143">
        <v>0</v>
      </c>
      <c r="I55" s="143">
        <v>0</v>
      </c>
      <c r="J55" s="143">
        <v>351.56868359810329</v>
      </c>
      <c r="K55" s="143">
        <v>142.41</v>
      </c>
      <c r="L55" s="143">
        <v>142.41</v>
      </c>
      <c r="M55" s="143">
        <v>212.86056119745552</v>
      </c>
      <c r="N55" s="143">
        <v>233.98337000000004</v>
      </c>
      <c r="O55" s="143">
        <v>221.73196999999999</v>
      </c>
      <c r="P55" s="150">
        <v>221.73196999999999</v>
      </c>
      <c r="Q55" s="143">
        <v>221.73196999999999</v>
      </c>
      <c r="R55" s="143">
        <v>221.73196999999999</v>
      </c>
      <c r="S55" s="143">
        <f t="shared" si="3"/>
        <v>8.8714088025444653</v>
      </c>
      <c r="T55" s="143">
        <f t="shared" si="4"/>
        <v>0</v>
      </c>
      <c r="U55" s="151" t="e">
        <f>R55-#REF!</f>
        <v>#REF!</v>
      </c>
      <c r="V55" s="151">
        <f t="shared" si="5"/>
        <v>8.8714088025444653</v>
      </c>
      <c r="W55" s="151">
        <f t="shared" si="6"/>
        <v>0</v>
      </c>
      <c r="X55" s="151" t="e">
        <f>O55-#REF!</f>
        <v>#REF!</v>
      </c>
      <c r="Y55" s="151">
        <f>'[65]2. подк.неподк.'!V43</f>
        <v>161.51074124999997</v>
      </c>
      <c r="Z55" s="143">
        <f>'[65]2. подк.неподк.'!W43</f>
        <v>168.77872460624997</v>
      </c>
      <c r="AA55" s="143">
        <f>'[65]2. подк.неподк.'!X43</f>
        <v>249.38</v>
      </c>
      <c r="AB55" s="143">
        <f>Y55*$AA$11</f>
        <v>167.46269621368268</v>
      </c>
      <c r="AC55" s="144">
        <f t="shared" si="7"/>
        <v>167.46269621368268</v>
      </c>
      <c r="AD55" s="143">
        <f t="shared" si="8"/>
        <v>5.9519549636827094</v>
      </c>
      <c r="AE55" s="143">
        <f t="shared" si="9"/>
        <v>3.6851759317169979</v>
      </c>
      <c r="AF55" s="143">
        <f t="shared" si="10"/>
        <v>-1.31602839256729</v>
      </c>
      <c r="AG55" s="143">
        <f t="shared" si="11"/>
        <v>-0.77973595051005873</v>
      </c>
      <c r="AH55" s="143">
        <f t="shared" si="12"/>
        <v>-81.917303786317319</v>
      </c>
      <c r="AI55" s="143">
        <f t="shared" si="13"/>
        <v>-32.848385510593204</v>
      </c>
    </row>
    <row r="56" spans="1:35" s="161" customFormat="1" ht="33" customHeight="1" outlineLevel="2">
      <c r="A56" s="153"/>
      <c r="B56" s="154"/>
      <c r="C56" s="155"/>
      <c r="D56" s="156" t="s">
        <v>396</v>
      </c>
      <c r="E56" s="157"/>
      <c r="F56" s="158"/>
      <c r="G56" s="154">
        <f t="shared" ref="G56:I56" si="23">G53+G54+G55</f>
        <v>1147.698112312723</v>
      </c>
      <c r="H56" s="154">
        <f t="shared" si="23"/>
        <v>1342.8813200000002</v>
      </c>
      <c r="I56" s="154">
        <f t="shared" si="23"/>
        <v>1342.88</v>
      </c>
      <c r="J56" s="154">
        <f>J53+J54+J55</f>
        <v>1259.3385317544555</v>
      </c>
      <c r="K56" s="154">
        <f t="shared" ref="K56:AB56" si="24">K53+K54+K55</f>
        <v>1132.3104499999999</v>
      </c>
      <c r="L56" s="154">
        <f t="shared" si="24"/>
        <v>1132.31</v>
      </c>
      <c r="M56" s="154">
        <f t="shared" si="24"/>
        <v>1170.8850454792182</v>
      </c>
      <c r="N56" s="154">
        <f t="shared" si="24"/>
        <v>1664.6098900000002</v>
      </c>
      <c r="O56" s="154">
        <f t="shared" si="24"/>
        <v>1550.48803</v>
      </c>
      <c r="P56" s="159">
        <f>P53+P54+P55</f>
        <v>1550.48803</v>
      </c>
      <c r="Q56" s="154">
        <f>Q53+Q54+Q55</f>
        <v>1550.48803</v>
      </c>
      <c r="R56" s="154">
        <f>R53+R54+R55</f>
        <v>1550.48803</v>
      </c>
      <c r="S56" s="144">
        <f t="shared" si="3"/>
        <v>379.60298452078177</v>
      </c>
      <c r="T56" s="144">
        <f t="shared" si="4"/>
        <v>0</v>
      </c>
      <c r="U56" s="160" t="e">
        <f>R56-#REF!</f>
        <v>#REF!</v>
      </c>
      <c r="V56" s="160">
        <f t="shared" si="5"/>
        <v>379.60298452078177</v>
      </c>
      <c r="W56" s="160">
        <f t="shared" si="6"/>
        <v>0</v>
      </c>
      <c r="X56" s="160" t="e">
        <f>O56-#REF!</f>
        <v>#REF!</v>
      </c>
      <c r="Y56" s="154">
        <f t="shared" si="24"/>
        <v>1132.1110115814056</v>
      </c>
      <c r="Z56" s="154">
        <f t="shared" si="24"/>
        <v>1183.0560071025689</v>
      </c>
      <c r="AA56" s="154">
        <f t="shared" si="24"/>
        <v>2666.91</v>
      </c>
      <c r="AB56" s="154">
        <f t="shared" si="24"/>
        <v>1173.8312941005215</v>
      </c>
      <c r="AC56" s="144">
        <f t="shared" si="7"/>
        <v>1173.8312941005215</v>
      </c>
      <c r="AD56" s="154">
        <f t="shared" si="8"/>
        <v>41.720282519115926</v>
      </c>
      <c r="AE56" s="154">
        <f t="shared" si="9"/>
        <v>3.6851759317169979</v>
      </c>
      <c r="AF56" s="154">
        <f t="shared" si="10"/>
        <v>-9.2247130020473378</v>
      </c>
      <c r="AG56" s="154">
        <f t="shared" si="11"/>
        <v>-0.77973595051004452</v>
      </c>
      <c r="AH56" s="154">
        <f t="shared" si="12"/>
        <v>-1493.0787058994783</v>
      </c>
      <c r="AI56" s="154">
        <f t="shared" si="13"/>
        <v>-55.985342808699144</v>
      </c>
    </row>
    <row r="57" spans="1:35" ht="33" customHeight="1" outlineLevel="3">
      <c r="A57" s="152" t="s">
        <v>397</v>
      </c>
      <c r="B57" s="143" t="s">
        <v>398</v>
      </c>
      <c r="C57" s="147" t="s">
        <v>399</v>
      </c>
      <c r="D57" s="164" t="s">
        <v>400</v>
      </c>
      <c r="E57" s="149" t="s">
        <v>401</v>
      </c>
      <c r="F57" s="143" t="s">
        <v>121</v>
      </c>
      <c r="G57" s="143">
        <v>131744.08918119152</v>
      </c>
      <c r="H57" s="143">
        <v>47587.672529999996</v>
      </c>
      <c r="I57" s="143">
        <v>47587.670000000006</v>
      </c>
      <c r="J57" s="143">
        <v>144559.27569876733</v>
      </c>
      <c r="K57" s="143">
        <v>67117.61</v>
      </c>
      <c r="L57" s="143">
        <v>67117.61</v>
      </c>
      <c r="M57" s="143">
        <v>128449.59655761342</v>
      </c>
      <c r="N57" s="143">
        <v>99735.868009999991</v>
      </c>
      <c r="O57" s="143">
        <v>99719.943629999994</v>
      </c>
      <c r="P57" s="150">
        <v>99719.943629999994</v>
      </c>
      <c r="Q57" s="143">
        <v>99719.943629999994</v>
      </c>
      <c r="R57" s="143">
        <v>99719.943629999994</v>
      </c>
      <c r="S57" s="143">
        <f t="shared" si="3"/>
        <v>-28729.652927613424</v>
      </c>
      <c r="T57" s="143">
        <f t="shared" si="4"/>
        <v>0</v>
      </c>
      <c r="U57" s="151" t="e">
        <f>R57-#REF!</f>
        <v>#REF!</v>
      </c>
      <c r="V57" s="151">
        <f t="shared" si="5"/>
        <v>-28729.652927613424</v>
      </c>
      <c r="W57" s="151">
        <f t="shared" si="6"/>
        <v>0</v>
      </c>
      <c r="X57" s="151" t="e">
        <f>O57-#REF!</f>
        <v>#REF!</v>
      </c>
      <c r="Y57" s="151">
        <f>'[65]2. подк.неподк.'!V45</f>
        <v>76119.759441249989</v>
      </c>
      <c r="Z57" s="143">
        <f>'[65]2. подк.неподк.'!W45</f>
        <v>79545.148616106235</v>
      </c>
      <c r="AA57" s="143">
        <f>'[65]2. подк.неподк.'!X45</f>
        <v>110116.09748383379</v>
      </c>
      <c r="AB57" s="143">
        <f>Y57*$AA$11</f>
        <v>78924.906495459814</v>
      </c>
      <c r="AC57" s="144">
        <f t="shared" si="7"/>
        <v>78924.906495459814</v>
      </c>
      <c r="AD57" s="143">
        <f t="shared" si="8"/>
        <v>2805.147054209825</v>
      </c>
      <c r="AE57" s="143">
        <f t="shared" si="9"/>
        <v>3.6851759317169979</v>
      </c>
      <c r="AF57" s="143">
        <f t="shared" si="10"/>
        <v>-620.24212064642052</v>
      </c>
      <c r="AG57" s="143">
        <f t="shared" si="11"/>
        <v>-0.77973595051004452</v>
      </c>
      <c r="AH57" s="143">
        <f t="shared" si="12"/>
        <v>-31191.190988373972</v>
      </c>
      <c r="AI57" s="143">
        <f t="shared" si="13"/>
        <v>-28.325732296273188</v>
      </c>
    </row>
    <row r="58" spans="1:35" ht="33" customHeight="1" outlineLevel="3">
      <c r="A58" s="139" t="s">
        <v>402</v>
      </c>
      <c r="B58" s="143" t="s">
        <v>403</v>
      </c>
      <c r="C58" s="147" t="s">
        <v>404</v>
      </c>
      <c r="D58" s="148" t="s">
        <v>405</v>
      </c>
      <c r="E58" s="149" t="s">
        <v>406</v>
      </c>
      <c r="F58" s="143" t="s">
        <v>121</v>
      </c>
      <c r="G58" s="143">
        <v>44297.292875229767</v>
      </c>
      <c r="H58" s="143">
        <v>40122.397279999997</v>
      </c>
      <c r="I58" s="143">
        <v>40122.400000000001</v>
      </c>
      <c r="J58" s="143">
        <v>48606.238148964272</v>
      </c>
      <c r="K58" s="143">
        <v>45955.583989999999</v>
      </c>
      <c r="L58" s="143">
        <v>45955.58</v>
      </c>
      <c r="M58" s="143">
        <v>36908.663801943112</v>
      </c>
      <c r="N58" s="143">
        <v>44506.512329999998</v>
      </c>
      <c r="O58" s="143">
        <v>44506.613969999999</v>
      </c>
      <c r="P58" s="150">
        <v>44506.613969999999</v>
      </c>
      <c r="Q58" s="143">
        <v>44506.613969999999</v>
      </c>
      <c r="R58" s="143">
        <v>44506.613969999999</v>
      </c>
      <c r="S58" s="143">
        <f t="shared" si="3"/>
        <v>7597.9501680568865</v>
      </c>
      <c r="T58" s="143">
        <f t="shared" si="4"/>
        <v>0</v>
      </c>
      <c r="U58" s="151" t="e">
        <f>R58-#REF!</f>
        <v>#REF!</v>
      </c>
      <c r="V58" s="151">
        <f t="shared" si="5"/>
        <v>7597.9501680568865</v>
      </c>
      <c r="W58" s="151">
        <f t="shared" si="6"/>
        <v>0</v>
      </c>
      <c r="X58" s="151" t="e">
        <f>O58-#REF!</f>
        <v>#REF!</v>
      </c>
      <c r="Y58" s="151">
        <f>'[65]2. подк.неподк.'!V46</f>
        <v>51759.94</v>
      </c>
      <c r="Z58" s="143">
        <f>'[65]2. подк.неподк.'!W46</f>
        <v>54089.137300000002</v>
      </c>
      <c r="AA58" s="143">
        <f>'[65]2. подк.неподк.'!X46</f>
        <v>54089.137300000002</v>
      </c>
      <c r="AB58" s="143">
        <f>Y58*$AA$11</f>
        <v>53667.384851151161</v>
      </c>
      <c r="AC58" s="144">
        <f t="shared" si="7"/>
        <v>53667.384851151161</v>
      </c>
      <c r="AD58" s="143">
        <f t="shared" si="8"/>
        <v>1907.4448511511582</v>
      </c>
      <c r="AE58" s="143">
        <f t="shared" si="9"/>
        <v>3.6851759317169979</v>
      </c>
      <c r="AF58" s="143">
        <f t="shared" si="10"/>
        <v>-421.7524488488416</v>
      </c>
      <c r="AG58" s="143">
        <f t="shared" si="11"/>
        <v>-0.77973595051005873</v>
      </c>
      <c r="AH58" s="143">
        <f t="shared" si="12"/>
        <v>-421.7524488488416</v>
      </c>
      <c r="AI58" s="143">
        <f t="shared" si="13"/>
        <v>-0.77973595051005873</v>
      </c>
    </row>
    <row r="59" spans="1:35" ht="33" customHeight="1" outlineLevel="3">
      <c r="A59" s="139" t="s">
        <v>407</v>
      </c>
      <c r="B59" s="143" t="s">
        <v>408</v>
      </c>
      <c r="C59" s="147" t="s">
        <v>409</v>
      </c>
      <c r="D59" s="148" t="s">
        <v>410</v>
      </c>
      <c r="E59" s="165" t="s">
        <v>410</v>
      </c>
      <c r="F59" s="1307" t="s">
        <v>121</v>
      </c>
      <c r="G59" s="143">
        <v>0</v>
      </c>
      <c r="H59" s="143">
        <v>0</v>
      </c>
      <c r="I59" s="143">
        <v>0</v>
      </c>
      <c r="J59" s="143">
        <v>218.01</v>
      </c>
      <c r="K59" s="143">
        <v>0</v>
      </c>
      <c r="L59" s="143">
        <v>0</v>
      </c>
      <c r="M59" s="143">
        <v>230.2</v>
      </c>
      <c r="N59" s="143">
        <v>42.935679999999998</v>
      </c>
      <c r="O59" s="143">
        <v>41.414439999999999</v>
      </c>
      <c r="P59" s="150">
        <v>41.414439999999999</v>
      </c>
      <c r="Q59" s="143">
        <v>41.414439999999999</v>
      </c>
      <c r="R59" s="143">
        <v>41.414439999999999</v>
      </c>
      <c r="S59" s="143">
        <f t="shared" si="3"/>
        <v>-188.78555999999998</v>
      </c>
      <c r="T59" s="143">
        <f t="shared" si="4"/>
        <v>0</v>
      </c>
      <c r="U59" s="151" t="e">
        <f>R59-#REF!</f>
        <v>#REF!</v>
      </c>
      <c r="V59" s="151">
        <f t="shared" si="5"/>
        <v>-188.78555999999998</v>
      </c>
      <c r="W59" s="151">
        <f t="shared" si="6"/>
        <v>0</v>
      </c>
      <c r="X59" s="151" t="e">
        <f>O59-#REF!</f>
        <v>#REF!</v>
      </c>
      <c r="Y59" s="151">
        <f>'[65]2. подк.неподк.'!V47</f>
        <v>0</v>
      </c>
      <c r="Z59" s="143">
        <f>'[65]2. подк.неподк.'!W47</f>
        <v>0</v>
      </c>
      <c r="AA59" s="143">
        <f>'[65]2. подк.неподк.'!X47</f>
        <v>47.856180960000003</v>
      </c>
      <c r="AB59" s="143">
        <f>Y59*$AA$11</f>
        <v>0</v>
      </c>
      <c r="AC59" s="144">
        <f t="shared" si="7"/>
        <v>0</v>
      </c>
      <c r="AD59" s="143">
        <f t="shared" si="8"/>
        <v>0</v>
      </c>
      <c r="AE59" s="143"/>
      <c r="AF59" s="143">
        <f t="shared" si="10"/>
        <v>0</v>
      </c>
      <c r="AG59" s="143"/>
      <c r="AH59" s="143">
        <f t="shared" si="12"/>
        <v>-47.856180960000003</v>
      </c>
      <c r="AI59" s="143">
        <f t="shared" si="13"/>
        <v>-100</v>
      </c>
    </row>
    <row r="60" spans="1:35" ht="33" customHeight="1" outlineLevel="3">
      <c r="A60" s="139" t="s">
        <v>411</v>
      </c>
      <c r="B60" s="143" t="s">
        <v>412</v>
      </c>
      <c r="C60" s="147" t="s">
        <v>413</v>
      </c>
      <c r="D60" s="148" t="s">
        <v>414</v>
      </c>
      <c r="E60" s="165" t="s">
        <v>414</v>
      </c>
      <c r="F60" s="1327"/>
      <c r="G60" s="143">
        <v>3981.7019427164541</v>
      </c>
      <c r="H60" s="143">
        <v>2652.4466600000001</v>
      </c>
      <c r="I60" s="143">
        <v>2652.45</v>
      </c>
      <c r="J60" s="143">
        <v>4151.01</v>
      </c>
      <c r="K60" s="143">
        <v>0</v>
      </c>
      <c r="L60" s="143">
        <v>0</v>
      </c>
      <c r="M60" s="143">
        <v>4383.07</v>
      </c>
      <c r="N60" s="143">
        <v>3553.7575400000001</v>
      </c>
      <c r="O60" s="143">
        <v>3229.8822099999998</v>
      </c>
      <c r="P60" s="150">
        <v>3229.8822099999998</v>
      </c>
      <c r="Q60" s="143">
        <v>3229.8822099999998</v>
      </c>
      <c r="R60" s="143">
        <v>3229.8822099999998</v>
      </c>
      <c r="S60" s="143">
        <f t="shared" si="3"/>
        <v>-1153.1877899999999</v>
      </c>
      <c r="T60" s="143">
        <f t="shared" si="4"/>
        <v>0</v>
      </c>
      <c r="U60" s="151" t="e">
        <f>R60-#REF!</f>
        <v>#REF!</v>
      </c>
      <c r="V60" s="151">
        <f t="shared" si="5"/>
        <v>-1153.1877899999999</v>
      </c>
      <c r="W60" s="151">
        <f t="shared" si="6"/>
        <v>0</v>
      </c>
      <c r="X60" s="151" t="e">
        <f>O60-#REF!</f>
        <v>#REF!</v>
      </c>
      <c r="Y60" s="151">
        <f>'[65]2. подк.неподк.'!V48</f>
        <v>0</v>
      </c>
      <c r="Z60" s="143">
        <f>'[65]2. подк.неподк.'!W48</f>
        <v>0</v>
      </c>
      <c r="AA60" s="143">
        <f>'[65]2. подк.неподк.'!X48</f>
        <v>3923.2491927474757</v>
      </c>
      <c r="AB60" s="143">
        <f>Y60*$AA$11</f>
        <v>0</v>
      </c>
      <c r="AC60" s="144">
        <f t="shared" si="7"/>
        <v>0</v>
      </c>
      <c r="AD60" s="143">
        <f t="shared" si="8"/>
        <v>0</v>
      </c>
      <c r="AE60" s="143"/>
      <c r="AF60" s="143">
        <f t="shared" si="10"/>
        <v>0</v>
      </c>
      <c r="AG60" s="143"/>
      <c r="AH60" s="143">
        <f t="shared" si="12"/>
        <v>-3923.2491927474757</v>
      </c>
      <c r="AI60" s="143">
        <f t="shared" si="13"/>
        <v>-100</v>
      </c>
    </row>
    <row r="61" spans="1:35" s="161" customFormat="1" ht="33" customHeight="1" outlineLevel="2">
      <c r="A61" s="153"/>
      <c r="B61" s="154"/>
      <c r="C61" s="155"/>
      <c r="D61" s="156" t="s">
        <v>415</v>
      </c>
      <c r="E61" s="157"/>
      <c r="F61" s="158"/>
      <c r="G61" s="154">
        <f t="shared" ref="G61:I61" si="25">G57+G58+G59+G60</f>
        <v>180023.08399913774</v>
      </c>
      <c r="H61" s="154">
        <f t="shared" si="25"/>
        <v>90362.516469999988</v>
      </c>
      <c r="I61" s="154">
        <f t="shared" si="25"/>
        <v>90362.52</v>
      </c>
      <c r="J61" s="154">
        <f>J57+J58+J59+J60</f>
        <v>197534.53384773163</v>
      </c>
      <c r="K61" s="154">
        <f t="shared" ref="K61:AB61" si="26">K57+K58+K59+K60</f>
        <v>113073.19399</v>
      </c>
      <c r="L61" s="154">
        <f t="shared" si="26"/>
        <v>113073.19</v>
      </c>
      <c r="M61" s="154">
        <f t="shared" si="26"/>
        <v>169971.53035955655</v>
      </c>
      <c r="N61" s="154">
        <f t="shared" si="26"/>
        <v>147839.07355999996</v>
      </c>
      <c r="O61" s="154">
        <f t="shared" si="26"/>
        <v>147497.85425</v>
      </c>
      <c r="P61" s="159">
        <f t="shared" si="26"/>
        <v>147497.85425</v>
      </c>
      <c r="Q61" s="154">
        <f t="shared" si="26"/>
        <v>147497.85425</v>
      </c>
      <c r="R61" s="154">
        <f t="shared" si="26"/>
        <v>147497.85425</v>
      </c>
      <c r="S61" s="144">
        <f t="shared" si="3"/>
        <v>-22473.676109556545</v>
      </c>
      <c r="T61" s="144">
        <f t="shared" si="4"/>
        <v>0</v>
      </c>
      <c r="U61" s="160" t="e">
        <f>R61-#REF!</f>
        <v>#REF!</v>
      </c>
      <c r="V61" s="160">
        <f t="shared" si="5"/>
        <v>-22473.676109556545</v>
      </c>
      <c r="W61" s="160">
        <f t="shared" si="6"/>
        <v>0</v>
      </c>
      <c r="X61" s="160" t="e">
        <f>O61-#REF!</f>
        <v>#REF!</v>
      </c>
      <c r="Y61" s="154">
        <f t="shared" si="26"/>
        <v>127879.69944124999</v>
      </c>
      <c r="Z61" s="154">
        <f t="shared" si="26"/>
        <v>133634.28591610625</v>
      </c>
      <c r="AA61" s="154">
        <f t="shared" si="26"/>
        <v>168176.34015754124</v>
      </c>
      <c r="AB61" s="154">
        <f t="shared" si="26"/>
        <v>132592.29134661099</v>
      </c>
      <c r="AC61" s="144">
        <f t="shared" si="7"/>
        <v>132592.29134661099</v>
      </c>
      <c r="AD61" s="154">
        <f t="shared" si="8"/>
        <v>4712.5919053609978</v>
      </c>
      <c r="AE61" s="154">
        <f t="shared" si="9"/>
        <v>3.6851759317170263</v>
      </c>
      <c r="AF61" s="154">
        <f t="shared" si="10"/>
        <v>-1041.9945694952621</v>
      </c>
      <c r="AG61" s="154">
        <f t="shared" si="11"/>
        <v>-0.77973595051004452</v>
      </c>
      <c r="AH61" s="154">
        <f t="shared" si="12"/>
        <v>-35584.048810930253</v>
      </c>
      <c r="AI61" s="154">
        <f t="shared" si="13"/>
        <v>-21.158772261066247</v>
      </c>
    </row>
    <row r="62" spans="1:35" ht="33" customHeight="1" outlineLevel="3">
      <c r="A62" s="152" t="s">
        <v>397</v>
      </c>
      <c r="B62" s="143" t="s">
        <v>416</v>
      </c>
      <c r="C62" s="147" t="s">
        <v>417</v>
      </c>
      <c r="D62" s="164" t="s">
        <v>418</v>
      </c>
      <c r="E62" s="149" t="s">
        <v>419</v>
      </c>
      <c r="F62" s="143" t="s">
        <v>121</v>
      </c>
      <c r="G62" s="143">
        <v>3185.9754341797488</v>
      </c>
      <c r="H62" s="143">
        <v>2472.1181499999998</v>
      </c>
      <c r="I62" s="143">
        <v>1805.58</v>
      </c>
      <c r="J62" s="143">
        <v>3495.8858801298129</v>
      </c>
      <c r="K62" s="143">
        <v>5059.33</v>
      </c>
      <c r="L62" s="143">
        <v>5059.33</v>
      </c>
      <c r="M62" s="143">
        <v>2261.6327195872987</v>
      </c>
      <c r="N62" s="143">
        <v>4878.2737500000003</v>
      </c>
      <c r="O62" s="143">
        <v>4878.2987400000002</v>
      </c>
      <c r="P62" s="150">
        <v>4878.2987400000002</v>
      </c>
      <c r="Q62" s="143">
        <v>4878.2987400000002</v>
      </c>
      <c r="R62" s="143">
        <v>4878.2987400000002</v>
      </c>
      <c r="S62" s="143">
        <f t="shared" si="3"/>
        <v>2616.6660204127015</v>
      </c>
      <c r="T62" s="143">
        <f t="shared" si="4"/>
        <v>0</v>
      </c>
      <c r="U62" s="151" t="e">
        <f>R62-#REF!</f>
        <v>#REF!</v>
      </c>
      <c r="V62" s="151">
        <f t="shared" si="5"/>
        <v>2616.6660204127015</v>
      </c>
      <c r="W62" s="151">
        <f t="shared" si="6"/>
        <v>0</v>
      </c>
      <c r="X62" s="151" t="e">
        <f>O62-#REF!</f>
        <v>#REF!</v>
      </c>
      <c r="Y62" s="143">
        <f>'[65]2. подк.неподк.'!V50</f>
        <v>3488.2100781781592</v>
      </c>
      <c r="Z62" s="143">
        <f>'[65]2. подк.неподк.'!W50</f>
        <v>3645.1795316961761</v>
      </c>
      <c r="AA62" s="143">
        <f>'[65]2. подк.неподк.'!X50</f>
        <v>5604.3094556515098</v>
      </c>
      <c r="AB62" s="143">
        <f>Y62*$AA$11</f>
        <v>3616.7567564269075</v>
      </c>
      <c r="AC62" s="144">
        <f t="shared" si="7"/>
        <v>3616.7567564269075</v>
      </c>
      <c r="AD62" s="143">
        <f t="shared" si="8"/>
        <v>128.54667824874832</v>
      </c>
      <c r="AE62" s="143">
        <f t="shared" si="9"/>
        <v>3.6851759317169979</v>
      </c>
      <c r="AF62" s="143">
        <f t="shared" si="10"/>
        <v>-28.422775269268641</v>
      </c>
      <c r="AG62" s="143">
        <f t="shared" si="11"/>
        <v>-0.77973595051004452</v>
      </c>
      <c r="AH62" s="143">
        <f t="shared" si="12"/>
        <v>-1987.5526992246023</v>
      </c>
      <c r="AI62" s="143">
        <f t="shared" si="13"/>
        <v>-35.46472076448795</v>
      </c>
    </row>
    <row r="63" spans="1:35" ht="33" customHeight="1" outlineLevel="3">
      <c r="A63" s="139" t="s">
        <v>420</v>
      </c>
      <c r="B63" s="143" t="s">
        <v>421</v>
      </c>
      <c r="C63" s="147" t="s">
        <v>422</v>
      </c>
      <c r="D63" s="148" t="s">
        <v>423</v>
      </c>
      <c r="E63" s="149" t="s">
        <v>424</v>
      </c>
      <c r="F63" s="143" t="s">
        <v>121</v>
      </c>
      <c r="G63" s="143">
        <v>10645.2444463888</v>
      </c>
      <c r="H63" s="143">
        <v>50529.511449999998</v>
      </c>
      <c r="I63" s="143">
        <v>50150</v>
      </c>
      <c r="J63" s="143">
        <v>11680.742842966101</v>
      </c>
      <c r="K63" s="143">
        <v>300.25</v>
      </c>
      <c r="L63" s="143">
        <v>300.25</v>
      </c>
      <c r="M63" s="143">
        <v>12333.7483841666</v>
      </c>
      <c r="N63" s="143">
        <v>394.71163000000001</v>
      </c>
      <c r="O63" s="143">
        <v>394.71163000000001</v>
      </c>
      <c r="P63" s="150">
        <v>394.71163000000001</v>
      </c>
      <c r="Q63" s="143">
        <v>394.71163000000001</v>
      </c>
      <c r="R63" s="143">
        <v>394.71163000000001</v>
      </c>
      <c r="S63" s="143">
        <f t="shared" si="3"/>
        <v>-11939.0367541666</v>
      </c>
      <c r="T63" s="143">
        <f t="shared" si="4"/>
        <v>0</v>
      </c>
      <c r="U63" s="151" t="e">
        <f>R63-#REF!</f>
        <v>#REF!</v>
      </c>
      <c r="V63" s="151">
        <f t="shared" si="5"/>
        <v>-11939.0367541666</v>
      </c>
      <c r="W63" s="151">
        <f t="shared" si="6"/>
        <v>0</v>
      </c>
      <c r="X63" s="151" t="e">
        <f>O63-#REF!</f>
        <v>#REF!</v>
      </c>
      <c r="Y63" s="143">
        <f>'[65]2. подк.неподк.'!V51</f>
        <v>334.28</v>
      </c>
      <c r="Z63" s="143">
        <f>'[65]2. подк.неподк.'!W51</f>
        <v>349.32259999999997</v>
      </c>
      <c r="AA63" s="143">
        <f>'[65]2. подк.неподк.'!X51</f>
        <v>435.48975999999999</v>
      </c>
      <c r="AB63" s="143">
        <f>Y63*$AA$11</f>
        <v>346.59880610454354</v>
      </c>
      <c r="AC63" s="144">
        <f t="shared" si="7"/>
        <v>346.59880610454354</v>
      </c>
      <c r="AD63" s="143">
        <f t="shared" si="8"/>
        <v>12.318806104543569</v>
      </c>
      <c r="AE63" s="143">
        <f t="shared" si="9"/>
        <v>3.6851759317169979</v>
      </c>
      <c r="AF63" s="143">
        <f t="shared" si="10"/>
        <v>-2.7237938954564243</v>
      </c>
      <c r="AG63" s="143">
        <f t="shared" si="11"/>
        <v>-0.77973595051005873</v>
      </c>
      <c r="AH63" s="143">
        <f t="shared" si="12"/>
        <v>-88.890953895456448</v>
      </c>
      <c r="AI63" s="143">
        <f t="shared" si="13"/>
        <v>-20.411720793493842</v>
      </c>
    </row>
    <row r="64" spans="1:35" ht="33" customHeight="1" outlineLevel="3">
      <c r="A64" s="139" t="s">
        <v>425</v>
      </c>
      <c r="B64" s="143" t="s">
        <v>426</v>
      </c>
      <c r="C64" s="147" t="s">
        <v>427</v>
      </c>
      <c r="D64" s="148" t="s">
        <v>428</v>
      </c>
      <c r="E64" s="149" t="s">
        <v>429</v>
      </c>
      <c r="F64" s="143" t="s">
        <v>121</v>
      </c>
      <c r="G64" s="143">
        <v>612.33500656924616</v>
      </c>
      <c r="H64" s="143">
        <v>728.63499999999999</v>
      </c>
      <c r="I64" s="143">
        <v>728.64</v>
      </c>
      <c r="J64" s="143">
        <v>671.89887291951129</v>
      </c>
      <c r="K64" s="143">
        <v>715.44</v>
      </c>
      <c r="L64" s="143">
        <v>715.44</v>
      </c>
      <c r="M64" s="143">
        <v>709.46475791660816</v>
      </c>
      <c r="N64" s="143">
        <v>1521.69469</v>
      </c>
      <c r="O64" s="143">
        <v>1496.8344099999999</v>
      </c>
      <c r="P64" s="150">
        <v>1496.8344099999999</v>
      </c>
      <c r="Q64" s="143">
        <v>1496.8344099999999</v>
      </c>
      <c r="R64" s="143">
        <v>1496.8344099999999</v>
      </c>
      <c r="S64" s="143">
        <f t="shared" si="3"/>
        <v>787.36965208339177</v>
      </c>
      <c r="T64" s="143">
        <f t="shared" si="4"/>
        <v>0</v>
      </c>
      <c r="U64" s="151" t="e">
        <f>R64-#REF!</f>
        <v>#REF!</v>
      </c>
      <c r="V64" s="151">
        <f t="shared" si="5"/>
        <v>787.36965208339177</v>
      </c>
      <c r="W64" s="151">
        <f t="shared" si="6"/>
        <v>0</v>
      </c>
      <c r="X64" s="151" t="e">
        <f>O64-#REF!</f>
        <v>#REF!</v>
      </c>
      <c r="Y64" s="143">
        <f>'[65]2. подк.неподк.'!V52</f>
        <v>748.4853196020216</v>
      </c>
      <c r="Z64" s="143">
        <f>'[65]2. подк.неподк.'!W52</f>
        <v>782.16715898411258</v>
      </c>
      <c r="AA64" s="143">
        <f>'[65]2. подк.неподк.'!X52</f>
        <v>1987.3</v>
      </c>
      <c r="AB64" s="143">
        <f>Y64*$AA$11</f>
        <v>776.06832045243038</v>
      </c>
      <c r="AC64" s="144">
        <f t="shared" si="7"/>
        <v>776.06832045243038</v>
      </c>
      <c r="AD64" s="143">
        <f t="shared" si="8"/>
        <v>27.58300085040878</v>
      </c>
      <c r="AE64" s="143">
        <f t="shared" si="9"/>
        <v>3.6851759317169979</v>
      </c>
      <c r="AF64" s="143">
        <f t="shared" si="10"/>
        <v>-6.0988385316821905</v>
      </c>
      <c r="AG64" s="143">
        <f t="shared" si="11"/>
        <v>-0.77973595051004452</v>
      </c>
      <c r="AH64" s="143">
        <f t="shared" si="12"/>
        <v>-1211.2316795475695</v>
      </c>
      <c r="AI64" s="143">
        <f t="shared" si="13"/>
        <v>-60.948607635866232</v>
      </c>
    </row>
    <row r="65" spans="1:35" s="161" customFormat="1" ht="33" customHeight="1" outlineLevel="2">
      <c r="A65" s="153"/>
      <c r="B65" s="154"/>
      <c r="C65" s="155"/>
      <c r="D65" s="156" t="s">
        <v>430</v>
      </c>
      <c r="E65" s="157"/>
      <c r="F65" s="158"/>
      <c r="G65" s="154">
        <f t="shared" ref="G65:I65" si="27">G62+G63+G64</f>
        <v>14443.554887137796</v>
      </c>
      <c r="H65" s="154">
        <f t="shared" si="27"/>
        <v>53730.264600000002</v>
      </c>
      <c r="I65" s="154">
        <f t="shared" si="27"/>
        <v>52684.22</v>
      </c>
      <c r="J65" s="154">
        <f>J62+J63+J64</f>
        <v>15848.527596015425</v>
      </c>
      <c r="K65" s="154">
        <f t="shared" ref="K65:AB65" si="28">K62+K63+K64</f>
        <v>6075.02</v>
      </c>
      <c r="L65" s="154">
        <f t="shared" si="28"/>
        <v>6075.02</v>
      </c>
      <c r="M65" s="154">
        <f t="shared" si="28"/>
        <v>15304.845861670507</v>
      </c>
      <c r="N65" s="154">
        <f t="shared" si="28"/>
        <v>6794.6800700000003</v>
      </c>
      <c r="O65" s="154">
        <f t="shared" si="28"/>
        <v>6769.8447799999994</v>
      </c>
      <c r="P65" s="159">
        <f t="shared" si="28"/>
        <v>6769.8447799999994</v>
      </c>
      <c r="Q65" s="154">
        <f t="shared" si="28"/>
        <v>6769.8447799999994</v>
      </c>
      <c r="R65" s="154">
        <f t="shared" si="28"/>
        <v>6769.8447799999994</v>
      </c>
      <c r="S65" s="144">
        <f t="shared" si="3"/>
        <v>-8535.0010816705071</v>
      </c>
      <c r="T65" s="144">
        <f t="shared" si="4"/>
        <v>0</v>
      </c>
      <c r="U65" s="160" t="e">
        <f>R65-#REF!</f>
        <v>#REF!</v>
      </c>
      <c r="V65" s="160">
        <f t="shared" si="5"/>
        <v>-8535.0010816705071</v>
      </c>
      <c r="W65" s="160">
        <f t="shared" si="6"/>
        <v>0</v>
      </c>
      <c r="X65" s="160" t="e">
        <f>O65-#REF!</f>
        <v>#REF!</v>
      </c>
      <c r="Y65" s="154">
        <f t="shared" si="28"/>
        <v>4570.9753977801802</v>
      </c>
      <c r="Z65" s="154">
        <f t="shared" si="28"/>
        <v>4776.6692906802891</v>
      </c>
      <c r="AA65" s="154">
        <f t="shared" si="28"/>
        <v>8027.0992156515103</v>
      </c>
      <c r="AB65" s="154">
        <f t="shared" si="28"/>
        <v>4739.4238829838814</v>
      </c>
      <c r="AC65" s="144">
        <f t="shared" si="7"/>
        <v>4739.4238829838814</v>
      </c>
      <c r="AD65" s="154">
        <f t="shared" si="8"/>
        <v>168.44848520370124</v>
      </c>
      <c r="AE65" s="154">
        <f t="shared" si="9"/>
        <v>3.6851759317170263</v>
      </c>
      <c r="AF65" s="154">
        <f t="shared" si="10"/>
        <v>-37.24540769640771</v>
      </c>
      <c r="AG65" s="154">
        <f t="shared" si="11"/>
        <v>-0.77973595051005873</v>
      </c>
      <c r="AH65" s="154">
        <f t="shared" si="12"/>
        <v>-3287.6753326676289</v>
      </c>
      <c r="AI65" s="154">
        <f t="shared" si="13"/>
        <v>-40.957203148270651</v>
      </c>
    </row>
    <row r="66" spans="1:35" ht="49.95" customHeight="1" outlineLevel="3">
      <c r="A66" s="139" t="s">
        <v>431</v>
      </c>
      <c r="B66" s="143" t="s">
        <v>432</v>
      </c>
      <c r="C66" s="147" t="s">
        <v>433</v>
      </c>
      <c r="D66" s="148" t="s">
        <v>434</v>
      </c>
      <c r="E66" s="149" t="s">
        <v>435</v>
      </c>
      <c r="F66" s="143" t="s">
        <v>121</v>
      </c>
      <c r="G66" s="143">
        <v>670.06650718860055</v>
      </c>
      <c r="H66" s="143">
        <v>545.61377000000005</v>
      </c>
      <c r="I66" s="143">
        <v>545.61</v>
      </c>
      <c r="J66" s="143">
        <v>735.24610896179649</v>
      </c>
      <c r="K66" s="143">
        <v>842.7</v>
      </c>
      <c r="L66" s="143">
        <v>842.7</v>
      </c>
      <c r="M66" s="143">
        <v>776.34788549480345</v>
      </c>
      <c r="N66" s="143">
        <v>1399.41193</v>
      </c>
      <c r="O66" s="143">
        <v>1377.5456799999999</v>
      </c>
      <c r="P66" s="150">
        <v>1377.5456799999999</v>
      </c>
      <c r="Q66" s="143">
        <v>1377.5456799999999</v>
      </c>
      <c r="R66" s="166">
        <v>1377.5456799999999</v>
      </c>
      <c r="S66" s="143">
        <f t="shared" si="3"/>
        <v>601.1977945051965</v>
      </c>
      <c r="T66" s="143">
        <f t="shared" si="4"/>
        <v>0</v>
      </c>
      <c r="U66" s="151" t="e">
        <f>R66-#REF!</f>
        <v>#REF!</v>
      </c>
      <c r="V66" s="151">
        <f t="shared" si="5"/>
        <v>601.1977945051965</v>
      </c>
      <c r="W66" s="151">
        <f t="shared" si="6"/>
        <v>0</v>
      </c>
      <c r="X66" s="151" t="e">
        <f>O66-#REF!</f>
        <v>#REF!</v>
      </c>
      <c r="Y66" s="151">
        <f>'[65]2. подк.неподк.'!V54</f>
        <v>819.04701919701756</v>
      </c>
      <c r="Z66" s="143">
        <f>'[65]2. подк.неподк.'!W54</f>
        <v>855.90413506088328</v>
      </c>
      <c r="AA66" s="143">
        <f>'[65]2. подк.неподк.'!X54</f>
        <v>1620.9</v>
      </c>
      <c r="AB66" s="143">
        <f>Y66*$AA$11</f>
        <v>849.23034281791161</v>
      </c>
      <c r="AC66" s="144">
        <f t="shared" si="7"/>
        <v>849.23034281791161</v>
      </c>
      <c r="AD66" s="143">
        <f t="shared" si="8"/>
        <v>30.183323620894043</v>
      </c>
      <c r="AE66" s="143">
        <f t="shared" si="9"/>
        <v>3.6851759317169979</v>
      </c>
      <c r="AF66" s="143">
        <f t="shared" si="10"/>
        <v>-6.6737922429716718</v>
      </c>
      <c r="AG66" s="143">
        <f t="shared" si="11"/>
        <v>-0.77973595051003031</v>
      </c>
      <c r="AH66" s="143">
        <f t="shared" si="12"/>
        <v>-771.66965718208849</v>
      </c>
      <c r="AI66" s="143">
        <f t="shared" si="13"/>
        <v>-47.60748085520936</v>
      </c>
    </row>
    <row r="67" spans="1:35" ht="33" customHeight="1" outlineLevel="3">
      <c r="A67" s="139" t="s">
        <v>436</v>
      </c>
      <c r="B67" s="143" t="s">
        <v>437</v>
      </c>
      <c r="C67" s="147" t="s">
        <v>438</v>
      </c>
      <c r="D67" s="148" t="s">
        <v>439</v>
      </c>
      <c r="E67" s="149" t="s">
        <v>440</v>
      </c>
      <c r="F67" s="143" t="s">
        <v>121</v>
      </c>
      <c r="G67" s="143">
        <v>0</v>
      </c>
      <c r="H67" s="143">
        <v>9046.3977099999993</v>
      </c>
      <c r="I67" s="143">
        <v>0</v>
      </c>
      <c r="J67" s="143">
        <v>0</v>
      </c>
      <c r="K67" s="143">
        <v>9989.85</v>
      </c>
      <c r="L67" s="143">
        <v>0</v>
      </c>
      <c r="M67" s="143">
        <v>0</v>
      </c>
      <c r="N67" s="143">
        <v>16119.477570000001</v>
      </c>
      <c r="O67" s="143">
        <v>16025.3755</v>
      </c>
      <c r="P67" s="150">
        <v>16119.477570000001</v>
      </c>
      <c r="Q67" s="167">
        <v>16119.477570000001</v>
      </c>
      <c r="R67" s="167">
        <v>0</v>
      </c>
      <c r="S67" s="143">
        <f t="shared" si="3"/>
        <v>0</v>
      </c>
      <c r="T67" s="143">
        <f t="shared" si="4"/>
        <v>-16025.3755</v>
      </c>
      <c r="U67" s="151" t="e">
        <f>R67-#REF!</f>
        <v>#REF!</v>
      </c>
      <c r="V67" s="151">
        <f t="shared" si="5"/>
        <v>0</v>
      </c>
      <c r="W67" s="151">
        <f t="shared" si="6"/>
        <v>0</v>
      </c>
      <c r="X67" s="151" t="e">
        <f>O67-#REF!</f>
        <v>#REF!</v>
      </c>
      <c r="Y67" s="143">
        <f>'[65]2. подк.неподк.'!V55</f>
        <v>0</v>
      </c>
      <c r="Z67" s="143">
        <f>'[65]2. подк.неподк.'!W55</f>
        <v>0</v>
      </c>
      <c r="AA67" s="143">
        <f>'[65]2. подк.неподк.'!X55</f>
        <v>27574</v>
      </c>
      <c r="AB67" s="143">
        <f>Y67*$AA$11</f>
        <v>0</v>
      </c>
      <c r="AC67" s="144">
        <f t="shared" si="7"/>
        <v>0</v>
      </c>
      <c r="AD67" s="143">
        <f t="shared" si="8"/>
        <v>0</v>
      </c>
      <c r="AE67" s="143"/>
      <c r="AF67" s="143">
        <f t="shared" si="10"/>
        <v>0</v>
      </c>
      <c r="AG67" s="143"/>
      <c r="AH67" s="143">
        <f t="shared" si="12"/>
        <v>-27574</v>
      </c>
      <c r="AI67" s="143">
        <f t="shared" si="13"/>
        <v>-100</v>
      </c>
    </row>
    <row r="68" spans="1:35" ht="61.95" customHeight="1" outlineLevel="3">
      <c r="A68" s="139" t="s">
        <v>441</v>
      </c>
      <c r="B68" s="143" t="s">
        <v>442</v>
      </c>
      <c r="C68" s="147" t="s">
        <v>443</v>
      </c>
      <c r="D68" s="148" t="s">
        <v>444</v>
      </c>
      <c r="E68" s="149" t="s">
        <v>445</v>
      </c>
      <c r="F68" s="143" t="s">
        <v>121</v>
      </c>
      <c r="G68" s="143">
        <v>3131.4884335952024</v>
      </c>
      <c r="H68" s="143">
        <v>1246.28593</v>
      </c>
      <c r="I68" s="143">
        <v>1246.29</v>
      </c>
      <c r="J68" s="143">
        <v>3436.0987474511894</v>
      </c>
      <c r="K68" s="143">
        <v>1363.22</v>
      </c>
      <c r="L68" s="143">
        <v>1363.22</v>
      </c>
      <c r="M68" s="143">
        <v>1236.6572868874159</v>
      </c>
      <c r="N68" s="143">
        <v>3145.5927600000005</v>
      </c>
      <c r="O68" s="143">
        <v>3089.74424</v>
      </c>
      <c r="P68" s="150">
        <v>3089.74424</v>
      </c>
      <c r="Q68" s="143">
        <v>3089.74424</v>
      </c>
      <c r="R68" s="166">
        <v>3089.74424</v>
      </c>
      <c r="S68" s="143">
        <f t="shared" si="3"/>
        <v>1853.0869531125841</v>
      </c>
      <c r="T68" s="143">
        <f t="shared" si="4"/>
        <v>0</v>
      </c>
      <c r="U68" s="151" t="e">
        <f>R68-#REF!</f>
        <v>#REF!</v>
      </c>
      <c r="V68" s="151">
        <f t="shared" si="5"/>
        <v>1853.0869531125841</v>
      </c>
      <c r="W68" s="151">
        <f t="shared" si="6"/>
        <v>0</v>
      </c>
      <c r="X68" s="151" t="e">
        <f>O68-#REF!</f>
        <v>#REF!</v>
      </c>
      <c r="Y68" s="143">
        <f>'[65]2. подк.неподк.'!V56</f>
        <v>1546.0618824999997</v>
      </c>
      <c r="Z68" s="143">
        <f>'[65]2. подк.неподк.'!W56</f>
        <v>1615.6346672124996</v>
      </c>
      <c r="AA68" s="143">
        <f>'[65]2. подк.неподк.'!X56</f>
        <v>5028.3</v>
      </c>
      <c r="AB68" s="143">
        <f>Y68*$AA$11</f>
        <v>1603.0369828833404</v>
      </c>
      <c r="AC68" s="144">
        <f t="shared" si="7"/>
        <v>1603.0369828833404</v>
      </c>
      <c r="AD68" s="143">
        <f t="shared" si="8"/>
        <v>56.975100383340759</v>
      </c>
      <c r="AE68" s="143">
        <f t="shared" si="9"/>
        <v>3.6851759317169979</v>
      </c>
      <c r="AF68" s="143">
        <f t="shared" si="10"/>
        <v>-12.597684329159165</v>
      </c>
      <c r="AG68" s="143">
        <f t="shared" si="11"/>
        <v>-0.77973595051004452</v>
      </c>
      <c r="AH68" s="143">
        <f t="shared" si="12"/>
        <v>-3425.2630171166597</v>
      </c>
      <c r="AI68" s="143">
        <f t="shared" si="13"/>
        <v>-68.119702824347385</v>
      </c>
    </row>
    <row r="69" spans="1:35" ht="60" customHeight="1" outlineLevel="3">
      <c r="A69" s="139" t="s">
        <v>446</v>
      </c>
      <c r="B69" s="143" t="s">
        <v>447</v>
      </c>
      <c r="C69" s="147" t="s">
        <v>448</v>
      </c>
      <c r="D69" s="148" t="s">
        <v>449</v>
      </c>
      <c r="E69" s="149" t="s">
        <v>450</v>
      </c>
      <c r="F69" s="143" t="s">
        <v>121</v>
      </c>
      <c r="G69" s="143">
        <v>3167.404533980517</v>
      </c>
      <c r="H69" s="143">
        <v>2873.0864000000001</v>
      </c>
      <c r="I69" s="143">
        <v>2873.09</v>
      </c>
      <c r="J69" s="143">
        <v>3475.5085265911443</v>
      </c>
      <c r="K69" s="143">
        <v>6002.97</v>
      </c>
      <c r="L69" s="143">
        <v>6002.97</v>
      </c>
      <c r="M69" s="143">
        <v>3669.8070547562265</v>
      </c>
      <c r="N69" s="143">
        <v>7848.81988</v>
      </c>
      <c r="O69" s="143">
        <v>7737.6023299999997</v>
      </c>
      <c r="P69" s="150">
        <v>7737.6023299999997</v>
      </c>
      <c r="Q69" s="143">
        <v>7737.6023299999997</v>
      </c>
      <c r="R69" s="166">
        <v>7737.6023299999997</v>
      </c>
      <c r="S69" s="143">
        <f t="shared" si="3"/>
        <v>4067.7952752437732</v>
      </c>
      <c r="T69" s="143">
        <f t="shared" si="4"/>
        <v>0</v>
      </c>
      <c r="U69" s="151" t="e">
        <f>R69-#REF!</f>
        <v>#REF!</v>
      </c>
      <c r="V69" s="151">
        <f t="shared" si="5"/>
        <v>4067.7952752437732</v>
      </c>
      <c r="W69" s="151">
        <f t="shared" si="6"/>
        <v>0</v>
      </c>
      <c r="X69" s="151" t="e">
        <f>O69-#REF!</f>
        <v>#REF!</v>
      </c>
      <c r="Y69" s="143">
        <f>'[65]2. подк.неподк.'!V57</f>
        <v>3871.6464427678188</v>
      </c>
      <c r="Z69" s="143">
        <f>'[65]2. подк.неподк.'!W57</f>
        <v>4045.8705326923705</v>
      </c>
      <c r="AA69" s="143">
        <f>'[65]2. подк.неподк.'!X57</f>
        <v>21477.1</v>
      </c>
      <c r="AB69" s="143">
        <f>Y69*$AA$11</f>
        <v>4014.323425637876</v>
      </c>
      <c r="AC69" s="144">
        <f t="shared" si="7"/>
        <v>4014.323425637876</v>
      </c>
      <c r="AD69" s="143">
        <f t="shared" si="8"/>
        <v>142.67698287005715</v>
      </c>
      <c r="AE69" s="143">
        <f t="shared" si="9"/>
        <v>3.6851759317169979</v>
      </c>
      <c r="AF69" s="143">
        <f t="shared" si="10"/>
        <v>-31.547107054494518</v>
      </c>
      <c r="AG69" s="143">
        <f t="shared" si="11"/>
        <v>-0.77973595051004452</v>
      </c>
      <c r="AH69" s="143">
        <f t="shared" si="12"/>
        <v>-17462.776574362124</v>
      </c>
      <c r="AI69" s="143">
        <f t="shared" si="13"/>
        <v>-81.308819972725018</v>
      </c>
    </row>
    <row r="70" spans="1:35" s="161" customFormat="1" ht="33" customHeight="1" outlineLevel="2">
      <c r="A70" s="153"/>
      <c r="B70" s="154"/>
      <c r="C70" s="155"/>
      <c r="D70" s="156" t="s">
        <v>451</v>
      </c>
      <c r="E70" s="157"/>
      <c r="F70" s="158"/>
      <c r="G70" s="154">
        <f t="shared" ref="G70:I70" si="29">G66+G67+G68+G69</f>
        <v>6968.9594747643205</v>
      </c>
      <c r="H70" s="154">
        <f t="shared" si="29"/>
        <v>13711.383809999999</v>
      </c>
      <c r="I70" s="154">
        <f t="shared" si="29"/>
        <v>4664.99</v>
      </c>
      <c r="J70" s="154">
        <f>J66+J67+J68+J69</f>
        <v>7646.8533830041306</v>
      </c>
      <c r="K70" s="154">
        <f t="shared" ref="K70:AB70" si="30">K66+K67+K68+K69</f>
        <v>18198.740000000002</v>
      </c>
      <c r="L70" s="154">
        <f t="shared" si="30"/>
        <v>8208.89</v>
      </c>
      <c r="M70" s="154">
        <f t="shared" si="30"/>
        <v>5682.8122271384455</v>
      </c>
      <c r="N70" s="154">
        <f t="shared" si="30"/>
        <v>28513.30214</v>
      </c>
      <c r="O70" s="154">
        <f t="shared" si="30"/>
        <v>28230.267749999999</v>
      </c>
      <c r="P70" s="159">
        <f t="shared" si="30"/>
        <v>28324.36982</v>
      </c>
      <c r="Q70" s="154">
        <f t="shared" si="30"/>
        <v>28324.36982</v>
      </c>
      <c r="R70" s="154">
        <f t="shared" si="30"/>
        <v>12204.892250000001</v>
      </c>
      <c r="S70" s="144">
        <f t="shared" si="3"/>
        <v>6522.0800228615553</v>
      </c>
      <c r="T70" s="144">
        <f t="shared" si="4"/>
        <v>-16025.375499999998</v>
      </c>
      <c r="U70" s="160" t="e">
        <f>R70-#REF!</f>
        <v>#REF!</v>
      </c>
      <c r="V70" s="160">
        <f t="shared" si="5"/>
        <v>6522.0800228615553</v>
      </c>
      <c r="W70" s="160">
        <f t="shared" si="6"/>
        <v>0</v>
      </c>
      <c r="X70" s="160" t="e">
        <f>O70-#REF!</f>
        <v>#REF!</v>
      </c>
      <c r="Y70" s="154">
        <f t="shared" si="30"/>
        <v>6236.7553444648365</v>
      </c>
      <c r="Z70" s="154">
        <f t="shared" si="30"/>
        <v>6517.4093349657533</v>
      </c>
      <c r="AA70" s="154">
        <f t="shared" si="30"/>
        <v>55700.3</v>
      </c>
      <c r="AB70" s="154">
        <f t="shared" si="30"/>
        <v>6466.5907513391285</v>
      </c>
      <c r="AC70" s="144">
        <f t="shared" si="7"/>
        <v>6466.5907513391285</v>
      </c>
      <c r="AD70" s="154">
        <f t="shared" si="8"/>
        <v>229.83540687429195</v>
      </c>
      <c r="AE70" s="154">
        <f t="shared" si="9"/>
        <v>3.6851759317169979</v>
      </c>
      <c r="AF70" s="154">
        <f t="shared" si="10"/>
        <v>-50.818583626624786</v>
      </c>
      <c r="AG70" s="154">
        <f t="shared" si="11"/>
        <v>-0.77973595051003031</v>
      </c>
      <c r="AH70" s="154">
        <f t="shared" si="12"/>
        <v>-49233.709248660874</v>
      </c>
      <c r="AI70" s="154">
        <f t="shared" si="13"/>
        <v>-88.390384340229531</v>
      </c>
    </row>
    <row r="71" spans="1:35" ht="33" customHeight="1" outlineLevel="3">
      <c r="A71" s="139" t="s">
        <v>452</v>
      </c>
      <c r="B71" s="143" t="s">
        <v>453</v>
      </c>
      <c r="C71" s="147" t="s">
        <v>454</v>
      </c>
      <c r="D71" s="148" t="s">
        <v>455</v>
      </c>
      <c r="E71" s="149" t="s">
        <v>456</v>
      </c>
      <c r="F71" s="143" t="s">
        <v>121</v>
      </c>
      <c r="G71" s="143">
        <v>1601.062917176507</v>
      </c>
      <c r="H71" s="143">
        <v>5.8973100000000001</v>
      </c>
      <c r="I71" s="143">
        <v>5.9</v>
      </c>
      <c r="J71" s="143">
        <v>1756.8036417700187</v>
      </c>
      <c r="K71" s="143">
        <v>391.31400000000002</v>
      </c>
      <c r="L71" s="143">
        <v>391.31</v>
      </c>
      <c r="M71" s="143">
        <v>424.86400021061365</v>
      </c>
      <c r="N71" s="143">
        <v>449.61603000000002</v>
      </c>
      <c r="O71" s="143">
        <v>398.68016</v>
      </c>
      <c r="P71" s="150">
        <v>398.68016</v>
      </c>
      <c r="Q71" s="143">
        <v>398.68016</v>
      </c>
      <c r="R71" s="143">
        <v>398.68016</v>
      </c>
      <c r="S71" s="143">
        <f t="shared" si="3"/>
        <v>-26.183840210613653</v>
      </c>
      <c r="T71" s="143">
        <f t="shared" si="4"/>
        <v>0</v>
      </c>
      <c r="U71" s="151" t="e">
        <f>R71-#REF!</f>
        <v>#REF!</v>
      </c>
      <c r="V71" s="151">
        <f t="shared" si="5"/>
        <v>-26.183840210613653</v>
      </c>
      <c r="W71" s="151">
        <f t="shared" si="6"/>
        <v>0</v>
      </c>
      <c r="X71" s="151" t="e">
        <f>O71-#REF!</f>
        <v>#REF!</v>
      </c>
      <c r="Y71" s="143">
        <f>'[65]2. подк.неподк.'!V59</f>
        <v>443.79445375</v>
      </c>
      <c r="Z71" s="143">
        <f>'[65]2. подк.неподк.'!W59</f>
        <v>463.76520416874996</v>
      </c>
      <c r="AA71" s="143">
        <f>'[65]2. подк.неподк.'!X59</f>
        <v>3443.1847370314235</v>
      </c>
      <c r="AB71" s="143">
        <f t="shared" ref="AB71:AB78" si="31">Y71*$AA$11</f>
        <v>460.14906014588996</v>
      </c>
      <c r="AC71" s="144">
        <f t="shared" si="7"/>
        <v>460.14906014588996</v>
      </c>
      <c r="AD71" s="143">
        <f t="shared" si="8"/>
        <v>16.354606395889959</v>
      </c>
      <c r="AE71" s="143">
        <f t="shared" si="9"/>
        <v>3.6851759317169979</v>
      </c>
      <c r="AF71" s="143">
        <f t="shared" si="10"/>
        <v>-3.6161440228599986</v>
      </c>
      <c r="AG71" s="143">
        <f t="shared" si="11"/>
        <v>-0.77973595051003031</v>
      </c>
      <c r="AH71" s="143">
        <f t="shared" si="12"/>
        <v>-2983.0356768855336</v>
      </c>
      <c r="AI71" s="143">
        <f t="shared" si="13"/>
        <v>-86.635946215810307</v>
      </c>
    </row>
    <row r="72" spans="1:35" ht="33" customHeight="1" outlineLevel="3">
      <c r="A72" s="139" t="s">
        <v>457</v>
      </c>
      <c r="B72" s="143" t="s">
        <v>458</v>
      </c>
      <c r="C72" s="147" t="s">
        <v>459</v>
      </c>
      <c r="D72" s="148" t="s">
        <v>460</v>
      </c>
      <c r="E72" s="149" t="s">
        <v>461</v>
      </c>
      <c r="F72" s="143" t="s">
        <v>121</v>
      </c>
      <c r="G72" s="143">
        <v>166.70550178844826</v>
      </c>
      <c r="H72" s="143">
        <v>374.87126000000001</v>
      </c>
      <c r="I72" s="143">
        <v>374.87</v>
      </c>
      <c r="J72" s="143">
        <v>182.92150139953389</v>
      </c>
      <c r="K72" s="143">
        <v>783.02</v>
      </c>
      <c r="L72" s="143">
        <v>783.02</v>
      </c>
      <c r="M72" s="143">
        <v>618.83819145849088</v>
      </c>
      <c r="N72" s="143">
        <v>491.43229000000002</v>
      </c>
      <c r="O72" s="143">
        <v>459.30734000000001</v>
      </c>
      <c r="P72" s="150">
        <v>459.30734000000001</v>
      </c>
      <c r="Q72" s="143">
        <v>459.30734000000001</v>
      </c>
      <c r="R72" s="143">
        <v>459.30734000000001</v>
      </c>
      <c r="S72" s="143">
        <f t="shared" si="3"/>
        <v>-159.53085145849087</v>
      </c>
      <c r="T72" s="143">
        <f t="shared" si="4"/>
        <v>0</v>
      </c>
      <c r="U72" s="151" t="e">
        <f>R72-#REF!</f>
        <v>#REF!</v>
      </c>
      <c r="V72" s="151">
        <f t="shared" si="5"/>
        <v>-159.53085145849087</v>
      </c>
      <c r="W72" s="151">
        <f t="shared" si="6"/>
        <v>0</v>
      </c>
      <c r="X72" s="151" t="e">
        <f>O72-#REF!</f>
        <v>#REF!</v>
      </c>
      <c r="Y72" s="143">
        <f>'[65]2. подк.неподк.'!V60</f>
        <v>652.8742919887078</v>
      </c>
      <c r="Z72" s="143">
        <f>'[65]2. подк.неподк.'!W60</f>
        <v>682.25363512819956</v>
      </c>
      <c r="AA72" s="143">
        <f>'[65]2. подк.неподк.'!X60</f>
        <v>682.25363512819956</v>
      </c>
      <c r="AB72" s="143">
        <f t="shared" si="31"/>
        <v>676.93385826144345</v>
      </c>
      <c r="AC72" s="144">
        <f t="shared" si="7"/>
        <v>676.93385826144345</v>
      </c>
      <c r="AD72" s="143">
        <f t="shared" si="8"/>
        <v>24.059566272735651</v>
      </c>
      <c r="AE72" s="143">
        <f t="shared" si="9"/>
        <v>3.6851759317169979</v>
      </c>
      <c r="AF72" s="143">
        <f t="shared" si="10"/>
        <v>-5.3197768667561149</v>
      </c>
      <c r="AG72" s="143">
        <f t="shared" si="11"/>
        <v>-0.77973595051003031</v>
      </c>
      <c r="AH72" s="143">
        <f t="shared" si="12"/>
        <v>-5.3197768667561149</v>
      </c>
      <c r="AI72" s="143">
        <f t="shared" si="13"/>
        <v>-0.77973595051003031</v>
      </c>
    </row>
    <row r="73" spans="1:35" ht="33" customHeight="1" outlineLevel="3">
      <c r="A73" s="139" t="s">
        <v>462</v>
      </c>
      <c r="B73" s="143" t="s">
        <v>463</v>
      </c>
      <c r="C73" s="147" t="s">
        <v>464</v>
      </c>
      <c r="D73" s="148" t="s">
        <v>465</v>
      </c>
      <c r="E73" s="149" t="s">
        <v>466</v>
      </c>
      <c r="F73" s="143" t="s">
        <v>121</v>
      </c>
      <c r="G73" s="143">
        <v>346.39930371623745</v>
      </c>
      <c r="H73" s="143">
        <v>133.18384</v>
      </c>
      <c r="I73" s="143">
        <v>133.18</v>
      </c>
      <c r="J73" s="143">
        <v>380.09471816915197</v>
      </c>
      <c r="K73" s="143">
        <v>502.16780999999997</v>
      </c>
      <c r="L73" s="143">
        <v>502.17</v>
      </c>
      <c r="M73" s="143">
        <v>314.96235797288369</v>
      </c>
      <c r="N73" s="143">
        <v>723.36785999999995</v>
      </c>
      <c r="O73" s="143">
        <v>651.99960999999996</v>
      </c>
      <c r="P73" s="150">
        <v>651.99960999999996</v>
      </c>
      <c r="Q73" s="143">
        <v>651.99960999999996</v>
      </c>
      <c r="R73" s="143">
        <v>651.99960999999996</v>
      </c>
      <c r="S73" s="143">
        <f t="shared" si="3"/>
        <v>337.03725202711627</v>
      </c>
      <c r="T73" s="143">
        <f t="shared" si="4"/>
        <v>0</v>
      </c>
      <c r="U73" s="151" t="e">
        <f>R73-#REF!</f>
        <v>#REF!</v>
      </c>
      <c r="V73" s="151">
        <f t="shared" si="5"/>
        <v>337.03725202711627</v>
      </c>
      <c r="W73" s="151">
        <f t="shared" si="6"/>
        <v>0</v>
      </c>
      <c r="X73" s="151" t="e">
        <f>O73-#REF!</f>
        <v>#REF!</v>
      </c>
      <c r="Y73" s="143">
        <f>'[65]2. подк.неподк.'!V61</f>
        <v>332.28528766139226</v>
      </c>
      <c r="Z73" s="143">
        <f>'[65]2. подк.неподк.'!W61</f>
        <v>347.23812560615488</v>
      </c>
      <c r="AA73" s="143">
        <f>'[65]2. подк.неподк.'!X61</f>
        <v>1158.55</v>
      </c>
      <c r="AB73" s="143">
        <f t="shared" si="31"/>
        <v>344.53058510692648</v>
      </c>
      <c r="AC73" s="144">
        <f t="shared" si="7"/>
        <v>344.53058510692648</v>
      </c>
      <c r="AD73" s="143">
        <f t="shared" si="8"/>
        <v>12.24529744553422</v>
      </c>
      <c r="AE73" s="143">
        <f t="shared" si="9"/>
        <v>3.6851759317169979</v>
      </c>
      <c r="AF73" s="143">
        <f t="shared" si="10"/>
        <v>-2.7075404992284007</v>
      </c>
      <c r="AG73" s="143">
        <f t="shared" si="11"/>
        <v>-0.77973595051004452</v>
      </c>
      <c r="AH73" s="143">
        <f t="shared" si="12"/>
        <v>-814.01941489307342</v>
      </c>
      <c r="AI73" s="143">
        <f t="shared" si="13"/>
        <v>-70.261914884387679</v>
      </c>
    </row>
    <row r="74" spans="1:35" ht="33" customHeight="1" outlineLevel="3">
      <c r="A74" s="139" t="s">
        <v>467</v>
      </c>
      <c r="B74" s="143" t="s">
        <v>468</v>
      </c>
      <c r="C74" s="147" t="s">
        <v>469</v>
      </c>
      <c r="D74" s="148" t="s">
        <v>470</v>
      </c>
      <c r="E74" s="149" t="s">
        <v>471</v>
      </c>
      <c r="F74" s="143" t="s">
        <v>121</v>
      </c>
      <c r="G74" s="143">
        <v>3844.5368412449207</v>
      </c>
      <c r="H74" s="143">
        <v>3450.0393399999998</v>
      </c>
      <c r="I74" s="143">
        <v>3450.04</v>
      </c>
      <c r="J74" s="143">
        <v>4218.5077495449132</v>
      </c>
      <c r="K74" s="143">
        <v>4554.4943500000008</v>
      </c>
      <c r="L74" s="143">
        <v>4554.49</v>
      </c>
      <c r="M74" s="143">
        <v>3682.5754984586474</v>
      </c>
      <c r="N74" s="143">
        <v>4226.3413700000001</v>
      </c>
      <c r="O74" s="143">
        <v>4003.7498000000005</v>
      </c>
      <c r="P74" s="150">
        <v>4003.7498000000005</v>
      </c>
      <c r="Q74" s="143">
        <v>4003.7498000000005</v>
      </c>
      <c r="R74" s="143">
        <v>4003.7498000000005</v>
      </c>
      <c r="S74" s="143">
        <f t="shared" si="3"/>
        <v>321.17430154135309</v>
      </c>
      <c r="T74" s="143">
        <f t="shared" si="4"/>
        <v>0</v>
      </c>
      <c r="U74" s="151" t="e">
        <f>R74-#REF!</f>
        <v>#REF!</v>
      </c>
      <c r="V74" s="151">
        <f t="shared" si="5"/>
        <v>321.17430154135309</v>
      </c>
      <c r="W74" s="151">
        <f t="shared" si="6"/>
        <v>0</v>
      </c>
      <c r="X74" s="151" t="e">
        <f>O74-#REF!</f>
        <v>#REF!</v>
      </c>
      <c r="Y74" s="143">
        <f>'[65]2. подк.неподк.'!V62</f>
        <v>3885.117150873873</v>
      </c>
      <c r="Z74" s="143">
        <f>'[65]2. подк.неподк.'!W62</f>
        <v>4059.9474226631969</v>
      </c>
      <c r="AA74" s="143">
        <f>'[65]2. подк.неподк.'!X62</f>
        <v>5042.1680000000006</v>
      </c>
      <c r="AB74" s="143">
        <f t="shared" si="31"/>
        <v>4028.2905530368862</v>
      </c>
      <c r="AC74" s="144">
        <f t="shared" si="7"/>
        <v>4028.2905530368862</v>
      </c>
      <c r="AD74" s="143">
        <f t="shared" si="8"/>
        <v>143.17340216301318</v>
      </c>
      <c r="AE74" s="143">
        <f t="shared" si="9"/>
        <v>3.6851759317169979</v>
      </c>
      <c r="AF74" s="143">
        <f t="shared" si="10"/>
        <v>-31.656869626310709</v>
      </c>
      <c r="AG74" s="143">
        <f t="shared" si="11"/>
        <v>-0.77973595051004452</v>
      </c>
      <c r="AH74" s="143">
        <f t="shared" si="12"/>
        <v>-1013.8774469631144</v>
      </c>
      <c r="AI74" s="143">
        <f t="shared" si="13"/>
        <v>-20.107966393882833</v>
      </c>
    </row>
    <row r="75" spans="1:35" ht="33" customHeight="1" outlineLevel="3">
      <c r="A75" s="139" t="s">
        <v>472</v>
      </c>
      <c r="B75" s="143" t="s">
        <v>473</v>
      </c>
      <c r="C75" s="147" t="s">
        <v>474</v>
      </c>
      <c r="D75" s="148" t="s">
        <v>475</v>
      </c>
      <c r="E75" s="149" t="s">
        <v>476</v>
      </c>
      <c r="F75" s="143" t="s">
        <v>121</v>
      </c>
      <c r="G75" s="143">
        <v>2088.7164224081462</v>
      </c>
      <c r="H75" s="143">
        <v>3753.8494900000001</v>
      </c>
      <c r="I75" s="143">
        <v>3753.85</v>
      </c>
      <c r="J75" s="143">
        <v>2291.8928282859861</v>
      </c>
      <c r="K75" s="143">
        <v>5219.4122700000007</v>
      </c>
      <c r="L75" s="143">
        <v>5219.41</v>
      </c>
      <c r="M75" s="143">
        <v>4218.9866027946018</v>
      </c>
      <c r="N75" s="143">
        <v>4148.9754400000002</v>
      </c>
      <c r="O75" s="143">
        <v>3880.2299600000001</v>
      </c>
      <c r="P75" s="150">
        <v>3880.2299600000001</v>
      </c>
      <c r="Q75" s="143">
        <v>3880.2299600000001</v>
      </c>
      <c r="R75" s="143">
        <v>3880.2299600000001</v>
      </c>
      <c r="S75" s="143">
        <f t="shared" si="3"/>
        <v>-338.7566427946017</v>
      </c>
      <c r="T75" s="143">
        <f t="shared" si="4"/>
        <v>0</v>
      </c>
      <c r="U75" s="151" t="e">
        <f>R75-#REF!</f>
        <v>#REF!</v>
      </c>
      <c r="V75" s="151">
        <f t="shared" si="5"/>
        <v>-338.7566427946017</v>
      </c>
      <c r="W75" s="151">
        <f t="shared" si="6"/>
        <v>0</v>
      </c>
      <c r="X75" s="151" t="e">
        <f>O75-#REF!</f>
        <v>#REF!</v>
      </c>
      <c r="Y75" s="143">
        <f>'[65]2. подк.неподк.'!V63</f>
        <v>4451.0308659483044</v>
      </c>
      <c r="Z75" s="143">
        <f>'[65]2. подк.неподк.'!W63</f>
        <v>4651.3272549159774</v>
      </c>
      <c r="AA75" s="143">
        <f>'[65]2. подк.неподк.'!X63</f>
        <v>5439.2998439999992</v>
      </c>
      <c r="AB75" s="143">
        <f t="shared" si="31"/>
        <v>4615.0591841335263</v>
      </c>
      <c r="AC75" s="144">
        <f t="shared" si="7"/>
        <v>4615.0591841335263</v>
      </c>
      <c r="AD75" s="143">
        <f t="shared" si="8"/>
        <v>164.02831818522191</v>
      </c>
      <c r="AE75" s="143">
        <f t="shared" si="9"/>
        <v>3.6851759317169979</v>
      </c>
      <c r="AF75" s="143">
        <f t="shared" si="10"/>
        <v>-36.268070782451105</v>
      </c>
      <c r="AG75" s="143">
        <f t="shared" si="11"/>
        <v>-0.77973595051003031</v>
      </c>
      <c r="AH75" s="143">
        <f t="shared" si="12"/>
        <v>-824.24065986647292</v>
      </c>
      <c r="AI75" s="143">
        <f t="shared" si="13"/>
        <v>-15.153433042961936</v>
      </c>
    </row>
    <row r="76" spans="1:35" ht="33" customHeight="1" outlineLevel="3">
      <c r="A76" s="139" t="s">
        <v>477</v>
      </c>
      <c r="B76" s="143" t="s">
        <v>478</v>
      </c>
      <c r="C76" s="147" t="s">
        <v>479</v>
      </c>
      <c r="D76" s="148" t="s">
        <v>480</v>
      </c>
      <c r="E76" s="149" t="s">
        <v>481</v>
      </c>
      <c r="F76" s="143" t="s">
        <v>121</v>
      </c>
      <c r="G76" s="143">
        <v>120.14950128898666</v>
      </c>
      <c r="H76" s="143">
        <v>301.75083999999998</v>
      </c>
      <c r="I76" s="143">
        <v>301.75</v>
      </c>
      <c r="J76" s="143">
        <v>131.8368436098587</v>
      </c>
      <c r="K76" s="143">
        <v>396.08582000000001</v>
      </c>
      <c r="L76" s="143">
        <v>131.84</v>
      </c>
      <c r="M76" s="143">
        <v>429.89</v>
      </c>
      <c r="N76" s="143">
        <v>94.819499999999991</v>
      </c>
      <c r="O76" s="143">
        <v>88.546869999999998</v>
      </c>
      <c r="P76" s="150">
        <v>88.546869999999998</v>
      </c>
      <c r="Q76" s="143">
        <v>88.546869999999998</v>
      </c>
      <c r="R76" s="143">
        <v>88.546869999999998</v>
      </c>
      <c r="S76" s="143">
        <f t="shared" si="3"/>
        <v>-341.34312999999997</v>
      </c>
      <c r="T76" s="143">
        <f t="shared" si="4"/>
        <v>0</v>
      </c>
      <c r="U76" s="151" t="e">
        <f>R76-#REF!</f>
        <v>#REF!</v>
      </c>
      <c r="V76" s="151">
        <f t="shared" si="5"/>
        <v>-341.34312999999997</v>
      </c>
      <c r="W76" s="151">
        <f t="shared" si="6"/>
        <v>0</v>
      </c>
      <c r="X76" s="151" t="e">
        <f>O76-#REF!</f>
        <v>#REF!</v>
      </c>
      <c r="Y76" s="143">
        <f>'[65]2. подк.неподк.'!V64</f>
        <v>62.34</v>
      </c>
      <c r="Z76" s="143">
        <f>'[65]2. подк.неподк.'!W64</f>
        <v>65.145300000000006</v>
      </c>
      <c r="AA76" s="143">
        <f>'[65]2. подк.неподк.'!X64</f>
        <v>101.803</v>
      </c>
      <c r="AB76" s="143">
        <f t="shared" si="31"/>
        <v>64.637338675832382</v>
      </c>
      <c r="AC76" s="144">
        <f t="shared" si="7"/>
        <v>64.637338675832382</v>
      </c>
      <c r="AD76" s="143">
        <f t="shared" si="8"/>
        <v>2.2973386758323784</v>
      </c>
      <c r="AE76" s="143">
        <f t="shared" si="9"/>
        <v>3.6851759317169979</v>
      </c>
      <c r="AF76" s="143">
        <f t="shared" si="10"/>
        <v>-0.50796132416762418</v>
      </c>
      <c r="AG76" s="143">
        <f t="shared" si="11"/>
        <v>-0.77973595051005873</v>
      </c>
      <c r="AH76" s="143">
        <f t="shared" si="12"/>
        <v>-37.165661324167615</v>
      </c>
      <c r="AI76" s="143">
        <f t="shared" si="13"/>
        <v>-36.507432319447972</v>
      </c>
    </row>
    <row r="77" spans="1:35" ht="55.5" customHeight="1" outlineLevel="3">
      <c r="A77" s="139" t="s">
        <v>482</v>
      </c>
      <c r="B77" s="143" t="s">
        <v>483</v>
      </c>
      <c r="C77" s="147" t="s">
        <v>484</v>
      </c>
      <c r="D77" s="164" t="s">
        <v>485</v>
      </c>
      <c r="E77" s="149" t="s">
        <v>486</v>
      </c>
      <c r="F77" s="143" t="s">
        <v>121</v>
      </c>
      <c r="G77" s="143">
        <v>6777.5957727113328</v>
      </c>
      <c r="H77" s="143">
        <v>2118.4034299999998</v>
      </c>
      <c r="I77" s="143">
        <v>2118.4</v>
      </c>
      <c r="J77" s="143">
        <v>7436.8750960407715</v>
      </c>
      <c r="K77" s="143">
        <v>1960.84422</v>
      </c>
      <c r="L77" s="143">
        <v>1960.84</v>
      </c>
      <c r="M77" s="143">
        <v>1778.6748491212984</v>
      </c>
      <c r="N77" s="143">
        <v>4979.6228500000007</v>
      </c>
      <c r="O77" s="143">
        <v>4979.6229499999999</v>
      </c>
      <c r="P77" s="150">
        <v>4979.6229499999999</v>
      </c>
      <c r="Q77" s="143">
        <v>4979.6229499999999</v>
      </c>
      <c r="R77" s="143">
        <v>4979.6229499999999</v>
      </c>
      <c r="S77" s="143">
        <f t="shared" si="3"/>
        <v>3200.9481008787016</v>
      </c>
      <c r="T77" s="143">
        <f t="shared" si="4"/>
        <v>0</v>
      </c>
      <c r="U77" s="151" t="e">
        <f>R77-#REF!</f>
        <v>#REF!</v>
      </c>
      <c r="V77" s="151">
        <f t="shared" si="5"/>
        <v>3200.9481008787016</v>
      </c>
      <c r="W77" s="151">
        <f t="shared" si="6"/>
        <v>0</v>
      </c>
      <c r="X77" s="151" t="e">
        <f>O77-#REF!</f>
        <v>#REF!</v>
      </c>
      <c r="Y77" s="143">
        <f>'[65]2. подк.неподк.'!V65</f>
        <v>2223.8376649999996</v>
      </c>
      <c r="Z77" s="143">
        <f>'[65]2. подк.неподк.'!W65</f>
        <v>2323.9103599249993</v>
      </c>
      <c r="AA77" s="143">
        <f>'[65]2. подк.неподк.'!X65</f>
        <v>10791.408170000001</v>
      </c>
      <c r="AB77" s="143">
        <f t="shared" si="31"/>
        <v>2305.7899953910369</v>
      </c>
      <c r="AC77" s="144">
        <f t="shared" si="7"/>
        <v>2305.7899953910369</v>
      </c>
      <c r="AD77" s="143">
        <f t="shared" si="8"/>
        <v>81.952330391037322</v>
      </c>
      <c r="AE77" s="143">
        <f t="shared" si="9"/>
        <v>3.6851759317169979</v>
      </c>
      <c r="AF77" s="143">
        <f t="shared" si="10"/>
        <v>-18.120364533962402</v>
      </c>
      <c r="AG77" s="143">
        <f t="shared" si="11"/>
        <v>-0.77973595051004452</v>
      </c>
      <c r="AH77" s="143">
        <f t="shared" si="12"/>
        <v>-8485.6181746089642</v>
      </c>
      <c r="AI77" s="143">
        <f t="shared" si="13"/>
        <v>-78.633094411152854</v>
      </c>
    </row>
    <row r="78" spans="1:35" ht="33" customHeight="1" outlineLevel="3">
      <c r="A78" s="139" t="s">
        <v>487</v>
      </c>
      <c r="B78" s="143" t="s">
        <v>488</v>
      </c>
      <c r="C78" s="147" t="s">
        <v>489</v>
      </c>
      <c r="D78" s="148" t="s">
        <v>490</v>
      </c>
      <c r="E78" s="149" t="s">
        <v>491</v>
      </c>
      <c r="F78" s="143" t="s">
        <v>121</v>
      </c>
      <c r="G78" s="143">
        <v>19.477300208956173</v>
      </c>
      <c r="H78" s="143">
        <v>99.324190000000002</v>
      </c>
      <c r="I78" s="143">
        <v>99.32</v>
      </c>
      <c r="J78" s="143">
        <v>21.371922097406156</v>
      </c>
      <c r="K78" s="143">
        <v>116.21565</v>
      </c>
      <c r="L78" s="143">
        <v>116.22</v>
      </c>
      <c r="M78" s="143">
        <v>105.69677572446184</v>
      </c>
      <c r="N78" s="143">
        <v>226.14131000000003</v>
      </c>
      <c r="O78" s="143">
        <v>212.09079</v>
      </c>
      <c r="P78" s="150">
        <v>212.09079</v>
      </c>
      <c r="Q78" s="143">
        <v>212.09079</v>
      </c>
      <c r="R78" s="143">
        <v>212.09079</v>
      </c>
      <c r="S78" s="143">
        <f t="shared" si="3"/>
        <v>106.39401427553815</v>
      </c>
      <c r="T78" s="143">
        <f t="shared" si="4"/>
        <v>0</v>
      </c>
      <c r="U78" s="151" t="e">
        <f>R78-#REF!</f>
        <v>#REF!</v>
      </c>
      <c r="V78" s="151">
        <f t="shared" si="5"/>
        <v>106.39401427553815</v>
      </c>
      <c r="W78" s="151">
        <f t="shared" si="6"/>
        <v>0</v>
      </c>
      <c r="X78" s="151" t="e">
        <f>O78-#REF!</f>
        <v>#REF!</v>
      </c>
      <c r="Y78" s="143">
        <f>'[65]2. подк.неподк.'!V66</f>
        <v>111.51009838930725</v>
      </c>
      <c r="Z78" s="143">
        <f>'[65]2. подк.неподк.'!W66</f>
        <v>116.52805281682606</v>
      </c>
      <c r="AA78" s="143">
        <f>'[65]2. подк.неподк.'!X66</f>
        <v>176.96</v>
      </c>
      <c r="AB78" s="143">
        <f t="shared" si="31"/>
        <v>115.61944169658395</v>
      </c>
      <c r="AC78" s="144">
        <f t="shared" si="7"/>
        <v>115.61944169658395</v>
      </c>
      <c r="AD78" s="143">
        <f t="shared" si="8"/>
        <v>4.1093433072767027</v>
      </c>
      <c r="AE78" s="143">
        <f t="shared" si="9"/>
        <v>3.6851759317169979</v>
      </c>
      <c r="AF78" s="143">
        <f t="shared" si="10"/>
        <v>-0.90861112024211366</v>
      </c>
      <c r="AG78" s="143">
        <f t="shared" si="11"/>
        <v>-0.77973595051003031</v>
      </c>
      <c r="AH78" s="143">
        <f t="shared" si="12"/>
        <v>-61.34055830341606</v>
      </c>
      <c r="AI78" s="143">
        <f t="shared" si="13"/>
        <v>-34.663516220284833</v>
      </c>
    </row>
    <row r="79" spans="1:35" s="161" customFormat="1" ht="33" customHeight="1" outlineLevel="2">
      <c r="A79" s="153"/>
      <c r="B79" s="154"/>
      <c r="C79" s="155"/>
      <c r="D79" s="156" t="s">
        <v>492</v>
      </c>
      <c r="E79" s="157"/>
      <c r="F79" s="158"/>
      <c r="G79" s="154">
        <f t="shared" ref="G79:I79" si="32">G71+G72+G73+G74+G78+G75+G76+G77</f>
        <v>14964.643560543534</v>
      </c>
      <c r="H79" s="154">
        <f t="shared" si="32"/>
        <v>10237.319699999998</v>
      </c>
      <c r="I79" s="154">
        <f t="shared" si="32"/>
        <v>10237.31</v>
      </c>
      <c r="J79" s="154">
        <f>J71+J72+J73+J74+J78+J75+J76+J77</f>
        <v>16420.30430091764</v>
      </c>
      <c r="K79" s="154">
        <f t="shared" ref="K79:AB79" si="33">K71+K72+K73+K74+K78+K75+K76+K77</f>
        <v>13923.554120000001</v>
      </c>
      <c r="L79" s="154">
        <f t="shared" si="33"/>
        <v>13659.3</v>
      </c>
      <c r="M79" s="154">
        <f t="shared" si="33"/>
        <v>11574.488275740996</v>
      </c>
      <c r="N79" s="154">
        <f t="shared" si="33"/>
        <v>15340.316650000001</v>
      </c>
      <c r="O79" s="154">
        <f t="shared" si="33"/>
        <v>14674.227480000001</v>
      </c>
      <c r="P79" s="159">
        <f t="shared" si="33"/>
        <v>14674.227480000001</v>
      </c>
      <c r="Q79" s="154">
        <f t="shared" si="33"/>
        <v>14674.227480000001</v>
      </c>
      <c r="R79" s="154">
        <f t="shared" si="33"/>
        <v>14674.227480000001</v>
      </c>
      <c r="S79" s="144">
        <f t="shared" si="3"/>
        <v>3099.7392042590054</v>
      </c>
      <c r="T79" s="144">
        <f t="shared" si="4"/>
        <v>0</v>
      </c>
      <c r="U79" s="160" t="e">
        <f>R79-#REF!</f>
        <v>#REF!</v>
      </c>
      <c r="V79" s="160">
        <f t="shared" si="5"/>
        <v>3099.7392042590054</v>
      </c>
      <c r="W79" s="160">
        <f t="shared" si="6"/>
        <v>0</v>
      </c>
      <c r="X79" s="160" t="e">
        <f>O79-#REF!</f>
        <v>#REF!</v>
      </c>
      <c r="Y79" s="154">
        <f t="shared" si="33"/>
        <v>12162.789813611584</v>
      </c>
      <c r="Z79" s="154">
        <f t="shared" si="33"/>
        <v>12710.115355224103</v>
      </c>
      <c r="AA79" s="154">
        <f t="shared" si="33"/>
        <v>26835.627386159624</v>
      </c>
      <c r="AB79" s="154">
        <f t="shared" si="33"/>
        <v>12611.010016448126</v>
      </c>
      <c r="AC79" s="144">
        <f t="shared" si="7"/>
        <v>12611.010016448126</v>
      </c>
      <c r="AD79" s="154">
        <f t="shared" si="8"/>
        <v>448.22020283654274</v>
      </c>
      <c r="AE79" s="154">
        <f t="shared" si="9"/>
        <v>3.6851759317170263</v>
      </c>
      <c r="AF79" s="154">
        <f t="shared" si="10"/>
        <v>-99.105338775976634</v>
      </c>
      <c r="AG79" s="154">
        <f t="shared" si="11"/>
        <v>-0.7797359505100161</v>
      </c>
      <c r="AH79" s="154">
        <f t="shared" si="12"/>
        <v>-14224.617369711497</v>
      </c>
      <c r="AI79" s="154">
        <f t="shared" si="13"/>
        <v>-53.00646474562317</v>
      </c>
    </row>
    <row r="80" spans="1:35" ht="33" customHeight="1" outlineLevel="3">
      <c r="A80" s="152" t="s">
        <v>493</v>
      </c>
      <c r="B80" s="143" t="s">
        <v>494</v>
      </c>
      <c r="C80" s="147" t="s">
        <v>495</v>
      </c>
      <c r="D80" s="164" t="s">
        <v>496</v>
      </c>
      <c r="E80" s="149" t="s">
        <v>497</v>
      </c>
      <c r="F80" s="143" t="s">
        <v>121</v>
      </c>
      <c r="G80" s="143">
        <v>334.99260033614212</v>
      </c>
      <c r="H80" s="143">
        <v>28481.502539999998</v>
      </c>
      <c r="I80" s="143">
        <v>27334</v>
      </c>
      <c r="J80" s="143">
        <v>367.58</v>
      </c>
      <c r="K80" s="143">
        <v>826.79</v>
      </c>
      <c r="L80" s="143">
        <v>367.58</v>
      </c>
      <c r="M80" s="143">
        <v>766.51482253211725</v>
      </c>
      <c r="N80" s="143">
        <v>965.08214999999996</v>
      </c>
      <c r="O80" s="143">
        <v>911.82749999999987</v>
      </c>
      <c r="P80" s="150">
        <v>766.51482253211725</v>
      </c>
      <c r="Q80" s="143">
        <v>766.51482253211725</v>
      </c>
      <c r="R80" s="143">
        <v>766.51482253211725</v>
      </c>
      <c r="S80" s="143">
        <f t="shared" si="3"/>
        <v>0</v>
      </c>
      <c r="T80" s="143">
        <f t="shared" si="4"/>
        <v>-145.31267746788262</v>
      </c>
      <c r="U80" s="151" t="e">
        <f>R80-#REF!</f>
        <v>#REF!</v>
      </c>
      <c r="V80" s="151">
        <f t="shared" si="5"/>
        <v>0</v>
      </c>
      <c r="W80" s="151">
        <f t="shared" si="6"/>
        <v>0</v>
      </c>
      <c r="X80" s="151" t="e">
        <f>O80-#REF!</f>
        <v>#REF!</v>
      </c>
      <c r="Y80" s="143">
        <f>'[65]2. подк.неподк.'!V68</f>
        <v>808.67313777138361</v>
      </c>
      <c r="Z80" s="143">
        <f>'[65]2. подк.неподк.'!W68</f>
        <v>845.06</v>
      </c>
      <c r="AA80" s="143">
        <f>'[65]2. подк.неподк.'!X68</f>
        <v>1127.56</v>
      </c>
      <c r="AB80" s="143">
        <f t="shared" ref="AB80:AB86" si="34">Y80*$AA$11</f>
        <v>838.47416561079524</v>
      </c>
      <c r="AC80" s="144">
        <f t="shared" si="7"/>
        <v>838.47416561079524</v>
      </c>
      <c r="AD80" s="143">
        <f t="shared" si="8"/>
        <v>29.801027839411631</v>
      </c>
      <c r="AE80" s="143">
        <f t="shared" si="9"/>
        <v>3.6851759317169979</v>
      </c>
      <c r="AF80" s="143">
        <f t="shared" si="10"/>
        <v>-6.585834389204706</v>
      </c>
      <c r="AG80" s="143">
        <f t="shared" si="11"/>
        <v>-0.77933334783384112</v>
      </c>
      <c r="AH80" s="143">
        <f t="shared" si="12"/>
        <v>-289.08583438920471</v>
      </c>
      <c r="AI80" s="143">
        <f t="shared" si="13"/>
        <v>-25.638177515094966</v>
      </c>
    </row>
    <row r="81" spans="1:35" ht="33" customHeight="1" outlineLevel="3">
      <c r="A81" s="139" t="s">
        <v>498</v>
      </c>
      <c r="B81" s="143" t="s">
        <v>499</v>
      </c>
      <c r="C81" s="147" t="s">
        <v>500</v>
      </c>
      <c r="D81" s="148" t="s">
        <v>501</v>
      </c>
      <c r="E81" s="149" t="s">
        <v>502</v>
      </c>
      <c r="F81" s="143" t="s">
        <v>121</v>
      </c>
      <c r="G81" s="143">
        <v>0</v>
      </c>
      <c r="H81" s="143">
        <v>766.29128000000003</v>
      </c>
      <c r="I81" s="143">
        <v>0</v>
      </c>
      <c r="J81" s="143">
        <v>0</v>
      </c>
      <c r="K81" s="143">
        <v>949.31412999999998</v>
      </c>
      <c r="L81" s="143">
        <v>0</v>
      </c>
      <c r="M81" s="143">
        <v>0</v>
      </c>
      <c r="N81" s="143">
        <v>997.32306000000005</v>
      </c>
      <c r="O81" s="143">
        <v>949.78813000000002</v>
      </c>
      <c r="P81" s="150">
        <v>0</v>
      </c>
      <c r="Q81" s="143">
        <v>0</v>
      </c>
      <c r="R81" s="143">
        <v>0</v>
      </c>
      <c r="S81" s="143">
        <f t="shared" si="3"/>
        <v>0</v>
      </c>
      <c r="T81" s="143">
        <f t="shared" si="4"/>
        <v>-949.78813000000002</v>
      </c>
      <c r="U81" s="151" t="e">
        <f>R81-#REF!</f>
        <v>#REF!</v>
      </c>
      <c r="V81" s="151">
        <f t="shared" si="5"/>
        <v>0</v>
      </c>
      <c r="W81" s="151">
        <f t="shared" si="6"/>
        <v>0</v>
      </c>
      <c r="X81" s="151" t="e">
        <f>O81-#REF!</f>
        <v>#REF!</v>
      </c>
      <c r="Y81" s="143">
        <f>'[65]2. подк.неподк.'!V69</f>
        <v>0</v>
      </c>
      <c r="Z81" s="143">
        <f>'[65]2. подк.неподк.'!W69</f>
        <v>0</v>
      </c>
      <c r="AA81" s="143">
        <f>'[65]2. подк.неподк.'!X69</f>
        <v>1129.92</v>
      </c>
      <c r="AB81" s="143">
        <f t="shared" si="34"/>
        <v>0</v>
      </c>
      <c r="AC81" s="144">
        <f t="shared" si="7"/>
        <v>0</v>
      </c>
      <c r="AD81" s="143">
        <f t="shared" si="8"/>
        <v>0</v>
      </c>
      <c r="AE81" s="143"/>
      <c r="AF81" s="143">
        <f t="shared" si="10"/>
        <v>0</v>
      </c>
      <c r="AG81" s="143"/>
      <c r="AH81" s="143">
        <f t="shared" si="12"/>
        <v>-1129.92</v>
      </c>
      <c r="AI81" s="143">
        <f t="shared" si="13"/>
        <v>-100</v>
      </c>
    </row>
    <row r="82" spans="1:35" ht="33" customHeight="1" outlineLevel="3">
      <c r="A82" s="139" t="s">
        <v>503</v>
      </c>
      <c r="B82" s="143" t="s">
        <v>504</v>
      </c>
      <c r="C82" s="147" t="s">
        <v>505</v>
      </c>
      <c r="D82" s="164" t="s">
        <v>506</v>
      </c>
      <c r="E82" s="149" t="s">
        <v>507</v>
      </c>
      <c r="F82" s="143" t="s">
        <v>121</v>
      </c>
      <c r="G82" s="143">
        <v>29.71</v>
      </c>
      <c r="H82" s="143">
        <v>0</v>
      </c>
      <c r="I82" s="143">
        <v>0</v>
      </c>
      <c r="J82" s="143">
        <v>32.594724129518433</v>
      </c>
      <c r="K82" s="143">
        <v>7.8636200000000001</v>
      </c>
      <c r="L82" s="143">
        <v>7.86</v>
      </c>
      <c r="M82" s="143">
        <v>0</v>
      </c>
      <c r="N82" s="143">
        <v>21.191680000000002</v>
      </c>
      <c r="O82" s="143">
        <v>1.51722</v>
      </c>
      <c r="P82" s="150">
        <v>1.51722</v>
      </c>
      <c r="Q82" s="143">
        <v>1.51722</v>
      </c>
      <c r="R82" s="143">
        <v>1.51722</v>
      </c>
      <c r="S82" s="143">
        <f t="shared" si="3"/>
        <v>1.51722</v>
      </c>
      <c r="T82" s="143">
        <f t="shared" si="4"/>
        <v>0</v>
      </c>
      <c r="U82" s="151" t="e">
        <f>R82-#REF!</f>
        <v>#REF!</v>
      </c>
      <c r="V82" s="151">
        <f t="shared" si="5"/>
        <v>1.51722</v>
      </c>
      <c r="W82" s="151">
        <f t="shared" si="6"/>
        <v>0</v>
      </c>
      <c r="X82" s="151" t="e">
        <f>O82-#REF!</f>
        <v>#REF!</v>
      </c>
      <c r="Y82" s="143">
        <f>'[65]2. подк.неподк.'!V70</f>
        <v>8.9142224999999993</v>
      </c>
      <c r="Z82" s="143">
        <f>'[65]2. подк.неподк.'!W70</f>
        <v>9.3153625124999984</v>
      </c>
      <c r="AA82" s="143">
        <f>'[65]2. подк.неподк.'!X70</f>
        <v>23.656956319999999</v>
      </c>
      <c r="AB82" s="143">
        <f t="shared" si="34"/>
        <v>9.2427272820697013</v>
      </c>
      <c r="AC82" s="144">
        <f t="shared" si="7"/>
        <v>9.2427272820697013</v>
      </c>
      <c r="AD82" s="143">
        <f t="shared" si="8"/>
        <v>0.32850478206970202</v>
      </c>
      <c r="AE82" s="143">
        <f t="shared" si="9"/>
        <v>3.6851759317169979</v>
      </c>
      <c r="AF82" s="143">
        <f t="shared" si="10"/>
        <v>-7.2635230430297071E-2</v>
      </c>
      <c r="AG82" s="143">
        <f t="shared" si="11"/>
        <v>-0.77973595051003031</v>
      </c>
      <c r="AH82" s="143">
        <f t="shared" si="12"/>
        <v>-14.414229037930298</v>
      </c>
      <c r="AI82" s="143">
        <f t="shared" si="13"/>
        <v>-60.93019255289515</v>
      </c>
    </row>
    <row r="83" spans="1:35" ht="33" customHeight="1" outlineLevel="3">
      <c r="A83" s="139" t="s">
        <v>508</v>
      </c>
      <c r="B83" s="143" t="s">
        <v>509</v>
      </c>
      <c r="C83" s="147" t="s">
        <v>510</v>
      </c>
      <c r="D83" s="148" t="s">
        <v>511</v>
      </c>
      <c r="E83" s="149" t="s">
        <v>512</v>
      </c>
      <c r="F83" s="143" t="s">
        <v>121</v>
      </c>
      <c r="G83" s="143">
        <v>0</v>
      </c>
      <c r="H83" s="143">
        <v>0</v>
      </c>
      <c r="I83" s="143">
        <v>0</v>
      </c>
      <c r="J83" s="143">
        <v>0</v>
      </c>
      <c r="K83" s="143">
        <v>0</v>
      </c>
      <c r="L83" s="143">
        <v>0</v>
      </c>
      <c r="M83" s="143">
        <v>0</v>
      </c>
      <c r="N83" s="143">
        <v>7.45831</v>
      </c>
      <c r="O83" s="143">
        <v>7.45831</v>
      </c>
      <c r="P83" s="150">
        <v>7.45831</v>
      </c>
      <c r="Q83" s="143">
        <v>7.45831</v>
      </c>
      <c r="R83" s="143">
        <v>7.45831</v>
      </c>
      <c r="S83" s="143">
        <f t="shared" si="3"/>
        <v>7.45831</v>
      </c>
      <c r="T83" s="143">
        <f t="shared" si="4"/>
        <v>0</v>
      </c>
      <c r="U83" s="151" t="e">
        <f>R83-#REF!</f>
        <v>#REF!</v>
      </c>
      <c r="V83" s="151">
        <f t="shared" si="5"/>
        <v>7.45831</v>
      </c>
      <c r="W83" s="151">
        <f t="shared" si="6"/>
        <v>0</v>
      </c>
      <c r="X83" s="151" t="e">
        <f>O83-#REF!</f>
        <v>#REF!</v>
      </c>
      <c r="Y83" s="151">
        <f>'[65]2. подк.неподк.'!V71</f>
        <v>0</v>
      </c>
      <c r="Z83" s="143">
        <f>'[65]2. подк.неподк.'!W71</f>
        <v>0</v>
      </c>
      <c r="AA83" s="143">
        <f>'[65]2. подк.неподк.'!X71</f>
        <v>19407.099999999999</v>
      </c>
      <c r="AB83" s="143">
        <f t="shared" si="34"/>
        <v>0</v>
      </c>
      <c r="AC83" s="144">
        <f t="shared" si="7"/>
        <v>0</v>
      </c>
      <c r="AD83" s="143">
        <f t="shared" si="8"/>
        <v>0</v>
      </c>
      <c r="AE83" s="143"/>
      <c r="AF83" s="143">
        <f t="shared" si="10"/>
        <v>0</v>
      </c>
      <c r="AG83" s="143"/>
      <c r="AH83" s="143">
        <f t="shared" si="12"/>
        <v>-19407.099999999999</v>
      </c>
      <c r="AI83" s="143">
        <f t="shared" si="13"/>
        <v>-100</v>
      </c>
    </row>
    <row r="84" spans="1:35" ht="33" customHeight="1" outlineLevel="3">
      <c r="A84" s="139"/>
      <c r="B84" s="143" t="s">
        <v>513</v>
      </c>
      <c r="C84" s="147"/>
      <c r="D84" s="148" t="s">
        <v>514</v>
      </c>
      <c r="E84" s="149"/>
      <c r="F84" s="143" t="s">
        <v>121</v>
      </c>
      <c r="G84" s="143">
        <v>0</v>
      </c>
      <c r="H84" s="143">
        <v>0</v>
      </c>
      <c r="I84" s="143">
        <v>0</v>
      </c>
      <c r="J84" s="143"/>
      <c r="K84" s="143"/>
      <c r="L84" s="143"/>
      <c r="M84" s="143"/>
      <c r="N84" s="143">
        <v>501.14762000000002</v>
      </c>
      <c r="O84" s="143"/>
      <c r="P84" s="150">
        <v>0</v>
      </c>
      <c r="Q84" s="143"/>
      <c r="R84" s="143"/>
      <c r="S84" s="143">
        <f t="shared" si="3"/>
        <v>0</v>
      </c>
      <c r="T84" s="143">
        <f t="shared" si="4"/>
        <v>0</v>
      </c>
      <c r="U84" s="151" t="e">
        <f>R84-#REF!</f>
        <v>#REF!</v>
      </c>
      <c r="V84" s="151">
        <f t="shared" si="5"/>
        <v>0</v>
      </c>
      <c r="W84" s="151">
        <f t="shared" si="6"/>
        <v>0</v>
      </c>
      <c r="X84" s="151" t="e">
        <f>O84-#REF!</f>
        <v>#REF!</v>
      </c>
      <c r="Y84" s="143">
        <v>0</v>
      </c>
      <c r="Z84" s="143">
        <v>0</v>
      </c>
      <c r="AA84" s="143">
        <v>0</v>
      </c>
      <c r="AB84" s="143">
        <f t="shared" si="34"/>
        <v>0</v>
      </c>
      <c r="AC84" s="144">
        <f t="shared" si="7"/>
        <v>0</v>
      </c>
      <c r="AD84" s="143">
        <f t="shared" si="8"/>
        <v>0</v>
      </c>
      <c r="AE84" s="143"/>
      <c r="AF84" s="143">
        <f t="shared" si="10"/>
        <v>0</v>
      </c>
      <c r="AG84" s="143"/>
      <c r="AH84" s="143">
        <f t="shared" si="12"/>
        <v>0</v>
      </c>
      <c r="AI84" s="143"/>
    </row>
    <row r="85" spans="1:35" ht="33" customHeight="1" outlineLevel="3">
      <c r="A85" s="139"/>
      <c r="B85" s="143" t="s">
        <v>515</v>
      </c>
      <c r="C85" s="147"/>
      <c r="D85" s="148" t="s">
        <v>516</v>
      </c>
      <c r="E85" s="149"/>
      <c r="F85" s="143" t="s">
        <v>121</v>
      </c>
      <c r="G85" s="143">
        <v>0</v>
      </c>
      <c r="H85" s="143">
        <v>0</v>
      </c>
      <c r="I85" s="143">
        <v>0</v>
      </c>
      <c r="J85" s="143"/>
      <c r="K85" s="143"/>
      <c r="L85" s="143"/>
      <c r="M85" s="143"/>
      <c r="N85" s="143">
        <v>1015.4797900000001</v>
      </c>
      <c r="O85" s="143"/>
      <c r="P85" s="150">
        <v>0</v>
      </c>
      <c r="Q85" s="143"/>
      <c r="R85" s="143"/>
      <c r="S85" s="143">
        <f t="shared" si="3"/>
        <v>0</v>
      </c>
      <c r="T85" s="143">
        <f t="shared" si="4"/>
        <v>0</v>
      </c>
      <c r="U85" s="151" t="e">
        <f>R85-#REF!</f>
        <v>#REF!</v>
      </c>
      <c r="V85" s="151">
        <f t="shared" si="5"/>
        <v>0</v>
      </c>
      <c r="W85" s="151">
        <f t="shared" si="6"/>
        <v>0</v>
      </c>
      <c r="X85" s="151" t="e">
        <f>O85-#REF!</f>
        <v>#REF!</v>
      </c>
      <c r="Y85" s="143">
        <v>0</v>
      </c>
      <c r="Z85" s="143">
        <v>0</v>
      </c>
      <c r="AA85" s="143">
        <v>0</v>
      </c>
      <c r="AB85" s="143">
        <f t="shared" si="34"/>
        <v>0</v>
      </c>
      <c r="AC85" s="144">
        <f t="shared" si="7"/>
        <v>0</v>
      </c>
      <c r="AD85" s="143">
        <f t="shared" si="8"/>
        <v>0</v>
      </c>
      <c r="AE85" s="143"/>
      <c r="AF85" s="143">
        <f t="shared" si="10"/>
        <v>0</v>
      </c>
      <c r="AG85" s="143"/>
      <c r="AH85" s="143">
        <f t="shared" si="12"/>
        <v>0</v>
      </c>
      <c r="AI85" s="143"/>
    </row>
    <row r="86" spans="1:35" ht="33" customHeight="1" outlineLevel="3">
      <c r="A86" s="139"/>
      <c r="B86" s="143" t="s">
        <v>517</v>
      </c>
      <c r="C86" s="147"/>
      <c r="D86" s="148" t="s">
        <v>518</v>
      </c>
      <c r="E86" s="149"/>
      <c r="F86" s="143" t="s">
        <v>121</v>
      </c>
      <c r="G86" s="143">
        <v>0</v>
      </c>
      <c r="H86" s="143">
        <v>0</v>
      </c>
      <c r="I86" s="143">
        <v>0</v>
      </c>
      <c r="J86" s="143"/>
      <c r="K86" s="143"/>
      <c r="L86" s="143"/>
      <c r="M86" s="143"/>
      <c r="N86" s="143">
        <v>202.4358</v>
      </c>
      <c r="O86" s="143"/>
      <c r="P86" s="150">
        <v>0</v>
      </c>
      <c r="Q86" s="143"/>
      <c r="R86" s="143"/>
      <c r="S86" s="143">
        <f t="shared" si="3"/>
        <v>0</v>
      </c>
      <c r="T86" s="143">
        <f t="shared" si="4"/>
        <v>0</v>
      </c>
      <c r="U86" s="151" t="e">
        <f>R86-#REF!</f>
        <v>#REF!</v>
      </c>
      <c r="V86" s="151">
        <f t="shared" si="5"/>
        <v>0</v>
      </c>
      <c r="W86" s="151">
        <f t="shared" si="6"/>
        <v>0</v>
      </c>
      <c r="X86" s="151" t="e">
        <f>O86-#REF!</f>
        <v>#REF!</v>
      </c>
      <c r="Y86" s="143">
        <v>0</v>
      </c>
      <c r="Z86" s="143">
        <v>0</v>
      </c>
      <c r="AA86" s="143">
        <v>0</v>
      </c>
      <c r="AB86" s="143">
        <f t="shared" si="34"/>
        <v>0</v>
      </c>
      <c r="AC86" s="144">
        <f t="shared" si="7"/>
        <v>0</v>
      </c>
      <c r="AD86" s="143">
        <f t="shared" si="8"/>
        <v>0</v>
      </c>
      <c r="AE86" s="143"/>
      <c r="AF86" s="143">
        <f t="shared" si="10"/>
        <v>0</v>
      </c>
      <c r="AG86" s="143"/>
      <c r="AH86" s="143">
        <f t="shared" si="12"/>
        <v>0</v>
      </c>
      <c r="AI86" s="143"/>
    </row>
    <row r="87" spans="1:35" s="161" customFormat="1" ht="33" customHeight="1" outlineLevel="2">
      <c r="A87" s="153"/>
      <c r="B87" s="154"/>
      <c r="C87" s="155"/>
      <c r="D87" s="156" t="s">
        <v>519</v>
      </c>
      <c r="E87" s="157"/>
      <c r="F87" s="158"/>
      <c r="G87" s="154">
        <f t="shared" ref="G87:I87" si="35">G80+G81+G82+G83+G84+G85+G86</f>
        <v>364.7026003361421</v>
      </c>
      <c r="H87" s="154">
        <f t="shared" si="35"/>
        <v>29247.793819999999</v>
      </c>
      <c r="I87" s="154">
        <f t="shared" si="35"/>
        <v>27334</v>
      </c>
      <c r="J87" s="154">
        <f>J80+J81+J82+J83+J84+J85+J86</f>
        <v>400.17472412951844</v>
      </c>
      <c r="K87" s="154">
        <f t="shared" ref="K87:AB87" si="36">K80+K81+K82+K83+K84+K85+K86</f>
        <v>1783.96775</v>
      </c>
      <c r="L87" s="154">
        <f t="shared" si="36"/>
        <v>375.44</v>
      </c>
      <c r="M87" s="154">
        <f t="shared" si="36"/>
        <v>766.51482253211725</v>
      </c>
      <c r="N87" s="154">
        <f t="shared" si="36"/>
        <v>3710.11841</v>
      </c>
      <c r="O87" s="154">
        <f t="shared" si="36"/>
        <v>1870.5911599999997</v>
      </c>
      <c r="P87" s="159">
        <f t="shared" si="36"/>
        <v>775.49035253211719</v>
      </c>
      <c r="Q87" s="154">
        <f t="shared" si="36"/>
        <v>775.49035253211719</v>
      </c>
      <c r="R87" s="154">
        <f t="shared" si="36"/>
        <v>775.49035253211719</v>
      </c>
      <c r="S87" s="144">
        <f t="shared" si="3"/>
        <v>8.9755299999999352</v>
      </c>
      <c r="T87" s="144">
        <f t="shared" si="4"/>
        <v>-1095.1008074678825</v>
      </c>
      <c r="U87" s="160" t="e">
        <f>R87-#REF!</f>
        <v>#REF!</v>
      </c>
      <c r="V87" s="160">
        <f t="shared" si="5"/>
        <v>8.9755299999999352</v>
      </c>
      <c r="W87" s="160">
        <f t="shared" si="6"/>
        <v>0</v>
      </c>
      <c r="X87" s="160" t="e">
        <f>O87-#REF!</f>
        <v>#REF!</v>
      </c>
      <c r="Y87" s="154">
        <f t="shared" si="36"/>
        <v>817.58736027138366</v>
      </c>
      <c r="Z87" s="154">
        <f t="shared" si="36"/>
        <v>854.37536251249992</v>
      </c>
      <c r="AA87" s="154">
        <f t="shared" si="36"/>
        <v>21688.236956319997</v>
      </c>
      <c r="AB87" s="154">
        <f t="shared" si="36"/>
        <v>847.71689289286496</v>
      </c>
      <c r="AC87" s="144">
        <f t="shared" si="7"/>
        <v>847.71689289286496</v>
      </c>
      <c r="AD87" s="154">
        <f t="shared" si="8"/>
        <v>30.129532621481303</v>
      </c>
      <c r="AE87" s="154">
        <f t="shared" si="9"/>
        <v>3.6851759317169979</v>
      </c>
      <c r="AF87" s="154">
        <f t="shared" si="10"/>
        <v>-6.6584696196349569</v>
      </c>
      <c r="AG87" s="154">
        <f t="shared" si="11"/>
        <v>-0.77933773746168811</v>
      </c>
      <c r="AH87" s="154">
        <f t="shared" si="12"/>
        <v>-20840.520063427131</v>
      </c>
      <c r="AI87" s="154">
        <f t="shared" si="13"/>
        <v>-96.091351756253118</v>
      </c>
    </row>
    <row r="88" spans="1:35" ht="54.6" customHeight="1" outlineLevel="3">
      <c r="A88" s="139"/>
      <c r="B88" s="143" t="s">
        <v>520</v>
      </c>
      <c r="C88" s="147" t="s">
        <v>521</v>
      </c>
      <c r="D88" s="148" t="s">
        <v>522</v>
      </c>
      <c r="E88" s="149" t="s">
        <v>522</v>
      </c>
      <c r="F88" s="143" t="s">
        <v>121</v>
      </c>
      <c r="G88" s="143">
        <v>0</v>
      </c>
      <c r="H88" s="143">
        <v>0</v>
      </c>
      <c r="I88" s="143">
        <v>0</v>
      </c>
      <c r="J88" s="143">
        <v>0</v>
      </c>
      <c r="K88" s="143">
        <v>0</v>
      </c>
      <c r="L88" s="143">
        <v>0</v>
      </c>
      <c r="M88" s="143">
        <v>0</v>
      </c>
      <c r="N88" s="143">
        <v>1169.65302</v>
      </c>
      <c r="O88" s="143">
        <v>956.74681999999996</v>
      </c>
      <c r="P88" s="150">
        <v>956.74681999999996</v>
      </c>
      <c r="Q88" s="143">
        <v>956.74681999999996</v>
      </c>
      <c r="R88" s="166">
        <v>956.74681999999996</v>
      </c>
      <c r="S88" s="143">
        <f t="shared" si="3"/>
        <v>956.74681999999996</v>
      </c>
      <c r="T88" s="143">
        <f t="shared" si="4"/>
        <v>0</v>
      </c>
      <c r="U88" s="151" t="e">
        <f>R88-#REF!</f>
        <v>#REF!</v>
      </c>
      <c r="V88" s="151">
        <f t="shared" si="5"/>
        <v>956.74681999999996</v>
      </c>
      <c r="W88" s="151">
        <f t="shared" si="6"/>
        <v>0</v>
      </c>
      <c r="X88" s="151" t="e">
        <f>O88-#REF!</f>
        <v>#REF!</v>
      </c>
      <c r="Y88" s="143">
        <f>'[65]2. подк.неподк.'!V76</f>
        <v>0</v>
      </c>
      <c r="Z88" s="143">
        <f>'[65]2. подк.неподк.'!W76</f>
        <v>0</v>
      </c>
      <c r="AA88" s="143">
        <f>'[65]2. подк.неподк.'!X76</f>
        <v>1392.1415932800003</v>
      </c>
      <c r="AB88" s="143">
        <f>Y88*$AA$11</f>
        <v>0</v>
      </c>
      <c r="AC88" s="144">
        <f t="shared" si="7"/>
        <v>0</v>
      </c>
      <c r="AD88" s="143">
        <f t="shared" si="8"/>
        <v>0</v>
      </c>
      <c r="AE88" s="143"/>
      <c r="AF88" s="143">
        <f t="shared" si="10"/>
        <v>0</v>
      </c>
      <c r="AG88" s="143"/>
      <c r="AH88" s="143">
        <f t="shared" si="12"/>
        <v>-1392.1415932800003</v>
      </c>
      <c r="AI88" s="143">
        <f t="shared" si="13"/>
        <v>-100</v>
      </c>
    </row>
    <row r="89" spans="1:35" ht="45" customHeight="1" outlineLevel="3">
      <c r="A89" s="139"/>
      <c r="B89" s="143" t="s">
        <v>523</v>
      </c>
      <c r="C89" s="147" t="s">
        <v>524</v>
      </c>
      <c r="D89" s="148" t="s">
        <v>525</v>
      </c>
      <c r="E89" s="149" t="s">
        <v>525</v>
      </c>
      <c r="F89" s="143" t="s">
        <v>121</v>
      </c>
      <c r="G89" s="143">
        <v>0</v>
      </c>
      <c r="H89" s="143">
        <v>0</v>
      </c>
      <c r="I89" s="143">
        <v>0</v>
      </c>
      <c r="J89" s="143">
        <v>0</v>
      </c>
      <c r="K89" s="143">
        <v>0</v>
      </c>
      <c r="L89" s="143">
        <v>0</v>
      </c>
      <c r="M89" s="143">
        <v>0</v>
      </c>
      <c r="N89" s="143">
        <v>114.15845999999999</v>
      </c>
      <c r="O89" s="143">
        <v>99.169179999999997</v>
      </c>
      <c r="P89" s="150">
        <v>99.169179999999997</v>
      </c>
      <c r="Q89" s="143">
        <v>99.169179999999997</v>
      </c>
      <c r="R89" s="166">
        <v>99.169179999999997</v>
      </c>
      <c r="S89" s="143">
        <f t="shared" si="3"/>
        <v>99.169179999999997</v>
      </c>
      <c r="T89" s="143">
        <f t="shared" si="4"/>
        <v>0</v>
      </c>
      <c r="U89" s="151" t="e">
        <f>R89-#REF!</f>
        <v>#REF!</v>
      </c>
      <c r="V89" s="151">
        <f t="shared" si="5"/>
        <v>99.169179999999997</v>
      </c>
      <c r="W89" s="151">
        <f t="shared" si="6"/>
        <v>0</v>
      </c>
      <c r="X89" s="151" t="e">
        <f>O89-#REF!</f>
        <v>#REF!</v>
      </c>
      <c r="Y89" s="143">
        <f>'[65]2. подк.неподк.'!V77</f>
        <v>0</v>
      </c>
      <c r="Z89" s="143">
        <f>'[65]2. подк.неподк.'!W77</f>
        <v>0</v>
      </c>
      <c r="AA89" s="143">
        <f>'[65]2. подк.неподк.'!X77</f>
        <v>167.30650800000001</v>
      </c>
      <c r="AB89" s="143">
        <f>Y89*$AA$11</f>
        <v>0</v>
      </c>
      <c r="AC89" s="144">
        <f t="shared" si="7"/>
        <v>0</v>
      </c>
      <c r="AD89" s="143">
        <f t="shared" si="8"/>
        <v>0</v>
      </c>
      <c r="AE89" s="143"/>
      <c r="AF89" s="143">
        <f t="shared" si="10"/>
        <v>0</v>
      </c>
      <c r="AG89" s="143"/>
      <c r="AH89" s="143">
        <f t="shared" si="12"/>
        <v>-167.30650800000001</v>
      </c>
      <c r="AI89" s="143">
        <f t="shared" si="13"/>
        <v>-100</v>
      </c>
    </row>
    <row r="90" spans="1:35" s="161" customFormat="1" ht="33" customHeight="1" outlineLevel="2">
      <c r="A90" s="153"/>
      <c r="B90" s="154"/>
      <c r="C90" s="155"/>
      <c r="D90" s="156" t="s">
        <v>526</v>
      </c>
      <c r="E90" s="157"/>
      <c r="F90" s="158"/>
      <c r="G90" s="154">
        <f t="shared" ref="G90:I90" si="37">G88+G89</f>
        <v>0</v>
      </c>
      <c r="H90" s="154">
        <f t="shared" si="37"/>
        <v>0</v>
      </c>
      <c r="I90" s="154">
        <f t="shared" si="37"/>
        <v>0</v>
      </c>
      <c r="J90" s="154">
        <f>J88+J89</f>
        <v>0</v>
      </c>
      <c r="K90" s="154">
        <f t="shared" ref="K90:AB90" si="38">K88+K89</f>
        <v>0</v>
      </c>
      <c r="L90" s="154">
        <f t="shared" si="38"/>
        <v>0</v>
      </c>
      <c r="M90" s="154">
        <f t="shared" si="38"/>
        <v>0</v>
      </c>
      <c r="N90" s="154">
        <f t="shared" si="38"/>
        <v>1283.8114799999998</v>
      </c>
      <c r="O90" s="154">
        <f t="shared" si="38"/>
        <v>1055.9159999999999</v>
      </c>
      <c r="P90" s="159">
        <f t="shared" si="38"/>
        <v>1055.9159999999999</v>
      </c>
      <c r="Q90" s="154">
        <f t="shared" si="38"/>
        <v>1055.9159999999999</v>
      </c>
      <c r="R90" s="154">
        <f t="shared" si="38"/>
        <v>1055.9159999999999</v>
      </c>
      <c r="S90" s="144">
        <f t="shared" si="3"/>
        <v>1055.9159999999999</v>
      </c>
      <c r="T90" s="144">
        <f t="shared" si="4"/>
        <v>0</v>
      </c>
      <c r="U90" s="160" t="e">
        <f>R90-#REF!</f>
        <v>#REF!</v>
      </c>
      <c r="V90" s="160">
        <f t="shared" si="5"/>
        <v>1055.9159999999999</v>
      </c>
      <c r="W90" s="160">
        <f t="shared" si="6"/>
        <v>0</v>
      </c>
      <c r="X90" s="160" t="e">
        <f>O90-#REF!</f>
        <v>#REF!</v>
      </c>
      <c r="Y90" s="154">
        <f t="shared" si="38"/>
        <v>0</v>
      </c>
      <c r="Z90" s="154">
        <f t="shared" si="38"/>
        <v>0</v>
      </c>
      <c r="AA90" s="154">
        <f t="shared" si="38"/>
        <v>1559.4481012800002</v>
      </c>
      <c r="AB90" s="154">
        <f t="shared" si="38"/>
        <v>0</v>
      </c>
      <c r="AC90" s="144">
        <f t="shared" si="7"/>
        <v>0</v>
      </c>
      <c r="AD90" s="154">
        <f t="shared" si="8"/>
        <v>0</v>
      </c>
      <c r="AE90" s="154"/>
      <c r="AF90" s="154">
        <f t="shared" si="10"/>
        <v>0</v>
      </c>
      <c r="AG90" s="154"/>
      <c r="AH90" s="154">
        <f t="shared" si="12"/>
        <v>-1559.4481012800002</v>
      </c>
      <c r="AI90" s="154">
        <f t="shared" si="13"/>
        <v>-100</v>
      </c>
    </row>
    <row r="91" spans="1:35" ht="33" customHeight="1" outlineLevel="1">
      <c r="A91" s="139"/>
      <c r="B91" s="140" t="s">
        <v>527</v>
      </c>
      <c r="C91" s="141"/>
      <c r="D91" s="142" t="s">
        <v>528</v>
      </c>
      <c r="E91" s="142" t="s">
        <v>528</v>
      </c>
      <c r="F91" s="143" t="s">
        <v>121</v>
      </c>
      <c r="G91" s="144">
        <f t="shared" ref="G91:I91" si="39">SUM(G92:G94)</f>
        <v>67010.678018903272</v>
      </c>
      <c r="H91" s="144">
        <f t="shared" si="39"/>
        <v>50375.14157</v>
      </c>
      <c r="I91" s="144">
        <f t="shared" si="39"/>
        <v>50375.14</v>
      </c>
      <c r="J91" s="144">
        <f t="shared" ref="J91:M91" si="40">SUM(J92:J94)</f>
        <v>73529.029945116781</v>
      </c>
      <c r="K91" s="144">
        <f t="shared" si="40"/>
        <v>54349.757350000007</v>
      </c>
      <c r="L91" s="144">
        <f t="shared" si="40"/>
        <v>54349.761170000005</v>
      </c>
      <c r="M91" s="144">
        <f t="shared" si="40"/>
        <v>50732.281986623311</v>
      </c>
      <c r="N91" s="144">
        <f>SUM(N92:N94)</f>
        <v>63250.487110000002</v>
      </c>
      <c r="O91" s="144">
        <f t="shared" ref="O91:AB91" si="41">SUM(O92:O94)</f>
        <v>61541.971790000003</v>
      </c>
      <c r="P91" s="145">
        <f t="shared" si="41"/>
        <v>61541.971790000003</v>
      </c>
      <c r="Q91" s="144">
        <f t="shared" si="41"/>
        <v>61541.971790000003</v>
      </c>
      <c r="R91" s="144">
        <f t="shared" si="41"/>
        <v>61541.971790000003</v>
      </c>
      <c r="S91" s="144">
        <f t="shared" si="3"/>
        <v>10809.689803376692</v>
      </c>
      <c r="T91" s="144">
        <f t="shared" si="4"/>
        <v>0</v>
      </c>
      <c r="U91" s="146" t="e">
        <f>R91-#REF!</f>
        <v>#REF!</v>
      </c>
      <c r="V91" s="146">
        <f t="shared" si="5"/>
        <v>10809.689803376692</v>
      </c>
      <c r="W91" s="146">
        <f t="shared" si="6"/>
        <v>0</v>
      </c>
      <c r="X91" s="146" t="e">
        <f>O91-#REF!</f>
        <v>#REF!</v>
      </c>
      <c r="Y91" s="144">
        <f t="shared" si="41"/>
        <v>61639.422886926252</v>
      </c>
      <c r="Z91" s="168">
        <f t="shared" si="41"/>
        <v>64413.19691683798</v>
      </c>
      <c r="AA91" s="144">
        <f t="shared" si="41"/>
        <v>91243.38396628949</v>
      </c>
      <c r="AB91" s="144">
        <f t="shared" si="41"/>
        <v>63910.944063604518</v>
      </c>
      <c r="AC91" s="144">
        <f t="shared" si="7"/>
        <v>63910.944063604518</v>
      </c>
      <c r="AD91" s="144">
        <f t="shared" si="8"/>
        <v>2271.5211766782668</v>
      </c>
      <c r="AE91" s="144">
        <f t="shared" si="9"/>
        <v>3.6851759317169979</v>
      </c>
      <c r="AF91" s="144">
        <f t="shared" si="10"/>
        <v>-502.25285323346179</v>
      </c>
      <c r="AG91" s="144">
        <f t="shared" si="11"/>
        <v>-0.77973595051011557</v>
      </c>
      <c r="AH91" s="144">
        <f t="shared" si="12"/>
        <v>-27332.439902684971</v>
      </c>
      <c r="AI91" s="144">
        <f t="shared" si="13"/>
        <v>-29.955530707610691</v>
      </c>
    </row>
    <row r="92" spans="1:35" ht="33" customHeight="1" outlineLevel="2">
      <c r="A92" s="152" t="s">
        <v>529</v>
      </c>
      <c r="B92" s="143" t="s">
        <v>135</v>
      </c>
      <c r="C92" s="147" t="s">
        <v>530</v>
      </c>
      <c r="D92" s="165" t="s">
        <v>531</v>
      </c>
      <c r="E92" s="149" t="s">
        <v>532</v>
      </c>
      <c r="F92" s="143" t="s">
        <v>121</v>
      </c>
      <c r="G92" s="143">
        <v>539.8333057914341</v>
      </c>
      <c r="H92" s="143">
        <v>173.34924000000001</v>
      </c>
      <c r="I92" s="143">
        <v>173.35</v>
      </c>
      <c r="J92" s="143">
        <v>592.34469013598834</v>
      </c>
      <c r="K92" s="143">
        <v>0</v>
      </c>
      <c r="L92" s="143">
        <v>0</v>
      </c>
      <c r="M92" s="143">
        <v>148.55209008969703</v>
      </c>
      <c r="N92" s="143">
        <v>564.68034000000011</v>
      </c>
      <c r="O92" s="143">
        <v>561.99014999999997</v>
      </c>
      <c r="P92" s="150">
        <v>561.99014999999997</v>
      </c>
      <c r="Q92" s="143">
        <v>561.99014999999997</v>
      </c>
      <c r="R92" s="143">
        <v>561.99014999999997</v>
      </c>
      <c r="S92" s="143">
        <f t="shared" si="3"/>
        <v>413.43805991030297</v>
      </c>
      <c r="T92" s="143">
        <f t="shared" si="4"/>
        <v>0</v>
      </c>
      <c r="U92" s="151" t="e">
        <f>R92-#REF!</f>
        <v>#REF!</v>
      </c>
      <c r="V92" s="151">
        <f t="shared" si="5"/>
        <v>413.43805991030297</v>
      </c>
      <c r="W92" s="151">
        <f t="shared" si="6"/>
        <v>0</v>
      </c>
      <c r="X92" s="151" t="e">
        <f>O92-#REF!</f>
        <v>#REF!</v>
      </c>
      <c r="Y92" s="143">
        <f>'[65]2. подк.неподк.'!V80</f>
        <v>0</v>
      </c>
      <c r="Z92" s="143">
        <f>'[65]2. подк.неподк.'!W80</f>
        <v>0</v>
      </c>
      <c r="AA92" s="143">
        <f>'[65]2. подк.неподк.'!X80</f>
        <v>3217.11</v>
      </c>
      <c r="AB92" s="143">
        <f t="shared" ref="AB92:AB112" si="42">Y92*$AA$11</f>
        <v>0</v>
      </c>
      <c r="AC92" s="144">
        <f t="shared" si="7"/>
        <v>0</v>
      </c>
      <c r="AD92" s="143">
        <f t="shared" si="8"/>
        <v>0</v>
      </c>
      <c r="AE92" s="143"/>
      <c r="AF92" s="143">
        <f t="shared" si="10"/>
        <v>0</v>
      </c>
      <c r="AG92" s="143"/>
      <c r="AH92" s="143">
        <f t="shared" si="12"/>
        <v>-3217.11</v>
      </c>
      <c r="AI92" s="143">
        <f t="shared" si="13"/>
        <v>-100</v>
      </c>
    </row>
    <row r="93" spans="1:35" ht="33" customHeight="1" outlineLevel="2">
      <c r="A93" s="139" t="s">
        <v>533</v>
      </c>
      <c r="B93" s="143" t="s">
        <v>534</v>
      </c>
      <c r="C93" s="147" t="s">
        <v>535</v>
      </c>
      <c r="D93" s="149" t="s">
        <v>536</v>
      </c>
      <c r="E93" s="149" t="s">
        <v>537</v>
      </c>
      <c r="F93" s="143" t="s">
        <v>121</v>
      </c>
      <c r="G93" s="143">
        <v>7037.2175754966056</v>
      </c>
      <c r="H93" s="143">
        <v>2604.4683399999999</v>
      </c>
      <c r="I93" s="143">
        <v>2604.4699999999998</v>
      </c>
      <c r="J93" s="143">
        <v>7721.7511766262933</v>
      </c>
      <c r="K93" s="143">
        <v>2841.1061800000002</v>
      </c>
      <c r="L93" s="143">
        <v>2841.11</v>
      </c>
      <c r="M93" s="143">
        <v>2586.0156887463022</v>
      </c>
      <c r="N93" s="143">
        <v>3745.5622500000004</v>
      </c>
      <c r="O93" s="143">
        <v>3727.24541</v>
      </c>
      <c r="P93" s="150">
        <v>3727.24541</v>
      </c>
      <c r="Q93" s="143">
        <v>3727.24541</v>
      </c>
      <c r="R93" s="143">
        <v>3727.24541</v>
      </c>
      <c r="S93" s="143">
        <f t="shared" si="3"/>
        <v>1141.2297212536978</v>
      </c>
      <c r="T93" s="143">
        <f t="shared" si="4"/>
        <v>0</v>
      </c>
      <c r="U93" s="151" t="e">
        <f>R93-#REF!</f>
        <v>#REF!</v>
      </c>
      <c r="V93" s="151">
        <f t="shared" si="5"/>
        <v>1141.2297212536978</v>
      </c>
      <c r="W93" s="151">
        <f t="shared" si="6"/>
        <v>0</v>
      </c>
      <c r="X93" s="151" t="e">
        <f>O93-#REF!</f>
        <v>#REF!</v>
      </c>
      <c r="Y93" s="143">
        <f>'[65]2. подк.неподк.'!V81</f>
        <v>3222.1738787499994</v>
      </c>
      <c r="Z93" s="143">
        <f>'[65]2. подк.неподк.'!W81</f>
        <v>3273.0590032937498</v>
      </c>
      <c r="AA93" s="143">
        <f>'[65]2. подк.неподк.'!X81</f>
        <v>7731.9652857600013</v>
      </c>
      <c r="AB93" s="143">
        <f t="shared" si="42"/>
        <v>3340.9166550077666</v>
      </c>
      <c r="AC93" s="144">
        <f t="shared" si="7"/>
        <v>3340.9166550077666</v>
      </c>
      <c r="AD93" s="143">
        <f t="shared" si="8"/>
        <v>118.74277625776722</v>
      </c>
      <c r="AE93" s="143">
        <f t="shared" si="9"/>
        <v>3.6851759317169979</v>
      </c>
      <c r="AF93" s="143">
        <f t="shared" si="10"/>
        <v>67.857651714016811</v>
      </c>
      <c r="AG93" s="143">
        <f t="shared" si="11"/>
        <v>2.0732181010403536</v>
      </c>
      <c r="AH93" s="143">
        <f t="shared" si="12"/>
        <v>-4391.0486307522351</v>
      </c>
      <c r="AI93" s="143">
        <f t="shared" si="13"/>
        <v>-56.790847714218927</v>
      </c>
    </row>
    <row r="94" spans="1:35" ht="33" customHeight="1" outlineLevel="2">
      <c r="A94" s="139" t="s">
        <v>538</v>
      </c>
      <c r="B94" s="143" t="s">
        <v>539</v>
      </c>
      <c r="C94" s="147" t="s">
        <v>540</v>
      </c>
      <c r="D94" s="149" t="s">
        <v>541</v>
      </c>
      <c r="E94" s="149" t="s">
        <v>542</v>
      </c>
      <c r="F94" s="143" t="s">
        <v>121</v>
      </c>
      <c r="G94" s="143">
        <v>59433.627137615236</v>
      </c>
      <c r="H94" s="143">
        <v>47597.323989999997</v>
      </c>
      <c r="I94" s="143">
        <v>47597.32</v>
      </c>
      <c r="J94" s="143">
        <v>65214.934078354505</v>
      </c>
      <c r="K94" s="143">
        <v>51508.651170000005</v>
      </c>
      <c r="L94" s="143">
        <v>51508.651170000005</v>
      </c>
      <c r="M94" s="143">
        <v>47997.714207787314</v>
      </c>
      <c r="N94" s="143">
        <v>58940.24452</v>
      </c>
      <c r="O94" s="143">
        <v>57252.736230000002</v>
      </c>
      <c r="P94" s="150">
        <v>57252.736230000002</v>
      </c>
      <c r="Q94" s="143">
        <v>57252.736230000002</v>
      </c>
      <c r="R94" s="143">
        <v>57252.736230000002</v>
      </c>
      <c r="S94" s="143">
        <f t="shared" ref="S94:S157" si="43">R94-M94</f>
        <v>9255.0220222126882</v>
      </c>
      <c r="T94" s="143">
        <f t="shared" ref="T94:T157" si="44">R94-O94</f>
        <v>0</v>
      </c>
      <c r="U94" s="151" t="e">
        <f>R94-#REF!</f>
        <v>#REF!</v>
      </c>
      <c r="V94" s="151">
        <f t="shared" ref="V94:V157" si="45">R94-M94</f>
        <v>9255.0220222126882</v>
      </c>
      <c r="W94" s="151">
        <f t="shared" ref="W94:W157" si="46">Q94-P94</f>
        <v>0</v>
      </c>
      <c r="X94" s="151" t="e">
        <f>O94-#REF!</f>
        <v>#REF!</v>
      </c>
      <c r="Y94" s="143">
        <f>'[65]2. подк.неподк.'!V82</f>
        <v>58417.249008176252</v>
      </c>
      <c r="Z94" s="143">
        <f>'[65]2. подк.неподк.'!W82</f>
        <v>61140.137913544233</v>
      </c>
      <c r="AA94" s="143">
        <f>'[65]2. подк.неподк.'!X82</f>
        <v>80294.308680529488</v>
      </c>
      <c r="AB94" s="143">
        <f t="shared" si="42"/>
        <v>60570.027408596754</v>
      </c>
      <c r="AC94" s="144">
        <f t="shared" ref="AC94:AC157" si="47">AB94</f>
        <v>60570.027408596754</v>
      </c>
      <c r="AD94" s="143">
        <f t="shared" ref="AD94:AD157" si="48">AB94-Y94</f>
        <v>2152.7784004205023</v>
      </c>
      <c r="AE94" s="143">
        <f t="shared" ref="AE94:AE157" si="49">AB94/Y94*100-100</f>
        <v>3.6851759317169979</v>
      </c>
      <c r="AF94" s="143">
        <f t="shared" ref="AF94:AF157" si="50">AB94-Z94</f>
        <v>-570.11050494747906</v>
      </c>
      <c r="AG94" s="143">
        <f t="shared" ref="AG94:AG157" si="51">AB94/Z94*100-100</f>
        <v>-0.93246519292064534</v>
      </c>
      <c r="AH94" s="143">
        <f t="shared" ref="AH94:AH157" si="52">AB94-AA94</f>
        <v>-19724.281271932734</v>
      </c>
      <c r="AI94" s="143">
        <f t="shared" ref="AI94:AI157" si="53">AB94/AA94*100-100</f>
        <v>-24.564980502429634</v>
      </c>
    </row>
    <row r="95" spans="1:35" ht="33" customHeight="1">
      <c r="A95" s="139" t="s">
        <v>543</v>
      </c>
      <c r="B95" s="169" t="s">
        <v>75</v>
      </c>
      <c r="C95" s="141"/>
      <c r="D95" s="142" t="s">
        <v>544</v>
      </c>
      <c r="E95" s="142" t="s">
        <v>544</v>
      </c>
      <c r="F95" s="143" t="s">
        <v>121</v>
      </c>
      <c r="G95" s="144">
        <v>761740.30943159445</v>
      </c>
      <c r="H95" s="144">
        <v>774397.05044999998</v>
      </c>
      <c r="I95" s="144">
        <v>736548.06677771546</v>
      </c>
      <c r="J95" s="144">
        <v>835837.32</v>
      </c>
      <c r="K95" s="144">
        <v>858232.29200000002</v>
      </c>
      <c r="L95" s="144">
        <v>858232.29200000002</v>
      </c>
      <c r="M95" s="144">
        <v>837905.09790543455</v>
      </c>
      <c r="N95" s="144">
        <v>928422.44139000005</v>
      </c>
      <c r="O95" s="144">
        <v>872360.68993000023</v>
      </c>
      <c r="P95" s="145">
        <v>872360.68993000023</v>
      </c>
      <c r="Q95" s="144">
        <v>872360.68993000023</v>
      </c>
      <c r="R95" s="144">
        <v>872360.68993000023</v>
      </c>
      <c r="S95" s="144">
        <f t="shared" si="43"/>
        <v>34455.592024565674</v>
      </c>
      <c r="T95" s="144">
        <f t="shared" si="44"/>
        <v>0</v>
      </c>
      <c r="U95" s="146" t="e">
        <f>R95-#REF!</f>
        <v>#REF!</v>
      </c>
      <c r="V95" s="146">
        <f t="shared" si="45"/>
        <v>34455.592024565674</v>
      </c>
      <c r="W95" s="146">
        <f t="shared" si="46"/>
        <v>0</v>
      </c>
      <c r="X95" s="146" t="e">
        <f>O95-#REF!</f>
        <v>#REF!</v>
      </c>
      <c r="Y95" s="144">
        <f>'[65]2. подк.неподк.'!V83</f>
        <v>962477.4773477799</v>
      </c>
      <c r="Z95" s="170">
        <f>'[65]2. подк.неподк.'!W83</f>
        <v>1005788.9638284299</v>
      </c>
      <c r="AA95" s="144">
        <f>'[65]2. подк.неподк.'!X83</f>
        <v>1961467.5</v>
      </c>
      <c r="AB95" s="144">
        <f t="shared" si="42"/>
        <v>997946.4656911972</v>
      </c>
      <c r="AC95" s="144">
        <f t="shared" si="47"/>
        <v>997946.4656911972</v>
      </c>
      <c r="AD95" s="144">
        <f t="shared" si="48"/>
        <v>35468.988343417295</v>
      </c>
      <c r="AE95" s="144">
        <f t="shared" si="49"/>
        <v>3.6851759317169979</v>
      </c>
      <c r="AF95" s="144">
        <f t="shared" si="50"/>
        <v>-7842.4981372327311</v>
      </c>
      <c r="AG95" s="144">
        <f t="shared" si="51"/>
        <v>-0.77973595051004452</v>
      </c>
      <c r="AH95" s="144">
        <f t="shared" si="52"/>
        <v>-963521.0343088028</v>
      </c>
      <c r="AI95" s="144">
        <f t="shared" si="53"/>
        <v>-49.122457257578965</v>
      </c>
    </row>
    <row r="96" spans="1:35" ht="33" customHeight="1">
      <c r="A96" s="139" t="s">
        <v>545</v>
      </c>
      <c r="B96" s="169" t="s">
        <v>546</v>
      </c>
      <c r="C96" s="171"/>
      <c r="D96" s="172" t="s">
        <v>547</v>
      </c>
      <c r="E96" s="172" t="s">
        <v>547</v>
      </c>
      <c r="F96" s="143" t="s">
        <v>121</v>
      </c>
      <c r="G96" s="173">
        <v>37128.449999999997</v>
      </c>
      <c r="H96" s="173">
        <v>56320</v>
      </c>
      <c r="I96" s="173">
        <v>37128.449999999997</v>
      </c>
      <c r="J96" s="173">
        <f t="shared" ref="J96:Y96" si="54">SUM(J97:J112)</f>
        <v>40740.04</v>
      </c>
      <c r="K96" s="173">
        <f t="shared" si="54"/>
        <v>43854.198228999994</v>
      </c>
      <c r="L96" s="173">
        <f t="shared" si="54"/>
        <v>43659.197769999992</v>
      </c>
      <c r="M96" s="173">
        <f t="shared" ref="M96" si="55">SUM(M97:M112)</f>
        <v>40740.04</v>
      </c>
      <c r="N96" s="173">
        <f t="shared" si="54"/>
        <v>46173.379379999998</v>
      </c>
      <c r="O96" s="173">
        <f t="shared" si="54"/>
        <v>39724.693220000008</v>
      </c>
      <c r="P96" s="174">
        <f t="shared" si="54"/>
        <v>39724.693220000008</v>
      </c>
      <c r="Q96" s="173">
        <f t="shared" ref="Q96:R96" si="56">SUM(Q97:Q112)</f>
        <v>39724.693220000008</v>
      </c>
      <c r="R96" s="144">
        <f t="shared" si="56"/>
        <v>39724.693220000008</v>
      </c>
      <c r="S96" s="173">
        <f t="shared" si="43"/>
        <v>-1015.3467799999926</v>
      </c>
      <c r="T96" s="173">
        <f t="shared" si="44"/>
        <v>0</v>
      </c>
      <c r="U96" s="175" t="e">
        <f>R96-#REF!</f>
        <v>#REF!</v>
      </c>
      <c r="V96" s="175">
        <f t="shared" si="45"/>
        <v>-1015.3467799999926</v>
      </c>
      <c r="W96" s="175">
        <f t="shared" si="46"/>
        <v>0</v>
      </c>
      <c r="X96" s="175" t="e">
        <f>O96-#REF!</f>
        <v>#REF!</v>
      </c>
      <c r="Y96" s="173">
        <f t="shared" si="54"/>
        <v>42980.76</v>
      </c>
      <c r="Z96" s="170">
        <f t="shared" ref="Z96" si="57">SUM(Z97:Z112)</f>
        <v>44914.894200000002</v>
      </c>
      <c r="AA96" s="173">
        <f>SUM(AA97:AA112)</f>
        <v>150706.04999999996</v>
      </c>
      <c r="AB96" s="173">
        <f t="shared" si="42"/>
        <v>44564.676622789048</v>
      </c>
      <c r="AC96" s="144">
        <f t="shared" si="47"/>
        <v>44564.676622789048</v>
      </c>
      <c r="AD96" s="173">
        <f t="shared" si="48"/>
        <v>1583.9166227890455</v>
      </c>
      <c r="AE96" s="173">
        <f t="shared" si="49"/>
        <v>3.6851759317169979</v>
      </c>
      <c r="AF96" s="173">
        <f t="shared" si="50"/>
        <v>-350.21757721095491</v>
      </c>
      <c r="AG96" s="173">
        <f t="shared" si="51"/>
        <v>-0.77973595051005873</v>
      </c>
      <c r="AH96" s="173">
        <f t="shared" si="52"/>
        <v>-106141.37337721091</v>
      </c>
      <c r="AI96" s="173">
        <f t="shared" si="53"/>
        <v>-70.429404378398175</v>
      </c>
    </row>
    <row r="97" spans="1:35" ht="33" customHeight="1" outlineLevel="1">
      <c r="A97" s="139" t="s">
        <v>548</v>
      </c>
      <c r="B97" s="176" t="s">
        <v>549</v>
      </c>
      <c r="C97" s="147" t="s">
        <v>550</v>
      </c>
      <c r="D97" s="148" t="s">
        <v>551</v>
      </c>
      <c r="E97" s="177"/>
      <c r="F97" s="178" t="s">
        <v>552</v>
      </c>
      <c r="G97" s="179">
        <v>0</v>
      </c>
      <c r="H97" s="179">
        <v>0</v>
      </c>
      <c r="I97" s="179">
        <v>0</v>
      </c>
      <c r="J97" s="179">
        <v>0</v>
      </c>
      <c r="K97" s="179">
        <v>0</v>
      </c>
      <c r="L97" s="179">
        <v>0</v>
      </c>
      <c r="M97" s="179"/>
      <c r="N97" s="179"/>
      <c r="O97" s="179"/>
      <c r="P97" s="180"/>
      <c r="Q97" s="179"/>
      <c r="R97" s="144"/>
      <c r="S97" s="179">
        <f t="shared" si="43"/>
        <v>0</v>
      </c>
      <c r="T97" s="179">
        <f t="shared" si="44"/>
        <v>0</v>
      </c>
      <c r="U97" s="181" t="e">
        <f>R97-#REF!</f>
        <v>#REF!</v>
      </c>
      <c r="V97" s="181">
        <f t="shared" si="45"/>
        <v>0</v>
      </c>
      <c r="W97" s="181">
        <f t="shared" si="46"/>
        <v>0</v>
      </c>
      <c r="X97" s="181" t="e">
        <f>O97-#REF!</f>
        <v>#REF!</v>
      </c>
      <c r="Y97" s="143">
        <f>'[65]2. подк.неподк.'!V85</f>
        <v>0</v>
      </c>
      <c r="Z97" s="182">
        <f>'[65]2. подк.неподк.'!W85</f>
        <v>0</v>
      </c>
      <c r="AA97" s="143">
        <f>'[65]2. подк.неподк.'!X85</f>
        <v>100</v>
      </c>
      <c r="AB97" s="143">
        <f t="shared" si="42"/>
        <v>0</v>
      </c>
      <c r="AC97" s="144">
        <f t="shared" si="47"/>
        <v>0</v>
      </c>
      <c r="AD97" s="143">
        <f t="shared" si="48"/>
        <v>0</v>
      </c>
      <c r="AE97" s="143"/>
      <c r="AF97" s="143">
        <f t="shared" si="50"/>
        <v>0</v>
      </c>
      <c r="AG97" s="143"/>
      <c r="AH97" s="143">
        <f t="shared" si="52"/>
        <v>-100</v>
      </c>
      <c r="AI97" s="143">
        <f t="shared" si="53"/>
        <v>-100</v>
      </c>
    </row>
    <row r="98" spans="1:35" ht="33" customHeight="1" outlineLevel="1">
      <c r="A98" s="139" t="s">
        <v>553</v>
      </c>
      <c r="B98" s="176" t="s">
        <v>554</v>
      </c>
      <c r="C98" s="183" t="s">
        <v>555</v>
      </c>
      <c r="D98" s="162" t="s">
        <v>556</v>
      </c>
      <c r="E98" s="177"/>
      <c r="F98" s="178" t="s">
        <v>552</v>
      </c>
      <c r="G98" s="179">
        <v>0</v>
      </c>
      <c r="H98" s="179">
        <v>0</v>
      </c>
      <c r="I98" s="179">
        <v>0</v>
      </c>
      <c r="J98" s="179">
        <v>0</v>
      </c>
      <c r="K98" s="179">
        <v>0</v>
      </c>
      <c r="L98" s="179">
        <v>0</v>
      </c>
      <c r="M98" s="179">
        <v>0</v>
      </c>
      <c r="N98" s="179"/>
      <c r="O98" s="179"/>
      <c r="P98" s="180"/>
      <c r="Q98" s="179"/>
      <c r="R98" s="144"/>
      <c r="S98" s="179">
        <f t="shared" si="43"/>
        <v>0</v>
      </c>
      <c r="T98" s="179">
        <f t="shared" si="44"/>
        <v>0</v>
      </c>
      <c r="U98" s="181" t="e">
        <f>R98-#REF!</f>
        <v>#REF!</v>
      </c>
      <c r="V98" s="181">
        <f t="shared" si="45"/>
        <v>0</v>
      </c>
      <c r="W98" s="181">
        <f t="shared" si="46"/>
        <v>0</v>
      </c>
      <c r="X98" s="181" t="e">
        <f>O98-#REF!</f>
        <v>#REF!</v>
      </c>
      <c r="Y98" s="143">
        <f>'[65]2. подк.неподк.'!V86</f>
        <v>0</v>
      </c>
      <c r="Z98" s="182">
        <f>'[65]2. подк.неподк.'!W86</f>
        <v>0</v>
      </c>
      <c r="AA98" s="143">
        <f>'[65]2. подк.неподк.'!X86</f>
        <v>215</v>
      </c>
      <c r="AB98" s="143">
        <f t="shared" si="42"/>
        <v>0</v>
      </c>
      <c r="AC98" s="144">
        <f t="shared" si="47"/>
        <v>0</v>
      </c>
      <c r="AD98" s="143">
        <f t="shared" si="48"/>
        <v>0</v>
      </c>
      <c r="AE98" s="143"/>
      <c r="AF98" s="143">
        <f t="shared" si="50"/>
        <v>0</v>
      </c>
      <c r="AG98" s="143"/>
      <c r="AH98" s="143">
        <f t="shared" si="52"/>
        <v>-215</v>
      </c>
      <c r="AI98" s="143">
        <f t="shared" si="53"/>
        <v>-100</v>
      </c>
    </row>
    <row r="99" spans="1:35" ht="33" customHeight="1" outlineLevel="1">
      <c r="A99" s="139"/>
      <c r="B99" s="176" t="s">
        <v>557</v>
      </c>
      <c r="C99" s="171" t="s">
        <v>558</v>
      </c>
      <c r="D99" s="148" t="s">
        <v>559</v>
      </c>
      <c r="E99" s="172"/>
      <c r="F99" s="178" t="s">
        <v>552</v>
      </c>
      <c r="G99" s="179">
        <v>0</v>
      </c>
      <c r="H99" s="179">
        <v>0</v>
      </c>
      <c r="I99" s="179">
        <v>0</v>
      </c>
      <c r="J99" s="179">
        <v>413.35</v>
      </c>
      <c r="K99" s="179">
        <v>548.01444400000003</v>
      </c>
      <c r="L99" s="179">
        <v>548.01</v>
      </c>
      <c r="M99" s="179">
        <v>413.35</v>
      </c>
      <c r="N99" s="179">
        <v>635.79600000000005</v>
      </c>
      <c r="O99" s="179">
        <v>624.92871000000002</v>
      </c>
      <c r="P99" s="180">
        <v>624.92871000000002</v>
      </c>
      <c r="Q99" s="179">
        <v>624.92871000000002</v>
      </c>
      <c r="R99" s="144">
        <v>624.92871000000002</v>
      </c>
      <c r="S99" s="179">
        <f t="shared" si="43"/>
        <v>211.57871</v>
      </c>
      <c r="T99" s="179">
        <f t="shared" si="44"/>
        <v>0</v>
      </c>
      <c r="U99" s="181" t="e">
        <f>R99-#REF!</f>
        <v>#REF!</v>
      </c>
      <c r="V99" s="181">
        <f t="shared" si="45"/>
        <v>211.57871</v>
      </c>
      <c r="W99" s="181">
        <f t="shared" si="46"/>
        <v>0</v>
      </c>
      <c r="X99" s="181" t="e">
        <f>O99-#REF!</f>
        <v>#REF!</v>
      </c>
      <c r="Y99" s="143">
        <f>'[65]2. подк.неподк.'!V87</f>
        <v>436.09</v>
      </c>
      <c r="Z99" s="182">
        <f>'[65]2. подк.неподк.'!W87</f>
        <v>455.71404999999993</v>
      </c>
      <c r="AA99" s="143">
        <f>'[65]2. подк.неподк.'!X87</f>
        <v>526.22</v>
      </c>
      <c r="AB99" s="143">
        <f t="shared" si="42"/>
        <v>452.16068372062466</v>
      </c>
      <c r="AC99" s="144">
        <f t="shared" si="47"/>
        <v>452.16068372062466</v>
      </c>
      <c r="AD99" s="143">
        <f t="shared" si="48"/>
        <v>16.070683720624686</v>
      </c>
      <c r="AE99" s="143">
        <f t="shared" si="49"/>
        <v>3.6851759317169979</v>
      </c>
      <c r="AF99" s="143">
        <f t="shared" si="50"/>
        <v>-3.5533662793752683</v>
      </c>
      <c r="AG99" s="143">
        <f t="shared" si="51"/>
        <v>-0.77973595051003031</v>
      </c>
      <c r="AH99" s="143">
        <f t="shared" si="52"/>
        <v>-74.059316279375366</v>
      </c>
      <c r="AI99" s="143">
        <f t="shared" si="53"/>
        <v>-14.073831530419852</v>
      </c>
    </row>
    <row r="100" spans="1:35" ht="33" customHeight="1" outlineLevel="1">
      <c r="A100" s="139"/>
      <c r="B100" s="176" t="s">
        <v>560</v>
      </c>
      <c r="C100" s="171" t="s">
        <v>561</v>
      </c>
      <c r="D100" s="148" t="s">
        <v>562</v>
      </c>
      <c r="E100" s="172"/>
      <c r="F100" s="178" t="s">
        <v>552</v>
      </c>
      <c r="G100" s="179">
        <v>0</v>
      </c>
      <c r="H100" s="179">
        <v>0</v>
      </c>
      <c r="I100" s="179">
        <v>0</v>
      </c>
      <c r="J100" s="179">
        <v>942.79</v>
      </c>
      <c r="K100" s="179">
        <v>997.98</v>
      </c>
      <c r="L100" s="179">
        <v>997.98</v>
      </c>
      <c r="M100" s="179">
        <v>942.79</v>
      </c>
      <c r="N100" s="179">
        <v>1167.55</v>
      </c>
      <c r="O100" s="179">
        <v>1118.5686899999998</v>
      </c>
      <c r="P100" s="180">
        <v>1118.5686899999998</v>
      </c>
      <c r="Q100" s="179">
        <v>1118.5686899999998</v>
      </c>
      <c r="R100" s="144">
        <v>1118.5686899999998</v>
      </c>
      <c r="S100" s="179">
        <f t="shared" si="43"/>
        <v>175.77868999999987</v>
      </c>
      <c r="T100" s="179">
        <f t="shared" si="44"/>
        <v>0</v>
      </c>
      <c r="U100" s="181" t="e">
        <f>R100-#REF!</f>
        <v>#REF!</v>
      </c>
      <c r="V100" s="181">
        <f t="shared" si="45"/>
        <v>175.77868999999987</v>
      </c>
      <c r="W100" s="181">
        <f t="shared" si="46"/>
        <v>0</v>
      </c>
      <c r="X100" s="181" t="e">
        <f>O100-#REF!</f>
        <v>#REF!</v>
      </c>
      <c r="Y100" s="143">
        <f>'[65]2. подк.неподк.'!V88</f>
        <v>994.65</v>
      </c>
      <c r="Z100" s="182">
        <f>'[65]2. подк.неподк.'!W88</f>
        <v>1039.4092499999999</v>
      </c>
      <c r="AA100" s="143">
        <f>'[65]2. подк.неподк.'!X88</f>
        <v>1997.85</v>
      </c>
      <c r="AB100" s="143">
        <f t="shared" si="42"/>
        <v>1031.3046024048231</v>
      </c>
      <c r="AC100" s="144">
        <f t="shared" si="47"/>
        <v>1031.3046024048231</v>
      </c>
      <c r="AD100" s="143">
        <f t="shared" si="48"/>
        <v>36.654602404823095</v>
      </c>
      <c r="AE100" s="143">
        <f t="shared" si="49"/>
        <v>3.6851759317169979</v>
      </c>
      <c r="AF100" s="143">
        <f t="shared" si="50"/>
        <v>-8.1046475951768571</v>
      </c>
      <c r="AG100" s="143">
        <f t="shared" si="51"/>
        <v>-0.77973595051005873</v>
      </c>
      <c r="AH100" s="143">
        <f t="shared" si="52"/>
        <v>-966.54539759517684</v>
      </c>
      <c r="AI100" s="143">
        <f t="shared" si="53"/>
        <v>-48.379277603182267</v>
      </c>
    </row>
    <row r="101" spans="1:35" ht="33" customHeight="1" outlineLevel="1">
      <c r="A101" s="139"/>
      <c r="B101" s="176" t="s">
        <v>563</v>
      </c>
      <c r="C101" s="171" t="s">
        <v>564</v>
      </c>
      <c r="D101" s="184" t="s">
        <v>565</v>
      </c>
      <c r="E101" s="172"/>
      <c r="F101" s="178" t="s">
        <v>552</v>
      </c>
      <c r="G101" s="179">
        <v>37128.449999999997</v>
      </c>
      <c r="H101" s="179">
        <v>56320</v>
      </c>
      <c r="I101" s="179">
        <v>37128.449999999997</v>
      </c>
      <c r="J101" s="179">
        <v>35274.25</v>
      </c>
      <c r="K101" s="179">
        <v>36628.97</v>
      </c>
      <c r="L101" s="179">
        <v>36628.97</v>
      </c>
      <c r="M101" s="179">
        <v>35274.25</v>
      </c>
      <c r="N101" s="179">
        <v>38626.426479999995</v>
      </c>
      <c r="O101" s="179">
        <v>32700.072960000001</v>
      </c>
      <c r="P101" s="180">
        <v>32700.072960000001</v>
      </c>
      <c r="Q101" s="179">
        <v>32700.072960000001</v>
      </c>
      <c r="R101" s="144">
        <v>32700.072960000001</v>
      </c>
      <c r="S101" s="179">
        <f t="shared" si="43"/>
        <v>-2574.1770399999987</v>
      </c>
      <c r="T101" s="179">
        <f t="shared" si="44"/>
        <v>0</v>
      </c>
      <c r="U101" s="181" t="e">
        <f>R101-#REF!</f>
        <v>#REF!</v>
      </c>
      <c r="V101" s="181">
        <f t="shared" si="45"/>
        <v>-2574.1770399999987</v>
      </c>
      <c r="W101" s="181">
        <f t="shared" si="46"/>
        <v>0</v>
      </c>
      <c r="X101" s="181" t="e">
        <f>O101-#REF!</f>
        <v>#REF!</v>
      </c>
      <c r="Y101" s="143">
        <f>'[65]2. подк.неподк.'!V89</f>
        <v>37214.33</v>
      </c>
      <c r="Z101" s="182">
        <f>'[65]2. подк.неподк.'!W89</f>
        <v>38888.974849999999</v>
      </c>
      <c r="AA101" s="166">
        <f>'[65]2. подк.неподк.'!X89-1000</f>
        <v>68231.839999999997</v>
      </c>
      <c r="AB101" s="143">
        <f t="shared" si="42"/>
        <v>38585.743532309738</v>
      </c>
      <c r="AC101" s="144">
        <f t="shared" si="47"/>
        <v>38585.743532309738</v>
      </c>
      <c r="AD101" s="143">
        <f t="shared" si="48"/>
        <v>1371.4135323097362</v>
      </c>
      <c r="AE101" s="143">
        <f t="shared" si="49"/>
        <v>3.6851759317169979</v>
      </c>
      <c r="AF101" s="143">
        <f t="shared" si="50"/>
        <v>-303.23131769026077</v>
      </c>
      <c r="AG101" s="143">
        <f t="shared" si="51"/>
        <v>-0.77973595051005873</v>
      </c>
      <c r="AH101" s="143">
        <f t="shared" si="52"/>
        <v>-29646.096467690259</v>
      </c>
      <c r="AI101" s="143">
        <f t="shared" si="53"/>
        <v>-43.449064934626215</v>
      </c>
    </row>
    <row r="102" spans="1:35" ht="33" customHeight="1" outlineLevel="1">
      <c r="A102" s="139"/>
      <c r="B102" s="176" t="s">
        <v>566</v>
      </c>
      <c r="C102" s="171"/>
      <c r="D102" s="184" t="s">
        <v>567</v>
      </c>
      <c r="E102" s="172"/>
      <c r="F102" s="178" t="s">
        <v>552</v>
      </c>
      <c r="G102" s="179">
        <v>0</v>
      </c>
      <c r="H102" s="179">
        <v>0</v>
      </c>
      <c r="I102" s="179">
        <v>0</v>
      </c>
      <c r="J102" s="179"/>
      <c r="K102" s="179"/>
      <c r="L102" s="179"/>
      <c r="M102" s="179"/>
      <c r="N102" s="179"/>
      <c r="O102" s="179"/>
      <c r="P102" s="180"/>
      <c r="Q102" s="179"/>
      <c r="R102" s="144"/>
      <c r="S102" s="179">
        <f t="shared" si="43"/>
        <v>0</v>
      </c>
      <c r="T102" s="179">
        <f t="shared" si="44"/>
        <v>0</v>
      </c>
      <c r="U102" s="181" t="e">
        <f>R102-#REF!</f>
        <v>#REF!</v>
      </c>
      <c r="V102" s="181">
        <f t="shared" si="45"/>
        <v>0</v>
      </c>
      <c r="W102" s="181">
        <f t="shared" si="46"/>
        <v>0</v>
      </c>
      <c r="X102" s="181" t="e">
        <f>O102-#REF!</f>
        <v>#REF!</v>
      </c>
      <c r="Y102" s="143">
        <v>0</v>
      </c>
      <c r="Z102" s="182">
        <v>0</v>
      </c>
      <c r="AA102" s="143">
        <f>'[65]2. подк.неподк.'!X90</f>
        <v>69231.839999999997</v>
      </c>
      <c r="AB102" s="143">
        <f t="shared" si="42"/>
        <v>0</v>
      </c>
      <c r="AC102" s="144">
        <f t="shared" si="47"/>
        <v>0</v>
      </c>
      <c r="AD102" s="143">
        <f t="shared" si="48"/>
        <v>0</v>
      </c>
      <c r="AE102" s="143"/>
      <c r="AF102" s="143">
        <f t="shared" si="50"/>
        <v>0</v>
      </c>
      <c r="AG102" s="143"/>
      <c r="AH102" s="143">
        <f t="shared" si="52"/>
        <v>-69231.839999999997</v>
      </c>
      <c r="AI102" s="143">
        <f t="shared" si="53"/>
        <v>-100</v>
      </c>
    </row>
    <row r="103" spans="1:35" ht="33" customHeight="1" outlineLevel="1">
      <c r="A103" s="139"/>
      <c r="B103" s="176" t="s">
        <v>568</v>
      </c>
      <c r="C103" s="171" t="s">
        <v>569</v>
      </c>
      <c r="D103" s="162" t="s">
        <v>565</v>
      </c>
      <c r="E103" s="172"/>
      <c r="F103" s="178" t="s">
        <v>552</v>
      </c>
      <c r="G103" s="179">
        <v>0</v>
      </c>
      <c r="H103" s="179">
        <v>0</v>
      </c>
      <c r="I103" s="179">
        <v>0</v>
      </c>
      <c r="J103" s="179">
        <v>0</v>
      </c>
      <c r="K103" s="179">
        <v>527</v>
      </c>
      <c r="L103" s="179">
        <v>527</v>
      </c>
      <c r="M103" s="179">
        <v>0</v>
      </c>
      <c r="N103" s="179">
        <v>564.5</v>
      </c>
      <c r="O103" s="179">
        <v>491.22426000000002</v>
      </c>
      <c r="P103" s="180">
        <v>491.22426000000002</v>
      </c>
      <c r="Q103" s="179">
        <v>491.22426000000002</v>
      </c>
      <c r="R103" s="144">
        <v>491.22426000000002</v>
      </c>
      <c r="S103" s="179">
        <f t="shared" si="43"/>
        <v>491.22426000000002</v>
      </c>
      <c r="T103" s="179">
        <f t="shared" si="44"/>
        <v>0</v>
      </c>
      <c r="U103" s="181" t="e">
        <f>R103-#REF!</f>
        <v>#REF!</v>
      </c>
      <c r="V103" s="181">
        <f t="shared" si="45"/>
        <v>491.22426000000002</v>
      </c>
      <c r="W103" s="181">
        <f t="shared" si="46"/>
        <v>0</v>
      </c>
      <c r="X103" s="181" t="e">
        <f>O103-#REF!</f>
        <v>#REF!</v>
      </c>
      <c r="Y103" s="143">
        <f>'[65]2. подк.неподк.'!V91</f>
        <v>0</v>
      </c>
      <c r="Z103" s="182">
        <f>'[65]2. подк.неподк.'!W91</f>
        <v>0</v>
      </c>
      <c r="AA103" s="143">
        <f>'[65]2. подк.неподк.'!X91</f>
        <v>559</v>
      </c>
      <c r="AB103" s="143">
        <f t="shared" si="42"/>
        <v>0</v>
      </c>
      <c r="AC103" s="144">
        <f t="shared" si="47"/>
        <v>0</v>
      </c>
      <c r="AD103" s="143">
        <f t="shared" si="48"/>
        <v>0</v>
      </c>
      <c r="AE103" s="143"/>
      <c r="AF103" s="143">
        <f t="shared" si="50"/>
        <v>0</v>
      </c>
      <c r="AG103" s="143"/>
      <c r="AH103" s="143">
        <f t="shared" si="52"/>
        <v>-559</v>
      </c>
      <c r="AI103" s="143">
        <f t="shared" si="53"/>
        <v>-100</v>
      </c>
    </row>
    <row r="104" spans="1:35" ht="33" customHeight="1" outlineLevel="1">
      <c r="A104" s="139"/>
      <c r="B104" s="176" t="s">
        <v>570</v>
      </c>
      <c r="C104" s="171" t="s">
        <v>571</v>
      </c>
      <c r="D104" s="148" t="s">
        <v>572</v>
      </c>
      <c r="E104" s="172"/>
      <c r="F104" s="178" t="s">
        <v>552</v>
      </c>
      <c r="G104" s="179">
        <v>0</v>
      </c>
      <c r="H104" s="179">
        <v>0</v>
      </c>
      <c r="I104" s="179">
        <v>0</v>
      </c>
      <c r="J104" s="179">
        <v>904.38</v>
      </c>
      <c r="K104" s="179">
        <v>1781.0855550000001</v>
      </c>
      <c r="L104" s="179">
        <v>1781.09</v>
      </c>
      <c r="M104" s="179">
        <v>904.38</v>
      </c>
      <c r="N104" s="179">
        <v>1808.6683700000001</v>
      </c>
      <c r="O104" s="179">
        <v>1702.02449</v>
      </c>
      <c r="P104" s="180">
        <v>1702.02449</v>
      </c>
      <c r="Q104" s="179">
        <v>1702.02449</v>
      </c>
      <c r="R104" s="144">
        <v>1702.02449</v>
      </c>
      <c r="S104" s="179">
        <f t="shared" si="43"/>
        <v>797.64449000000002</v>
      </c>
      <c r="T104" s="179">
        <f t="shared" si="44"/>
        <v>0</v>
      </c>
      <c r="U104" s="181" t="e">
        <f>R104-#REF!</f>
        <v>#REF!</v>
      </c>
      <c r="V104" s="181">
        <f t="shared" si="45"/>
        <v>797.64449000000002</v>
      </c>
      <c r="W104" s="181">
        <f t="shared" si="46"/>
        <v>0</v>
      </c>
      <c r="X104" s="181" t="e">
        <f>O104-#REF!</f>
        <v>#REF!</v>
      </c>
      <c r="Y104" s="143">
        <f>'[65]2. подк.неподк.'!V92</f>
        <v>954.12</v>
      </c>
      <c r="Z104" s="182">
        <f>'[65]2. подк.неподк.'!W92</f>
        <v>997.05539999999996</v>
      </c>
      <c r="AA104" s="143">
        <f>'[65]2. подк.неподк.'!X92</f>
        <v>1996.8</v>
      </c>
      <c r="AB104" s="143">
        <f t="shared" si="42"/>
        <v>989.28100059969825</v>
      </c>
      <c r="AC104" s="144">
        <f t="shared" si="47"/>
        <v>989.28100059969825</v>
      </c>
      <c r="AD104" s="143">
        <f t="shared" si="48"/>
        <v>35.161000599698241</v>
      </c>
      <c r="AE104" s="143">
        <f t="shared" si="49"/>
        <v>3.6851759317169979</v>
      </c>
      <c r="AF104" s="143">
        <f t="shared" si="50"/>
        <v>-7.7743994003017178</v>
      </c>
      <c r="AG104" s="143">
        <f t="shared" si="51"/>
        <v>-0.77973595051004452</v>
      </c>
      <c r="AH104" s="143">
        <f t="shared" si="52"/>
        <v>-1007.5189994003017</v>
      </c>
      <c r="AI104" s="143">
        <f t="shared" si="53"/>
        <v>-50.456680659069598</v>
      </c>
    </row>
    <row r="105" spans="1:35" ht="33" customHeight="1" outlineLevel="1">
      <c r="A105" s="139"/>
      <c r="B105" s="176" t="s">
        <v>573</v>
      </c>
      <c r="C105" s="171" t="s">
        <v>574</v>
      </c>
      <c r="D105" s="148" t="s">
        <v>575</v>
      </c>
      <c r="E105" s="172"/>
      <c r="F105" s="178" t="s">
        <v>552</v>
      </c>
      <c r="G105" s="179">
        <v>0</v>
      </c>
      <c r="H105" s="179">
        <v>0</v>
      </c>
      <c r="I105" s="179">
        <v>0</v>
      </c>
      <c r="J105" s="179">
        <v>137.93</v>
      </c>
      <c r="K105" s="179">
        <v>264.13</v>
      </c>
      <c r="L105" s="179">
        <v>264.13</v>
      </c>
      <c r="M105" s="179">
        <v>137.93</v>
      </c>
      <c r="N105" s="179">
        <v>242.1</v>
      </c>
      <c r="O105" s="179">
        <v>211.30063000000001</v>
      </c>
      <c r="P105" s="180">
        <v>211.30063000000001</v>
      </c>
      <c r="Q105" s="179">
        <v>211.30063000000001</v>
      </c>
      <c r="R105" s="144">
        <v>211.30063000000001</v>
      </c>
      <c r="S105" s="179">
        <f t="shared" si="43"/>
        <v>73.370630000000006</v>
      </c>
      <c r="T105" s="179">
        <f t="shared" si="44"/>
        <v>0</v>
      </c>
      <c r="U105" s="181" t="e">
        <f>R105-#REF!</f>
        <v>#REF!</v>
      </c>
      <c r="V105" s="181">
        <f t="shared" si="45"/>
        <v>73.370630000000006</v>
      </c>
      <c r="W105" s="181">
        <f t="shared" si="46"/>
        <v>0</v>
      </c>
      <c r="X105" s="181" t="e">
        <f>O105-#REF!</f>
        <v>#REF!</v>
      </c>
      <c r="Y105" s="143">
        <f>'[65]2. подк.неподк.'!V93</f>
        <v>145.52000000000001</v>
      </c>
      <c r="Z105" s="182">
        <f>'[65]2. подк.неподк.'!W93</f>
        <v>152.0684</v>
      </c>
      <c r="AA105" s="143">
        <f>'[65]2. подк.неподк.'!X93</f>
        <v>336.2</v>
      </c>
      <c r="AB105" s="143">
        <f t="shared" si="42"/>
        <v>150.88266801583458</v>
      </c>
      <c r="AC105" s="144">
        <f t="shared" si="47"/>
        <v>150.88266801583458</v>
      </c>
      <c r="AD105" s="143">
        <f t="shared" si="48"/>
        <v>5.3626680158345721</v>
      </c>
      <c r="AE105" s="143">
        <f t="shared" si="49"/>
        <v>3.6851759317169979</v>
      </c>
      <c r="AF105" s="143">
        <f t="shared" si="50"/>
        <v>-1.1857319841654146</v>
      </c>
      <c r="AG105" s="143">
        <f t="shared" si="51"/>
        <v>-0.77973595051004452</v>
      </c>
      <c r="AH105" s="143">
        <f t="shared" si="52"/>
        <v>-185.31733198416541</v>
      </c>
      <c r="AI105" s="143">
        <f t="shared" si="53"/>
        <v>-55.121157639549502</v>
      </c>
    </row>
    <row r="106" spans="1:35" ht="33" customHeight="1" outlineLevel="1">
      <c r="A106" s="139"/>
      <c r="B106" s="176" t="s">
        <v>576</v>
      </c>
      <c r="C106" s="171" t="s">
        <v>577</v>
      </c>
      <c r="D106" s="148" t="s">
        <v>578</v>
      </c>
      <c r="E106" s="172"/>
      <c r="F106" s="178" t="s">
        <v>552</v>
      </c>
      <c r="G106" s="179">
        <v>0</v>
      </c>
      <c r="H106" s="179">
        <v>0</v>
      </c>
      <c r="I106" s="179">
        <v>0</v>
      </c>
      <c r="J106" s="179">
        <v>621.48</v>
      </c>
      <c r="K106" s="179">
        <v>1224</v>
      </c>
      <c r="L106" s="179">
        <v>1224</v>
      </c>
      <c r="M106" s="179">
        <v>621.48</v>
      </c>
      <c r="N106" s="179">
        <v>1128</v>
      </c>
      <c r="O106" s="179">
        <v>1053.1063100000001</v>
      </c>
      <c r="P106" s="180">
        <v>1053.1063100000001</v>
      </c>
      <c r="Q106" s="179">
        <v>1053.1063100000001</v>
      </c>
      <c r="R106" s="144">
        <v>1053.1063100000001</v>
      </c>
      <c r="S106" s="179">
        <f t="shared" si="43"/>
        <v>431.6263100000001</v>
      </c>
      <c r="T106" s="179">
        <f t="shared" si="44"/>
        <v>0</v>
      </c>
      <c r="U106" s="181" t="e">
        <f>R106-#REF!</f>
        <v>#REF!</v>
      </c>
      <c r="V106" s="181">
        <f t="shared" si="45"/>
        <v>431.6263100000001</v>
      </c>
      <c r="W106" s="181">
        <f t="shared" si="46"/>
        <v>0</v>
      </c>
      <c r="X106" s="181" t="e">
        <f>O106-#REF!</f>
        <v>#REF!</v>
      </c>
      <c r="Y106" s="143">
        <f>'[65]2. подк.неподк.'!V94</f>
        <v>655.66</v>
      </c>
      <c r="Z106" s="182">
        <f>'[65]2. подк.неподк.'!W94</f>
        <v>685.16469999999993</v>
      </c>
      <c r="AA106" s="143">
        <f>'[65]2. подк.неподк.'!X94</f>
        <v>1245.3</v>
      </c>
      <c r="AB106" s="143">
        <f t="shared" si="42"/>
        <v>679.82222451389566</v>
      </c>
      <c r="AC106" s="144">
        <f t="shared" si="47"/>
        <v>679.82222451389566</v>
      </c>
      <c r="AD106" s="143">
        <f t="shared" si="48"/>
        <v>24.162224513895694</v>
      </c>
      <c r="AE106" s="143">
        <f t="shared" si="49"/>
        <v>3.6851759317169979</v>
      </c>
      <c r="AF106" s="143">
        <f t="shared" si="50"/>
        <v>-5.3424754861042629</v>
      </c>
      <c r="AG106" s="143">
        <f t="shared" si="51"/>
        <v>-0.77973595051004452</v>
      </c>
      <c r="AH106" s="143">
        <f t="shared" si="52"/>
        <v>-565.47777548610429</v>
      </c>
      <c r="AI106" s="143">
        <f t="shared" si="53"/>
        <v>-45.408959727463603</v>
      </c>
    </row>
    <row r="107" spans="1:35" ht="33" customHeight="1" outlineLevel="1">
      <c r="A107" s="139"/>
      <c r="B107" s="176" t="s">
        <v>579</v>
      </c>
      <c r="C107" s="171" t="s">
        <v>580</v>
      </c>
      <c r="D107" s="148" t="s">
        <v>581</v>
      </c>
      <c r="E107" s="172"/>
      <c r="F107" s="178" t="s">
        <v>552</v>
      </c>
      <c r="G107" s="179">
        <v>0</v>
      </c>
      <c r="H107" s="179">
        <v>0</v>
      </c>
      <c r="I107" s="179">
        <v>0</v>
      </c>
      <c r="J107" s="179">
        <v>0.75</v>
      </c>
      <c r="K107" s="179">
        <v>1.5</v>
      </c>
      <c r="L107" s="179">
        <v>1.5</v>
      </c>
      <c r="M107" s="179">
        <v>0.75</v>
      </c>
      <c r="N107" s="179">
        <v>3</v>
      </c>
      <c r="O107" s="179">
        <v>3</v>
      </c>
      <c r="P107" s="180">
        <v>3</v>
      </c>
      <c r="Q107" s="179">
        <v>3</v>
      </c>
      <c r="R107" s="144">
        <v>3</v>
      </c>
      <c r="S107" s="179">
        <f t="shared" si="43"/>
        <v>2.25</v>
      </c>
      <c r="T107" s="179">
        <f t="shared" si="44"/>
        <v>0</v>
      </c>
      <c r="U107" s="181" t="e">
        <f>R107-#REF!</f>
        <v>#REF!</v>
      </c>
      <c r="V107" s="181">
        <f t="shared" si="45"/>
        <v>2.25</v>
      </c>
      <c r="W107" s="181">
        <f t="shared" si="46"/>
        <v>0</v>
      </c>
      <c r="X107" s="181" t="e">
        <f>O107-#REF!</f>
        <v>#REF!</v>
      </c>
      <c r="Y107" s="143">
        <f>'[65]2. подк.неподк.'!V95</f>
        <v>0.79</v>
      </c>
      <c r="Z107" s="182">
        <f>'[65]2. подк.неподк.'!W95</f>
        <v>0.82555000000000001</v>
      </c>
      <c r="AA107" s="143">
        <f>'[65]2. подк.неподк.'!X95</f>
        <v>3.3</v>
      </c>
      <c r="AB107" s="143">
        <f t="shared" si="42"/>
        <v>0.8191128898605643</v>
      </c>
      <c r="AC107" s="144">
        <f t="shared" si="47"/>
        <v>0.8191128898605643</v>
      </c>
      <c r="AD107" s="143">
        <f t="shared" si="48"/>
        <v>2.9112889860564262E-2</v>
      </c>
      <c r="AE107" s="143">
        <f t="shared" si="49"/>
        <v>3.6851759317169979</v>
      </c>
      <c r="AF107" s="143">
        <f t="shared" si="50"/>
        <v>-6.4371101394357089E-3</v>
      </c>
      <c r="AG107" s="143">
        <f t="shared" si="51"/>
        <v>-0.77973595051005873</v>
      </c>
      <c r="AH107" s="143">
        <f t="shared" si="52"/>
        <v>-2.4808871101394354</v>
      </c>
      <c r="AI107" s="143">
        <f t="shared" si="53"/>
        <v>-75.178397276952595</v>
      </c>
    </row>
    <row r="108" spans="1:35" ht="33" customHeight="1" outlineLevel="1">
      <c r="A108" s="139"/>
      <c r="B108" s="176" t="s">
        <v>582</v>
      </c>
      <c r="C108" s="171" t="s">
        <v>583</v>
      </c>
      <c r="D108" s="148" t="s">
        <v>584</v>
      </c>
      <c r="E108" s="172"/>
      <c r="F108" s="178" t="s">
        <v>552</v>
      </c>
      <c r="G108" s="179">
        <v>0</v>
      </c>
      <c r="H108" s="179">
        <v>0</v>
      </c>
      <c r="I108" s="179">
        <v>0</v>
      </c>
      <c r="J108" s="179">
        <v>833.88</v>
      </c>
      <c r="K108" s="179">
        <v>1064.71046</v>
      </c>
      <c r="L108" s="179">
        <v>1064.71</v>
      </c>
      <c r="M108" s="179">
        <v>833.88</v>
      </c>
      <c r="N108" s="179">
        <v>1172.8</v>
      </c>
      <c r="O108" s="179">
        <v>1052.0836999999999</v>
      </c>
      <c r="P108" s="180">
        <v>1052.0836999999999</v>
      </c>
      <c r="Q108" s="179">
        <v>1052.0836999999999</v>
      </c>
      <c r="R108" s="144">
        <v>1052.0836999999999</v>
      </c>
      <c r="S108" s="179">
        <f t="shared" si="43"/>
        <v>218.20369999999991</v>
      </c>
      <c r="T108" s="179">
        <f t="shared" si="44"/>
        <v>0</v>
      </c>
      <c r="U108" s="181" t="e">
        <f>R108-#REF!</f>
        <v>#REF!</v>
      </c>
      <c r="V108" s="181">
        <f t="shared" si="45"/>
        <v>218.20369999999991</v>
      </c>
      <c r="W108" s="181">
        <f t="shared" si="46"/>
        <v>0</v>
      </c>
      <c r="X108" s="181" t="e">
        <f>O108-#REF!</f>
        <v>#REF!</v>
      </c>
      <c r="Y108" s="143">
        <f>'[65]2. подк.неподк.'!V96</f>
        <v>879.75</v>
      </c>
      <c r="Z108" s="182">
        <f>'[65]2. подк.неподк.'!W96</f>
        <v>919.33874999999989</v>
      </c>
      <c r="AA108" s="143">
        <f>'[65]2. подк.неподк.'!X96</f>
        <v>2350.3000000000002</v>
      </c>
      <c r="AB108" s="143">
        <f t="shared" si="42"/>
        <v>912.17033525928025</v>
      </c>
      <c r="AC108" s="144">
        <f t="shared" si="47"/>
        <v>912.17033525928025</v>
      </c>
      <c r="AD108" s="143">
        <f t="shared" si="48"/>
        <v>32.42033525928025</v>
      </c>
      <c r="AE108" s="143">
        <f t="shared" si="49"/>
        <v>3.6851759317169979</v>
      </c>
      <c r="AF108" s="143">
        <f t="shared" si="50"/>
        <v>-7.1684147407196406</v>
      </c>
      <c r="AG108" s="143">
        <f t="shared" si="51"/>
        <v>-0.77973595051004452</v>
      </c>
      <c r="AH108" s="143">
        <f t="shared" si="52"/>
        <v>-1438.1296647407198</v>
      </c>
      <c r="AI108" s="143">
        <f t="shared" si="53"/>
        <v>-61.189195623568047</v>
      </c>
    </row>
    <row r="109" spans="1:35" ht="33" customHeight="1" outlineLevel="1">
      <c r="A109" s="139"/>
      <c r="B109" s="176" t="s">
        <v>585</v>
      </c>
      <c r="C109" s="171" t="s">
        <v>586</v>
      </c>
      <c r="D109" s="148" t="s">
        <v>587</v>
      </c>
      <c r="E109" s="172"/>
      <c r="F109" s="178" t="s">
        <v>552</v>
      </c>
      <c r="G109" s="179">
        <v>0</v>
      </c>
      <c r="H109" s="179">
        <v>0</v>
      </c>
      <c r="I109" s="179">
        <v>0</v>
      </c>
      <c r="J109" s="179">
        <v>1461.19</v>
      </c>
      <c r="K109" s="179">
        <v>326.27777000000003</v>
      </c>
      <c r="L109" s="179">
        <v>326.27777000000003</v>
      </c>
      <c r="M109" s="179">
        <v>1461.19</v>
      </c>
      <c r="N109" s="179">
        <v>318.75953000000004</v>
      </c>
      <c r="O109" s="179">
        <v>307.28191999999996</v>
      </c>
      <c r="P109" s="180">
        <v>307.28191999999996</v>
      </c>
      <c r="Q109" s="179">
        <v>307.28191999999996</v>
      </c>
      <c r="R109" s="144">
        <v>307.28191999999996</v>
      </c>
      <c r="S109" s="179">
        <f t="shared" si="43"/>
        <v>-1153.9080800000002</v>
      </c>
      <c r="T109" s="179">
        <f t="shared" si="44"/>
        <v>0</v>
      </c>
      <c r="U109" s="181" t="e">
        <f>R109-#REF!</f>
        <v>#REF!</v>
      </c>
      <c r="V109" s="181">
        <f t="shared" si="45"/>
        <v>-1153.9080800000002</v>
      </c>
      <c r="W109" s="181">
        <f t="shared" si="46"/>
        <v>0</v>
      </c>
      <c r="X109" s="181" t="e">
        <f>O109-#REF!</f>
        <v>#REF!</v>
      </c>
      <c r="Y109" s="143">
        <f>'[65]2. подк.неподк.'!V97</f>
        <v>1541.56</v>
      </c>
      <c r="Z109" s="182">
        <f>'[65]2. подк.неподк.'!W97</f>
        <v>1610.9301999999998</v>
      </c>
      <c r="AA109" s="166">
        <f>'[65]2. подк.неподк.'!X97+1000</f>
        <v>2470</v>
      </c>
      <c r="AB109" s="143">
        <f t="shared" si="42"/>
        <v>1598.3691980929766</v>
      </c>
      <c r="AC109" s="144">
        <f t="shared" si="47"/>
        <v>1598.3691980929766</v>
      </c>
      <c r="AD109" s="143">
        <f t="shared" si="48"/>
        <v>56.809198092976658</v>
      </c>
      <c r="AE109" s="143">
        <f t="shared" si="49"/>
        <v>3.6851759317169979</v>
      </c>
      <c r="AF109" s="143">
        <f t="shared" si="50"/>
        <v>-12.561001907023183</v>
      </c>
      <c r="AG109" s="143">
        <f t="shared" si="51"/>
        <v>-0.77973595051003031</v>
      </c>
      <c r="AH109" s="143">
        <f t="shared" si="52"/>
        <v>-871.6308019070234</v>
      </c>
      <c r="AI109" s="143">
        <f t="shared" si="53"/>
        <v>-35.288696433482727</v>
      </c>
    </row>
    <row r="110" spans="1:35" ht="33" customHeight="1" outlineLevel="1">
      <c r="A110" s="139"/>
      <c r="B110" s="176" t="s">
        <v>588</v>
      </c>
      <c r="C110" s="171" t="s">
        <v>589</v>
      </c>
      <c r="D110" s="148" t="s">
        <v>590</v>
      </c>
      <c r="E110" s="172"/>
      <c r="F110" s="178" t="s">
        <v>552</v>
      </c>
      <c r="G110" s="179">
        <v>0</v>
      </c>
      <c r="H110" s="179">
        <v>0</v>
      </c>
      <c r="I110" s="179">
        <v>0</v>
      </c>
      <c r="J110" s="179">
        <v>0</v>
      </c>
      <c r="K110" s="179">
        <v>195</v>
      </c>
      <c r="L110" s="179">
        <v>0</v>
      </c>
      <c r="M110" s="179">
        <v>0</v>
      </c>
      <c r="N110" s="179">
        <v>213.779</v>
      </c>
      <c r="O110" s="179">
        <v>202.26337000000001</v>
      </c>
      <c r="P110" s="180">
        <v>202.26337000000001</v>
      </c>
      <c r="Q110" s="179">
        <v>202.26337000000001</v>
      </c>
      <c r="R110" s="144">
        <v>202.26337000000001</v>
      </c>
      <c r="S110" s="179">
        <f t="shared" si="43"/>
        <v>202.26337000000001</v>
      </c>
      <c r="T110" s="179">
        <f t="shared" si="44"/>
        <v>0</v>
      </c>
      <c r="U110" s="181" t="e">
        <f>R110-#REF!</f>
        <v>#REF!</v>
      </c>
      <c r="V110" s="181">
        <f t="shared" si="45"/>
        <v>202.26337000000001</v>
      </c>
      <c r="W110" s="181">
        <f t="shared" si="46"/>
        <v>0</v>
      </c>
      <c r="X110" s="181" t="e">
        <f>O110-#REF!</f>
        <v>#REF!</v>
      </c>
      <c r="Y110" s="143">
        <f>'[65]2. подк.неподк.'!V98</f>
        <v>0</v>
      </c>
      <c r="Z110" s="182">
        <f>'[65]2. подк.неподк.'!W98</f>
        <v>0</v>
      </c>
      <c r="AA110" s="143">
        <f>'[65]2. подк.неподк.'!X98</f>
        <v>1120</v>
      </c>
      <c r="AB110" s="143">
        <f t="shared" si="42"/>
        <v>0</v>
      </c>
      <c r="AC110" s="144">
        <f t="shared" si="47"/>
        <v>0</v>
      </c>
      <c r="AD110" s="143">
        <f t="shared" si="48"/>
        <v>0</v>
      </c>
      <c r="AE110" s="143"/>
      <c r="AF110" s="143">
        <f t="shared" si="50"/>
        <v>0</v>
      </c>
      <c r="AG110" s="143"/>
      <c r="AH110" s="143">
        <f t="shared" si="52"/>
        <v>-1120</v>
      </c>
      <c r="AI110" s="143">
        <f t="shared" si="53"/>
        <v>-100</v>
      </c>
    </row>
    <row r="111" spans="1:35" ht="33" customHeight="1" outlineLevel="1">
      <c r="A111" s="139"/>
      <c r="B111" s="176" t="s">
        <v>591</v>
      </c>
      <c r="C111" s="171" t="s">
        <v>592</v>
      </c>
      <c r="D111" s="148" t="s">
        <v>593</v>
      </c>
      <c r="E111" s="172"/>
      <c r="F111" s="178" t="s">
        <v>552</v>
      </c>
      <c r="G111" s="179">
        <v>0</v>
      </c>
      <c r="H111" s="179">
        <v>0</v>
      </c>
      <c r="I111" s="179">
        <v>0</v>
      </c>
      <c r="J111" s="179">
        <v>150.04</v>
      </c>
      <c r="K111" s="179">
        <v>295.52999999999997</v>
      </c>
      <c r="L111" s="179">
        <v>295.52999999999997</v>
      </c>
      <c r="M111" s="179">
        <v>150.04</v>
      </c>
      <c r="N111" s="179">
        <v>292</v>
      </c>
      <c r="O111" s="179">
        <v>258.83817999999997</v>
      </c>
      <c r="P111" s="180">
        <v>258.83817999999997</v>
      </c>
      <c r="Q111" s="179">
        <v>258.83817999999997</v>
      </c>
      <c r="R111" s="144">
        <v>258.83817999999997</v>
      </c>
      <c r="S111" s="179">
        <f t="shared" si="43"/>
        <v>108.79817999999997</v>
      </c>
      <c r="T111" s="179">
        <f t="shared" si="44"/>
        <v>0</v>
      </c>
      <c r="U111" s="181" t="e">
        <f>R111-#REF!</f>
        <v>#REF!</v>
      </c>
      <c r="V111" s="181">
        <f t="shared" si="45"/>
        <v>108.79817999999997</v>
      </c>
      <c r="W111" s="181">
        <f t="shared" si="46"/>
        <v>0</v>
      </c>
      <c r="X111" s="181" t="e">
        <f>O111-#REF!</f>
        <v>#REF!</v>
      </c>
      <c r="Y111" s="143">
        <f>'[65]2. подк.неподк.'!V99</f>
        <v>158.29</v>
      </c>
      <c r="Z111" s="182">
        <f>'[65]2. подк.неподк.'!W99</f>
        <v>165.41304999999997</v>
      </c>
      <c r="AA111" s="143">
        <f>'[65]2. подк.неподк.'!X99</f>
        <v>322.39999999999998</v>
      </c>
      <c r="AB111" s="143">
        <f t="shared" si="42"/>
        <v>164.12326498231482</v>
      </c>
      <c r="AC111" s="144">
        <f t="shared" si="47"/>
        <v>164.12326498231482</v>
      </c>
      <c r="AD111" s="143">
        <f t="shared" si="48"/>
        <v>5.8332649823148301</v>
      </c>
      <c r="AE111" s="143">
        <f t="shared" si="49"/>
        <v>3.6851759317169979</v>
      </c>
      <c r="AF111" s="143">
        <f t="shared" si="50"/>
        <v>-1.2897850176851477</v>
      </c>
      <c r="AG111" s="143">
        <f t="shared" si="51"/>
        <v>-0.77973595051004452</v>
      </c>
      <c r="AH111" s="143">
        <f t="shared" si="52"/>
        <v>-158.27673501768516</v>
      </c>
      <c r="AI111" s="143">
        <f t="shared" si="53"/>
        <v>-49.093280092334112</v>
      </c>
    </row>
    <row r="112" spans="1:35" ht="33" customHeight="1" outlineLevel="1">
      <c r="A112" s="139"/>
      <c r="B112" s="176" t="s">
        <v>594</v>
      </c>
      <c r="C112" s="171" t="s">
        <v>595</v>
      </c>
      <c r="D112" s="148" t="s">
        <v>596</v>
      </c>
      <c r="E112" s="172"/>
      <c r="F112" s="178" t="s">
        <v>552</v>
      </c>
      <c r="G112" s="179">
        <v>0</v>
      </c>
      <c r="H112" s="179">
        <v>0</v>
      </c>
      <c r="I112" s="179">
        <v>0</v>
      </c>
      <c r="J112" s="179">
        <v>0</v>
      </c>
      <c r="K112" s="179">
        <v>0</v>
      </c>
      <c r="L112" s="179">
        <v>0</v>
      </c>
      <c r="M112" s="179">
        <v>0</v>
      </c>
      <c r="N112" s="179"/>
      <c r="O112" s="179"/>
      <c r="P112" s="180"/>
      <c r="Q112" s="179">
        <v>0</v>
      </c>
      <c r="R112" s="144">
        <v>0</v>
      </c>
      <c r="S112" s="179">
        <f t="shared" si="43"/>
        <v>0</v>
      </c>
      <c r="T112" s="179">
        <f t="shared" si="44"/>
        <v>0</v>
      </c>
      <c r="U112" s="181" t="e">
        <f>R112-#REF!</f>
        <v>#REF!</v>
      </c>
      <c r="V112" s="181">
        <f t="shared" si="45"/>
        <v>0</v>
      </c>
      <c r="W112" s="181">
        <f t="shared" si="46"/>
        <v>0</v>
      </c>
      <c r="X112" s="181" t="e">
        <f>O112-#REF!</f>
        <v>#REF!</v>
      </c>
      <c r="Y112" s="143">
        <f>'[65]2. подк.неподк.'!V100</f>
        <v>0</v>
      </c>
      <c r="Z112" s="182">
        <f>'[65]2. подк.неподк.'!W100</f>
        <v>0</v>
      </c>
      <c r="AA112" s="143">
        <f>'[65]2. подк.неподк.'!X100</f>
        <v>0</v>
      </c>
      <c r="AB112" s="143">
        <f t="shared" si="42"/>
        <v>0</v>
      </c>
      <c r="AC112" s="144">
        <f t="shared" si="47"/>
        <v>0</v>
      </c>
      <c r="AD112" s="143">
        <f t="shared" si="48"/>
        <v>0</v>
      </c>
      <c r="AE112" s="143"/>
      <c r="AF112" s="143">
        <f t="shared" si="50"/>
        <v>0</v>
      </c>
      <c r="AG112" s="143"/>
      <c r="AH112" s="143">
        <f t="shared" si="52"/>
        <v>0</v>
      </c>
      <c r="AI112" s="143"/>
    </row>
    <row r="113" spans="1:35" ht="33" customHeight="1">
      <c r="A113" s="139"/>
      <c r="B113" s="140" t="s">
        <v>597</v>
      </c>
      <c r="C113" s="141"/>
      <c r="D113" s="185" t="s">
        <v>598</v>
      </c>
      <c r="E113" s="185" t="s">
        <v>598</v>
      </c>
      <c r="F113" s="143" t="s">
        <v>121</v>
      </c>
      <c r="G113" s="144">
        <f t="shared" ref="G113:M113" si="58">SUM(G114,G120)</f>
        <v>90462.118928115742</v>
      </c>
      <c r="H113" s="144">
        <f t="shared" si="58"/>
        <v>84565.034530000004</v>
      </c>
      <c r="I113" s="144">
        <f t="shared" si="58"/>
        <v>84565.033640000009</v>
      </c>
      <c r="J113" s="144">
        <f t="shared" si="58"/>
        <v>99261.676557352388</v>
      </c>
      <c r="K113" s="144">
        <f t="shared" si="58"/>
        <v>105633.92383</v>
      </c>
      <c r="L113" s="144">
        <f t="shared" si="58"/>
        <v>105633.91655999998</v>
      </c>
      <c r="M113" s="144">
        <f t="shared" si="58"/>
        <v>86280.324367356108</v>
      </c>
      <c r="N113" s="144">
        <f>SUM(N114,N120)</f>
        <v>131335.68335000001</v>
      </c>
      <c r="O113" s="144">
        <f>SUM(O114,O120)</f>
        <v>129088.47916</v>
      </c>
      <c r="P113" s="145">
        <f t="shared" ref="P113:AA113" si="59">SUM(P114,P120)</f>
        <v>129088.47916</v>
      </c>
      <c r="Q113" s="144">
        <f t="shared" si="59"/>
        <v>129088.47916</v>
      </c>
      <c r="R113" s="144">
        <f t="shared" si="59"/>
        <v>129088.47916</v>
      </c>
      <c r="S113" s="144">
        <f t="shared" si="43"/>
        <v>42808.154792643894</v>
      </c>
      <c r="T113" s="144">
        <f t="shared" si="44"/>
        <v>0</v>
      </c>
      <c r="U113" s="146" t="e">
        <f>R113-#REF!</f>
        <v>#REF!</v>
      </c>
      <c r="V113" s="146">
        <f t="shared" si="45"/>
        <v>42808.154792643894</v>
      </c>
      <c r="W113" s="146">
        <f t="shared" si="46"/>
        <v>0</v>
      </c>
      <c r="X113" s="146" t="e">
        <f>O113-#REF!</f>
        <v>#REF!</v>
      </c>
      <c r="Y113" s="144">
        <f t="shared" si="59"/>
        <v>74028.423791742825</v>
      </c>
      <c r="Z113" s="170">
        <f t="shared" si="59"/>
        <v>77359.700362371252</v>
      </c>
      <c r="AA113" s="144">
        <f t="shared" si="59"/>
        <v>187298.98638432712</v>
      </c>
      <c r="AB113" s="144">
        <f>SUM(AB114,AB120)</f>
        <v>76756.5014479456</v>
      </c>
      <c r="AC113" s="144">
        <f t="shared" si="47"/>
        <v>76756.5014479456</v>
      </c>
      <c r="AD113" s="144">
        <f t="shared" si="48"/>
        <v>2728.077656202775</v>
      </c>
      <c r="AE113" s="144">
        <f t="shared" si="49"/>
        <v>3.6851759317169979</v>
      </c>
      <c r="AF113" s="144">
        <f t="shared" si="50"/>
        <v>-603.19891442565131</v>
      </c>
      <c r="AG113" s="144">
        <f t="shared" si="51"/>
        <v>-0.77973274405165682</v>
      </c>
      <c r="AH113" s="144">
        <f t="shared" si="52"/>
        <v>-110542.48493638152</v>
      </c>
      <c r="AI113" s="144">
        <f t="shared" si="53"/>
        <v>-59.019264903844423</v>
      </c>
    </row>
    <row r="114" spans="1:35" ht="33" customHeight="1" outlineLevel="1">
      <c r="A114" s="139"/>
      <c r="B114" s="140" t="s">
        <v>599</v>
      </c>
      <c r="C114" s="186"/>
      <c r="D114" s="187" t="s">
        <v>600</v>
      </c>
      <c r="E114" s="187" t="s">
        <v>600</v>
      </c>
      <c r="F114" s="143" t="s">
        <v>121</v>
      </c>
      <c r="G114" s="144">
        <f t="shared" ref="G114:H114" si="60">SUM(G115:G119)</f>
        <v>61649.36176624475</v>
      </c>
      <c r="H114" s="144">
        <f t="shared" si="60"/>
        <v>62192.333639999997</v>
      </c>
      <c r="I114" s="144">
        <f t="shared" ref="I114:M114" si="61">SUM(I115:I119)</f>
        <v>62192.333639999997</v>
      </c>
      <c r="J114" s="144">
        <f t="shared" si="61"/>
        <v>77789.292082117579</v>
      </c>
      <c r="K114" s="144">
        <f t="shared" si="61"/>
        <v>88686.79406</v>
      </c>
      <c r="L114" s="144">
        <f t="shared" si="61"/>
        <v>88686.789999999979</v>
      </c>
      <c r="M114" s="144">
        <f t="shared" si="61"/>
        <v>67714.398048373812</v>
      </c>
      <c r="N114" s="144">
        <f>SUM(N115:N119)</f>
        <v>102520.16925000001</v>
      </c>
      <c r="O114" s="144">
        <f t="shared" ref="O114:AB114" si="62">SUM(O115:O119)</f>
        <v>100593.69667</v>
      </c>
      <c r="P114" s="145">
        <f t="shared" si="62"/>
        <v>100593.69667</v>
      </c>
      <c r="Q114" s="144">
        <f t="shared" si="62"/>
        <v>100593.69667</v>
      </c>
      <c r="R114" s="144">
        <f t="shared" si="62"/>
        <v>100593.69667</v>
      </c>
      <c r="S114" s="144">
        <f t="shared" si="43"/>
        <v>32879.298621626192</v>
      </c>
      <c r="T114" s="144">
        <f t="shared" si="44"/>
        <v>0</v>
      </c>
      <c r="U114" s="146" t="e">
        <f>R114-#REF!</f>
        <v>#REF!</v>
      </c>
      <c r="V114" s="146">
        <f t="shared" si="45"/>
        <v>32879.298621626192</v>
      </c>
      <c r="W114" s="146">
        <f t="shared" si="46"/>
        <v>0</v>
      </c>
      <c r="X114" s="146" t="e">
        <f>O114-#REF!</f>
        <v>#REF!</v>
      </c>
      <c r="Y114" s="144">
        <f t="shared" si="62"/>
        <v>56569.22214749999</v>
      </c>
      <c r="Z114" s="170">
        <f t="shared" si="62"/>
        <v>59114.834644137489</v>
      </c>
      <c r="AA114" s="144">
        <f t="shared" si="62"/>
        <v>154432.05000000002</v>
      </c>
      <c r="AB114" s="144">
        <f t="shared" si="62"/>
        <v>58653.897506839188</v>
      </c>
      <c r="AC114" s="144">
        <f t="shared" si="47"/>
        <v>58653.897506839188</v>
      </c>
      <c r="AD114" s="144">
        <f t="shared" si="48"/>
        <v>2084.6753593391986</v>
      </c>
      <c r="AE114" s="144">
        <f t="shared" si="49"/>
        <v>3.6851759317170263</v>
      </c>
      <c r="AF114" s="144">
        <f t="shared" si="50"/>
        <v>-460.93713729830051</v>
      </c>
      <c r="AG114" s="144">
        <f t="shared" si="51"/>
        <v>-0.7797317544286102</v>
      </c>
      <c r="AH114" s="144">
        <f t="shared" si="52"/>
        <v>-95778.152493160829</v>
      </c>
      <c r="AI114" s="144">
        <f t="shared" si="53"/>
        <v>-62.019608295791464</v>
      </c>
    </row>
    <row r="115" spans="1:35" ht="33" customHeight="1" outlineLevel="2">
      <c r="A115" s="139" t="s">
        <v>601</v>
      </c>
      <c r="B115" s="143" t="s">
        <v>602</v>
      </c>
      <c r="C115" s="147" t="s">
        <v>603</v>
      </c>
      <c r="D115" s="148" t="s">
        <v>604</v>
      </c>
      <c r="E115" s="165" t="s">
        <v>605</v>
      </c>
      <c r="F115" s="143" t="s">
        <v>121</v>
      </c>
      <c r="G115" s="143">
        <v>13836.057856128504</v>
      </c>
      <c r="H115" s="143">
        <v>6601.8531700000003</v>
      </c>
      <c r="I115" s="143">
        <v>6601.8531700000003</v>
      </c>
      <c r="J115" s="143">
        <v>32488.04</v>
      </c>
      <c r="K115" s="143">
        <v>28610.317640000001</v>
      </c>
      <c r="L115" s="143">
        <v>28610.32</v>
      </c>
      <c r="M115" s="143">
        <v>21881.55</v>
      </c>
      <c r="N115" s="143">
        <v>62695.327549999995</v>
      </c>
      <c r="O115" s="143">
        <v>62725.195039999999</v>
      </c>
      <c r="P115" s="150">
        <v>62725.195039999999</v>
      </c>
      <c r="Q115" s="143">
        <v>62725.195039999999</v>
      </c>
      <c r="R115" s="144">
        <v>62725.195039999999</v>
      </c>
      <c r="S115" s="143">
        <f t="shared" si="43"/>
        <v>40843.645040000003</v>
      </c>
      <c r="T115" s="143">
        <f t="shared" si="44"/>
        <v>0</v>
      </c>
      <c r="U115" s="151" t="e">
        <f>R115-#REF!</f>
        <v>#REF!</v>
      </c>
      <c r="V115" s="151">
        <f t="shared" si="45"/>
        <v>40843.645040000003</v>
      </c>
      <c r="W115" s="151">
        <f t="shared" si="46"/>
        <v>0</v>
      </c>
      <c r="X115" s="151" t="e">
        <f>O115-#REF!</f>
        <v>#REF!</v>
      </c>
      <c r="Y115" s="143">
        <f>'[65]2. подк.неподк.'!V103</f>
        <v>32447.679169999996</v>
      </c>
      <c r="Z115" s="182">
        <f>'[65]2. подк.неподк.'!W103</f>
        <v>33907.824732649991</v>
      </c>
      <c r="AA115" s="143">
        <f>'[65]2. подк.неподк.'!X103</f>
        <v>109702.51</v>
      </c>
      <c r="AB115" s="143">
        <f>Y115*$AA$11</f>
        <v>33643.433233173586</v>
      </c>
      <c r="AC115" s="144">
        <f t="shared" si="47"/>
        <v>33643.433233173586</v>
      </c>
      <c r="AD115" s="143">
        <f t="shared" si="48"/>
        <v>1195.7540631735901</v>
      </c>
      <c r="AE115" s="143">
        <f t="shared" si="49"/>
        <v>3.6851759317169979</v>
      </c>
      <c r="AF115" s="143">
        <f t="shared" si="50"/>
        <v>-264.39149947640544</v>
      </c>
      <c r="AG115" s="143">
        <f t="shared" si="51"/>
        <v>-0.77973595051004452</v>
      </c>
      <c r="AH115" s="143">
        <f t="shared" si="52"/>
        <v>-76059.076766826416</v>
      </c>
      <c r="AI115" s="143">
        <f t="shared" si="53"/>
        <v>-69.332120811845073</v>
      </c>
    </row>
    <row r="116" spans="1:35" ht="33" customHeight="1" outlineLevel="2">
      <c r="A116" s="139" t="s">
        <v>606</v>
      </c>
      <c r="B116" s="143" t="s">
        <v>607</v>
      </c>
      <c r="C116" s="147" t="s">
        <v>608</v>
      </c>
      <c r="D116" s="148" t="s">
        <v>609</v>
      </c>
      <c r="E116" s="1333" t="s">
        <v>610</v>
      </c>
      <c r="F116" s="1334" t="s">
        <v>121</v>
      </c>
      <c r="G116" s="143">
        <v>17549.834470801015</v>
      </c>
      <c r="H116" s="143">
        <v>13416.07368</v>
      </c>
      <c r="I116" s="143">
        <v>13416.07368</v>
      </c>
      <c r="J116" s="143">
        <v>18303.740000000002</v>
      </c>
      <c r="K116" s="143">
        <v>49380.83</v>
      </c>
      <c r="L116" s="143">
        <v>49380.83</v>
      </c>
      <c r="M116" s="143">
        <v>19327</v>
      </c>
      <c r="N116" s="143">
        <v>27548.53241</v>
      </c>
      <c r="O116" s="143">
        <v>25820.29638</v>
      </c>
      <c r="P116" s="150">
        <v>25820.29638</v>
      </c>
      <c r="Q116" s="143">
        <v>25820.29638</v>
      </c>
      <c r="R116" s="144">
        <v>25820.29638</v>
      </c>
      <c r="S116" s="143">
        <f t="shared" si="43"/>
        <v>6493.2963799999998</v>
      </c>
      <c r="T116" s="143">
        <f t="shared" si="44"/>
        <v>0</v>
      </c>
      <c r="U116" s="151" t="e">
        <f>R116-#REF!</f>
        <v>#REF!</v>
      </c>
      <c r="V116" s="151">
        <f t="shared" si="45"/>
        <v>6493.2963799999998</v>
      </c>
      <c r="W116" s="151">
        <f t="shared" si="46"/>
        <v>0</v>
      </c>
      <c r="X116" s="151" t="e">
        <f>O116-#REF!</f>
        <v>#REF!</v>
      </c>
      <c r="Y116" s="143">
        <f>'[65]2. подк.неподк.'!V104</f>
        <v>15673.24</v>
      </c>
      <c r="Z116" s="182">
        <f>'[65]2. подк.неподк.'!W104</f>
        <v>16378.535799999998</v>
      </c>
      <c r="AA116" s="143">
        <f>'[65]2. подк.неподк.'!X104</f>
        <v>31725.15</v>
      </c>
      <c r="AB116" s="143">
        <f>Y116*$AA$11</f>
        <v>16250.826468200241</v>
      </c>
      <c r="AC116" s="144">
        <f t="shared" si="47"/>
        <v>16250.826468200241</v>
      </c>
      <c r="AD116" s="143">
        <f t="shared" si="48"/>
        <v>577.58646820024114</v>
      </c>
      <c r="AE116" s="143">
        <f t="shared" si="49"/>
        <v>3.6851759317169979</v>
      </c>
      <c r="AF116" s="143">
        <f t="shared" si="50"/>
        <v>-127.70933179975691</v>
      </c>
      <c r="AG116" s="143">
        <f t="shared" si="51"/>
        <v>-0.77973595051004452</v>
      </c>
      <c r="AH116" s="143">
        <f t="shared" si="52"/>
        <v>-15474.323531799761</v>
      </c>
      <c r="AI116" s="143">
        <f t="shared" si="53"/>
        <v>-48.776202892026546</v>
      </c>
    </row>
    <row r="117" spans="1:35" ht="33" customHeight="1" outlineLevel="2">
      <c r="A117" s="139" t="s">
        <v>611</v>
      </c>
      <c r="B117" s="143" t="s">
        <v>612</v>
      </c>
      <c r="C117" s="147" t="s">
        <v>613</v>
      </c>
      <c r="D117" s="148" t="s">
        <v>614</v>
      </c>
      <c r="E117" s="1333"/>
      <c r="F117" s="1334"/>
      <c r="G117" s="143">
        <v>0</v>
      </c>
      <c r="H117" s="143">
        <v>0</v>
      </c>
      <c r="I117" s="143">
        <v>0</v>
      </c>
      <c r="J117" s="143">
        <v>953.22</v>
      </c>
      <c r="K117" s="143">
        <v>2571.65</v>
      </c>
      <c r="L117" s="143">
        <v>2571.65</v>
      </c>
      <c r="M117" s="143">
        <v>1006.51</v>
      </c>
      <c r="N117" s="143">
        <v>2438.0134299999995</v>
      </c>
      <c r="O117" s="143">
        <v>2209.9093900000003</v>
      </c>
      <c r="P117" s="150">
        <v>2209.9093900000003</v>
      </c>
      <c r="Q117" s="143">
        <v>2209.9093900000003</v>
      </c>
      <c r="R117" s="144">
        <v>2209.9093900000003</v>
      </c>
      <c r="S117" s="143">
        <f t="shared" si="43"/>
        <v>1203.3993900000003</v>
      </c>
      <c r="T117" s="143">
        <f t="shared" si="44"/>
        <v>0</v>
      </c>
      <c r="U117" s="151" t="e">
        <f>R117-#REF!</f>
        <v>#REF!</v>
      </c>
      <c r="V117" s="151">
        <f t="shared" si="45"/>
        <v>1203.3993900000003</v>
      </c>
      <c r="W117" s="151">
        <f t="shared" si="46"/>
        <v>0</v>
      </c>
      <c r="X117" s="151" t="e">
        <f>O117-#REF!</f>
        <v>#REF!</v>
      </c>
      <c r="Y117" s="143">
        <f>'[65]2. подк.неподк.'!V105</f>
        <v>816.06</v>
      </c>
      <c r="Z117" s="182">
        <f>'[65]2. подк.неподк.'!W105</f>
        <v>852.78269999999986</v>
      </c>
      <c r="AA117" s="143">
        <f>'[65]2. подк.неподк.'!X105</f>
        <v>2142.91</v>
      </c>
      <c r="AB117" s="143">
        <f>Y117*$AA$11</f>
        <v>846.13324670836971</v>
      </c>
      <c r="AC117" s="144">
        <f t="shared" si="47"/>
        <v>846.13324670836971</v>
      </c>
      <c r="AD117" s="143">
        <f t="shared" si="48"/>
        <v>30.073246708369766</v>
      </c>
      <c r="AE117" s="143">
        <f t="shared" si="49"/>
        <v>3.6851759317169979</v>
      </c>
      <c r="AF117" s="143">
        <f t="shared" si="50"/>
        <v>-6.6494532916301523</v>
      </c>
      <c r="AG117" s="143">
        <f t="shared" si="51"/>
        <v>-0.77973595051004452</v>
      </c>
      <c r="AH117" s="143">
        <f t="shared" si="52"/>
        <v>-1296.77675329163</v>
      </c>
      <c r="AI117" s="143">
        <f t="shared" si="53"/>
        <v>-60.51475578963327</v>
      </c>
    </row>
    <row r="118" spans="1:35" ht="33" customHeight="1" outlineLevel="2">
      <c r="A118" s="139" t="s">
        <v>615</v>
      </c>
      <c r="B118" s="143" t="s">
        <v>616</v>
      </c>
      <c r="C118" s="147" t="s">
        <v>617</v>
      </c>
      <c r="D118" s="148" t="s">
        <v>618</v>
      </c>
      <c r="E118" s="165" t="s">
        <v>619</v>
      </c>
      <c r="F118" s="143" t="s">
        <v>121</v>
      </c>
      <c r="G118" s="143">
        <v>13947.739439315237</v>
      </c>
      <c r="H118" s="143">
        <v>3491.11679</v>
      </c>
      <c r="I118" s="143">
        <v>3491.11679</v>
      </c>
      <c r="J118" s="143">
        <v>15304.482082117578</v>
      </c>
      <c r="K118" s="143">
        <v>6683.34303</v>
      </c>
      <c r="L118" s="143">
        <v>6683.34</v>
      </c>
      <c r="M118" s="143">
        <v>16160.0680483738</v>
      </c>
      <c r="N118" s="143">
        <v>9788.2958600000002</v>
      </c>
      <c r="O118" s="143">
        <v>9788.2958600000002</v>
      </c>
      <c r="P118" s="150">
        <v>9788.2958600000002</v>
      </c>
      <c r="Q118" s="143">
        <v>9788.2958600000002</v>
      </c>
      <c r="R118" s="144">
        <v>9788.2958600000002</v>
      </c>
      <c r="S118" s="143">
        <f t="shared" si="43"/>
        <v>-6371.7721883737995</v>
      </c>
      <c r="T118" s="143">
        <f t="shared" si="44"/>
        <v>0</v>
      </c>
      <c r="U118" s="151" t="e">
        <f>R118-#REF!</f>
        <v>#REF!</v>
      </c>
      <c r="V118" s="151">
        <f t="shared" si="45"/>
        <v>-6371.7721883737995</v>
      </c>
      <c r="W118" s="151">
        <f t="shared" si="46"/>
        <v>0</v>
      </c>
      <c r="X118" s="151" t="e">
        <f>O118-#REF!</f>
        <v>#REF!</v>
      </c>
      <c r="Y118" s="143">
        <f>'[65]2. подк.неподк.'!V106</f>
        <v>7579.7429775000001</v>
      </c>
      <c r="Z118" s="182">
        <f>'[65]2. подк.неподк.'!W106</f>
        <v>7920.8314114874993</v>
      </c>
      <c r="AA118" s="143">
        <f>'[65]2. подк.неподк.'!X106</f>
        <v>10806.28</v>
      </c>
      <c r="AB118" s="143">
        <f>Y118*$AA$11</f>
        <v>7859.0698413928394</v>
      </c>
      <c r="AC118" s="144">
        <f t="shared" si="47"/>
        <v>7859.0698413928394</v>
      </c>
      <c r="AD118" s="143">
        <f t="shared" si="48"/>
        <v>279.32686389283936</v>
      </c>
      <c r="AE118" s="143">
        <f t="shared" si="49"/>
        <v>3.6851759317169979</v>
      </c>
      <c r="AF118" s="143">
        <f t="shared" si="50"/>
        <v>-61.761570094659874</v>
      </c>
      <c r="AG118" s="143">
        <f t="shared" si="51"/>
        <v>-0.77973595051004452</v>
      </c>
      <c r="AH118" s="143">
        <f t="shared" si="52"/>
        <v>-2947.2101586071612</v>
      </c>
      <c r="AI118" s="143">
        <f t="shared" si="53"/>
        <v>-27.273124133440561</v>
      </c>
    </row>
    <row r="119" spans="1:35" ht="33" customHeight="1" outlineLevel="2">
      <c r="A119" s="152" t="s">
        <v>620</v>
      </c>
      <c r="B119" s="143" t="s">
        <v>621</v>
      </c>
      <c r="C119" s="147" t="s">
        <v>622</v>
      </c>
      <c r="D119" s="164" t="s">
        <v>623</v>
      </c>
      <c r="E119" s="165" t="s">
        <v>624</v>
      </c>
      <c r="F119" s="143" t="s">
        <v>121</v>
      </c>
      <c r="G119" s="143">
        <v>16315.73</v>
      </c>
      <c r="H119" s="143">
        <v>38683.29</v>
      </c>
      <c r="I119" s="143">
        <v>38683.29</v>
      </c>
      <c r="J119" s="143">
        <v>10739.81</v>
      </c>
      <c r="K119" s="143">
        <v>1440.6533899999899</v>
      </c>
      <c r="L119" s="143">
        <v>1440.65</v>
      </c>
      <c r="M119" s="143">
        <v>9339.27</v>
      </c>
      <c r="N119" s="143">
        <v>50</v>
      </c>
      <c r="O119" s="143">
        <v>50</v>
      </c>
      <c r="P119" s="150">
        <v>50</v>
      </c>
      <c r="Q119" s="143">
        <v>50</v>
      </c>
      <c r="R119" s="144">
        <v>50</v>
      </c>
      <c r="S119" s="143">
        <f t="shared" si="43"/>
        <v>-9289.27</v>
      </c>
      <c r="T119" s="143">
        <f t="shared" si="44"/>
        <v>0</v>
      </c>
      <c r="U119" s="151" t="e">
        <f>R119-#REF!</f>
        <v>#REF!</v>
      </c>
      <c r="V119" s="151">
        <f t="shared" si="45"/>
        <v>-9289.27</v>
      </c>
      <c r="W119" s="151">
        <f t="shared" si="46"/>
        <v>0</v>
      </c>
      <c r="X119" s="151" t="e">
        <f>O119-#REF!</f>
        <v>#REF!</v>
      </c>
      <c r="Y119" s="143">
        <f>'[65]2. подк.неподк.'!V107</f>
        <v>52.5</v>
      </c>
      <c r="Z119" s="182">
        <f>'[65]2. подк.неподк.'!W107</f>
        <v>54.86</v>
      </c>
      <c r="AA119" s="143">
        <f>'[65]2. подк.неподк.'!X107</f>
        <v>55.2</v>
      </c>
      <c r="AB119" s="143">
        <f>Y119*$AA$11</f>
        <v>54.434717364151425</v>
      </c>
      <c r="AC119" s="144">
        <f t="shared" si="47"/>
        <v>54.434717364151425</v>
      </c>
      <c r="AD119" s="143">
        <f t="shared" si="48"/>
        <v>1.9347173641514246</v>
      </c>
      <c r="AE119" s="143">
        <f t="shared" si="49"/>
        <v>3.6851759317169979</v>
      </c>
      <c r="AF119" s="143">
        <f t="shared" si="50"/>
        <v>-0.42528263584857484</v>
      </c>
      <c r="AG119" s="143">
        <f t="shared" si="51"/>
        <v>-0.7752144291807781</v>
      </c>
      <c r="AH119" s="143">
        <f t="shared" si="52"/>
        <v>-0.76528263584857825</v>
      </c>
      <c r="AI119" s="143">
        <f t="shared" si="53"/>
        <v>-1.3863815866822051</v>
      </c>
    </row>
    <row r="120" spans="1:35" ht="33" customHeight="1" outlineLevel="1">
      <c r="A120" s="139"/>
      <c r="B120" s="140" t="s">
        <v>625</v>
      </c>
      <c r="C120" s="186"/>
      <c r="D120" s="187" t="s">
        <v>626</v>
      </c>
      <c r="E120" s="187" t="s">
        <v>626</v>
      </c>
      <c r="F120" s="143" t="s">
        <v>121</v>
      </c>
      <c r="G120" s="144">
        <f t="shared" ref="G120:M120" si="63">SUM(G121:G128)</f>
        <v>28812.757161870992</v>
      </c>
      <c r="H120" s="144">
        <f t="shared" si="63"/>
        <v>22372.70089</v>
      </c>
      <c r="I120" s="144">
        <f t="shared" si="63"/>
        <v>22372.700000000004</v>
      </c>
      <c r="J120" s="144">
        <f t="shared" si="63"/>
        <v>21472.384475234809</v>
      </c>
      <c r="K120" s="144">
        <f t="shared" si="63"/>
        <v>16947.12977</v>
      </c>
      <c r="L120" s="144">
        <f t="shared" si="63"/>
        <v>16947.126560000001</v>
      </c>
      <c r="M120" s="144">
        <f t="shared" si="63"/>
        <v>18565.926318982296</v>
      </c>
      <c r="N120" s="144">
        <f>SUM(N121:N128)</f>
        <v>28815.5141</v>
      </c>
      <c r="O120" s="144">
        <f t="shared" ref="O120:AA120" si="64">SUM(O121:O128)</f>
        <v>28494.782489999998</v>
      </c>
      <c r="P120" s="145">
        <f t="shared" si="64"/>
        <v>28494.782489999998</v>
      </c>
      <c r="Q120" s="144">
        <f t="shared" si="64"/>
        <v>28494.782489999998</v>
      </c>
      <c r="R120" s="144">
        <f t="shared" si="64"/>
        <v>28494.782489999998</v>
      </c>
      <c r="S120" s="144">
        <f t="shared" si="43"/>
        <v>9928.8561710177019</v>
      </c>
      <c r="T120" s="144">
        <f t="shared" si="44"/>
        <v>0</v>
      </c>
      <c r="U120" s="146" t="e">
        <f>R120-#REF!</f>
        <v>#REF!</v>
      </c>
      <c r="V120" s="146">
        <f t="shared" si="45"/>
        <v>9928.8561710177019</v>
      </c>
      <c r="W120" s="146">
        <f t="shared" si="46"/>
        <v>0</v>
      </c>
      <c r="X120" s="146" t="e">
        <f>O120-#REF!</f>
        <v>#REF!</v>
      </c>
      <c r="Y120" s="144">
        <f t="shared" si="64"/>
        <v>17459.201644242832</v>
      </c>
      <c r="Z120" s="170">
        <f t="shared" si="64"/>
        <v>18244.865718233756</v>
      </c>
      <c r="AA120" s="144">
        <f t="shared" si="64"/>
        <v>32866.936384327106</v>
      </c>
      <c r="AB120" s="144">
        <f>SUM(AB121:AB128)</f>
        <v>18102.603941106405</v>
      </c>
      <c r="AC120" s="144">
        <f t="shared" si="47"/>
        <v>18102.603941106405</v>
      </c>
      <c r="AD120" s="144">
        <f t="shared" si="48"/>
        <v>643.4022968635727</v>
      </c>
      <c r="AE120" s="144">
        <f t="shared" si="49"/>
        <v>3.6851759317169837</v>
      </c>
      <c r="AF120" s="144">
        <f t="shared" si="50"/>
        <v>-142.2617771273508</v>
      </c>
      <c r="AG120" s="144">
        <f t="shared" si="51"/>
        <v>-0.77973595051004452</v>
      </c>
      <c r="AH120" s="144">
        <f t="shared" si="52"/>
        <v>-14764.332443220701</v>
      </c>
      <c r="AI120" s="144">
        <f t="shared" si="53"/>
        <v>-44.92153534048645</v>
      </c>
    </row>
    <row r="121" spans="1:35" ht="33" customHeight="1" outlineLevel="2">
      <c r="A121" s="152" t="s">
        <v>627</v>
      </c>
      <c r="B121" s="143" t="s">
        <v>628</v>
      </c>
      <c r="C121" s="147" t="s">
        <v>629</v>
      </c>
      <c r="D121" s="148" t="s">
        <v>630</v>
      </c>
      <c r="E121" s="149" t="s">
        <v>631</v>
      </c>
      <c r="F121" s="143" t="s">
        <v>121</v>
      </c>
      <c r="G121" s="143">
        <v>9243.9</v>
      </c>
      <c r="H121" s="143">
        <v>4829.74</v>
      </c>
      <c r="I121" s="143">
        <v>4829.74</v>
      </c>
      <c r="J121" s="143">
        <v>0</v>
      </c>
      <c r="K121" s="143">
        <v>0</v>
      </c>
      <c r="L121" s="143">
        <v>0</v>
      </c>
      <c r="M121" s="143">
        <v>1193.75</v>
      </c>
      <c r="N121" s="143">
        <v>1192.4649299999999</v>
      </c>
      <c r="O121" s="143">
        <v>1191.1294499999999</v>
      </c>
      <c r="P121" s="150">
        <v>1191.1294499999999</v>
      </c>
      <c r="Q121" s="143">
        <v>1191.1294499999999</v>
      </c>
      <c r="R121" s="144">
        <v>1191.1294499999999</v>
      </c>
      <c r="S121" s="143">
        <f t="shared" si="43"/>
        <v>-2.6205500000000939</v>
      </c>
      <c r="T121" s="143">
        <f t="shared" si="44"/>
        <v>0</v>
      </c>
      <c r="U121" s="151" t="e">
        <f>R121-#REF!</f>
        <v>#REF!</v>
      </c>
      <c r="V121" s="151">
        <f t="shared" si="45"/>
        <v>-2.6205500000000939</v>
      </c>
      <c r="W121" s="151">
        <f t="shared" si="46"/>
        <v>0</v>
      </c>
      <c r="X121" s="151" t="e">
        <f>O121-#REF!</f>
        <v>#REF!</v>
      </c>
      <c r="Y121" s="143">
        <f>'[65]2. подк.неподк.'!V109</f>
        <v>0</v>
      </c>
      <c r="Z121" s="182">
        <f>'[65]2. подк.неподк.'!W109</f>
        <v>0</v>
      </c>
      <c r="AA121" s="143">
        <f>'[65]2. подк.неподк.'!X109</f>
        <v>1240.45</v>
      </c>
      <c r="AB121" s="143">
        <f t="shared" ref="AB121:AB128" si="65">Y121*$AA$11</f>
        <v>0</v>
      </c>
      <c r="AC121" s="144">
        <f t="shared" si="47"/>
        <v>0</v>
      </c>
      <c r="AD121" s="143">
        <f t="shared" si="48"/>
        <v>0</v>
      </c>
      <c r="AE121" s="143"/>
      <c r="AF121" s="143">
        <f t="shared" si="50"/>
        <v>0</v>
      </c>
      <c r="AG121" s="143"/>
      <c r="AH121" s="143">
        <f t="shared" si="52"/>
        <v>-1240.45</v>
      </c>
      <c r="AI121" s="143">
        <f t="shared" si="53"/>
        <v>-100</v>
      </c>
    </row>
    <row r="122" spans="1:35" ht="33" customHeight="1" outlineLevel="2">
      <c r="A122" s="139" t="s">
        <v>632</v>
      </c>
      <c r="B122" s="143" t="s">
        <v>633</v>
      </c>
      <c r="C122" s="147" t="s">
        <v>634</v>
      </c>
      <c r="D122" s="148" t="s">
        <v>635</v>
      </c>
      <c r="E122" s="149" t="s">
        <v>636</v>
      </c>
      <c r="F122" s="143" t="s">
        <v>121</v>
      </c>
      <c r="G122" s="143">
        <v>8432.9125840524048</v>
      </c>
      <c r="H122" s="143">
        <v>8270.0497099999993</v>
      </c>
      <c r="I122" s="143">
        <v>8270.0499999999993</v>
      </c>
      <c r="J122" s="143">
        <v>9253.2098197147079</v>
      </c>
      <c r="K122" s="143">
        <v>8605.0923800000019</v>
      </c>
      <c r="L122" s="143">
        <v>8605.09</v>
      </c>
      <c r="M122" s="143">
        <v>7030.4659392748545</v>
      </c>
      <c r="N122" s="143">
        <v>10531.4162</v>
      </c>
      <c r="O122" s="143">
        <v>10462.21156</v>
      </c>
      <c r="P122" s="150">
        <v>10462.21156</v>
      </c>
      <c r="Q122" s="143">
        <v>10462.21156</v>
      </c>
      <c r="R122" s="144">
        <v>10462.21156</v>
      </c>
      <c r="S122" s="143">
        <f t="shared" si="43"/>
        <v>3431.7456207251453</v>
      </c>
      <c r="T122" s="143">
        <f t="shared" si="44"/>
        <v>0</v>
      </c>
      <c r="U122" s="151" t="e">
        <f>R122-#REF!</f>
        <v>#REF!</v>
      </c>
      <c r="V122" s="151">
        <f t="shared" si="45"/>
        <v>3431.7456207251453</v>
      </c>
      <c r="W122" s="151">
        <f t="shared" si="46"/>
        <v>0</v>
      </c>
      <c r="X122" s="151" t="e">
        <f>O122-#REF!</f>
        <v>#REF!</v>
      </c>
      <c r="Y122" s="143">
        <f>'[65]2. подк.неподк.'!V110</f>
        <v>9759.2476962500004</v>
      </c>
      <c r="Z122" s="182">
        <f>'[65]2. подк.неподк.'!W110</f>
        <v>10198.413842581249</v>
      </c>
      <c r="AA122" s="143">
        <f>'[65]2. подк.неподк.'!X110</f>
        <v>12039.995869574399</v>
      </c>
      <c r="AB122" s="143">
        <f t="shared" si="65"/>
        <v>10118.893143468851</v>
      </c>
      <c r="AC122" s="144">
        <f t="shared" si="47"/>
        <v>10118.893143468851</v>
      </c>
      <c r="AD122" s="143">
        <f t="shared" si="48"/>
        <v>359.64544721885068</v>
      </c>
      <c r="AE122" s="143">
        <f t="shared" si="49"/>
        <v>3.6851759317169979</v>
      </c>
      <c r="AF122" s="143">
        <f t="shared" si="50"/>
        <v>-79.520699112397779</v>
      </c>
      <c r="AG122" s="143">
        <f t="shared" si="51"/>
        <v>-0.77973595051003031</v>
      </c>
      <c r="AH122" s="143">
        <f t="shared" si="52"/>
        <v>-1921.1027261055478</v>
      </c>
      <c r="AI122" s="143">
        <f t="shared" si="53"/>
        <v>-15.956008182363746</v>
      </c>
    </row>
    <row r="123" spans="1:35" ht="33" customHeight="1" outlineLevel="2">
      <c r="A123" s="139" t="s">
        <v>637</v>
      </c>
      <c r="B123" s="143" t="s">
        <v>638</v>
      </c>
      <c r="C123" s="147" t="s">
        <v>639</v>
      </c>
      <c r="D123" s="148" t="s">
        <v>640</v>
      </c>
      <c r="E123" s="149" t="s">
        <v>641</v>
      </c>
      <c r="F123" s="143" t="s">
        <v>121</v>
      </c>
      <c r="G123" s="143">
        <v>533.42205464403571</v>
      </c>
      <c r="H123" s="143">
        <v>1416.7792400000001</v>
      </c>
      <c r="I123" s="143">
        <v>1416.78</v>
      </c>
      <c r="J123" s="143">
        <v>585.30977819204134</v>
      </c>
      <c r="K123" s="143">
        <v>793.79155000000003</v>
      </c>
      <c r="L123" s="143">
        <v>793.79</v>
      </c>
      <c r="M123" s="143">
        <v>1017.4871237402791</v>
      </c>
      <c r="N123" s="143">
        <v>8703.1133399999999</v>
      </c>
      <c r="O123" s="143">
        <v>8591.1310199999989</v>
      </c>
      <c r="P123" s="150">
        <v>8591.1310199999989</v>
      </c>
      <c r="Q123" s="143">
        <v>8591.1310199999989</v>
      </c>
      <c r="R123" s="144">
        <v>8591.1310199999989</v>
      </c>
      <c r="S123" s="143">
        <f t="shared" si="43"/>
        <v>7573.6438962597194</v>
      </c>
      <c r="T123" s="143">
        <f t="shared" si="44"/>
        <v>0</v>
      </c>
      <c r="U123" s="151" t="e">
        <f>R123-#REF!</f>
        <v>#REF!</v>
      </c>
      <c r="V123" s="151">
        <f t="shared" si="45"/>
        <v>7573.6438962597194</v>
      </c>
      <c r="W123" s="151">
        <f t="shared" si="46"/>
        <v>0</v>
      </c>
      <c r="X123" s="151" t="e">
        <f>O123-#REF!</f>
        <v>#REF!</v>
      </c>
      <c r="Y123" s="143">
        <f>'[65]2. подк.неподк.'!V111</f>
        <v>1068</v>
      </c>
      <c r="Z123" s="182">
        <f>'[65]2. подк.неподк.'!W111</f>
        <v>1116.06</v>
      </c>
      <c r="AA123" s="143">
        <f>'[65]2. подк.неподк.'!X111</f>
        <v>9608.237127360002</v>
      </c>
      <c r="AB123" s="143">
        <f t="shared" si="65"/>
        <v>1107.3576789507376</v>
      </c>
      <c r="AC123" s="144">
        <f t="shared" si="47"/>
        <v>1107.3576789507376</v>
      </c>
      <c r="AD123" s="143">
        <f t="shared" si="48"/>
        <v>39.357678950737636</v>
      </c>
      <c r="AE123" s="143">
        <f t="shared" si="49"/>
        <v>3.6851759317169979</v>
      </c>
      <c r="AF123" s="143">
        <f t="shared" si="50"/>
        <v>-8.7023210492623093</v>
      </c>
      <c r="AG123" s="143">
        <f t="shared" si="51"/>
        <v>-0.77973595051004452</v>
      </c>
      <c r="AH123" s="143">
        <f t="shared" si="52"/>
        <v>-8500.879448409265</v>
      </c>
      <c r="AI123" s="143">
        <f t="shared" si="53"/>
        <v>-88.474913095166301</v>
      </c>
    </row>
    <row r="124" spans="1:35" ht="33" customHeight="1" outlineLevel="2">
      <c r="A124" s="139" t="s">
        <v>642</v>
      </c>
      <c r="B124" s="143" t="s">
        <v>643</v>
      </c>
      <c r="C124" s="147" t="s">
        <v>644</v>
      </c>
      <c r="D124" s="148" t="s">
        <v>645</v>
      </c>
      <c r="E124" s="149" t="s">
        <v>646</v>
      </c>
      <c r="F124" s="143" t="s">
        <v>121</v>
      </c>
      <c r="G124" s="143">
        <v>3031.7074666866979</v>
      </c>
      <c r="H124" s="143">
        <v>5402.20046</v>
      </c>
      <c r="I124" s="143">
        <v>5402.2</v>
      </c>
      <c r="J124" s="143">
        <v>3326.6116566059527</v>
      </c>
      <c r="K124" s="143">
        <v>5443.60167</v>
      </c>
      <c r="L124" s="143">
        <v>5443.6</v>
      </c>
      <c r="M124" s="143">
        <v>3879.6936408482502</v>
      </c>
      <c r="N124" s="143">
        <v>5233.3569299999999</v>
      </c>
      <c r="O124" s="143">
        <v>5233.3569299999999</v>
      </c>
      <c r="P124" s="150">
        <v>5233.3569299999999</v>
      </c>
      <c r="Q124" s="143">
        <v>5233.3569299999999</v>
      </c>
      <c r="R124" s="144">
        <v>5233.3569299999999</v>
      </c>
      <c r="S124" s="143">
        <f t="shared" si="43"/>
        <v>1353.6632891517497</v>
      </c>
      <c r="T124" s="143">
        <f t="shared" si="44"/>
        <v>0</v>
      </c>
      <c r="U124" s="151" t="e">
        <f>R124-#REF!</f>
        <v>#REF!</v>
      </c>
      <c r="V124" s="151">
        <f t="shared" si="45"/>
        <v>1353.6632891517497</v>
      </c>
      <c r="W124" s="151">
        <f t="shared" si="46"/>
        <v>0</v>
      </c>
      <c r="X124" s="151" t="e">
        <f>O124-#REF!</f>
        <v>#REF!</v>
      </c>
      <c r="Y124" s="143">
        <f>'[65]2. подк.неподк.'!V112</f>
        <v>4093.0767910949003</v>
      </c>
      <c r="Z124" s="182">
        <f>'[65]2. подк.неподк.'!W112</f>
        <v>4277.2652466941709</v>
      </c>
      <c r="AA124" s="143">
        <f>'[65]2. подк.неподк.'!X112</f>
        <v>6588.2101073927042</v>
      </c>
      <c r="AB124" s="143">
        <f t="shared" si="65"/>
        <v>4243.9138718670238</v>
      </c>
      <c r="AC124" s="144">
        <f t="shared" si="47"/>
        <v>4243.9138718670238</v>
      </c>
      <c r="AD124" s="143">
        <f t="shared" si="48"/>
        <v>150.8370807721235</v>
      </c>
      <c r="AE124" s="143">
        <f t="shared" si="49"/>
        <v>3.6851759317169979</v>
      </c>
      <c r="AF124" s="143">
        <f t="shared" si="50"/>
        <v>-33.351374827147083</v>
      </c>
      <c r="AG124" s="143">
        <f t="shared" si="51"/>
        <v>-0.77973595051005873</v>
      </c>
      <c r="AH124" s="143">
        <f t="shared" si="52"/>
        <v>-2344.2962355256805</v>
      </c>
      <c r="AI124" s="143">
        <f t="shared" si="53"/>
        <v>-35.583203894713662</v>
      </c>
    </row>
    <row r="125" spans="1:35" ht="33" customHeight="1" outlineLevel="2">
      <c r="A125" s="139" t="s">
        <v>647</v>
      </c>
      <c r="B125" s="143" t="s">
        <v>648</v>
      </c>
      <c r="C125" s="147" t="s">
        <v>649</v>
      </c>
      <c r="D125" s="148" t="s">
        <v>650</v>
      </c>
      <c r="E125" s="149" t="s">
        <v>651</v>
      </c>
      <c r="F125" s="143" t="s">
        <v>121</v>
      </c>
      <c r="G125" s="143">
        <v>313.40637335712842</v>
      </c>
      <c r="H125" s="143">
        <v>86.563450000000003</v>
      </c>
      <c r="I125" s="143">
        <v>86.56</v>
      </c>
      <c r="J125" s="143">
        <v>343.89244553460833</v>
      </c>
      <c r="K125" s="143">
        <v>130.78139999999999</v>
      </c>
      <c r="L125" s="143">
        <v>130.78</v>
      </c>
      <c r="M125" s="143">
        <v>282.05896067073616</v>
      </c>
      <c r="N125" s="143">
        <v>627.99553000000003</v>
      </c>
      <c r="O125" s="143">
        <v>627.99553000000003</v>
      </c>
      <c r="P125" s="150">
        <v>627.99553000000003</v>
      </c>
      <c r="Q125" s="143">
        <v>627.99553000000003</v>
      </c>
      <c r="R125" s="144">
        <v>627.99553000000003</v>
      </c>
      <c r="S125" s="143">
        <f t="shared" si="43"/>
        <v>345.93656932926388</v>
      </c>
      <c r="T125" s="143">
        <f t="shared" si="44"/>
        <v>0</v>
      </c>
      <c r="U125" s="151" t="e">
        <f>R125-#REF!</f>
        <v>#REF!</v>
      </c>
      <c r="V125" s="151">
        <f t="shared" si="45"/>
        <v>345.93656932926388</v>
      </c>
      <c r="W125" s="151">
        <f t="shared" si="46"/>
        <v>0</v>
      </c>
      <c r="X125" s="151" t="e">
        <f>O125-#REF!</f>
        <v>#REF!</v>
      </c>
      <c r="Y125" s="143">
        <f>'[65]2. подк.неподк.'!V113</f>
        <v>148.32086749999996</v>
      </c>
      <c r="Z125" s="182">
        <f>'[65]2. подк.неподк.'!W113</f>
        <v>154.99530653749994</v>
      </c>
      <c r="AA125" s="143">
        <f>'[65]2. подк.неподк.'!X113</f>
        <v>433</v>
      </c>
      <c r="AB125" s="143">
        <f t="shared" si="65"/>
        <v>153.78675241082382</v>
      </c>
      <c r="AC125" s="144">
        <f t="shared" si="47"/>
        <v>153.78675241082382</v>
      </c>
      <c r="AD125" s="143">
        <f t="shared" si="48"/>
        <v>5.4658849108238599</v>
      </c>
      <c r="AE125" s="143">
        <f t="shared" si="49"/>
        <v>3.6851759317169979</v>
      </c>
      <c r="AF125" s="143">
        <f t="shared" si="50"/>
        <v>-1.2085541266761197</v>
      </c>
      <c r="AG125" s="143">
        <f t="shared" si="51"/>
        <v>-0.77973595051004452</v>
      </c>
      <c r="AH125" s="143">
        <f t="shared" si="52"/>
        <v>-279.21324758917615</v>
      </c>
      <c r="AI125" s="143">
        <f t="shared" si="53"/>
        <v>-64.483429004428672</v>
      </c>
    </row>
    <row r="126" spans="1:35" ht="33" customHeight="1" outlineLevel="2">
      <c r="A126" s="139" t="s">
        <v>652</v>
      </c>
      <c r="B126" s="143" t="s">
        <v>653</v>
      </c>
      <c r="C126" s="147" t="s">
        <v>654</v>
      </c>
      <c r="D126" s="148" t="s">
        <v>655</v>
      </c>
      <c r="E126" s="149" t="s">
        <v>656</v>
      </c>
      <c r="F126" s="143" t="s">
        <v>121</v>
      </c>
      <c r="G126" s="143">
        <v>888.17059086519919</v>
      </c>
      <c r="H126" s="143">
        <v>2046.65239</v>
      </c>
      <c r="I126" s="143">
        <v>2046.65</v>
      </c>
      <c r="J126" s="143">
        <v>974.5658752016069</v>
      </c>
      <c r="K126" s="143">
        <v>1233.3163399999999</v>
      </c>
      <c r="L126" s="143">
        <v>1233.32</v>
      </c>
      <c r="M126" s="143">
        <v>1469.8425801307392</v>
      </c>
      <c r="N126" s="143">
        <v>1551.7838400000001</v>
      </c>
      <c r="O126" s="143">
        <v>1419.9294600000001</v>
      </c>
      <c r="P126" s="150">
        <v>1419.9294600000001</v>
      </c>
      <c r="Q126" s="143">
        <v>1419.9294600000001</v>
      </c>
      <c r="R126" s="144">
        <v>1419.9294600000001</v>
      </c>
      <c r="S126" s="143">
        <f t="shared" si="43"/>
        <v>-49.913120130739117</v>
      </c>
      <c r="T126" s="143">
        <f t="shared" si="44"/>
        <v>0</v>
      </c>
      <c r="U126" s="151" t="e">
        <f>R126-#REF!</f>
        <v>#REF!</v>
      </c>
      <c r="V126" s="151">
        <f t="shared" si="45"/>
        <v>-49.913120130739117</v>
      </c>
      <c r="W126" s="151">
        <f t="shared" si="46"/>
        <v>0</v>
      </c>
      <c r="X126" s="151" t="e">
        <f>O126-#REF!</f>
        <v>#REF!</v>
      </c>
      <c r="Y126" s="143">
        <f>'[65]2. подк.неподк.'!V114</f>
        <v>1550.6839220379297</v>
      </c>
      <c r="Z126" s="182">
        <f>'[65]2. подк.неподк.'!W114</f>
        <v>1620.4646985296365</v>
      </c>
      <c r="AA126" s="143">
        <f>'[65]2. подк.неподк.'!X114</f>
        <v>1768.2932799999999</v>
      </c>
      <c r="AB126" s="143">
        <f t="shared" si="65"/>
        <v>1607.8293527098767</v>
      </c>
      <c r="AC126" s="144">
        <f t="shared" si="47"/>
        <v>1607.8293527098767</v>
      </c>
      <c r="AD126" s="143">
        <f t="shared" si="48"/>
        <v>57.145430671946997</v>
      </c>
      <c r="AE126" s="143">
        <f t="shared" si="49"/>
        <v>3.6851759317169979</v>
      </c>
      <c r="AF126" s="143">
        <f t="shared" si="50"/>
        <v>-12.635345819759777</v>
      </c>
      <c r="AG126" s="143">
        <f t="shared" si="51"/>
        <v>-0.77973595051004452</v>
      </c>
      <c r="AH126" s="143">
        <f t="shared" si="52"/>
        <v>-160.46392729012314</v>
      </c>
      <c r="AI126" s="143">
        <f t="shared" si="53"/>
        <v>-9.0745086861452791</v>
      </c>
    </row>
    <row r="127" spans="1:35" ht="33" customHeight="1" outlineLevel="2">
      <c r="A127" s="139" t="s">
        <v>657</v>
      </c>
      <c r="B127" s="143" t="s">
        <v>658</v>
      </c>
      <c r="C127" s="147" t="s">
        <v>659</v>
      </c>
      <c r="D127" s="148" t="s">
        <v>660</v>
      </c>
      <c r="E127" s="149" t="s">
        <v>656</v>
      </c>
      <c r="F127" s="143" t="s">
        <v>121</v>
      </c>
      <c r="G127" s="143">
        <v>434.38496208471071</v>
      </c>
      <c r="H127" s="143">
        <v>320.71564000000001</v>
      </c>
      <c r="I127" s="143">
        <v>320.72000000000003</v>
      </c>
      <c r="J127" s="143">
        <v>476.63902081706533</v>
      </c>
      <c r="K127" s="143">
        <v>247.70656</v>
      </c>
      <c r="L127" s="143">
        <v>247.70656</v>
      </c>
      <c r="M127" s="143">
        <v>230.32807431743765</v>
      </c>
      <c r="N127" s="143">
        <v>252.22433999999998</v>
      </c>
      <c r="O127" s="143">
        <v>245.86955</v>
      </c>
      <c r="P127" s="150">
        <v>245.86955</v>
      </c>
      <c r="Q127" s="143">
        <v>245.86955</v>
      </c>
      <c r="R127" s="144">
        <v>245.86955</v>
      </c>
      <c r="S127" s="143">
        <f t="shared" si="43"/>
        <v>15.54147568256235</v>
      </c>
      <c r="T127" s="143">
        <f t="shared" si="44"/>
        <v>0</v>
      </c>
      <c r="U127" s="151" t="e">
        <f>R127-#REF!</f>
        <v>#REF!</v>
      </c>
      <c r="V127" s="151">
        <f t="shared" si="45"/>
        <v>15.54147568256235</v>
      </c>
      <c r="W127" s="151">
        <f t="shared" si="46"/>
        <v>0</v>
      </c>
      <c r="X127" s="151" t="e">
        <f>O127-#REF!</f>
        <v>#REF!</v>
      </c>
      <c r="Y127" s="143">
        <f>'[65]2. подк.неподк.'!V115</f>
        <v>280.93020235999995</v>
      </c>
      <c r="Z127" s="182">
        <f>'[65]2. подк.неподк.'!W115</f>
        <v>293.57206146619995</v>
      </c>
      <c r="AA127" s="143">
        <f>'[65]2. подк.неподк.'!X115</f>
        <v>390.38</v>
      </c>
      <c r="AB127" s="143">
        <f t="shared" si="65"/>
        <v>291.28297456229456</v>
      </c>
      <c r="AC127" s="144">
        <f t="shared" si="47"/>
        <v>291.28297456229456</v>
      </c>
      <c r="AD127" s="143">
        <f t="shared" si="48"/>
        <v>10.352772202294602</v>
      </c>
      <c r="AE127" s="143">
        <f t="shared" si="49"/>
        <v>3.6851759317169979</v>
      </c>
      <c r="AF127" s="143">
        <f t="shared" si="50"/>
        <v>-2.2890869039053996</v>
      </c>
      <c r="AG127" s="143">
        <f t="shared" si="51"/>
        <v>-0.77973595051004452</v>
      </c>
      <c r="AH127" s="143">
        <f t="shared" si="52"/>
        <v>-99.09702543770544</v>
      </c>
      <c r="AI127" s="143">
        <f t="shared" si="53"/>
        <v>-25.384759833420105</v>
      </c>
    </row>
    <row r="128" spans="1:35" ht="33" customHeight="1" outlineLevel="2">
      <c r="A128" s="139" t="s">
        <v>661</v>
      </c>
      <c r="B128" s="143" t="s">
        <v>662</v>
      </c>
      <c r="C128" s="147" t="s">
        <v>663</v>
      </c>
      <c r="D128" s="148" t="s">
        <v>664</v>
      </c>
      <c r="E128" s="149" t="s">
        <v>665</v>
      </c>
      <c r="F128" s="143" t="s">
        <v>121</v>
      </c>
      <c r="G128" s="143">
        <v>5934.8531301808125</v>
      </c>
      <c r="H128" s="143">
        <v>0</v>
      </c>
      <c r="I128" s="143">
        <v>0</v>
      </c>
      <c r="J128" s="143">
        <v>6512.1558791688294</v>
      </c>
      <c r="K128" s="143">
        <v>492.83987000000002</v>
      </c>
      <c r="L128" s="143">
        <v>492.84</v>
      </c>
      <c r="M128" s="143">
        <v>3462.3</v>
      </c>
      <c r="N128" s="143">
        <v>723.15899000000002</v>
      </c>
      <c r="O128" s="143">
        <v>723.15899000000002</v>
      </c>
      <c r="P128" s="150">
        <v>723.15899000000002</v>
      </c>
      <c r="Q128" s="143">
        <v>723.15899000000002</v>
      </c>
      <c r="R128" s="144">
        <v>723.15899000000002</v>
      </c>
      <c r="S128" s="143">
        <f t="shared" si="43"/>
        <v>-2739.1410100000003</v>
      </c>
      <c r="T128" s="143">
        <f t="shared" si="44"/>
        <v>0</v>
      </c>
      <c r="U128" s="151" t="e">
        <f>R128-#REF!</f>
        <v>#REF!</v>
      </c>
      <c r="V128" s="151">
        <f t="shared" si="45"/>
        <v>-2739.1410100000003</v>
      </c>
      <c r="W128" s="151">
        <f t="shared" si="46"/>
        <v>0</v>
      </c>
      <c r="X128" s="151" t="e">
        <f>O128-#REF!</f>
        <v>#REF!</v>
      </c>
      <c r="Y128" s="143">
        <f>'[65]2. подк.неподк.'!V116</f>
        <v>558.94216499999993</v>
      </c>
      <c r="Z128" s="182">
        <f>'[65]2. подк.неподк.'!W116</f>
        <v>584.09456242499994</v>
      </c>
      <c r="AA128" s="143">
        <f>'[65]2. подк.неподк.'!X116</f>
        <v>798.37</v>
      </c>
      <c r="AB128" s="143">
        <f t="shared" si="65"/>
        <v>579.54016713679789</v>
      </c>
      <c r="AC128" s="144">
        <f t="shared" si="47"/>
        <v>579.54016713679789</v>
      </c>
      <c r="AD128" s="143">
        <f t="shared" si="48"/>
        <v>20.598002136797959</v>
      </c>
      <c r="AE128" s="143">
        <f t="shared" si="49"/>
        <v>3.6851759317169979</v>
      </c>
      <c r="AF128" s="143">
        <f t="shared" si="50"/>
        <v>-4.5543952882020449</v>
      </c>
      <c r="AG128" s="143">
        <f t="shared" si="51"/>
        <v>-0.77973595051004452</v>
      </c>
      <c r="AH128" s="143">
        <f t="shared" si="52"/>
        <v>-218.82983286320211</v>
      </c>
      <c r="AI128" s="143">
        <f t="shared" si="53"/>
        <v>-27.409576119243212</v>
      </c>
    </row>
    <row r="129" spans="1:36" ht="33" customHeight="1">
      <c r="A129" s="139"/>
      <c r="B129" s="140" t="s">
        <v>666</v>
      </c>
      <c r="C129" s="141"/>
      <c r="D129" s="142" t="s">
        <v>667</v>
      </c>
      <c r="E129" s="142" t="s">
        <v>667</v>
      </c>
      <c r="F129" s="143" t="s">
        <v>121</v>
      </c>
      <c r="G129" s="144">
        <f t="shared" ref="G129:I129" si="66">G130</f>
        <v>273884.56380501459</v>
      </c>
      <c r="H129" s="144">
        <f t="shared" si="66"/>
        <v>360979.20871999994</v>
      </c>
      <c r="I129" s="144">
        <f t="shared" si="66"/>
        <v>310068.11660000001</v>
      </c>
      <c r="J129" s="144">
        <f>J130</f>
        <v>300391.2539843673</v>
      </c>
      <c r="K129" s="144">
        <f t="shared" ref="K129:L129" si="67">K130</f>
        <v>406474.16618</v>
      </c>
      <c r="L129" s="144">
        <f t="shared" si="67"/>
        <v>353215.04236999998</v>
      </c>
      <c r="M129" s="144">
        <f>M130</f>
        <v>246407.73130758444</v>
      </c>
      <c r="N129" s="144">
        <f>N130</f>
        <v>385881.87605000014</v>
      </c>
      <c r="O129" s="144">
        <f t="shared" ref="O129:AA129" si="68">O130</f>
        <v>374418.72992000013</v>
      </c>
      <c r="P129" s="145">
        <f t="shared" si="68"/>
        <v>331433.07673000003</v>
      </c>
      <c r="Q129" s="144">
        <f t="shared" si="68"/>
        <v>334569.30448000005</v>
      </c>
      <c r="R129" s="144">
        <f t="shared" si="68"/>
        <v>325108.87445000006</v>
      </c>
      <c r="S129" s="144">
        <f t="shared" si="43"/>
        <v>78701.143142415618</v>
      </c>
      <c r="T129" s="144">
        <f t="shared" si="44"/>
        <v>-49309.855470000068</v>
      </c>
      <c r="U129" s="146" t="e">
        <f>R129-#REF!</f>
        <v>#REF!</v>
      </c>
      <c r="V129" s="146">
        <f t="shared" si="45"/>
        <v>78701.143142415618</v>
      </c>
      <c r="W129" s="146">
        <f t="shared" si="46"/>
        <v>3136.22775000002</v>
      </c>
      <c r="X129" s="146" t="e">
        <f>O129-#REF!</f>
        <v>#REF!</v>
      </c>
      <c r="Y129" s="144">
        <f t="shared" si="68"/>
        <v>295154.89023118129</v>
      </c>
      <c r="Z129" s="170">
        <f t="shared" si="68"/>
        <v>307712.57708458445</v>
      </c>
      <c r="AA129" s="144">
        <f t="shared" si="68"/>
        <v>534400.60957292235</v>
      </c>
      <c r="AB129" s="144">
        <f>AB130</f>
        <v>306031.86720726662</v>
      </c>
      <c r="AC129" s="144">
        <f t="shared" si="47"/>
        <v>306031.86720726662</v>
      </c>
      <c r="AD129" s="144">
        <f t="shared" si="48"/>
        <v>10876.976976085338</v>
      </c>
      <c r="AE129" s="144">
        <f t="shared" si="49"/>
        <v>3.6851759317170405</v>
      </c>
      <c r="AF129" s="144">
        <f t="shared" si="50"/>
        <v>-1680.7098773178295</v>
      </c>
      <c r="AG129" s="144">
        <f t="shared" si="51"/>
        <v>-0.54619472926380297</v>
      </c>
      <c r="AH129" s="144">
        <f t="shared" si="52"/>
        <v>-228368.74236565572</v>
      </c>
      <c r="AI129" s="144">
        <f t="shared" si="53"/>
        <v>-42.733623104988872</v>
      </c>
    </row>
    <row r="130" spans="1:36" ht="33" customHeight="1" outlineLevel="1">
      <c r="A130" s="139"/>
      <c r="B130" s="140" t="s">
        <v>668</v>
      </c>
      <c r="C130" s="141"/>
      <c r="D130" s="142" t="s">
        <v>669</v>
      </c>
      <c r="E130" s="142" t="s">
        <v>669</v>
      </c>
      <c r="F130" s="143" t="s">
        <v>121</v>
      </c>
      <c r="G130" s="144">
        <f t="shared" ref="G130:AA130" si="69">G131+G141+G143+G148+G151+G206+G211+G214+G220+G228+G234+G240</f>
        <v>273884.56380501459</v>
      </c>
      <c r="H130" s="144">
        <f t="shared" si="69"/>
        <v>360979.20871999994</v>
      </c>
      <c r="I130" s="144">
        <f t="shared" si="69"/>
        <v>310068.11660000001</v>
      </c>
      <c r="J130" s="144">
        <f t="shared" si="69"/>
        <v>300391.2539843673</v>
      </c>
      <c r="K130" s="144">
        <f t="shared" si="69"/>
        <v>406474.16618</v>
      </c>
      <c r="L130" s="144">
        <f t="shared" si="69"/>
        <v>353215.04236999998</v>
      </c>
      <c r="M130" s="144">
        <f t="shared" si="69"/>
        <v>246407.73130758444</v>
      </c>
      <c r="N130" s="144">
        <f t="shared" si="69"/>
        <v>385881.87605000014</v>
      </c>
      <c r="O130" s="144">
        <f t="shared" si="69"/>
        <v>374418.72992000013</v>
      </c>
      <c r="P130" s="145">
        <f t="shared" si="69"/>
        <v>331433.07673000003</v>
      </c>
      <c r="Q130" s="144">
        <f t="shared" si="69"/>
        <v>334569.30448000005</v>
      </c>
      <c r="R130" s="144">
        <f t="shared" si="69"/>
        <v>325108.87445000006</v>
      </c>
      <c r="S130" s="144">
        <f t="shared" si="43"/>
        <v>78701.143142415618</v>
      </c>
      <c r="T130" s="144">
        <f t="shared" si="44"/>
        <v>-49309.855470000068</v>
      </c>
      <c r="U130" s="146" t="e">
        <f>R130-#REF!</f>
        <v>#REF!</v>
      </c>
      <c r="V130" s="146">
        <f t="shared" si="45"/>
        <v>78701.143142415618</v>
      </c>
      <c r="W130" s="146">
        <f t="shared" si="46"/>
        <v>3136.22775000002</v>
      </c>
      <c r="X130" s="146" t="e">
        <f>O130-#REF!</f>
        <v>#REF!</v>
      </c>
      <c r="Y130" s="144">
        <f t="shared" si="69"/>
        <v>295154.89023118129</v>
      </c>
      <c r="Z130" s="170">
        <f t="shared" si="69"/>
        <v>307712.57708458445</v>
      </c>
      <c r="AA130" s="144">
        <f t="shared" si="69"/>
        <v>534400.60957292235</v>
      </c>
      <c r="AB130" s="144">
        <f>AB131+AB141+AB143+AB148+AB151+AB206+AB211+AB214+AB220+AB228+AB234+AB240</f>
        <v>306031.86720726662</v>
      </c>
      <c r="AC130" s="144">
        <f t="shared" si="47"/>
        <v>306031.86720726662</v>
      </c>
      <c r="AD130" s="144">
        <f t="shared" si="48"/>
        <v>10876.976976085338</v>
      </c>
      <c r="AE130" s="144">
        <f t="shared" si="49"/>
        <v>3.6851759317170405</v>
      </c>
      <c r="AF130" s="144">
        <f t="shared" si="50"/>
        <v>-1680.7098773178295</v>
      </c>
      <c r="AG130" s="144">
        <f t="shared" si="51"/>
        <v>-0.54619472926380297</v>
      </c>
      <c r="AH130" s="144">
        <f t="shared" si="52"/>
        <v>-228368.74236565572</v>
      </c>
      <c r="AI130" s="144">
        <f t="shared" si="53"/>
        <v>-42.733623104988872</v>
      </c>
    </row>
    <row r="131" spans="1:36" ht="33" customHeight="1" outlineLevel="1">
      <c r="A131" s="139"/>
      <c r="B131" s="140" t="s">
        <v>670</v>
      </c>
      <c r="C131" s="141"/>
      <c r="D131" s="393" t="s">
        <v>671</v>
      </c>
      <c r="E131" s="188" t="s">
        <v>671</v>
      </c>
      <c r="F131" s="143" t="s">
        <v>121</v>
      </c>
      <c r="G131" s="144">
        <f t="shared" ref="G131:H131" si="70">SUM(G132:G140)</f>
        <v>10942.472202599998</v>
      </c>
      <c r="H131" s="144">
        <f t="shared" si="70"/>
        <v>15982.14898</v>
      </c>
      <c r="I131" s="144">
        <f t="shared" ref="I131" si="71">SUM(I132:I140)</f>
        <v>15496.049710000001</v>
      </c>
      <c r="J131" s="144">
        <f>SUM(J132:J140)</f>
        <v>12006.882912179333</v>
      </c>
      <c r="K131" s="144">
        <f t="shared" ref="K131:M131" si="72">SUM(K132:K140)</f>
        <v>16857.334510000001</v>
      </c>
      <c r="L131" s="144">
        <f t="shared" si="72"/>
        <v>13376.5</v>
      </c>
      <c r="M131" s="144">
        <f t="shared" si="72"/>
        <v>13113.625353946214</v>
      </c>
      <c r="N131" s="144">
        <f>SUM(N132:N140)</f>
        <v>16003.81185</v>
      </c>
      <c r="O131" s="144">
        <f t="shared" ref="O131:AB131" si="73">SUM(O132:O140)</f>
        <v>15383.44515</v>
      </c>
      <c r="P131" s="145">
        <f t="shared" si="73"/>
        <v>15383.44515</v>
      </c>
      <c r="Q131" s="144">
        <f t="shared" si="73"/>
        <v>15383.44515</v>
      </c>
      <c r="R131" s="144">
        <f t="shared" si="73"/>
        <v>15382.86966</v>
      </c>
      <c r="S131" s="144">
        <f t="shared" si="43"/>
        <v>2269.2443060537862</v>
      </c>
      <c r="T131" s="144">
        <f t="shared" si="44"/>
        <v>-0.57548999999926309</v>
      </c>
      <c r="U131" s="146" t="e">
        <f>R131-#REF!</f>
        <v>#REF!</v>
      </c>
      <c r="V131" s="146">
        <f t="shared" si="45"/>
        <v>2269.2443060537862</v>
      </c>
      <c r="W131" s="146">
        <f t="shared" si="46"/>
        <v>0</v>
      </c>
      <c r="X131" s="146" t="e">
        <f>O131-#REF!</f>
        <v>#REF!</v>
      </c>
      <c r="Y131" s="144">
        <f t="shared" si="73"/>
        <v>14478.903483332291</v>
      </c>
      <c r="Z131" s="170">
        <f t="shared" si="73"/>
        <v>15130.454140082245</v>
      </c>
      <c r="AA131" s="144">
        <f t="shared" si="73"/>
        <v>20873.304283119283</v>
      </c>
      <c r="AB131" s="144">
        <f t="shared" si="73"/>
        <v>15012.476549676587</v>
      </c>
      <c r="AC131" s="144">
        <f t="shared" si="47"/>
        <v>15012.476549676587</v>
      </c>
      <c r="AD131" s="144">
        <f t="shared" si="48"/>
        <v>533.57306634429551</v>
      </c>
      <c r="AE131" s="144">
        <f t="shared" si="49"/>
        <v>3.6851759317169979</v>
      </c>
      <c r="AF131" s="144">
        <f t="shared" si="50"/>
        <v>-117.9775904056587</v>
      </c>
      <c r="AG131" s="144">
        <f t="shared" si="51"/>
        <v>-0.77973595051005873</v>
      </c>
      <c r="AH131" s="144">
        <f t="shared" si="52"/>
        <v>-5860.8277334426966</v>
      </c>
      <c r="AI131" s="144">
        <f t="shared" si="53"/>
        <v>-28.078102316471671</v>
      </c>
      <c r="AJ131" s="52">
        <f>Y131+Y141+Y143+Y148+Y153+Y160+Y168+Y172+Y180+Y205+Y206+Y211+Y214+Y220+Y228+Y234+Y240</f>
        <v>295154.89023118129</v>
      </c>
    </row>
    <row r="132" spans="1:36" ht="33" customHeight="1" outlineLevel="2">
      <c r="A132" s="139" t="s">
        <v>672</v>
      </c>
      <c r="B132" s="143" t="s">
        <v>673</v>
      </c>
      <c r="C132" s="147" t="s">
        <v>674</v>
      </c>
      <c r="D132" s="148" t="s">
        <v>675</v>
      </c>
      <c r="E132" s="149" t="s">
        <v>676</v>
      </c>
      <c r="F132" s="143" t="s">
        <v>121</v>
      </c>
      <c r="G132" s="143">
        <v>3292.8576813215782</v>
      </c>
      <c r="H132" s="143">
        <v>3325.48027</v>
      </c>
      <c r="I132" s="143">
        <v>3292.86</v>
      </c>
      <c r="J132" s="143">
        <v>3613.1649131998065</v>
      </c>
      <c r="K132" s="143">
        <v>5730.9237400000002</v>
      </c>
      <c r="L132" s="143">
        <v>5730.92</v>
      </c>
      <c r="M132" s="143">
        <v>3815.1537072256506</v>
      </c>
      <c r="N132" s="143">
        <v>5225.2122799999997</v>
      </c>
      <c r="O132" s="143">
        <v>5103.2929499999991</v>
      </c>
      <c r="P132" s="150">
        <v>5103.2929499999991</v>
      </c>
      <c r="Q132" s="143">
        <v>5103.2929499999991</v>
      </c>
      <c r="R132" s="144">
        <v>5103.2929499999991</v>
      </c>
      <c r="S132" s="143">
        <f t="shared" si="43"/>
        <v>1288.1392427743485</v>
      </c>
      <c r="T132" s="143">
        <f t="shared" si="44"/>
        <v>0</v>
      </c>
      <c r="U132" s="151" t="e">
        <f>R132-#REF!</f>
        <v>#REF!</v>
      </c>
      <c r="V132" s="151">
        <f t="shared" si="45"/>
        <v>1288.1392427743485</v>
      </c>
      <c r="W132" s="151">
        <f t="shared" si="46"/>
        <v>0</v>
      </c>
      <c r="X132" s="151" t="e">
        <f>O132-#REF!</f>
        <v>#REF!</v>
      </c>
      <c r="Y132" s="143">
        <f>'[65]2. подк.неподк.'!V120</f>
        <v>4024.987161123061</v>
      </c>
      <c r="Z132" s="182">
        <f>'[65]2. подк.неподк.'!W120</f>
        <v>4206.1115833735985</v>
      </c>
      <c r="AA132" s="143">
        <f>'[65]2. подк.неподк.'!X120</f>
        <v>5767.3471704000003</v>
      </c>
      <c r="AB132" s="143">
        <f t="shared" ref="AB132:AB140" si="74">Y132*$AA$11</f>
        <v>4173.3150192394678</v>
      </c>
      <c r="AC132" s="144">
        <f t="shared" si="47"/>
        <v>4173.3150192394678</v>
      </c>
      <c r="AD132" s="143">
        <f t="shared" si="48"/>
        <v>148.32785811640679</v>
      </c>
      <c r="AE132" s="143">
        <f t="shared" si="49"/>
        <v>3.6851759317169979</v>
      </c>
      <c r="AF132" s="143">
        <f t="shared" si="50"/>
        <v>-32.796564134130676</v>
      </c>
      <c r="AG132" s="143">
        <f t="shared" si="51"/>
        <v>-0.77973595051003031</v>
      </c>
      <c r="AH132" s="143">
        <f t="shared" si="52"/>
        <v>-1594.0321511605325</v>
      </c>
      <c r="AI132" s="143">
        <f t="shared" si="53"/>
        <v>-27.638914462123083</v>
      </c>
    </row>
    <row r="133" spans="1:36" ht="33" customHeight="1" outlineLevel="2">
      <c r="A133" s="139" t="s">
        <v>677</v>
      </c>
      <c r="B133" s="143" t="s">
        <v>678</v>
      </c>
      <c r="C133" s="147" t="s">
        <v>679</v>
      </c>
      <c r="D133" s="148" t="s">
        <v>680</v>
      </c>
      <c r="E133" s="149" t="s">
        <v>681</v>
      </c>
      <c r="F133" s="143" t="s">
        <v>121</v>
      </c>
      <c r="G133" s="143">
        <v>2362.07379825522</v>
      </c>
      <c r="H133" s="143">
        <v>2572.0362599999999</v>
      </c>
      <c r="I133" s="143">
        <v>2519.82726</v>
      </c>
      <c r="J133" s="143">
        <v>2591.8405823172534</v>
      </c>
      <c r="K133" s="143">
        <v>2627.9476400000003</v>
      </c>
      <c r="L133" s="143">
        <v>2627.95</v>
      </c>
      <c r="M133" s="143">
        <v>2317.0083922010585</v>
      </c>
      <c r="N133" s="143">
        <v>2825.3223000000003</v>
      </c>
      <c r="O133" s="143">
        <v>2571.3824900000004</v>
      </c>
      <c r="P133" s="150">
        <v>2571.3824900000004</v>
      </c>
      <c r="Q133" s="143">
        <v>2571.3824900000004</v>
      </c>
      <c r="R133" s="144">
        <v>2571.3824900000004</v>
      </c>
      <c r="S133" s="143">
        <f t="shared" si="43"/>
        <v>254.37409779894188</v>
      </c>
      <c r="T133" s="143">
        <f t="shared" si="44"/>
        <v>0</v>
      </c>
      <c r="U133" s="151" t="e">
        <f>R133-#REF!</f>
        <v>#REF!</v>
      </c>
      <c r="V133" s="151">
        <f t="shared" si="45"/>
        <v>254.37409779894188</v>
      </c>
      <c r="W133" s="151">
        <f t="shared" si="46"/>
        <v>0</v>
      </c>
      <c r="X133" s="151" t="e">
        <f>O133-#REF!</f>
        <v>#REF!</v>
      </c>
      <c r="Y133" s="143">
        <f>'[65]2. подк.неподк.'!V121</f>
        <v>2444.4438537721167</v>
      </c>
      <c r="Z133" s="182">
        <f>'[65]2. подк.неподк.'!W121</f>
        <v>2554.4438271918616</v>
      </c>
      <c r="AA133" s="143">
        <f>'[65]2. подк.неподк.'!X121</f>
        <v>3117.5947190400002</v>
      </c>
      <c r="AB133" s="143">
        <f t="shared" si="74"/>
        <v>2534.525910335662</v>
      </c>
      <c r="AC133" s="144">
        <f t="shared" si="47"/>
        <v>2534.525910335662</v>
      </c>
      <c r="AD133" s="143">
        <f t="shared" si="48"/>
        <v>90.082056563545393</v>
      </c>
      <c r="AE133" s="143">
        <f t="shared" si="49"/>
        <v>3.6851759317169979</v>
      </c>
      <c r="AF133" s="143">
        <f t="shared" si="50"/>
        <v>-19.917916856199554</v>
      </c>
      <c r="AG133" s="143">
        <f t="shared" si="51"/>
        <v>-0.77973595051004452</v>
      </c>
      <c r="AH133" s="143">
        <f t="shared" si="52"/>
        <v>-583.06880870433815</v>
      </c>
      <c r="AI133" s="143">
        <f t="shared" si="53"/>
        <v>-18.702521053919483</v>
      </c>
    </row>
    <row r="134" spans="1:36" ht="33" customHeight="1" outlineLevel="2">
      <c r="A134" s="139" t="s">
        <v>682</v>
      </c>
      <c r="B134" s="143" t="s">
        <v>683</v>
      </c>
      <c r="C134" s="147" t="s">
        <v>684</v>
      </c>
      <c r="D134" s="148" t="s">
        <v>685</v>
      </c>
      <c r="E134" s="149" t="s">
        <v>686</v>
      </c>
      <c r="F134" s="143" t="s">
        <v>121</v>
      </c>
      <c r="G134" s="143">
        <v>1623.6565382293552</v>
      </c>
      <c r="H134" s="143">
        <v>1302.7854199999999</v>
      </c>
      <c r="I134" s="143">
        <v>1302.7854199999999</v>
      </c>
      <c r="J134" s="143">
        <v>1781.5950164791968</v>
      </c>
      <c r="K134" s="143">
        <v>1294.36375</v>
      </c>
      <c r="L134" s="143">
        <v>1294.3599999999999</v>
      </c>
      <c r="M134" s="143">
        <v>864.95907547146498</v>
      </c>
      <c r="N134" s="143">
        <v>1200.7485300000001</v>
      </c>
      <c r="O134" s="143">
        <v>1112.98234</v>
      </c>
      <c r="P134" s="150">
        <v>1112.98234</v>
      </c>
      <c r="Q134" s="143">
        <v>1112.98234</v>
      </c>
      <c r="R134" s="144">
        <v>1112.98234</v>
      </c>
      <c r="S134" s="143">
        <f t="shared" si="43"/>
        <v>248.02326452853504</v>
      </c>
      <c r="T134" s="143">
        <f t="shared" si="44"/>
        <v>0</v>
      </c>
      <c r="U134" s="151" t="e">
        <f>R134-#REF!</f>
        <v>#REF!</v>
      </c>
      <c r="V134" s="151">
        <f t="shared" si="45"/>
        <v>248.02326452853504</v>
      </c>
      <c r="W134" s="151">
        <f t="shared" si="46"/>
        <v>0</v>
      </c>
      <c r="X134" s="151" t="e">
        <f>O134-#REF!</f>
        <v>#REF!</v>
      </c>
      <c r="Y134" s="143">
        <f>'[65]2. подк.неподк.'!V122</f>
        <v>1467.9660349999997</v>
      </c>
      <c r="Z134" s="182">
        <f>'[65]2. подк.неподк.'!W122</f>
        <v>1534.0245065749996</v>
      </c>
      <c r="AA134" s="143">
        <f>'[65]2. подк.неподк.'!X122</f>
        <v>1534.0245065749996</v>
      </c>
      <c r="AB134" s="143">
        <f t="shared" si="74"/>
        <v>1522.0631660076001</v>
      </c>
      <c r="AC134" s="144">
        <f t="shared" si="47"/>
        <v>1522.0631660076001</v>
      </c>
      <c r="AD134" s="143">
        <f t="shared" si="48"/>
        <v>54.09713100760041</v>
      </c>
      <c r="AE134" s="143">
        <f t="shared" si="49"/>
        <v>3.6851759317169979</v>
      </c>
      <c r="AF134" s="143">
        <f t="shared" si="50"/>
        <v>-11.961340567399475</v>
      </c>
      <c r="AG134" s="143">
        <f t="shared" si="51"/>
        <v>-0.77973595051004452</v>
      </c>
      <c r="AH134" s="143">
        <f t="shared" si="52"/>
        <v>-11.961340567399475</v>
      </c>
      <c r="AI134" s="143">
        <f t="shared" si="53"/>
        <v>-0.77973595051004452</v>
      </c>
    </row>
    <row r="135" spans="1:36" ht="33" customHeight="1" outlineLevel="2">
      <c r="A135" s="139" t="s">
        <v>687</v>
      </c>
      <c r="B135" s="143" t="s">
        <v>688</v>
      </c>
      <c r="C135" s="147" t="s">
        <v>689</v>
      </c>
      <c r="D135" s="148" t="s">
        <v>690</v>
      </c>
      <c r="E135" s="149" t="s">
        <v>691</v>
      </c>
      <c r="F135" s="143" t="s">
        <v>121</v>
      </c>
      <c r="G135" s="143">
        <v>550.12819919367701</v>
      </c>
      <c r="H135" s="143">
        <v>175.45484999999999</v>
      </c>
      <c r="I135" s="143">
        <v>175.45484999999999</v>
      </c>
      <c r="J135" s="143">
        <v>603.64100105614921</v>
      </c>
      <c r="K135" s="143">
        <v>176.80812</v>
      </c>
      <c r="L135" s="143">
        <v>176.81</v>
      </c>
      <c r="M135" s="143">
        <v>117.6239566318725</v>
      </c>
      <c r="N135" s="143">
        <v>163.51345000000001</v>
      </c>
      <c r="O135" s="143">
        <v>152.61548000000002</v>
      </c>
      <c r="P135" s="150">
        <v>152.61548000000002</v>
      </c>
      <c r="Q135" s="143">
        <v>152.61548000000002</v>
      </c>
      <c r="R135" s="144">
        <v>152.61548000000002</v>
      </c>
      <c r="S135" s="143">
        <f t="shared" si="43"/>
        <v>34.991523368127517</v>
      </c>
      <c r="T135" s="143">
        <f t="shared" si="44"/>
        <v>0</v>
      </c>
      <c r="U135" s="151" t="e">
        <f>R135-#REF!</f>
        <v>#REF!</v>
      </c>
      <c r="V135" s="151">
        <f t="shared" si="45"/>
        <v>34.991523368127517</v>
      </c>
      <c r="W135" s="151">
        <f t="shared" si="46"/>
        <v>0</v>
      </c>
      <c r="X135" s="151" t="e">
        <f>O135-#REF!</f>
        <v>#REF!</v>
      </c>
      <c r="Y135" s="143">
        <f>'[65]2. подк.неподк.'!V123</f>
        <v>200.14</v>
      </c>
      <c r="Z135" s="182">
        <f>'[65]2. подк.неподк.'!W123</f>
        <v>209.14629999999997</v>
      </c>
      <c r="AA135" s="143">
        <f>'[65]2. подк.неподк.'!X123</f>
        <v>209.14629999999997</v>
      </c>
      <c r="AB135" s="143">
        <f t="shared" si="74"/>
        <v>207.51551110973838</v>
      </c>
      <c r="AC135" s="144">
        <f t="shared" si="47"/>
        <v>207.51551110973838</v>
      </c>
      <c r="AD135" s="143">
        <f t="shared" si="48"/>
        <v>7.3755111097383974</v>
      </c>
      <c r="AE135" s="143">
        <f t="shared" si="49"/>
        <v>3.6851759317169979</v>
      </c>
      <c r="AF135" s="143">
        <f t="shared" si="50"/>
        <v>-1.6307888902615844</v>
      </c>
      <c r="AG135" s="143">
        <f t="shared" si="51"/>
        <v>-0.77973595051004452</v>
      </c>
      <c r="AH135" s="143">
        <f t="shared" si="52"/>
        <v>-1.6307888902615844</v>
      </c>
      <c r="AI135" s="143">
        <f t="shared" si="53"/>
        <v>-0.77973595051004452</v>
      </c>
    </row>
    <row r="136" spans="1:36" ht="33" customHeight="1" outlineLevel="2">
      <c r="A136" s="139" t="s">
        <v>692</v>
      </c>
      <c r="B136" s="143" t="s">
        <v>693</v>
      </c>
      <c r="C136" s="147" t="s">
        <v>694</v>
      </c>
      <c r="D136" s="148" t="s">
        <v>695</v>
      </c>
      <c r="E136" s="149" t="s">
        <v>696</v>
      </c>
      <c r="F136" s="143" t="s">
        <v>121</v>
      </c>
      <c r="G136" s="143">
        <v>215.22254994712603</v>
      </c>
      <c r="H136" s="143">
        <v>52.568460000000002</v>
      </c>
      <c r="I136" s="143">
        <v>52.568460000000002</v>
      </c>
      <c r="J136" s="143">
        <v>236.1579640715743</v>
      </c>
      <c r="K136" s="143">
        <v>122.61933999999999</v>
      </c>
      <c r="L136" s="143">
        <v>122.62</v>
      </c>
      <c r="M136" s="143">
        <v>117.88669072222157</v>
      </c>
      <c r="N136" s="143">
        <v>2548.8960499999998</v>
      </c>
      <c r="O136" s="143">
        <v>2525.74188</v>
      </c>
      <c r="P136" s="150">
        <v>2525.74188</v>
      </c>
      <c r="Q136" s="143">
        <v>2525.74188</v>
      </c>
      <c r="R136" s="144">
        <v>2525.74188</v>
      </c>
      <c r="S136" s="143">
        <f t="shared" si="43"/>
        <v>2407.8551892777787</v>
      </c>
      <c r="T136" s="143">
        <f t="shared" si="44"/>
        <v>0</v>
      </c>
      <c r="U136" s="151" t="e">
        <f>R136-#REF!</f>
        <v>#REF!</v>
      </c>
      <c r="V136" s="151">
        <f t="shared" si="45"/>
        <v>2407.8551892777787</v>
      </c>
      <c r="W136" s="151">
        <f t="shared" si="46"/>
        <v>0</v>
      </c>
      <c r="X136" s="151" t="e">
        <f>O136-#REF!</f>
        <v>#REF!</v>
      </c>
      <c r="Y136" s="143">
        <f>'[65]2. подк.неподк.'!V124</f>
        <v>139.06640749999997</v>
      </c>
      <c r="Z136" s="182">
        <f>'[65]2. подк.неподк.'!W124</f>
        <v>145.32439583749996</v>
      </c>
      <c r="AA136" s="143">
        <f>'[65]2. подк.неподк.'!X124</f>
        <v>3763.1256599999997</v>
      </c>
      <c r="AB136" s="143">
        <f t="shared" si="74"/>
        <v>144.19124927829344</v>
      </c>
      <c r="AC136" s="144">
        <f t="shared" si="47"/>
        <v>144.19124927829344</v>
      </c>
      <c r="AD136" s="143">
        <f t="shared" si="48"/>
        <v>5.1248417782934723</v>
      </c>
      <c r="AE136" s="143">
        <f t="shared" si="49"/>
        <v>3.6851759317169979</v>
      </c>
      <c r="AF136" s="143">
        <f t="shared" si="50"/>
        <v>-1.1331465592065229</v>
      </c>
      <c r="AG136" s="143">
        <f t="shared" si="51"/>
        <v>-0.77973595051005873</v>
      </c>
      <c r="AH136" s="143">
        <f t="shared" si="52"/>
        <v>-3618.9344107217062</v>
      </c>
      <c r="AI136" s="143">
        <f t="shared" si="53"/>
        <v>-96.168311603012128</v>
      </c>
    </row>
    <row r="137" spans="1:36" ht="33" customHeight="1" outlineLevel="2">
      <c r="A137" s="139" t="s">
        <v>697</v>
      </c>
      <c r="B137" s="143" t="s">
        <v>698</v>
      </c>
      <c r="C137" s="147" t="s">
        <v>699</v>
      </c>
      <c r="D137" s="148" t="s">
        <v>700</v>
      </c>
      <c r="E137" s="149" t="s">
        <v>701</v>
      </c>
      <c r="F137" s="143" t="s">
        <v>121</v>
      </c>
      <c r="G137" s="143">
        <v>2619.209158176237</v>
      </c>
      <c r="H137" s="143">
        <v>7269.5010499999999</v>
      </c>
      <c r="I137" s="143">
        <v>6891.0610500000003</v>
      </c>
      <c r="J137" s="143">
        <v>2873.9883549585361</v>
      </c>
      <c r="K137" s="143">
        <v>6350.8089</v>
      </c>
      <c r="L137" s="143">
        <v>2873.99</v>
      </c>
      <c r="M137" s="143">
        <v>5054.2674139690462</v>
      </c>
      <c r="N137" s="143">
        <v>3467.0437400000001</v>
      </c>
      <c r="O137" s="143">
        <v>3347.96225</v>
      </c>
      <c r="P137" s="150">
        <v>3347.96225</v>
      </c>
      <c r="Q137" s="143">
        <v>3347.96225</v>
      </c>
      <c r="R137" s="144">
        <v>3347.96225</v>
      </c>
      <c r="S137" s="143">
        <f t="shared" si="43"/>
        <v>-1706.3051639690461</v>
      </c>
      <c r="T137" s="143">
        <f t="shared" si="44"/>
        <v>0</v>
      </c>
      <c r="U137" s="151" t="e">
        <f>R137-#REF!</f>
        <v>#REF!</v>
      </c>
      <c r="V137" s="151">
        <f t="shared" si="45"/>
        <v>-1706.3051639690461</v>
      </c>
      <c r="W137" s="151">
        <f t="shared" si="46"/>
        <v>0</v>
      </c>
      <c r="X137" s="151" t="e">
        <f>O137-#REF!</f>
        <v>#REF!</v>
      </c>
      <c r="Y137" s="143">
        <f>'[65]2. подк.неподк.'!V125</f>
        <v>5332.2521217373433</v>
      </c>
      <c r="Z137" s="182">
        <f>'[65]2. подк.неподк.'!W125</f>
        <v>5572.2034672155232</v>
      </c>
      <c r="AA137" s="143">
        <f>'[65]2. подк.неподк.'!X125</f>
        <v>5572.2034672155232</v>
      </c>
      <c r="AB137" s="143">
        <f t="shared" si="74"/>
        <v>5528.7549935460765</v>
      </c>
      <c r="AC137" s="144">
        <f t="shared" si="47"/>
        <v>5528.7549935460765</v>
      </c>
      <c r="AD137" s="143">
        <f t="shared" si="48"/>
        <v>196.50287180873329</v>
      </c>
      <c r="AE137" s="143">
        <f t="shared" si="49"/>
        <v>3.6851759317169979</v>
      </c>
      <c r="AF137" s="143">
        <f t="shared" si="50"/>
        <v>-43.448473669446685</v>
      </c>
      <c r="AG137" s="143">
        <f t="shared" si="51"/>
        <v>-0.77973595051004452</v>
      </c>
      <c r="AH137" s="143">
        <f t="shared" si="52"/>
        <v>-43.448473669446685</v>
      </c>
      <c r="AI137" s="143">
        <f t="shared" si="53"/>
        <v>-0.77973595051004452</v>
      </c>
    </row>
    <row r="138" spans="1:36" ht="33" customHeight="1" outlineLevel="2">
      <c r="A138" s="139" t="s">
        <v>702</v>
      </c>
      <c r="B138" s="143" t="s">
        <v>703</v>
      </c>
      <c r="C138" s="147" t="s">
        <v>704</v>
      </c>
      <c r="D138" s="148" t="s">
        <v>705</v>
      </c>
      <c r="E138" s="149" t="s">
        <v>706</v>
      </c>
      <c r="F138" s="143" t="s">
        <v>121</v>
      </c>
      <c r="G138" s="143">
        <v>205.41816586795755</v>
      </c>
      <c r="H138" s="143">
        <v>1160.3357100000001</v>
      </c>
      <c r="I138" s="143">
        <v>1160.3357100000001</v>
      </c>
      <c r="J138" s="143">
        <v>225.39987490442613</v>
      </c>
      <c r="K138" s="143">
        <v>449.06387999999998</v>
      </c>
      <c r="L138" s="143">
        <v>449.06</v>
      </c>
      <c r="M138" s="143">
        <v>760.33</v>
      </c>
      <c r="N138" s="143">
        <v>501.36685999999997</v>
      </c>
      <c r="O138" s="143">
        <v>501.16783000000004</v>
      </c>
      <c r="P138" s="150">
        <v>501.16783000000004</v>
      </c>
      <c r="Q138" s="143">
        <v>501.16783000000004</v>
      </c>
      <c r="R138" s="144">
        <v>501.16783000000004</v>
      </c>
      <c r="S138" s="143">
        <f t="shared" si="43"/>
        <v>-259.16217</v>
      </c>
      <c r="T138" s="143">
        <f t="shared" si="44"/>
        <v>0</v>
      </c>
      <c r="U138" s="151" t="e">
        <f>R138-#REF!</f>
        <v>#REF!</v>
      </c>
      <c r="V138" s="151">
        <f t="shared" si="45"/>
        <v>-259.16217</v>
      </c>
      <c r="W138" s="151">
        <f t="shared" si="46"/>
        <v>0</v>
      </c>
      <c r="X138" s="151" t="e">
        <f>O138-#REF!</f>
        <v>#REF!</v>
      </c>
      <c r="Y138" s="143">
        <f>'[65]2. подк.неподк.'!V126</f>
        <v>800</v>
      </c>
      <c r="Z138" s="182">
        <f>'[65]2. подк.неподк.'!W126</f>
        <v>836</v>
      </c>
      <c r="AA138" s="143">
        <f>'[65]2. подк.неподк.'!X126</f>
        <v>836</v>
      </c>
      <c r="AB138" s="143">
        <f t="shared" si="74"/>
        <v>829.48140745373598</v>
      </c>
      <c r="AC138" s="144">
        <f t="shared" si="47"/>
        <v>829.48140745373598</v>
      </c>
      <c r="AD138" s="143">
        <f t="shared" si="48"/>
        <v>29.481407453735983</v>
      </c>
      <c r="AE138" s="143">
        <f t="shared" si="49"/>
        <v>3.6851759317169979</v>
      </c>
      <c r="AF138" s="143">
        <f t="shared" si="50"/>
        <v>-6.5185925462640171</v>
      </c>
      <c r="AG138" s="143">
        <f t="shared" si="51"/>
        <v>-0.77973595051005873</v>
      </c>
      <c r="AH138" s="143">
        <f t="shared" si="52"/>
        <v>-6.5185925462640171</v>
      </c>
      <c r="AI138" s="143">
        <f t="shared" si="53"/>
        <v>-0.77973595051005873</v>
      </c>
    </row>
    <row r="139" spans="1:36" ht="33" customHeight="1" outlineLevel="2">
      <c r="A139" s="139" t="s">
        <v>707</v>
      </c>
      <c r="B139" s="143" t="s">
        <v>708</v>
      </c>
      <c r="C139" s="147" t="s">
        <v>709</v>
      </c>
      <c r="D139" s="148" t="s">
        <v>710</v>
      </c>
      <c r="E139" s="149" t="s">
        <v>711</v>
      </c>
      <c r="F139" s="143" t="s">
        <v>121</v>
      </c>
      <c r="G139" s="143">
        <v>73.906111608847525</v>
      </c>
      <c r="H139" s="143">
        <v>101.15696</v>
      </c>
      <c r="I139" s="143">
        <v>101.15696</v>
      </c>
      <c r="J139" s="143">
        <v>81.095205192391774</v>
      </c>
      <c r="K139" s="143">
        <v>100.79182</v>
      </c>
      <c r="L139" s="143">
        <v>100.79</v>
      </c>
      <c r="M139" s="143">
        <v>66.396117724901131</v>
      </c>
      <c r="N139" s="143">
        <v>71.108639999999994</v>
      </c>
      <c r="O139" s="143">
        <v>67.724440000000001</v>
      </c>
      <c r="P139" s="150">
        <v>67.724440000000001</v>
      </c>
      <c r="Q139" s="143">
        <v>67.724440000000001</v>
      </c>
      <c r="R139" s="144">
        <v>67.724440000000001</v>
      </c>
      <c r="S139" s="143">
        <f t="shared" si="43"/>
        <v>1.3283222750988699</v>
      </c>
      <c r="T139" s="143">
        <f t="shared" si="44"/>
        <v>0</v>
      </c>
      <c r="U139" s="151" t="e">
        <f>R139-#REF!</f>
        <v>#REF!</v>
      </c>
      <c r="V139" s="151">
        <f t="shared" si="45"/>
        <v>1.3283222750988699</v>
      </c>
      <c r="W139" s="151">
        <f t="shared" si="46"/>
        <v>0</v>
      </c>
      <c r="X139" s="151" t="e">
        <f>O139-#REF!</f>
        <v>#REF!</v>
      </c>
      <c r="Y139" s="143">
        <f>'[65]2. подк.неподк.'!V127</f>
        <v>70.047904199770684</v>
      </c>
      <c r="Z139" s="182">
        <f>'[65]2. подк.неподк.'!W127</f>
        <v>73.200059888760364</v>
      </c>
      <c r="AA139" s="143">
        <f>'[65]2. подк.неподк.'!X127</f>
        <v>73.200059888760364</v>
      </c>
      <c r="AB139" s="143">
        <f t="shared" si="74"/>
        <v>72.629292706012819</v>
      </c>
      <c r="AC139" s="144">
        <f t="shared" si="47"/>
        <v>72.629292706012819</v>
      </c>
      <c r="AD139" s="143">
        <f t="shared" si="48"/>
        <v>2.5813885062421349</v>
      </c>
      <c r="AE139" s="143">
        <f t="shared" si="49"/>
        <v>3.6851759317169979</v>
      </c>
      <c r="AF139" s="143">
        <f t="shared" si="50"/>
        <v>-0.57076718274754512</v>
      </c>
      <c r="AG139" s="143">
        <f t="shared" si="51"/>
        <v>-0.77973595051004452</v>
      </c>
      <c r="AH139" s="143">
        <f t="shared" si="52"/>
        <v>-0.57076718274754512</v>
      </c>
      <c r="AI139" s="143">
        <f t="shared" si="53"/>
        <v>-0.77973595051004452</v>
      </c>
    </row>
    <row r="140" spans="1:36" ht="33" customHeight="1" outlineLevel="2">
      <c r="A140" s="139" t="s">
        <v>712</v>
      </c>
      <c r="B140" s="143" t="s">
        <v>713</v>
      </c>
      <c r="C140" s="147" t="s">
        <v>714</v>
      </c>
      <c r="D140" s="148" t="s">
        <v>715</v>
      </c>
      <c r="E140" s="149" t="s">
        <v>716</v>
      </c>
      <c r="F140" s="143" t="s">
        <v>121</v>
      </c>
      <c r="G140" s="143">
        <v>0</v>
      </c>
      <c r="H140" s="143">
        <v>22.83</v>
      </c>
      <c r="I140" s="143">
        <v>0</v>
      </c>
      <c r="J140" s="143">
        <v>0</v>
      </c>
      <c r="K140" s="143">
        <v>4.00732</v>
      </c>
      <c r="L140" s="143">
        <v>0</v>
      </c>
      <c r="M140" s="143">
        <v>0</v>
      </c>
      <c r="N140" s="143">
        <v>0.6</v>
      </c>
      <c r="O140" s="143">
        <v>0.57549000000000006</v>
      </c>
      <c r="P140" s="150">
        <v>0.57549000000000006</v>
      </c>
      <c r="Q140" s="143">
        <v>0.57549000000000006</v>
      </c>
      <c r="R140" s="144">
        <v>0</v>
      </c>
      <c r="S140" s="143">
        <f t="shared" si="43"/>
        <v>0</v>
      </c>
      <c r="T140" s="143">
        <f t="shared" si="44"/>
        <v>-0.57549000000000006</v>
      </c>
      <c r="U140" s="151" t="e">
        <f>R140-#REF!</f>
        <v>#REF!</v>
      </c>
      <c r="V140" s="151">
        <f t="shared" si="45"/>
        <v>0</v>
      </c>
      <c r="W140" s="151">
        <f t="shared" si="46"/>
        <v>0</v>
      </c>
      <c r="X140" s="151" t="e">
        <f>O140-#REF!</f>
        <v>#REF!</v>
      </c>
      <c r="Y140" s="143">
        <f>'[65]2. подк.неподк.'!V128</f>
        <v>0</v>
      </c>
      <c r="Z140" s="182">
        <f>'[65]2. подк.неподк.'!W128</f>
        <v>0</v>
      </c>
      <c r="AA140" s="143">
        <f>'[65]2. подк.неподк.'!X128</f>
        <v>0.66239999999999999</v>
      </c>
      <c r="AB140" s="143">
        <f t="shared" si="74"/>
        <v>0</v>
      </c>
      <c r="AC140" s="144">
        <f t="shared" si="47"/>
        <v>0</v>
      </c>
      <c r="AD140" s="143">
        <f t="shared" si="48"/>
        <v>0</v>
      </c>
      <c r="AE140" s="143"/>
      <c r="AF140" s="143">
        <f t="shared" si="50"/>
        <v>0</v>
      </c>
      <c r="AG140" s="143"/>
      <c r="AH140" s="143">
        <f t="shared" si="52"/>
        <v>-0.66239999999999999</v>
      </c>
      <c r="AI140" s="143">
        <f t="shared" si="53"/>
        <v>-100</v>
      </c>
    </row>
    <row r="141" spans="1:36" ht="33" customHeight="1" outlineLevel="1">
      <c r="A141" s="139"/>
      <c r="B141" s="140" t="s">
        <v>717</v>
      </c>
      <c r="C141" s="141"/>
      <c r="D141" s="393" t="s">
        <v>718</v>
      </c>
      <c r="E141" s="188" t="s">
        <v>719</v>
      </c>
      <c r="F141" s="143" t="s">
        <v>121</v>
      </c>
      <c r="G141" s="144">
        <f t="shared" ref="G141:I141" si="75">G142</f>
        <v>15779.772965800001</v>
      </c>
      <c r="H141" s="144">
        <f t="shared" si="75"/>
        <v>20130.83713</v>
      </c>
      <c r="I141" s="144">
        <f t="shared" si="75"/>
        <v>20130.84</v>
      </c>
      <c r="J141" s="144">
        <f>J142</f>
        <v>17314.724028827342</v>
      </c>
      <c r="K141" s="144">
        <f t="shared" ref="K141:AB141" si="76">K142</f>
        <v>20496.194090000001</v>
      </c>
      <c r="L141" s="144">
        <f t="shared" si="76"/>
        <v>20496.189999999999</v>
      </c>
      <c r="M141" s="144">
        <f t="shared" si="76"/>
        <v>17114.927888876369</v>
      </c>
      <c r="N141" s="144">
        <f t="shared" si="76"/>
        <v>21196.399419999998</v>
      </c>
      <c r="O141" s="144">
        <f t="shared" si="76"/>
        <v>20006.096570000002</v>
      </c>
      <c r="P141" s="145">
        <f t="shared" si="76"/>
        <v>20006.096570000002</v>
      </c>
      <c r="Q141" s="144">
        <f t="shared" si="76"/>
        <v>20006.096570000002</v>
      </c>
      <c r="R141" s="144">
        <f t="shared" si="76"/>
        <v>20006.096570000002</v>
      </c>
      <c r="S141" s="144">
        <f t="shared" si="43"/>
        <v>2891.1686811236323</v>
      </c>
      <c r="T141" s="144">
        <f t="shared" si="44"/>
        <v>0</v>
      </c>
      <c r="U141" s="146" t="e">
        <f>R141-#REF!</f>
        <v>#REF!</v>
      </c>
      <c r="V141" s="146">
        <f t="shared" si="45"/>
        <v>2891.1686811236323</v>
      </c>
      <c r="W141" s="146">
        <f t="shared" si="46"/>
        <v>0</v>
      </c>
      <c r="X141" s="146" t="e">
        <f>O141-#REF!</f>
        <v>#REF!</v>
      </c>
      <c r="Y141" s="144">
        <f t="shared" si="76"/>
        <v>18308.048922764599</v>
      </c>
      <c r="Z141" s="170">
        <f t="shared" si="76"/>
        <v>19131.911124289007</v>
      </c>
      <c r="AA141" s="144">
        <f t="shared" si="76"/>
        <v>24542.5975</v>
      </c>
      <c r="AB141" s="144">
        <f t="shared" si="76"/>
        <v>18982.732735233294</v>
      </c>
      <c r="AC141" s="144">
        <f t="shared" si="47"/>
        <v>18982.732735233294</v>
      </c>
      <c r="AD141" s="144">
        <f t="shared" si="48"/>
        <v>674.68381246869467</v>
      </c>
      <c r="AE141" s="144">
        <f t="shared" si="49"/>
        <v>3.6851759317169979</v>
      </c>
      <c r="AF141" s="144">
        <f t="shared" si="50"/>
        <v>-149.17838905571261</v>
      </c>
      <c r="AG141" s="144">
        <f t="shared" si="51"/>
        <v>-0.77973595051005873</v>
      </c>
      <c r="AH141" s="144">
        <f t="shared" si="52"/>
        <v>-5559.8647647667058</v>
      </c>
      <c r="AI141" s="144">
        <f t="shared" si="53"/>
        <v>-22.653937769898675</v>
      </c>
    </row>
    <row r="142" spans="1:36" ht="33" customHeight="1" outlineLevel="2">
      <c r="A142" s="139" t="s">
        <v>720</v>
      </c>
      <c r="B142" s="143" t="s">
        <v>721</v>
      </c>
      <c r="C142" s="147" t="s">
        <v>722</v>
      </c>
      <c r="D142" s="189" t="s">
        <v>723</v>
      </c>
      <c r="E142" s="149" t="s">
        <v>724</v>
      </c>
      <c r="F142" s="143" t="s">
        <v>121</v>
      </c>
      <c r="G142" s="143">
        <v>15779.772965800001</v>
      </c>
      <c r="H142" s="143">
        <v>20130.83713</v>
      </c>
      <c r="I142" s="143">
        <v>20130.84</v>
      </c>
      <c r="J142" s="143">
        <v>17314.724028827342</v>
      </c>
      <c r="K142" s="143">
        <v>20496.194090000001</v>
      </c>
      <c r="L142" s="143">
        <v>20496.189999999999</v>
      </c>
      <c r="M142" s="143">
        <v>17114.927888876369</v>
      </c>
      <c r="N142" s="143">
        <v>21196.399419999998</v>
      </c>
      <c r="O142" s="143">
        <v>20006.096570000002</v>
      </c>
      <c r="P142" s="150">
        <v>20006.096570000002</v>
      </c>
      <c r="Q142" s="143">
        <v>20006.096570000002</v>
      </c>
      <c r="R142" s="144">
        <v>20006.096570000002</v>
      </c>
      <c r="S142" s="143">
        <f t="shared" si="43"/>
        <v>2891.1686811236323</v>
      </c>
      <c r="T142" s="143">
        <f t="shared" si="44"/>
        <v>0</v>
      </c>
      <c r="U142" s="151" t="e">
        <f>R142-#REF!</f>
        <v>#REF!</v>
      </c>
      <c r="V142" s="151">
        <f t="shared" si="45"/>
        <v>2891.1686811236323</v>
      </c>
      <c r="W142" s="151">
        <f t="shared" si="46"/>
        <v>0</v>
      </c>
      <c r="X142" s="151" t="e">
        <f>O142-#REF!</f>
        <v>#REF!</v>
      </c>
      <c r="Y142" s="143">
        <f>'[65]2. подк.неподк.'!V130</f>
        <v>18308.048922764599</v>
      </c>
      <c r="Z142" s="182">
        <f>'[65]2. подк.неподк.'!W130</f>
        <v>19131.911124289007</v>
      </c>
      <c r="AA142" s="143">
        <f>'[65]2. подк.неподк.'!X130</f>
        <v>24542.5975</v>
      </c>
      <c r="AB142" s="143">
        <f>Y142*$AA$11</f>
        <v>18982.732735233294</v>
      </c>
      <c r="AC142" s="144">
        <f t="shared" si="47"/>
        <v>18982.732735233294</v>
      </c>
      <c r="AD142" s="143">
        <f t="shared" si="48"/>
        <v>674.68381246869467</v>
      </c>
      <c r="AE142" s="143">
        <f t="shared" si="49"/>
        <v>3.6851759317169979</v>
      </c>
      <c r="AF142" s="143">
        <f t="shared" si="50"/>
        <v>-149.17838905571261</v>
      </c>
      <c r="AG142" s="143">
        <f t="shared" si="51"/>
        <v>-0.77973595051005873</v>
      </c>
      <c r="AH142" s="143">
        <f t="shared" si="52"/>
        <v>-5559.8647647667058</v>
      </c>
      <c r="AI142" s="143">
        <f t="shared" si="53"/>
        <v>-22.653937769898675</v>
      </c>
    </row>
    <row r="143" spans="1:36" ht="33" customHeight="1" outlineLevel="1">
      <c r="A143" s="139"/>
      <c r="B143" s="140" t="s">
        <v>725</v>
      </c>
      <c r="C143" s="141"/>
      <c r="D143" s="393" t="s">
        <v>726</v>
      </c>
      <c r="E143" s="188" t="s">
        <v>726</v>
      </c>
      <c r="F143" s="143" t="s">
        <v>121</v>
      </c>
      <c r="G143" s="144">
        <f t="shared" ref="G143:I143" si="77">SUM(G144:G147)</f>
        <v>39898.160731813456</v>
      </c>
      <c r="H143" s="144">
        <f t="shared" si="77"/>
        <v>64588.578529999999</v>
      </c>
      <c r="I143" s="144">
        <f t="shared" si="77"/>
        <v>62638.698529999994</v>
      </c>
      <c r="J143" s="144">
        <f>SUM(J144:J147)</f>
        <v>57178.793138987377</v>
      </c>
      <c r="K143" s="144">
        <f t="shared" ref="K143:M143" si="78">SUM(K144:K147)</f>
        <v>75387.112340000007</v>
      </c>
      <c r="L143" s="144">
        <f t="shared" si="78"/>
        <v>75387.125920000006</v>
      </c>
      <c r="M143" s="144">
        <f t="shared" si="78"/>
        <v>40838.669377177095</v>
      </c>
      <c r="N143" s="144">
        <f>SUM(N144:N147)</f>
        <v>66805.020890000014</v>
      </c>
      <c r="O143" s="144">
        <f t="shared" ref="O143:AB143" si="79">SUM(O144:O147)</f>
        <v>66630.968229999999</v>
      </c>
      <c r="P143" s="145">
        <f t="shared" si="79"/>
        <v>66630.968229999999</v>
      </c>
      <c r="Q143" s="144">
        <f t="shared" si="79"/>
        <v>66630.968229999999</v>
      </c>
      <c r="R143" s="144">
        <f t="shared" si="79"/>
        <v>66630.968229999999</v>
      </c>
      <c r="S143" s="144">
        <f t="shared" si="43"/>
        <v>25792.298852822903</v>
      </c>
      <c r="T143" s="144">
        <f t="shared" si="44"/>
        <v>0</v>
      </c>
      <c r="U143" s="146" t="e">
        <f>R143-#REF!</f>
        <v>#REF!</v>
      </c>
      <c r="V143" s="146">
        <f t="shared" si="45"/>
        <v>25792.298852822903</v>
      </c>
      <c r="W143" s="146">
        <f t="shared" si="46"/>
        <v>0</v>
      </c>
      <c r="X143" s="146" t="e">
        <f>O143-#REF!</f>
        <v>#REF!</v>
      </c>
      <c r="Y143" s="144">
        <f t="shared" si="79"/>
        <v>79533.422149999999</v>
      </c>
      <c r="Z143" s="170">
        <f t="shared" si="79"/>
        <v>83112.426146749989</v>
      </c>
      <c r="AA143" s="144">
        <f t="shared" si="79"/>
        <v>83242.426146749989</v>
      </c>
      <c r="AB143" s="144">
        <f t="shared" si="79"/>
        <v>82464.368680742671</v>
      </c>
      <c r="AC143" s="144">
        <f t="shared" si="47"/>
        <v>82464.368680742671</v>
      </c>
      <c r="AD143" s="144">
        <f t="shared" si="48"/>
        <v>2930.9465307426726</v>
      </c>
      <c r="AE143" s="144">
        <f t="shared" si="49"/>
        <v>3.6851759317169979</v>
      </c>
      <c r="AF143" s="144">
        <f t="shared" si="50"/>
        <v>-648.057466007318</v>
      </c>
      <c r="AG143" s="144">
        <f t="shared" si="51"/>
        <v>-0.77973595051004452</v>
      </c>
      <c r="AH143" s="144">
        <f t="shared" si="52"/>
        <v>-778.057466007318</v>
      </c>
      <c r="AI143" s="144">
        <f t="shared" si="53"/>
        <v>-0.93468859813825134</v>
      </c>
    </row>
    <row r="144" spans="1:36" ht="33" customHeight="1" outlineLevel="2">
      <c r="A144" s="1335" t="s">
        <v>727</v>
      </c>
      <c r="B144" s="143" t="s">
        <v>728</v>
      </c>
      <c r="C144" s="1339" t="s">
        <v>729</v>
      </c>
      <c r="D144" s="164" t="s">
        <v>730</v>
      </c>
      <c r="E144" s="149" t="s">
        <v>731</v>
      </c>
      <c r="F144" s="143" t="s">
        <v>121</v>
      </c>
      <c r="G144" s="143">
        <v>38660.630731813457</v>
      </c>
      <c r="H144" s="143">
        <v>63552.038529999998</v>
      </c>
      <c r="I144" s="143">
        <v>61602.158529999993</v>
      </c>
      <c r="J144" s="143">
        <v>13136.940703087485</v>
      </c>
      <c r="K144" s="143">
        <v>17741.679230000002</v>
      </c>
      <c r="L144" s="143">
        <v>17741.679230000002</v>
      </c>
      <c r="M144" s="143">
        <v>9305.1563204006688</v>
      </c>
      <c r="N144" s="143">
        <v>15635.819477713374</v>
      </c>
      <c r="O144" s="143">
        <v>15594.873643999546</v>
      </c>
      <c r="P144" s="150">
        <v>15594.873643999546</v>
      </c>
      <c r="Q144" s="143">
        <v>15594.873643999546</v>
      </c>
      <c r="R144" s="144">
        <v>15594.873643999546</v>
      </c>
      <c r="S144" s="143">
        <f t="shared" si="43"/>
        <v>6289.7173235988776</v>
      </c>
      <c r="T144" s="143">
        <f t="shared" si="44"/>
        <v>0</v>
      </c>
      <c r="U144" s="151" t="e">
        <f>R144-#REF!</f>
        <v>#REF!</v>
      </c>
      <c r="V144" s="151">
        <f t="shared" si="45"/>
        <v>6289.7173235988776</v>
      </c>
      <c r="W144" s="151">
        <f t="shared" si="46"/>
        <v>0</v>
      </c>
      <c r="X144" s="151" t="e">
        <f>O144-#REF!</f>
        <v>#REF!</v>
      </c>
      <c r="Y144" s="143">
        <f>'[65]2. подк.неподк.'!V132</f>
        <v>18717.472600651665</v>
      </c>
      <c r="Z144" s="182">
        <f>'[65]2. подк.неподк.'!W132</f>
        <v>19559.75886768099</v>
      </c>
      <c r="AA144" s="143">
        <f>'[65]2. подк.неподк.'!X132</f>
        <v>19559.75886768099</v>
      </c>
      <c r="AB144" s="143">
        <f>Y144*$AA$11</f>
        <v>19407.244395956604</v>
      </c>
      <c r="AC144" s="144">
        <f t="shared" si="47"/>
        <v>19407.244395956604</v>
      </c>
      <c r="AD144" s="143">
        <f t="shared" si="48"/>
        <v>689.77179530493959</v>
      </c>
      <c r="AE144" s="143">
        <f t="shared" si="49"/>
        <v>3.6851759317169979</v>
      </c>
      <c r="AF144" s="143">
        <f t="shared" si="50"/>
        <v>-152.51447172438566</v>
      </c>
      <c r="AG144" s="143">
        <f t="shared" si="51"/>
        <v>-0.77973595051005873</v>
      </c>
      <c r="AH144" s="143">
        <f t="shared" si="52"/>
        <v>-152.51447172438566</v>
      </c>
      <c r="AI144" s="143">
        <f t="shared" si="53"/>
        <v>-0.77973595051005873</v>
      </c>
    </row>
    <row r="145" spans="1:35" ht="33" customHeight="1" outlineLevel="2">
      <c r="A145" s="1336"/>
      <c r="B145" s="143" t="s">
        <v>732</v>
      </c>
      <c r="C145" s="1339"/>
      <c r="D145" s="164" t="s">
        <v>733</v>
      </c>
      <c r="E145" s="149" t="s">
        <v>734</v>
      </c>
      <c r="F145" s="143" t="s">
        <v>121</v>
      </c>
      <c r="G145" s="143">
        <v>0</v>
      </c>
      <c r="H145" s="143">
        <v>0</v>
      </c>
      <c r="I145" s="143">
        <v>0</v>
      </c>
      <c r="J145" s="143">
        <v>42683.942435899888</v>
      </c>
      <c r="K145" s="143">
        <v>57645.446690000004</v>
      </c>
      <c r="L145" s="143">
        <v>57645.446690000004</v>
      </c>
      <c r="M145" s="143">
        <v>30233.885172647962</v>
      </c>
      <c r="N145" s="143">
        <v>50803.184212286636</v>
      </c>
      <c r="O145" s="143">
        <v>50670.144896000456</v>
      </c>
      <c r="P145" s="150">
        <v>50670.144896000456</v>
      </c>
      <c r="Q145" s="143">
        <v>50670.144896000456</v>
      </c>
      <c r="R145" s="144">
        <v>50670.144896000456</v>
      </c>
      <c r="S145" s="143">
        <f t="shared" si="43"/>
        <v>20436.259723352494</v>
      </c>
      <c r="T145" s="143">
        <f t="shared" si="44"/>
        <v>0</v>
      </c>
      <c r="U145" s="151" t="e">
        <f>R145-#REF!</f>
        <v>#REF!</v>
      </c>
      <c r="V145" s="151">
        <f t="shared" si="45"/>
        <v>20436.259723352494</v>
      </c>
      <c r="W145" s="151">
        <f t="shared" si="46"/>
        <v>0</v>
      </c>
      <c r="X145" s="151" t="e">
        <f>O145-#REF!</f>
        <v>#REF!</v>
      </c>
      <c r="Y145" s="143">
        <f>'[65]2. подк.неподк.'!V133</f>
        <v>60815.949549348334</v>
      </c>
      <c r="Z145" s="182">
        <f>'[65]2. подк.неподк.'!W133</f>
        <v>63552.667279069006</v>
      </c>
      <c r="AA145" s="143">
        <f>'[65]2. подк.неподк.'!X133</f>
        <v>63552.667279069006</v>
      </c>
      <c r="AB145" s="143">
        <f>Y145*$AA$11</f>
        <v>63057.12428478607</v>
      </c>
      <c r="AC145" s="144">
        <f t="shared" si="47"/>
        <v>63057.12428478607</v>
      </c>
      <c r="AD145" s="143">
        <f t="shared" si="48"/>
        <v>2241.1747354377367</v>
      </c>
      <c r="AE145" s="143">
        <f t="shared" si="49"/>
        <v>3.6851759317169979</v>
      </c>
      <c r="AF145" s="143">
        <f t="shared" si="50"/>
        <v>-495.54299428293598</v>
      </c>
      <c r="AG145" s="143">
        <f t="shared" si="51"/>
        <v>-0.77973595051004452</v>
      </c>
      <c r="AH145" s="143">
        <f t="shared" si="52"/>
        <v>-495.54299428293598</v>
      </c>
      <c r="AI145" s="143">
        <f t="shared" si="53"/>
        <v>-0.77973595051004452</v>
      </c>
    </row>
    <row r="146" spans="1:35" ht="33" customHeight="1" outlineLevel="2">
      <c r="A146" s="139" t="s">
        <v>735</v>
      </c>
      <c r="B146" s="143" t="s">
        <v>736</v>
      </c>
      <c r="C146" s="147" t="s">
        <v>737</v>
      </c>
      <c r="D146" s="148" t="s">
        <v>738</v>
      </c>
      <c r="E146" s="1333" t="s">
        <v>739</v>
      </c>
      <c r="F146" s="1334" t="s">
        <v>121</v>
      </c>
      <c r="G146" s="143">
        <v>1237.53</v>
      </c>
      <c r="H146" s="143">
        <v>1036.54</v>
      </c>
      <c r="I146" s="143">
        <v>1036.54</v>
      </c>
      <c r="J146" s="1334">
        <v>1357.91</v>
      </c>
      <c r="K146" s="143">
        <v>-1.358E-2</v>
      </c>
      <c r="L146" s="143">
        <v>0</v>
      </c>
      <c r="M146" s="143">
        <v>1299.6278841284657</v>
      </c>
      <c r="N146" s="143">
        <v>323.46719999999999</v>
      </c>
      <c r="O146" s="143">
        <v>323.46719999999999</v>
      </c>
      <c r="P146" s="150">
        <v>323.46719999999999</v>
      </c>
      <c r="Q146" s="143">
        <v>323.46719999999999</v>
      </c>
      <c r="R146" s="144">
        <v>323.46719999999999</v>
      </c>
      <c r="S146" s="143">
        <f t="shared" si="43"/>
        <v>-976.16068412846562</v>
      </c>
      <c r="T146" s="143">
        <f t="shared" si="44"/>
        <v>0</v>
      </c>
      <c r="U146" s="151" t="e">
        <f>R146-#REF!</f>
        <v>#REF!</v>
      </c>
      <c r="V146" s="151">
        <f t="shared" si="45"/>
        <v>-976.16068412846562</v>
      </c>
      <c r="W146" s="151">
        <f t="shared" si="46"/>
        <v>0</v>
      </c>
      <c r="X146" s="151" t="e">
        <f>O146-#REF!</f>
        <v>#REF!</v>
      </c>
      <c r="Y146" s="143">
        <f>'[65]2. подк.неподк.'!V134</f>
        <v>0</v>
      </c>
      <c r="Z146" s="182">
        <f>'[65]2. подк.неподк.'!W134</f>
        <v>0</v>
      </c>
      <c r="AA146" s="143">
        <f>'[65]2. подк.неподк.'!X134</f>
        <v>0</v>
      </c>
      <c r="AB146" s="143">
        <f>Y146*$AA$11</f>
        <v>0</v>
      </c>
      <c r="AC146" s="144">
        <f t="shared" si="47"/>
        <v>0</v>
      </c>
      <c r="AD146" s="143">
        <f t="shared" si="48"/>
        <v>0</v>
      </c>
      <c r="AE146" s="143"/>
      <c r="AF146" s="143">
        <f t="shared" si="50"/>
        <v>0</v>
      </c>
      <c r="AG146" s="143"/>
      <c r="AH146" s="143">
        <f t="shared" si="52"/>
        <v>0</v>
      </c>
      <c r="AI146" s="143"/>
    </row>
    <row r="147" spans="1:35" ht="33" customHeight="1" outlineLevel="2">
      <c r="A147" s="139" t="s">
        <v>740</v>
      </c>
      <c r="B147" s="143" t="s">
        <v>741</v>
      </c>
      <c r="C147" s="147" t="s">
        <v>742</v>
      </c>
      <c r="D147" s="190" t="s">
        <v>743</v>
      </c>
      <c r="E147" s="1333"/>
      <c r="F147" s="1334"/>
      <c r="G147" s="143">
        <v>0</v>
      </c>
      <c r="H147" s="143">
        <v>0</v>
      </c>
      <c r="I147" s="143">
        <v>0</v>
      </c>
      <c r="J147" s="1334"/>
      <c r="K147" s="143"/>
      <c r="L147" s="143"/>
      <c r="M147" s="143"/>
      <c r="N147" s="143">
        <v>42.55</v>
      </c>
      <c r="O147" s="143">
        <v>42.482489999999999</v>
      </c>
      <c r="P147" s="150">
        <v>42.482489999999999</v>
      </c>
      <c r="Q147" s="143">
        <v>42.482489999999999</v>
      </c>
      <c r="R147" s="144">
        <v>42.482489999999999</v>
      </c>
      <c r="S147" s="143">
        <f t="shared" si="43"/>
        <v>42.482489999999999</v>
      </c>
      <c r="T147" s="143">
        <f t="shared" si="44"/>
        <v>0</v>
      </c>
      <c r="U147" s="151" t="e">
        <f>R147-#REF!</f>
        <v>#REF!</v>
      </c>
      <c r="V147" s="151">
        <f t="shared" si="45"/>
        <v>42.482489999999999</v>
      </c>
      <c r="W147" s="151">
        <f t="shared" si="46"/>
        <v>0</v>
      </c>
      <c r="X147" s="151" t="e">
        <f>O147-#REF!</f>
        <v>#REF!</v>
      </c>
      <c r="Y147" s="143">
        <f>'[65]2. подк.неподк.'!V135</f>
        <v>0</v>
      </c>
      <c r="Z147" s="182">
        <f>'[65]2. подк.неподк.'!W135</f>
        <v>0</v>
      </c>
      <c r="AA147" s="143">
        <f>'[65]2. подк.неподк.'!X135</f>
        <v>130</v>
      </c>
      <c r="AB147" s="143">
        <f>Y147*$AA$11</f>
        <v>0</v>
      </c>
      <c r="AC147" s="144">
        <f t="shared" si="47"/>
        <v>0</v>
      </c>
      <c r="AD147" s="143">
        <f t="shared" si="48"/>
        <v>0</v>
      </c>
      <c r="AE147" s="143"/>
      <c r="AF147" s="143">
        <f t="shared" si="50"/>
        <v>0</v>
      </c>
      <c r="AG147" s="143"/>
      <c r="AH147" s="143">
        <f t="shared" si="52"/>
        <v>-130</v>
      </c>
      <c r="AI147" s="143">
        <f t="shared" si="53"/>
        <v>-100</v>
      </c>
    </row>
    <row r="148" spans="1:35" ht="33" customHeight="1" outlineLevel="1">
      <c r="A148" s="139"/>
      <c r="B148" s="140" t="s">
        <v>744</v>
      </c>
      <c r="C148" s="141"/>
      <c r="D148" s="393" t="s">
        <v>745</v>
      </c>
      <c r="E148" s="188" t="s">
        <v>745</v>
      </c>
      <c r="F148" s="143" t="s">
        <v>121</v>
      </c>
      <c r="G148" s="173">
        <f t="shared" ref="G148:I148" si="80">G149+G150</f>
        <v>2000</v>
      </c>
      <c r="H148" s="173">
        <f t="shared" si="80"/>
        <v>22589.119339999997</v>
      </c>
      <c r="I148" s="173">
        <f t="shared" si="80"/>
        <v>4223.8999999999996</v>
      </c>
      <c r="J148" s="173">
        <f>J149+J150</f>
        <v>2194.5465999999997</v>
      </c>
      <c r="K148" s="173">
        <f t="shared" ref="K148:M148" si="81">K149+K150</f>
        <v>16854.686969999999</v>
      </c>
      <c r="L148" s="173">
        <f t="shared" si="81"/>
        <v>3019.31</v>
      </c>
      <c r="M148" s="173">
        <f t="shared" si="81"/>
        <v>2053.34</v>
      </c>
      <c r="N148" s="173">
        <f>N149+N150</f>
        <v>17537.749759999999</v>
      </c>
      <c r="O148" s="173">
        <f t="shared" ref="O148:AB148" si="82">O149+O150</f>
        <v>17244.981400000001</v>
      </c>
      <c r="P148" s="174">
        <f t="shared" si="82"/>
        <v>3569.4841299999998</v>
      </c>
      <c r="Q148" s="173">
        <f t="shared" si="82"/>
        <v>3569.4841299999998</v>
      </c>
      <c r="R148" s="144">
        <f t="shared" si="82"/>
        <v>3569.4841299999998</v>
      </c>
      <c r="S148" s="173">
        <f t="shared" si="43"/>
        <v>1516.1441299999997</v>
      </c>
      <c r="T148" s="173">
        <f t="shared" si="44"/>
        <v>-13675.49727</v>
      </c>
      <c r="U148" s="175" t="e">
        <f>R148-#REF!</f>
        <v>#REF!</v>
      </c>
      <c r="V148" s="175">
        <f t="shared" si="45"/>
        <v>1516.1441299999997</v>
      </c>
      <c r="W148" s="175">
        <f t="shared" si="46"/>
        <v>0</v>
      </c>
      <c r="X148" s="175" t="e">
        <f>O148-#REF!</f>
        <v>#REF!</v>
      </c>
      <c r="Y148" s="173">
        <f t="shared" si="82"/>
        <v>2166.2737000000002</v>
      </c>
      <c r="Z148" s="170">
        <f t="shared" si="82"/>
        <v>2263.7560165</v>
      </c>
      <c r="AA148" s="173">
        <f t="shared" si="82"/>
        <v>2263.7560165</v>
      </c>
      <c r="AB148" s="173">
        <f t="shared" si="82"/>
        <v>2246.1046970075154</v>
      </c>
      <c r="AC148" s="144">
        <f t="shared" si="47"/>
        <v>2246.1046970075154</v>
      </c>
      <c r="AD148" s="173">
        <f t="shared" si="48"/>
        <v>79.83099700751518</v>
      </c>
      <c r="AE148" s="173">
        <f t="shared" si="49"/>
        <v>3.6851759317169979</v>
      </c>
      <c r="AF148" s="173">
        <f t="shared" si="50"/>
        <v>-17.651319492484618</v>
      </c>
      <c r="AG148" s="173">
        <f t="shared" si="51"/>
        <v>-0.77973595051004452</v>
      </c>
      <c r="AH148" s="173">
        <f t="shared" si="52"/>
        <v>-17.651319492484618</v>
      </c>
      <c r="AI148" s="173">
        <f t="shared" si="53"/>
        <v>-0.77973595051004452</v>
      </c>
    </row>
    <row r="149" spans="1:35" s="191" customFormat="1" ht="33" customHeight="1" outlineLevel="2">
      <c r="A149" s="139" t="s">
        <v>746</v>
      </c>
      <c r="B149" s="143" t="s">
        <v>747</v>
      </c>
      <c r="C149" s="147" t="s">
        <v>748</v>
      </c>
      <c r="D149" s="148" t="s">
        <v>749</v>
      </c>
      <c r="E149" s="149" t="s">
        <v>750</v>
      </c>
      <c r="F149" s="143" t="s">
        <v>121</v>
      </c>
      <c r="G149" s="143">
        <v>1000</v>
      </c>
      <c r="H149" s="143">
        <v>19365.218939999999</v>
      </c>
      <c r="I149" s="143">
        <v>1000</v>
      </c>
      <c r="J149" s="143">
        <v>1097.2733000000001</v>
      </c>
      <c r="K149" s="143">
        <v>14932.645769999999</v>
      </c>
      <c r="L149" s="143">
        <v>1097.27</v>
      </c>
      <c r="M149" s="143">
        <v>1026.67</v>
      </c>
      <c r="N149" s="143">
        <v>14990.839760000001</v>
      </c>
      <c r="O149" s="143">
        <v>14702.167270000002</v>
      </c>
      <c r="P149" s="150">
        <v>1026.67</v>
      </c>
      <c r="Q149" s="143">
        <v>1026.67</v>
      </c>
      <c r="R149" s="144">
        <v>1026.67</v>
      </c>
      <c r="S149" s="143">
        <f t="shared" si="43"/>
        <v>0</v>
      </c>
      <c r="T149" s="143">
        <f t="shared" si="44"/>
        <v>-13675.497270000002</v>
      </c>
      <c r="U149" s="151" t="e">
        <f>R149-#REF!</f>
        <v>#REF!</v>
      </c>
      <c r="V149" s="151">
        <f t="shared" si="45"/>
        <v>0</v>
      </c>
      <c r="W149" s="151">
        <f t="shared" si="46"/>
        <v>0</v>
      </c>
      <c r="X149" s="151" t="e">
        <f>O149-#REF!</f>
        <v>#REF!</v>
      </c>
      <c r="Y149" s="143">
        <f>'[65]2. подк.неподк.'!V137</f>
        <v>1083.1368500000001</v>
      </c>
      <c r="Z149" s="182">
        <f>'[65]2. подк.неподк.'!W137</f>
        <v>1131.87800825</v>
      </c>
      <c r="AA149" s="143">
        <f>'[65]2. подк.неподк.'!X137</f>
        <v>1131.87800825</v>
      </c>
      <c r="AB149" s="143">
        <f>Y149*$AA$11</f>
        <v>1123.0523485037577</v>
      </c>
      <c r="AC149" s="144">
        <f t="shared" si="47"/>
        <v>1123.0523485037577</v>
      </c>
      <c r="AD149" s="143">
        <f t="shared" si="48"/>
        <v>39.91549850375759</v>
      </c>
      <c r="AE149" s="143">
        <f t="shared" si="49"/>
        <v>3.6851759317169979</v>
      </c>
      <c r="AF149" s="143">
        <f t="shared" si="50"/>
        <v>-8.8256597462423088</v>
      </c>
      <c r="AG149" s="143">
        <f t="shared" si="51"/>
        <v>-0.77973595051004452</v>
      </c>
      <c r="AH149" s="143">
        <f t="shared" si="52"/>
        <v>-8.8256597462423088</v>
      </c>
      <c r="AI149" s="143">
        <f t="shared" si="53"/>
        <v>-0.77973595051004452</v>
      </c>
    </row>
    <row r="150" spans="1:35" s="191" customFormat="1" ht="33" customHeight="1" outlineLevel="2">
      <c r="A150" s="139" t="s">
        <v>751</v>
      </c>
      <c r="B150" s="143" t="s">
        <v>752</v>
      </c>
      <c r="C150" s="147" t="s">
        <v>753</v>
      </c>
      <c r="D150" s="148" t="s">
        <v>754</v>
      </c>
      <c r="E150" s="149" t="s">
        <v>755</v>
      </c>
      <c r="F150" s="143" t="s">
        <v>121</v>
      </c>
      <c r="G150" s="143">
        <v>1000</v>
      </c>
      <c r="H150" s="143">
        <v>3223.9004</v>
      </c>
      <c r="I150" s="143">
        <v>3223.9</v>
      </c>
      <c r="J150" s="143">
        <v>1097.2732999999998</v>
      </c>
      <c r="K150" s="143">
        <v>1922.0411999999999</v>
      </c>
      <c r="L150" s="143">
        <v>1922.04</v>
      </c>
      <c r="M150" s="143">
        <v>1026.67</v>
      </c>
      <c r="N150" s="143">
        <v>2546.91</v>
      </c>
      <c r="O150" s="143">
        <v>2542.8141299999997</v>
      </c>
      <c r="P150" s="150">
        <v>2542.8141299999997</v>
      </c>
      <c r="Q150" s="143">
        <v>2542.8141299999997</v>
      </c>
      <c r="R150" s="144">
        <v>2542.8141299999997</v>
      </c>
      <c r="S150" s="143">
        <f t="shared" si="43"/>
        <v>1516.1441299999997</v>
      </c>
      <c r="T150" s="143">
        <f t="shared" si="44"/>
        <v>0</v>
      </c>
      <c r="U150" s="151" t="e">
        <f>R150-#REF!</f>
        <v>#REF!</v>
      </c>
      <c r="V150" s="151">
        <f t="shared" si="45"/>
        <v>1516.1441299999997</v>
      </c>
      <c r="W150" s="151">
        <f t="shared" si="46"/>
        <v>0</v>
      </c>
      <c r="X150" s="151" t="e">
        <f>O150-#REF!</f>
        <v>#REF!</v>
      </c>
      <c r="Y150" s="143">
        <f>'[65]2. подк.неподк.'!V138</f>
        <v>1083.1368500000001</v>
      </c>
      <c r="Z150" s="182">
        <f>'[65]2. подк.неподк.'!W138</f>
        <v>1131.87800825</v>
      </c>
      <c r="AA150" s="143">
        <f>'[65]2. подк.неподк.'!X138</f>
        <v>1131.87800825</v>
      </c>
      <c r="AB150" s="143">
        <f>Y150*$AA$11</f>
        <v>1123.0523485037577</v>
      </c>
      <c r="AC150" s="144">
        <f t="shared" si="47"/>
        <v>1123.0523485037577</v>
      </c>
      <c r="AD150" s="143">
        <f t="shared" si="48"/>
        <v>39.91549850375759</v>
      </c>
      <c r="AE150" s="143">
        <f t="shared" si="49"/>
        <v>3.6851759317169979</v>
      </c>
      <c r="AF150" s="143">
        <f t="shared" si="50"/>
        <v>-8.8256597462423088</v>
      </c>
      <c r="AG150" s="143">
        <f t="shared" si="51"/>
        <v>-0.77973595051004452</v>
      </c>
      <c r="AH150" s="143">
        <f t="shared" si="52"/>
        <v>-8.8256597462423088</v>
      </c>
      <c r="AI150" s="143">
        <f t="shared" si="53"/>
        <v>-0.77973595051004452</v>
      </c>
    </row>
    <row r="151" spans="1:35" s="191" customFormat="1" ht="33" customHeight="1" outlineLevel="1">
      <c r="A151" s="192"/>
      <c r="B151" s="140" t="s">
        <v>756</v>
      </c>
      <c r="C151" s="193"/>
      <c r="D151" s="188" t="s">
        <v>757</v>
      </c>
      <c r="E151" s="188" t="s">
        <v>757</v>
      </c>
      <c r="F151" s="143" t="s">
        <v>121</v>
      </c>
      <c r="G151" s="173">
        <f t="shared" ref="G151:I151" si="83">G153+G160+G168+G172+G175+G180+G205</f>
        <v>170092.25239761703</v>
      </c>
      <c r="H151" s="173">
        <f t="shared" si="83"/>
        <v>210974.52321000001</v>
      </c>
      <c r="I151" s="173">
        <f t="shared" si="83"/>
        <v>182022.39</v>
      </c>
      <c r="J151" s="173">
        <f>J153+J160+J168+J172+J175+J180+J205</f>
        <v>173103.11822122496</v>
      </c>
      <c r="K151" s="173">
        <f t="shared" ref="K151:AB151" si="84">K153+K160+K168+K172+K175+K180+K205</f>
        <v>239337.42604999998</v>
      </c>
      <c r="L151" s="173">
        <f t="shared" si="84"/>
        <v>212439.44644999999</v>
      </c>
      <c r="M151" s="173">
        <f t="shared" si="84"/>
        <v>144208.10422230931</v>
      </c>
      <c r="N151" s="173">
        <f t="shared" si="84"/>
        <v>232514.72855</v>
      </c>
      <c r="O151" s="173">
        <f t="shared" si="84"/>
        <v>224140.40088999999</v>
      </c>
      <c r="P151" s="174">
        <f t="shared" si="84"/>
        <v>196063.13141999999</v>
      </c>
      <c r="Q151" s="173">
        <f t="shared" si="84"/>
        <v>199199.35916999998</v>
      </c>
      <c r="R151" s="144">
        <f t="shared" si="84"/>
        <v>189739.50462999998</v>
      </c>
      <c r="S151" s="173">
        <f t="shared" si="43"/>
        <v>45531.400407690671</v>
      </c>
      <c r="T151" s="173">
        <f t="shared" si="44"/>
        <v>-34400.896260000009</v>
      </c>
      <c r="U151" s="175" t="e">
        <f>R151-#REF!</f>
        <v>#REF!</v>
      </c>
      <c r="V151" s="175">
        <f t="shared" si="45"/>
        <v>45531.400407690671</v>
      </c>
      <c r="W151" s="175">
        <f t="shared" si="46"/>
        <v>3136.2277499999909</v>
      </c>
      <c r="X151" s="175" t="e">
        <f>O151-#REF!</f>
        <v>#REF!</v>
      </c>
      <c r="Y151" s="173">
        <f t="shared" si="84"/>
        <v>153952.99311707861</v>
      </c>
      <c r="Z151" s="170">
        <f t="shared" si="84"/>
        <v>160156.58938761588</v>
      </c>
      <c r="AA151" s="173">
        <f t="shared" si="84"/>
        <v>359935.99300388293</v>
      </c>
      <c r="AB151" s="173">
        <f t="shared" si="84"/>
        <v>159626.43176558713</v>
      </c>
      <c r="AC151" s="144">
        <f t="shared" si="47"/>
        <v>159626.43176558713</v>
      </c>
      <c r="AD151" s="173">
        <f t="shared" si="48"/>
        <v>5673.4386485085124</v>
      </c>
      <c r="AE151" s="173">
        <f t="shared" si="49"/>
        <v>3.6851759317169979</v>
      </c>
      <c r="AF151" s="173">
        <f t="shared" si="50"/>
        <v>-530.15762202875339</v>
      </c>
      <c r="AG151" s="173">
        <f t="shared" si="51"/>
        <v>-0.33102454545010573</v>
      </c>
      <c r="AH151" s="173">
        <f t="shared" si="52"/>
        <v>-200309.56123829581</v>
      </c>
      <c r="AI151" s="173">
        <f t="shared" si="53"/>
        <v>-55.651439459163761</v>
      </c>
    </row>
    <row r="152" spans="1:35" s="191" customFormat="1" ht="33" customHeight="1" outlineLevel="3">
      <c r="A152" s="139" t="s">
        <v>758</v>
      </c>
      <c r="B152" s="143" t="s">
        <v>759</v>
      </c>
      <c r="C152" s="147" t="s">
        <v>760</v>
      </c>
      <c r="D152" s="148" t="s">
        <v>761</v>
      </c>
      <c r="E152" s="149" t="s">
        <v>762</v>
      </c>
      <c r="F152" s="143" t="s">
        <v>121</v>
      </c>
      <c r="G152" s="143">
        <v>110.48130345897923</v>
      </c>
      <c r="H152" s="143">
        <v>26.01483</v>
      </c>
      <c r="I152" s="143">
        <v>26.01</v>
      </c>
      <c r="J152" s="143">
        <v>121.22818443473554</v>
      </c>
      <c r="K152" s="143">
        <v>22.835909999999998</v>
      </c>
      <c r="L152" s="143">
        <v>22.84</v>
      </c>
      <c r="M152" s="143">
        <v>22.259997114405309</v>
      </c>
      <c r="N152" s="143">
        <v>212.84136999999998</v>
      </c>
      <c r="O152" s="143">
        <v>12.065530000000001</v>
      </c>
      <c r="P152" s="150">
        <v>12.065530000000001</v>
      </c>
      <c r="Q152" s="143">
        <v>12.065530000000001</v>
      </c>
      <c r="R152" s="144">
        <v>12.065530000000001</v>
      </c>
      <c r="S152" s="143">
        <f t="shared" si="43"/>
        <v>-10.194467114405308</v>
      </c>
      <c r="T152" s="143">
        <f t="shared" si="44"/>
        <v>0</v>
      </c>
      <c r="U152" s="151" t="e">
        <f>R152-#REF!</f>
        <v>#REF!</v>
      </c>
      <c r="V152" s="151">
        <f t="shared" si="45"/>
        <v>-10.194467114405308</v>
      </c>
      <c r="W152" s="151">
        <f t="shared" si="46"/>
        <v>0</v>
      </c>
      <c r="X152" s="151" t="e">
        <f>O152-#REF!</f>
        <v>#REF!</v>
      </c>
      <c r="Y152" s="143">
        <f>'[65]2. подк.неподк.'!V140</f>
        <v>25.903414999999995</v>
      </c>
      <c r="Z152" s="182">
        <f>'[65]2. подк.неподк.'!W140</f>
        <v>27.069068674999993</v>
      </c>
      <c r="AA152" s="143">
        <f>'[65]2. подк.неподк.'!X140</f>
        <v>228.09</v>
      </c>
      <c r="AB152" s="143">
        <f>Y152*$AA$11</f>
        <v>26.858001415072767</v>
      </c>
      <c r="AC152" s="144">
        <f t="shared" si="47"/>
        <v>26.858001415072767</v>
      </c>
      <c r="AD152" s="143">
        <f t="shared" si="48"/>
        <v>0.95458641507277164</v>
      </c>
      <c r="AE152" s="143">
        <f t="shared" si="49"/>
        <v>3.6851759317169979</v>
      </c>
      <c r="AF152" s="143">
        <f t="shared" si="50"/>
        <v>-0.2110672599272263</v>
      </c>
      <c r="AG152" s="143">
        <f t="shared" si="51"/>
        <v>-0.77973595051004452</v>
      </c>
      <c r="AH152" s="143">
        <f t="shared" si="52"/>
        <v>-201.23199858492723</v>
      </c>
      <c r="AI152" s="143">
        <f t="shared" si="53"/>
        <v>-88.224822914168627</v>
      </c>
    </row>
    <row r="153" spans="1:35" s="161" customFormat="1" ht="33" customHeight="1" outlineLevel="2">
      <c r="A153" s="153"/>
      <c r="B153" s="154"/>
      <c r="C153" s="155"/>
      <c r="D153" s="394" t="s">
        <v>763</v>
      </c>
      <c r="E153" s="157"/>
      <c r="F153" s="158"/>
      <c r="G153" s="154">
        <f t="shared" ref="G153:I153" si="85">G152</f>
        <v>110.48130345897923</v>
      </c>
      <c r="H153" s="154">
        <f t="shared" si="85"/>
        <v>26.01483</v>
      </c>
      <c r="I153" s="154">
        <f t="shared" si="85"/>
        <v>26.01</v>
      </c>
      <c r="J153" s="154">
        <f>J152</f>
        <v>121.22818443473554</v>
      </c>
      <c r="K153" s="154">
        <f t="shared" ref="K153:AB153" si="86">K152</f>
        <v>22.835909999999998</v>
      </c>
      <c r="L153" s="154">
        <f t="shared" si="86"/>
        <v>22.84</v>
      </c>
      <c r="M153" s="154">
        <f t="shared" si="86"/>
        <v>22.259997114405309</v>
      </c>
      <c r="N153" s="154">
        <f t="shared" si="86"/>
        <v>212.84136999999998</v>
      </c>
      <c r="O153" s="154">
        <f t="shared" si="86"/>
        <v>12.065530000000001</v>
      </c>
      <c r="P153" s="159">
        <f t="shared" si="86"/>
        <v>12.065530000000001</v>
      </c>
      <c r="Q153" s="154">
        <f t="shared" si="86"/>
        <v>12.065530000000001</v>
      </c>
      <c r="R153" s="144">
        <f t="shared" si="86"/>
        <v>12.065530000000001</v>
      </c>
      <c r="S153" s="144">
        <f t="shared" si="43"/>
        <v>-10.194467114405308</v>
      </c>
      <c r="T153" s="144">
        <f t="shared" si="44"/>
        <v>0</v>
      </c>
      <c r="U153" s="160" t="e">
        <f>R153-#REF!</f>
        <v>#REF!</v>
      </c>
      <c r="V153" s="160">
        <f t="shared" si="45"/>
        <v>-10.194467114405308</v>
      </c>
      <c r="W153" s="160">
        <f t="shared" si="46"/>
        <v>0</v>
      </c>
      <c r="X153" s="160" t="e">
        <f>O153-#REF!</f>
        <v>#REF!</v>
      </c>
      <c r="Y153" s="154">
        <f t="shared" si="86"/>
        <v>25.903414999999995</v>
      </c>
      <c r="Z153" s="194">
        <f t="shared" si="86"/>
        <v>27.069068674999993</v>
      </c>
      <c r="AA153" s="154">
        <f t="shared" si="86"/>
        <v>228.09</v>
      </c>
      <c r="AB153" s="154">
        <f t="shared" si="86"/>
        <v>26.858001415072767</v>
      </c>
      <c r="AC153" s="144">
        <f t="shared" si="47"/>
        <v>26.858001415072767</v>
      </c>
      <c r="AD153" s="154">
        <f t="shared" si="48"/>
        <v>0.95458641507277164</v>
      </c>
      <c r="AE153" s="154">
        <f t="shared" si="49"/>
        <v>3.6851759317169979</v>
      </c>
      <c r="AF153" s="154">
        <f t="shared" si="50"/>
        <v>-0.2110672599272263</v>
      </c>
      <c r="AG153" s="154">
        <f t="shared" si="51"/>
        <v>-0.77973595051004452</v>
      </c>
      <c r="AH153" s="154">
        <f t="shared" si="52"/>
        <v>-201.23199858492723</v>
      </c>
      <c r="AI153" s="154">
        <f t="shared" si="53"/>
        <v>-88.224822914168627</v>
      </c>
    </row>
    <row r="154" spans="1:35" ht="33" customHeight="1" outlineLevel="2">
      <c r="A154" s="139" t="s">
        <v>764</v>
      </c>
      <c r="B154" s="195" t="s">
        <v>765</v>
      </c>
      <c r="C154" s="147" t="s">
        <v>766</v>
      </c>
      <c r="D154" s="148" t="s">
        <v>767</v>
      </c>
      <c r="E154" s="196" t="s">
        <v>768</v>
      </c>
      <c r="F154" s="143" t="s">
        <v>121</v>
      </c>
      <c r="G154" s="143">
        <v>56740</v>
      </c>
      <c r="H154" s="143">
        <v>65998.707809999993</v>
      </c>
      <c r="I154" s="143">
        <v>65998.710000000006</v>
      </c>
      <c r="J154" s="143">
        <v>60087.66</v>
      </c>
      <c r="K154" s="143">
        <v>57393.816449999998</v>
      </c>
      <c r="L154" s="143">
        <v>57393.816449999998</v>
      </c>
      <c r="M154" s="143">
        <v>53221.34</v>
      </c>
      <c r="N154" s="143">
        <v>59393.999179999999</v>
      </c>
      <c r="O154" s="143">
        <v>59393.999179999999</v>
      </c>
      <c r="P154" s="150">
        <v>59393.999179999999</v>
      </c>
      <c r="Q154" s="143">
        <v>59393.999179999999</v>
      </c>
      <c r="R154" s="144">
        <v>59393.999179999999</v>
      </c>
      <c r="S154" s="143">
        <f t="shared" si="43"/>
        <v>6172.6591800000024</v>
      </c>
      <c r="T154" s="143">
        <f t="shared" si="44"/>
        <v>0</v>
      </c>
      <c r="U154" s="151" t="e">
        <f>R154-#REF!</f>
        <v>#REF!</v>
      </c>
      <c r="V154" s="151">
        <f t="shared" si="45"/>
        <v>6172.6591800000024</v>
      </c>
      <c r="W154" s="151">
        <f t="shared" si="46"/>
        <v>0</v>
      </c>
      <c r="X154" s="151" t="e">
        <f>O154-#REF!</f>
        <v>#REF!</v>
      </c>
      <c r="Y154" s="143">
        <f>'[65]2. подк.неподк.'!V142</f>
        <v>65091.762081356239</v>
      </c>
      <c r="Z154" s="182">
        <f>'[65]2. подк.неподк.'!W142</f>
        <v>68020.891375017265</v>
      </c>
      <c r="AA154" s="143">
        <f>'[65]2. подк.неподк.'!X142</f>
        <v>68020.891375017265</v>
      </c>
      <c r="AB154" s="143">
        <f t="shared" ref="AB154:AB159" si="87">Y154*$AA$11</f>
        <v>67490.508031108868</v>
      </c>
      <c r="AC154" s="144">
        <f t="shared" si="47"/>
        <v>67490.508031108868</v>
      </c>
      <c r="AD154" s="143">
        <f t="shared" si="48"/>
        <v>2398.7459497526288</v>
      </c>
      <c r="AE154" s="143">
        <f t="shared" si="49"/>
        <v>3.6851759317169979</v>
      </c>
      <c r="AF154" s="143">
        <f t="shared" si="50"/>
        <v>-530.38334390839736</v>
      </c>
      <c r="AG154" s="143">
        <f t="shared" si="51"/>
        <v>-0.77973595051005873</v>
      </c>
      <c r="AH154" s="143">
        <f t="shared" si="52"/>
        <v>-530.38334390839736</v>
      </c>
      <c r="AI154" s="143">
        <f t="shared" si="53"/>
        <v>-0.77973595051005873</v>
      </c>
    </row>
    <row r="155" spans="1:35" s="191" customFormat="1" ht="33" customHeight="1" outlineLevel="3">
      <c r="A155" s="139" t="s">
        <v>769</v>
      </c>
      <c r="B155" s="143" t="s">
        <v>770</v>
      </c>
      <c r="C155" s="147" t="s">
        <v>771</v>
      </c>
      <c r="D155" s="148" t="s">
        <v>772</v>
      </c>
      <c r="E155" s="149" t="s">
        <v>773</v>
      </c>
      <c r="F155" s="143" t="s">
        <v>121</v>
      </c>
      <c r="G155" s="143">
        <v>2558.2797852317235</v>
      </c>
      <c r="H155" s="143">
        <v>1416.8088299999999</v>
      </c>
      <c r="I155" s="143">
        <v>1416.81</v>
      </c>
      <c r="J155" s="143">
        <v>2807.1321022645043</v>
      </c>
      <c r="K155" s="143">
        <v>1654.7882300000001</v>
      </c>
      <c r="L155" s="143">
        <v>1654.79</v>
      </c>
      <c r="M155" s="143">
        <v>1163.7881929595367</v>
      </c>
      <c r="N155" s="143">
        <v>1194.3363200000001</v>
      </c>
      <c r="O155" s="143">
        <v>1194.3363200000001</v>
      </c>
      <c r="P155" s="150">
        <v>1194.3363200000001</v>
      </c>
      <c r="Q155" s="143">
        <v>1194.3363200000001</v>
      </c>
      <c r="R155" s="144">
        <v>1194.3363200000001</v>
      </c>
      <c r="S155" s="143">
        <f t="shared" si="43"/>
        <v>30.548127040463442</v>
      </c>
      <c r="T155" s="143">
        <f t="shared" si="44"/>
        <v>0</v>
      </c>
      <c r="U155" s="151" t="e">
        <f>R155-#REF!</f>
        <v>#REF!</v>
      </c>
      <c r="V155" s="151">
        <f t="shared" si="45"/>
        <v>30.548127040463442</v>
      </c>
      <c r="W155" s="151">
        <f t="shared" si="46"/>
        <v>0</v>
      </c>
      <c r="X155" s="151" t="e">
        <f>O155-#REF!</f>
        <v>#REF!</v>
      </c>
      <c r="Y155" s="143">
        <f>'[65]2. подк.неподк.'!V143</f>
        <v>1876.7387087499999</v>
      </c>
      <c r="Z155" s="182">
        <f>'[65]2. подк.неподк.'!W143</f>
        <v>1961.1919506437498</v>
      </c>
      <c r="AA155" s="143">
        <f>'[65]2. подк.неподк.'!X143</f>
        <v>1961.1919506437498</v>
      </c>
      <c r="AB155" s="143">
        <f t="shared" si="87"/>
        <v>1945.8998319460713</v>
      </c>
      <c r="AC155" s="144">
        <f t="shared" si="47"/>
        <v>1945.8998319460713</v>
      </c>
      <c r="AD155" s="143">
        <f t="shared" si="48"/>
        <v>69.161123196071458</v>
      </c>
      <c r="AE155" s="143">
        <f t="shared" si="49"/>
        <v>3.6851759317169979</v>
      </c>
      <c r="AF155" s="143">
        <f t="shared" si="50"/>
        <v>-15.292118697678461</v>
      </c>
      <c r="AG155" s="143">
        <f t="shared" si="51"/>
        <v>-0.77973595051004452</v>
      </c>
      <c r="AH155" s="143">
        <f t="shared" si="52"/>
        <v>-15.292118697678461</v>
      </c>
      <c r="AI155" s="143">
        <f t="shared" si="53"/>
        <v>-0.77973595051004452</v>
      </c>
    </row>
    <row r="156" spans="1:35" s="191" customFormat="1" ht="33" customHeight="1" outlineLevel="3">
      <c r="A156" s="139" t="s">
        <v>774</v>
      </c>
      <c r="B156" s="143" t="s">
        <v>775</v>
      </c>
      <c r="C156" s="147" t="s">
        <v>776</v>
      </c>
      <c r="D156" s="148" t="s">
        <v>777</v>
      </c>
      <c r="E156" s="149" t="s">
        <v>778</v>
      </c>
      <c r="F156" s="143" t="s">
        <v>121</v>
      </c>
      <c r="G156" s="143">
        <v>2213.0019309442214</v>
      </c>
      <c r="H156" s="143">
        <v>137.898</v>
      </c>
      <c r="I156" s="143">
        <v>137.9</v>
      </c>
      <c r="J156" s="143">
        <v>2428.2679316735375</v>
      </c>
      <c r="K156" s="143">
        <v>636.66592000000003</v>
      </c>
      <c r="L156" s="143">
        <v>636.66999999999996</v>
      </c>
      <c r="M156" s="143">
        <v>386.40722699634108</v>
      </c>
      <c r="N156" s="143">
        <v>2041.4435100000001</v>
      </c>
      <c r="O156" s="143">
        <v>2041.4435100000001</v>
      </c>
      <c r="P156" s="150">
        <v>2041.4435100000001</v>
      </c>
      <c r="Q156" s="143">
        <v>2041.4435100000001</v>
      </c>
      <c r="R156" s="144">
        <v>2041.4435100000001</v>
      </c>
      <c r="S156" s="143">
        <f t="shared" si="43"/>
        <v>1655.036283003659</v>
      </c>
      <c r="T156" s="143">
        <f t="shared" si="44"/>
        <v>0</v>
      </c>
      <c r="U156" s="151" t="e">
        <f>R156-#REF!</f>
        <v>#REF!</v>
      </c>
      <c r="V156" s="151">
        <f t="shared" si="45"/>
        <v>1655.036283003659</v>
      </c>
      <c r="W156" s="151">
        <f t="shared" si="46"/>
        <v>0</v>
      </c>
      <c r="X156" s="151" t="e">
        <f>O156-#REF!</f>
        <v>#REF!</v>
      </c>
      <c r="Y156" s="143">
        <f>'[65]2. подк.неподк.'!V144</f>
        <v>722.06336374999989</v>
      </c>
      <c r="Z156" s="182">
        <f>'[65]2. подк.неподк.'!W144</f>
        <v>754.55621511874983</v>
      </c>
      <c r="AA156" s="143">
        <f>'[65]2. подк.неподк.'!X144</f>
        <v>2253.75</v>
      </c>
      <c r="AB156" s="143">
        <f t="shared" si="87"/>
        <v>748.67266904266103</v>
      </c>
      <c r="AC156" s="144">
        <f t="shared" si="47"/>
        <v>748.67266904266103</v>
      </c>
      <c r="AD156" s="143">
        <f t="shared" si="48"/>
        <v>26.609305292661134</v>
      </c>
      <c r="AE156" s="143">
        <f t="shared" si="49"/>
        <v>3.6851759317169979</v>
      </c>
      <c r="AF156" s="143">
        <f t="shared" si="50"/>
        <v>-5.8835460760888054</v>
      </c>
      <c r="AG156" s="143">
        <f t="shared" si="51"/>
        <v>-0.77973595051004452</v>
      </c>
      <c r="AH156" s="143">
        <f t="shared" si="52"/>
        <v>-1505.077330957339</v>
      </c>
      <c r="AI156" s="143">
        <f t="shared" si="53"/>
        <v>-66.781024113470394</v>
      </c>
    </row>
    <row r="157" spans="1:35" s="191" customFormat="1" ht="60.75" customHeight="1" outlineLevel="3">
      <c r="A157" s="139" t="s">
        <v>779</v>
      </c>
      <c r="B157" s="143" t="s">
        <v>780</v>
      </c>
      <c r="C157" s="147" t="s">
        <v>781</v>
      </c>
      <c r="D157" s="148" t="s">
        <v>782</v>
      </c>
      <c r="E157" s="149" t="s">
        <v>783</v>
      </c>
      <c r="F157" s="143" t="s">
        <v>121</v>
      </c>
      <c r="G157" s="143">
        <v>179.99546530395713</v>
      </c>
      <c r="H157" s="143">
        <v>156.22664</v>
      </c>
      <c r="I157" s="143">
        <v>156.22999999999999</v>
      </c>
      <c r="J157" s="143">
        <v>197.50421819910852</v>
      </c>
      <c r="K157" s="143">
        <v>249.09163000000001</v>
      </c>
      <c r="L157" s="143">
        <v>249.09</v>
      </c>
      <c r="M157" s="143">
        <v>130.04119330612386</v>
      </c>
      <c r="N157" s="143">
        <v>1531.6050699999998</v>
      </c>
      <c r="O157" s="143">
        <v>1536.6446099999998</v>
      </c>
      <c r="P157" s="150">
        <v>1536.6446099999998</v>
      </c>
      <c r="Q157" s="143">
        <v>1536.6446099999998</v>
      </c>
      <c r="R157" s="144">
        <v>1536.6446099999998</v>
      </c>
      <c r="S157" s="143">
        <f t="shared" si="43"/>
        <v>1406.6034166938759</v>
      </c>
      <c r="T157" s="143">
        <f t="shared" si="44"/>
        <v>0</v>
      </c>
      <c r="U157" s="151" t="e">
        <f>R157-#REF!</f>
        <v>#REF!</v>
      </c>
      <c r="V157" s="151">
        <f t="shared" si="45"/>
        <v>1406.6034166938759</v>
      </c>
      <c r="W157" s="151">
        <f t="shared" si="46"/>
        <v>0</v>
      </c>
      <c r="X157" s="151" t="e">
        <f>O157-#REF!</f>
        <v>#REF!</v>
      </c>
      <c r="Y157" s="143">
        <f>'[65]2. подк.неподк.'!V145</f>
        <v>137.19345893796066</v>
      </c>
      <c r="Z157" s="182">
        <f>'[65]2. подк.неподк.'!W145</f>
        <v>143.36716459016887</v>
      </c>
      <c r="AA157" s="143">
        <f>'[65]2. подк.неподк.'!X145</f>
        <v>2475.7419199999999</v>
      </c>
      <c r="AB157" s="143">
        <f t="shared" si="87"/>
        <v>142.24927926663241</v>
      </c>
      <c r="AC157" s="144">
        <f t="shared" si="47"/>
        <v>142.24927926663241</v>
      </c>
      <c r="AD157" s="143">
        <f t="shared" si="48"/>
        <v>5.0558203286717571</v>
      </c>
      <c r="AE157" s="143">
        <f t="shared" si="49"/>
        <v>3.6851759317169979</v>
      </c>
      <c r="AF157" s="143">
        <f t="shared" si="50"/>
        <v>-1.1178853235364556</v>
      </c>
      <c r="AG157" s="143">
        <f t="shared" si="51"/>
        <v>-0.77973595051004452</v>
      </c>
      <c r="AH157" s="143">
        <f t="shared" si="52"/>
        <v>-2333.4926407333674</v>
      </c>
      <c r="AI157" s="143">
        <f t="shared" si="53"/>
        <v>-94.254276743569761</v>
      </c>
    </row>
    <row r="158" spans="1:35" s="191" customFormat="1" ht="33" customHeight="1" outlineLevel="3">
      <c r="A158" s="139" t="s">
        <v>784</v>
      </c>
      <c r="B158" s="143" t="s">
        <v>785</v>
      </c>
      <c r="C158" s="147" t="s">
        <v>786</v>
      </c>
      <c r="D158" s="148" t="s">
        <v>787</v>
      </c>
      <c r="E158" s="149" t="s">
        <v>788</v>
      </c>
      <c r="F158" s="143" t="s">
        <v>121</v>
      </c>
      <c r="G158" s="143">
        <v>3834.7525931516702</v>
      </c>
      <c r="H158" s="143">
        <v>830.32815000000005</v>
      </c>
      <c r="I158" s="143">
        <v>830.33</v>
      </c>
      <c r="J158" s="143">
        <v>4207.7716325710899</v>
      </c>
      <c r="K158" s="143">
        <v>888.25318000000004</v>
      </c>
      <c r="L158" s="143">
        <v>888.25</v>
      </c>
      <c r="M158" s="143">
        <v>596.31605069544014</v>
      </c>
      <c r="N158" s="143">
        <v>743.52427999999998</v>
      </c>
      <c r="O158" s="143">
        <v>743.52427999999998</v>
      </c>
      <c r="P158" s="150">
        <v>743.52427999999998</v>
      </c>
      <c r="Q158" s="143">
        <v>743.52427999999998</v>
      </c>
      <c r="R158" s="144">
        <v>743.52427999999998</v>
      </c>
      <c r="S158" s="143">
        <f t="shared" ref="S158:S221" si="88">R158-M158</f>
        <v>147.20822930455984</v>
      </c>
      <c r="T158" s="143">
        <f t="shared" ref="T158:T221" si="89">R158-O158</f>
        <v>0</v>
      </c>
      <c r="U158" s="151" t="e">
        <f>R158-#REF!</f>
        <v>#REF!</v>
      </c>
      <c r="V158" s="151">
        <f t="shared" ref="V158:V221" si="90">R158-M158</f>
        <v>147.20822930455984</v>
      </c>
      <c r="W158" s="151">
        <f t="shared" ref="W158:W221" si="91">Q158-P158</f>
        <v>0</v>
      </c>
      <c r="X158" s="151" t="e">
        <f>O158-#REF!</f>
        <v>#REF!</v>
      </c>
      <c r="Y158" s="143">
        <f>'[65]2. подк.неподк.'!V146</f>
        <v>1007.38653125</v>
      </c>
      <c r="Z158" s="182">
        <f>'[65]2. подк.неподк.'!W146</f>
        <v>1052.71892515625</v>
      </c>
      <c r="AA158" s="143">
        <f>'[65]2. подк.неподк.'!X146</f>
        <v>1506.84509267712</v>
      </c>
      <c r="AB158" s="143">
        <f t="shared" si="87"/>
        <v>1044.5104972389838</v>
      </c>
      <c r="AC158" s="144">
        <f t="shared" ref="AC158:AC221" si="92">AB158</f>
        <v>1044.5104972389838</v>
      </c>
      <c r="AD158" s="143">
        <f t="shared" ref="AD158:AD221" si="93">AB158-Y158</f>
        <v>37.123965988983855</v>
      </c>
      <c r="AE158" s="143">
        <f t="shared" ref="AE158:AE220" si="94">AB158/Y158*100-100</f>
        <v>3.6851759317169979</v>
      </c>
      <c r="AF158" s="143">
        <f t="shared" ref="AF158:AF221" si="95">AB158-Z158</f>
        <v>-8.2084279172661354</v>
      </c>
      <c r="AG158" s="143">
        <f t="shared" ref="AG158:AG220" si="96">AB158/Z158*100-100</f>
        <v>-0.77973595051004452</v>
      </c>
      <c r="AH158" s="143">
        <f t="shared" ref="AH158:AH221" si="97">AB158-AA158</f>
        <v>-462.33459543813615</v>
      </c>
      <c r="AI158" s="143">
        <f t="shared" ref="AI158:AI221" si="98">AB158/AA158*100-100</f>
        <v>-30.682290945828711</v>
      </c>
    </row>
    <row r="159" spans="1:35" s="191" customFormat="1" ht="45.75" customHeight="1" outlineLevel="3">
      <c r="A159" s="139" t="s">
        <v>789</v>
      </c>
      <c r="B159" s="143" t="s">
        <v>790</v>
      </c>
      <c r="C159" s="147" t="s">
        <v>791</v>
      </c>
      <c r="D159" s="148" t="s">
        <v>792</v>
      </c>
      <c r="E159" s="149" t="s">
        <v>793</v>
      </c>
      <c r="F159" s="143" t="s">
        <v>121</v>
      </c>
      <c r="G159" s="143">
        <v>2367.8654999999999</v>
      </c>
      <c r="H159" s="143">
        <v>7759.1671800000004</v>
      </c>
      <c r="I159" s="143">
        <v>286.99</v>
      </c>
      <c r="J159" s="143">
        <v>2598.1955911411496</v>
      </c>
      <c r="K159" s="143">
        <v>8871.5099599999994</v>
      </c>
      <c r="L159" s="143">
        <v>8871.51</v>
      </c>
      <c r="M159" s="143">
        <v>2743.4435200393291</v>
      </c>
      <c r="N159" s="143">
        <v>5576.23837</v>
      </c>
      <c r="O159" s="143">
        <v>5575.8762699999997</v>
      </c>
      <c r="P159" s="150">
        <v>5575.8762699999997</v>
      </c>
      <c r="Q159" s="143">
        <v>5575.8762699999997</v>
      </c>
      <c r="R159" s="144">
        <v>5575.8762699999997</v>
      </c>
      <c r="S159" s="143">
        <f t="shared" si="88"/>
        <v>2832.4327499606707</v>
      </c>
      <c r="T159" s="143">
        <f t="shared" si="89"/>
        <v>0</v>
      </c>
      <c r="U159" s="151" t="e">
        <f>R159-#REF!</f>
        <v>#REF!</v>
      </c>
      <c r="V159" s="151">
        <f t="shared" si="90"/>
        <v>2832.4327499606707</v>
      </c>
      <c r="W159" s="151">
        <f t="shared" si="91"/>
        <v>0</v>
      </c>
      <c r="X159" s="151" t="e">
        <f>O159-#REF!</f>
        <v>#REF!</v>
      </c>
      <c r="Y159" s="143">
        <f>'[65]2. подк.неподк.'!V147</f>
        <v>2894.3329136414918</v>
      </c>
      <c r="Z159" s="182">
        <f>'[65]2. подк.неподк.'!W147</f>
        <v>3024.5778947553586</v>
      </c>
      <c r="AA159" s="143">
        <f>'[65]2. подк.неподк.'!X147</f>
        <v>3024.5778947553586</v>
      </c>
      <c r="AB159" s="143">
        <f t="shared" si="87"/>
        <v>3000.9941735587713</v>
      </c>
      <c r="AC159" s="144">
        <f t="shared" si="92"/>
        <v>3000.9941735587713</v>
      </c>
      <c r="AD159" s="143">
        <f t="shared" si="93"/>
        <v>106.66125991727949</v>
      </c>
      <c r="AE159" s="143">
        <f t="shared" si="94"/>
        <v>3.6851759317169979</v>
      </c>
      <c r="AF159" s="143">
        <f t="shared" si="95"/>
        <v>-23.583721196587248</v>
      </c>
      <c r="AG159" s="143">
        <f t="shared" si="96"/>
        <v>-0.77973595051004452</v>
      </c>
      <c r="AH159" s="143">
        <f t="shared" si="97"/>
        <v>-23.583721196587248</v>
      </c>
      <c r="AI159" s="143">
        <f t="shared" si="98"/>
        <v>-0.77973595051004452</v>
      </c>
    </row>
    <row r="160" spans="1:35" s="161" customFormat="1" ht="33" customHeight="1" outlineLevel="2">
      <c r="A160" s="153"/>
      <c r="B160" s="154"/>
      <c r="C160" s="155"/>
      <c r="D160" s="394" t="s">
        <v>794</v>
      </c>
      <c r="E160" s="157"/>
      <c r="F160" s="158"/>
      <c r="G160" s="154">
        <f t="shared" ref="G160:I160" si="99">G154+G155+G156+G157+G158+G159</f>
        <v>67893.895274631577</v>
      </c>
      <c r="H160" s="154">
        <f t="shared" si="99"/>
        <v>76299.136609999987</v>
      </c>
      <c r="I160" s="154">
        <f t="shared" si="99"/>
        <v>68826.97</v>
      </c>
      <c r="J160" s="154">
        <f>J154+J155+J156+J157+J158+J159</f>
        <v>72326.531475849391</v>
      </c>
      <c r="K160" s="154">
        <f t="shared" ref="K160:AB160" si="100">K154+K155+K156+K157+K158+K159</f>
        <v>69694.125369999994</v>
      </c>
      <c r="L160" s="154">
        <f t="shared" si="100"/>
        <v>69694.126449999996</v>
      </c>
      <c r="M160" s="154">
        <f t="shared" si="100"/>
        <v>58241.336183996769</v>
      </c>
      <c r="N160" s="154">
        <f t="shared" si="100"/>
        <v>70481.146729999993</v>
      </c>
      <c r="O160" s="154">
        <f t="shared" si="100"/>
        <v>70485.824169999993</v>
      </c>
      <c r="P160" s="159">
        <f t="shared" si="100"/>
        <v>70485.824169999993</v>
      </c>
      <c r="Q160" s="154">
        <f t="shared" si="100"/>
        <v>70485.824169999993</v>
      </c>
      <c r="R160" s="144">
        <f t="shared" si="100"/>
        <v>70485.824169999993</v>
      </c>
      <c r="S160" s="144">
        <f t="shared" si="88"/>
        <v>12244.487986003223</v>
      </c>
      <c r="T160" s="144">
        <f t="shared" si="89"/>
        <v>0</v>
      </c>
      <c r="U160" s="160" t="e">
        <f>R160-#REF!</f>
        <v>#REF!</v>
      </c>
      <c r="V160" s="160">
        <f t="shared" si="90"/>
        <v>12244.487986003223</v>
      </c>
      <c r="W160" s="160">
        <f t="shared" si="91"/>
        <v>0</v>
      </c>
      <c r="X160" s="160" t="e">
        <f>O160-#REF!</f>
        <v>#REF!</v>
      </c>
      <c r="Y160" s="154">
        <f t="shared" si="100"/>
        <v>71729.477057685697</v>
      </c>
      <c r="Z160" s="194">
        <f t="shared" si="100"/>
        <v>74957.303525281546</v>
      </c>
      <c r="AA160" s="154">
        <f t="shared" si="100"/>
        <v>79242.998233093502</v>
      </c>
      <c r="AB160" s="154">
        <f t="shared" si="100"/>
        <v>74372.834482161983</v>
      </c>
      <c r="AC160" s="144">
        <f t="shared" si="92"/>
        <v>74372.834482161983</v>
      </c>
      <c r="AD160" s="154">
        <f t="shared" si="93"/>
        <v>2643.3574244762858</v>
      </c>
      <c r="AE160" s="154">
        <f t="shared" si="94"/>
        <v>3.6851759317169837</v>
      </c>
      <c r="AF160" s="154">
        <f t="shared" si="95"/>
        <v>-584.46904311956314</v>
      </c>
      <c r="AG160" s="154">
        <f t="shared" si="96"/>
        <v>-0.77973595051005873</v>
      </c>
      <c r="AH160" s="154">
        <f t="shared" si="97"/>
        <v>-4870.1637509315187</v>
      </c>
      <c r="AI160" s="154">
        <f t="shared" si="98"/>
        <v>-6.1458600248894157</v>
      </c>
    </row>
    <row r="161" spans="1:35" ht="33" customHeight="1" outlineLevel="2">
      <c r="A161" s="139" t="s">
        <v>795</v>
      </c>
      <c r="B161" s="143" t="s">
        <v>796</v>
      </c>
      <c r="C161" s="147" t="s">
        <v>797</v>
      </c>
      <c r="D161" s="189" t="s">
        <v>798</v>
      </c>
      <c r="E161" s="149" t="s">
        <v>799</v>
      </c>
      <c r="F161" s="143" t="s">
        <v>121</v>
      </c>
      <c r="G161" s="143">
        <v>1767.0782999999999</v>
      </c>
      <c r="H161" s="143">
        <v>671.53351999999995</v>
      </c>
      <c r="I161" s="143">
        <v>671.53</v>
      </c>
      <c r="J161" s="143">
        <v>1938.9678906117388</v>
      </c>
      <c r="K161" s="143">
        <v>1642.18453</v>
      </c>
      <c r="L161" s="143">
        <v>1642.18</v>
      </c>
      <c r="M161" s="143">
        <v>1379.4533452768301</v>
      </c>
      <c r="N161" s="143">
        <v>1312.2210399999999</v>
      </c>
      <c r="O161" s="143">
        <v>1233.7467099999999</v>
      </c>
      <c r="P161" s="150">
        <v>1233.7467099999999</v>
      </c>
      <c r="Q161" s="143">
        <v>1233.7467099999999</v>
      </c>
      <c r="R161" s="144">
        <v>1233.7467099999999</v>
      </c>
      <c r="S161" s="143">
        <f t="shared" si="88"/>
        <v>-145.70663527683018</v>
      </c>
      <c r="T161" s="143">
        <f t="shared" si="89"/>
        <v>0</v>
      </c>
      <c r="U161" s="151" t="e">
        <f>R161-#REF!</f>
        <v>#REF!</v>
      </c>
      <c r="V161" s="151">
        <f t="shared" si="90"/>
        <v>-145.70663527683018</v>
      </c>
      <c r="W161" s="151">
        <f t="shared" si="91"/>
        <v>0</v>
      </c>
      <c r="X161" s="151" t="e">
        <f>O161-#REF!</f>
        <v>#REF!</v>
      </c>
      <c r="Y161" s="143">
        <f>'[65]2. подк.неподк.'!V149</f>
        <v>1635.16</v>
      </c>
      <c r="Z161" s="182">
        <f>'[65]2. подк.неподк.'!W149</f>
        <v>1708.7394751625</v>
      </c>
      <c r="AA161" s="143">
        <f>'[65]2. подк.неподк.'!X149</f>
        <v>1708.7394751625</v>
      </c>
      <c r="AB161" s="143">
        <f t="shared" ref="AB161:AB167" si="101">Y161*$AA$11</f>
        <v>1695.4185227650637</v>
      </c>
      <c r="AC161" s="144">
        <f t="shared" si="92"/>
        <v>1695.4185227650637</v>
      </c>
      <c r="AD161" s="143">
        <f t="shared" si="93"/>
        <v>60.258522765063617</v>
      </c>
      <c r="AE161" s="143">
        <f t="shared" si="94"/>
        <v>3.6851759317169979</v>
      </c>
      <c r="AF161" s="143">
        <f t="shared" si="95"/>
        <v>-13.320952397436258</v>
      </c>
      <c r="AG161" s="143">
        <f t="shared" si="96"/>
        <v>-0.77957772914267309</v>
      </c>
      <c r="AH161" s="143">
        <f t="shared" si="97"/>
        <v>-13.320952397436258</v>
      </c>
      <c r="AI161" s="143">
        <f t="shared" si="98"/>
        <v>-0.77957772914267309</v>
      </c>
    </row>
    <row r="162" spans="1:35" s="191" customFormat="1" ht="45" customHeight="1" outlineLevel="3">
      <c r="A162" s="139" t="s">
        <v>800</v>
      </c>
      <c r="B162" s="143" t="s">
        <v>801</v>
      </c>
      <c r="C162" s="147" t="s">
        <v>802</v>
      </c>
      <c r="D162" s="148" t="s">
        <v>803</v>
      </c>
      <c r="E162" s="149" t="s">
        <v>804</v>
      </c>
      <c r="F162" s="143" t="s">
        <v>121</v>
      </c>
      <c r="G162" s="143">
        <v>3067.3815264740233</v>
      </c>
      <c r="H162" s="143">
        <v>655.99670000000003</v>
      </c>
      <c r="I162" s="143">
        <v>656</v>
      </c>
      <c r="J162" s="143">
        <v>3365.7558499131887</v>
      </c>
      <c r="K162" s="143">
        <v>468.33449999999999</v>
      </c>
      <c r="L162" s="143">
        <v>468.33</v>
      </c>
      <c r="M162" s="143">
        <v>471.11658374251351</v>
      </c>
      <c r="N162" s="143">
        <v>369.91176000000002</v>
      </c>
      <c r="O162" s="143">
        <v>368.57926000000003</v>
      </c>
      <c r="P162" s="150">
        <v>368.57926000000003</v>
      </c>
      <c r="Q162" s="143">
        <v>368.57926000000003</v>
      </c>
      <c r="R162" s="144">
        <v>368.57926000000003</v>
      </c>
      <c r="S162" s="143">
        <f t="shared" si="88"/>
        <v>-102.53732374251348</v>
      </c>
      <c r="T162" s="143">
        <f t="shared" si="89"/>
        <v>0</v>
      </c>
      <c r="U162" s="151" t="e">
        <f>R162-#REF!</f>
        <v>#REF!</v>
      </c>
      <c r="V162" s="151">
        <f t="shared" si="90"/>
        <v>-102.53732374251348</v>
      </c>
      <c r="W162" s="151">
        <f t="shared" si="91"/>
        <v>0</v>
      </c>
      <c r="X162" s="151" t="e">
        <f>O162-#REF!</f>
        <v>#REF!</v>
      </c>
      <c r="Y162" s="143">
        <f>'[65]2. подк.неподк.'!V150</f>
        <v>531.14476124999999</v>
      </c>
      <c r="Z162" s="182">
        <f>'[65]2. подк.неподк.'!W150</f>
        <v>555.04627550624991</v>
      </c>
      <c r="AA162" s="143">
        <f>'[65]2. подк.неподк.'!X150</f>
        <v>2354.6471200000005</v>
      </c>
      <c r="AB162" s="143">
        <f t="shared" si="101"/>
        <v>550.71838015416074</v>
      </c>
      <c r="AC162" s="144">
        <f t="shared" si="92"/>
        <v>550.71838015416074</v>
      </c>
      <c r="AD162" s="143">
        <f t="shared" si="93"/>
        <v>19.573618904160753</v>
      </c>
      <c r="AE162" s="143">
        <f t="shared" si="94"/>
        <v>3.6851759317169979</v>
      </c>
      <c r="AF162" s="143">
        <f t="shared" si="95"/>
        <v>-4.3278953520891719</v>
      </c>
      <c r="AG162" s="143">
        <f t="shared" si="96"/>
        <v>-0.77973595051003031</v>
      </c>
      <c r="AH162" s="143">
        <f t="shared" si="97"/>
        <v>-1803.9287398458398</v>
      </c>
      <c r="AI162" s="143">
        <f t="shared" si="98"/>
        <v>-76.611426167579594</v>
      </c>
    </row>
    <row r="163" spans="1:35" s="191" customFormat="1" ht="33" customHeight="1" outlineLevel="3">
      <c r="A163" s="139" t="s">
        <v>805</v>
      </c>
      <c r="B163" s="143" t="s">
        <v>806</v>
      </c>
      <c r="C163" s="147" t="s">
        <v>807</v>
      </c>
      <c r="D163" s="148" t="s">
        <v>808</v>
      </c>
      <c r="E163" s="149" t="s">
        <v>809</v>
      </c>
      <c r="F163" s="143" t="s">
        <v>121</v>
      </c>
      <c r="G163" s="143">
        <v>4573.5094867774133</v>
      </c>
      <c r="H163" s="143">
        <v>24.455179999999999</v>
      </c>
      <c r="I163" s="143">
        <v>24.26</v>
      </c>
      <c r="J163" s="143">
        <v>5018.3898471375578</v>
      </c>
      <c r="K163" s="143">
        <v>492.83987000000002</v>
      </c>
      <c r="L163" s="143">
        <v>492.84</v>
      </c>
      <c r="M163" s="143">
        <v>284.51864687391844</v>
      </c>
      <c r="N163" s="143">
        <v>651.93511999999998</v>
      </c>
      <c r="O163" s="143">
        <v>652.2269399999999</v>
      </c>
      <c r="P163" s="150">
        <v>652.2269399999999</v>
      </c>
      <c r="Q163" s="143">
        <v>652.2269399999999</v>
      </c>
      <c r="R163" s="144">
        <v>652.2269399999999</v>
      </c>
      <c r="S163" s="143">
        <f t="shared" si="88"/>
        <v>367.70829312608146</v>
      </c>
      <c r="T163" s="143">
        <f t="shared" si="89"/>
        <v>0</v>
      </c>
      <c r="U163" s="151" t="e">
        <f>R163-#REF!</f>
        <v>#REF!</v>
      </c>
      <c r="V163" s="151">
        <f t="shared" si="90"/>
        <v>367.70829312608146</v>
      </c>
      <c r="W163" s="151">
        <f t="shared" si="91"/>
        <v>0</v>
      </c>
      <c r="X163" s="151" t="e">
        <f>O163-#REF!</f>
        <v>#REF!</v>
      </c>
      <c r="Y163" s="143">
        <f>'[65]2. подк.неподк.'!V151</f>
        <v>558.94216499999993</v>
      </c>
      <c r="Z163" s="182">
        <f>'[65]2. подк.неподк.'!W151</f>
        <v>584.09456242499994</v>
      </c>
      <c r="AA163" s="143">
        <f>'[65]2. подк.неподк.'!X151</f>
        <v>48031.428820479996</v>
      </c>
      <c r="AB163" s="143">
        <f t="shared" si="101"/>
        <v>579.54016713679789</v>
      </c>
      <c r="AC163" s="144">
        <f t="shared" si="92"/>
        <v>579.54016713679789</v>
      </c>
      <c r="AD163" s="143">
        <f t="shared" si="93"/>
        <v>20.598002136797959</v>
      </c>
      <c r="AE163" s="143">
        <f t="shared" si="94"/>
        <v>3.6851759317169979</v>
      </c>
      <c r="AF163" s="143">
        <f t="shared" si="95"/>
        <v>-4.5543952882020449</v>
      </c>
      <c r="AG163" s="143">
        <f t="shared" si="96"/>
        <v>-0.77973595051004452</v>
      </c>
      <c r="AH163" s="143">
        <f t="shared" si="97"/>
        <v>-47451.888653343201</v>
      </c>
      <c r="AI163" s="143">
        <f t="shared" si="98"/>
        <v>-98.793414684158449</v>
      </c>
    </row>
    <row r="164" spans="1:35" s="191" customFormat="1" ht="33" customHeight="1" outlineLevel="3">
      <c r="A164" s="139" t="s">
        <v>810</v>
      </c>
      <c r="B164" s="143" t="s">
        <v>811</v>
      </c>
      <c r="C164" s="147" t="s">
        <v>812</v>
      </c>
      <c r="D164" s="148" t="s">
        <v>813</v>
      </c>
      <c r="E164" s="149" t="s">
        <v>814</v>
      </c>
      <c r="F164" s="143" t="s">
        <v>121</v>
      </c>
      <c r="G164" s="143">
        <v>0</v>
      </c>
      <c r="H164" s="143">
        <v>0</v>
      </c>
      <c r="I164" s="143">
        <v>0</v>
      </c>
      <c r="J164" s="143">
        <v>0</v>
      </c>
      <c r="K164" s="143">
        <v>20.551639999999999</v>
      </c>
      <c r="L164" s="143">
        <v>0</v>
      </c>
      <c r="M164" s="143">
        <v>0</v>
      </c>
      <c r="N164" s="143">
        <v>1.6803399999999999</v>
      </c>
      <c r="O164" s="143">
        <v>1.6431300000000002</v>
      </c>
      <c r="P164" s="150">
        <v>0</v>
      </c>
      <c r="Q164" s="143">
        <v>0</v>
      </c>
      <c r="R164" s="144">
        <v>0</v>
      </c>
      <c r="S164" s="143">
        <f t="shared" si="88"/>
        <v>0</v>
      </c>
      <c r="T164" s="143">
        <f t="shared" si="89"/>
        <v>-1.6431300000000002</v>
      </c>
      <c r="U164" s="151" t="e">
        <f>R164-#REF!</f>
        <v>#REF!</v>
      </c>
      <c r="V164" s="151">
        <f t="shared" si="90"/>
        <v>0</v>
      </c>
      <c r="W164" s="151">
        <f t="shared" si="91"/>
        <v>0</v>
      </c>
      <c r="X164" s="151" t="e">
        <f>O164-#REF!</f>
        <v>#REF!</v>
      </c>
      <c r="Y164" s="143">
        <f>'[65]2. подк.неподк.'!V152</f>
        <v>0</v>
      </c>
      <c r="Z164" s="182">
        <f>'[65]2. подк.неподк.'!W152</f>
        <v>0</v>
      </c>
      <c r="AA164" s="143">
        <f>'[65]2. подк.неподк.'!X152</f>
        <v>0.79525536000000008</v>
      </c>
      <c r="AB164" s="143">
        <f t="shared" si="101"/>
        <v>0</v>
      </c>
      <c r="AC164" s="144">
        <f t="shared" si="92"/>
        <v>0</v>
      </c>
      <c r="AD164" s="143">
        <f t="shared" si="93"/>
        <v>0</v>
      </c>
      <c r="AE164" s="143"/>
      <c r="AF164" s="143">
        <f t="shared" si="95"/>
        <v>0</v>
      </c>
      <c r="AG164" s="143"/>
      <c r="AH164" s="143">
        <f t="shared" si="97"/>
        <v>-0.79525536000000008</v>
      </c>
      <c r="AI164" s="143">
        <f t="shared" si="98"/>
        <v>-100</v>
      </c>
    </row>
    <row r="165" spans="1:35" s="191" customFormat="1" ht="33" customHeight="1" outlineLevel="3">
      <c r="A165" s="139" t="s">
        <v>815</v>
      </c>
      <c r="B165" s="143" t="s">
        <v>816</v>
      </c>
      <c r="C165" s="147" t="s">
        <v>817</v>
      </c>
      <c r="D165" s="148" t="s">
        <v>818</v>
      </c>
      <c r="E165" s="149" t="s">
        <v>819</v>
      </c>
      <c r="F165" s="143" t="s">
        <v>121</v>
      </c>
      <c r="G165" s="143">
        <v>68.726633474214495</v>
      </c>
      <c r="H165" s="143">
        <v>127.87702</v>
      </c>
      <c r="I165" s="143">
        <v>127.88</v>
      </c>
      <c r="J165" s="143">
        <v>75.411899910141798</v>
      </c>
      <c r="K165" s="143">
        <v>444.32391999999999</v>
      </c>
      <c r="L165" s="143">
        <v>444.32</v>
      </c>
      <c r="M165" s="143">
        <v>187.19369103448801</v>
      </c>
      <c r="N165" s="143">
        <v>538.10457999999994</v>
      </c>
      <c r="O165" s="143">
        <v>518.49046999999996</v>
      </c>
      <c r="P165" s="150">
        <v>518.49046999999996</v>
      </c>
      <c r="Q165" s="143">
        <v>518.49046999999996</v>
      </c>
      <c r="R165" s="144">
        <v>518.49046999999996</v>
      </c>
      <c r="S165" s="143">
        <f t="shared" si="88"/>
        <v>331.29677896551198</v>
      </c>
      <c r="T165" s="143">
        <f t="shared" si="89"/>
        <v>0</v>
      </c>
      <c r="U165" s="151" t="e">
        <f>R165-#REF!</f>
        <v>#REF!</v>
      </c>
      <c r="V165" s="151">
        <f t="shared" si="90"/>
        <v>331.29677896551198</v>
      </c>
      <c r="W165" s="151">
        <f t="shared" si="91"/>
        <v>0</v>
      </c>
      <c r="X165" s="151" t="e">
        <f>O165-#REF!</f>
        <v>#REF!</v>
      </c>
      <c r="Y165" s="143">
        <f>'[65]2. подк.неподк.'!V153</f>
        <v>197.48934404138484</v>
      </c>
      <c r="Z165" s="182">
        <f>'[65]2. подк.неподк.'!W153</f>
        <v>206.37636452324713</v>
      </c>
      <c r="AA165" s="143">
        <f>'[65]2. подк.неподк.'!X153</f>
        <v>871.37</v>
      </c>
      <c r="AB165" s="143">
        <f t="shared" si="101"/>
        <v>204.76717381570373</v>
      </c>
      <c r="AC165" s="144">
        <f t="shared" si="92"/>
        <v>204.76717381570373</v>
      </c>
      <c r="AD165" s="143">
        <f t="shared" si="93"/>
        <v>7.2778297743188887</v>
      </c>
      <c r="AE165" s="143">
        <f t="shared" si="94"/>
        <v>3.6851759317169979</v>
      </c>
      <c r="AF165" s="143">
        <f t="shared" si="95"/>
        <v>-1.6091907075434051</v>
      </c>
      <c r="AG165" s="143">
        <f t="shared" si="96"/>
        <v>-0.77973595051004452</v>
      </c>
      <c r="AH165" s="143">
        <f t="shared" si="97"/>
        <v>-666.6028261842963</v>
      </c>
      <c r="AI165" s="143">
        <f t="shared" si="98"/>
        <v>-76.500548123563618</v>
      </c>
    </row>
    <row r="166" spans="1:35" s="191" customFormat="1" ht="33" customHeight="1" outlineLevel="3">
      <c r="A166" s="197"/>
      <c r="B166" s="143" t="s">
        <v>820</v>
      </c>
      <c r="C166" s="147"/>
      <c r="D166" s="164" t="s">
        <v>821</v>
      </c>
      <c r="E166" s="149" t="s">
        <v>822</v>
      </c>
      <c r="F166" s="143" t="s">
        <v>121</v>
      </c>
      <c r="G166" s="143">
        <v>778.38</v>
      </c>
      <c r="H166" s="143">
        <v>935.8</v>
      </c>
      <c r="I166" s="143">
        <v>935.8</v>
      </c>
      <c r="J166" s="143">
        <v>854.09758347946172</v>
      </c>
      <c r="K166" s="143">
        <v>1682.7367300000001</v>
      </c>
      <c r="L166" s="143">
        <v>854.1</v>
      </c>
      <c r="M166" s="143">
        <v>516.71876422802529</v>
      </c>
      <c r="N166" s="143">
        <v>1154.4592500000001</v>
      </c>
      <c r="O166" s="143">
        <v>1047.2763499999999</v>
      </c>
      <c r="P166" s="150">
        <v>1047.2763499999999</v>
      </c>
      <c r="Q166" s="143">
        <v>1047.2763499999999</v>
      </c>
      <c r="R166" s="144">
        <v>1047.2763499999999</v>
      </c>
      <c r="S166" s="143">
        <f t="shared" si="88"/>
        <v>530.55758577197457</v>
      </c>
      <c r="T166" s="143">
        <f t="shared" si="89"/>
        <v>0</v>
      </c>
      <c r="U166" s="151" t="e">
        <f>R166-#REF!</f>
        <v>#REF!</v>
      </c>
      <c r="V166" s="151">
        <f t="shared" si="90"/>
        <v>530.55758577197457</v>
      </c>
      <c r="W166" s="151">
        <f t="shared" si="91"/>
        <v>0</v>
      </c>
      <c r="X166" s="151" t="e">
        <f>O166-#REF!</f>
        <v>#REF!</v>
      </c>
      <c r="Y166" s="143">
        <f>'[65]2. подк.неподк.'!V154</f>
        <v>545.13829626056668</v>
      </c>
      <c r="Z166" s="182">
        <f>'[65]2. подк.неподк.'!W154</f>
        <v>569.66951959229209</v>
      </c>
      <c r="AA166" s="143">
        <f>'[65]2. подк.неподк.'!X154</f>
        <v>1273.3685527500002</v>
      </c>
      <c r="AB166" s="143">
        <f t="shared" si="101"/>
        <v>565.22760154893319</v>
      </c>
      <c r="AC166" s="144">
        <f t="shared" si="92"/>
        <v>565.22760154893319</v>
      </c>
      <c r="AD166" s="143">
        <f t="shared" si="93"/>
        <v>20.089305288366518</v>
      </c>
      <c r="AE166" s="143">
        <f t="shared" si="94"/>
        <v>3.6851759317169979</v>
      </c>
      <c r="AF166" s="143">
        <f t="shared" si="95"/>
        <v>-4.4419180433588963</v>
      </c>
      <c r="AG166" s="143">
        <f t="shared" si="96"/>
        <v>-0.77973595051003031</v>
      </c>
      <c r="AH166" s="143">
        <f t="shared" si="97"/>
        <v>-708.14095120106697</v>
      </c>
      <c r="AI166" s="143">
        <f t="shared" si="98"/>
        <v>-55.611625532273997</v>
      </c>
    </row>
    <row r="167" spans="1:35" s="191" customFormat="1" ht="33" customHeight="1" outlineLevel="3">
      <c r="A167" s="139" t="s">
        <v>823</v>
      </c>
      <c r="B167" s="143" t="s">
        <v>824</v>
      </c>
      <c r="C167" s="147" t="s">
        <v>825</v>
      </c>
      <c r="D167" s="148" t="s">
        <v>826</v>
      </c>
      <c r="E167" s="149" t="s">
        <v>827</v>
      </c>
      <c r="F167" s="143" t="s">
        <v>121</v>
      </c>
      <c r="G167" s="143">
        <v>10324.76</v>
      </c>
      <c r="H167" s="143">
        <v>3027.99343</v>
      </c>
      <c r="I167" s="143">
        <v>3027.99</v>
      </c>
      <c r="J167" s="143">
        <v>11329.08</v>
      </c>
      <c r="K167" s="143">
        <v>3243.03989</v>
      </c>
      <c r="L167" s="143">
        <v>3243.13</v>
      </c>
      <c r="M167" s="143">
        <v>2359.5013705293177</v>
      </c>
      <c r="N167" s="143">
        <v>4065.5369799999999</v>
      </c>
      <c r="O167" s="143">
        <v>4065.5369799999999</v>
      </c>
      <c r="P167" s="150">
        <v>4065.5369799999999</v>
      </c>
      <c r="Q167" s="143">
        <v>4065.5369799999999</v>
      </c>
      <c r="R167" s="144">
        <v>4065.5369799999999</v>
      </c>
      <c r="S167" s="143">
        <f t="shared" si="88"/>
        <v>1706.0356094706822</v>
      </c>
      <c r="T167" s="143">
        <f t="shared" si="89"/>
        <v>0</v>
      </c>
      <c r="U167" s="151" t="e">
        <f>R167-#REF!</f>
        <v>#REF!</v>
      </c>
      <c r="V167" s="151">
        <f t="shared" si="90"/>
        <v>1706.0356094706822</v>
      </c>
      <c r="W167" s="151">
        <f t="shared" si="91"/>
        <v>0</v>
      </c>
      <c r="X167" s="151" t="e">
        <f>O167-#REF!</f>
        <v>#REF!</v>
      </c>
      <c r="Y167" s="143">
        <f>'[65]2. подк.неподк.'!V155</f>
        <v>3678.11481125</v>
      </c>
      <c r="Z167" s="182">
        <f>'[65]2. подк.неподк.'!W155</f>
        <v>3843.6299777562499</v>
      </c>
      <c r="AA167" s="143">
        <f>'[65]2. подк.неподк.'!X155</f>
        <v>5078.8</v>
      </c>
      <c r="AB167" s="143">
        <f t="shared" si="101"/>
        <v>3813.6598130151033</v>
      </c>
      <c r="AC167" s="144">
        <f t="shared" si="92"/>
        <v>3813.6598130151033</v>
      </c>
      <c r="AD167" s="143">
        <f t="shared" si="93"/>
        <v>135.54500176510328</v>
      </c>
      <c r="AE167" s="143">
        <f t="shared" si="94"/>
        <v>3.6851759317169979</v>
      </c>
      <c r="AF167" s="143">
        <f t="shared" si="95"/>
        <v>-29.970164741146618</v>
      </c>
      <c r="AG167" s="143">
        <f t="shared" si="96"/>
        <v>-0.77973595051004452</v>
      </c>
      <c r="AH167" s="143">
        <f t="shared" si="97"/>
        <v>-1265.1401869848969</v>
      </c>
      <c r="AI167" s="143">
        <f t="shared" si="98"/>
        <v>-24.910218693094762</v>
      </c>
    </row>
    <row r="168" spans="1:35" s="161" customFormat="1" ht="33" customHeight="1" outlineLevel="2">
      <c r="A168" s="153"/>
      <c r="B168" s="154"/>
      <c r="C168" s="155"/>
      <c r="D168" s="394" t="s">
        <v>828</v>
      </c>
      <c r="E168" s="157"/>
      <c r="F168" s="158"/>
      <c r="G168" s="154">
        <f t="shared" ref="G168:I168" si="102">G161+G162+G163+G164+G165+G166+G167</f>
        <v>20579.835946725652</v>
      </c>
      <c r="H168" s="154">
        <f t="shared" si="102"/>
        <v>5443.6558499999992</v>
      </c>
      <c r="I168" s="154">
        <f t="shared" si="102"/>
        <v>5443.46</v>
      </c>
      <c r="J168" s="154">
        <f>J161+J162+J163+J164+J165+J166+J167</f>
        <v>22581.703071052085</v>
      </c>
      <c r="K168" s="154">
        <f t="shared" ref="K168:AB168" si="103">K161+K162+K163+K164+K165+K166+K167</f>
        <v>7994.0110800000002</v>
      </c>
      <c r="L168" s="154">
        <f t="shared" si="103"/>
        <v>7144.9000000000005</v>
      </c>
      <c r="M168" s="154">
        <f t="shared" si="103"/>
        <v>5198.502401685093</v>
      </c>
      <c r="N168" s="154">
        <f t="shared" si="103"/>
        <v>8093.8490699999993</v>
      </c>
      <c r="O168" s="154">
        <f t="shared" si="103"/>
        <v>7887.4998399999995</v>
      </c>
      <c r="P168" s="159">
        <f t="shared" si="103"/>
        <v>7885.85671</v>
      </c>
      <c r="Q168" s="154">
        <f t="shared" si="103"/>
        <v>7885.85671</v>
      </c>
      <c r="R168" s="144">
        <f t="shared" si="103"/>
        <v>7885.85671</v>
      </c>
      <c r="S168" s="144">
        <f t="shared" si="88"/>
        <v>2687.354308314907</v>
      </c>
      <c r="T168" s="144">
        <f t="shared" si="89"/>
        <v>-1.6431299999994735</v>
      </c>
      <c r="U168" s="160" t="e">
        <f>R168-#REF!</f>
        <v>#REF!</v>
      </c>
      <c r="V168" s="160">
        <f t="shared" si="90"/>
        <v>2687.354308314907</v>
      </c>
      <c r="W168" s="160">
        <f t="shared" si="91"/>
        <v>0</v>
      </c>
      <c r="X168" s="160" t="e">
        <f>O168-#REF!</f>
        <v>#REF!</v>
      </c>
      <c r="Y168" s="154">
        <f t="shared" si="103"/>
        <v>7145.9893778019514</v>
      </c>
      <c r="Z168" s="194">
        <f t="shared" si="103"/>
        <v>7467.556174965539</v>
      </c>
      <c r="AA168" s="154">
        <f t="shared" si="103"/>
        <v>59319.149223752494</v>
      </c>
      <c r="AB168" s="154">
        <f t="shared" si="103"/>
        <v>7409.3316584357635</v>
      </c>
      <c r="AC168" s="144">
        <f t="shared" si="92"/>
        <v>7409.3316584357635</v>
      </c>
      <c r="AD168" s="154">
        <f t="shared" si="93"/>
        <v>263.34228063381215</v>
      </c>
      <c r="AE168" s="154">
        <f t="shared" si="94"/>
        <v>3.6851759317170263</v>
      </c>
      <c r="AF168" s="154">
        <f t="shared" si="95"/>
        <v>-58.224516529775428</v>
      </c>
      <c r="AG168" s="154">
        <f t="shared" si="96"/>
        <v>-0.77969974601556657</v>
      </c>
      <c r="AH168" s="154">
        <f t="shared" si="97"/>
        <v>-51909.817565316727</v>
      </c>
      <c r="AI168" s="154">
        <f t="shared" si="98"/>
        <v>-87.509376389591026</v>
      </c>
    </row>
    <row r="169" spans="1:35" s="191" customFormat="1" ht="33" customHeight="1" outlineLevel="3">
      <c r="A169" s="139" t="s">
        <v>829</v>
      </c>
      <c r="B169" s="143" t="s">
        <v>830</v>
      </c>
      <c r="C169" s="147" t="s">
        <v>831</v>
      </c>
      <c r="D169" s="148" t="s">
        <v>832</v>
      </c>
      <c r="E169" s="149" t="s">
        <v>833</v>
      </c>
      <c r="F169" s="143" t="s">
        <v>121</v>
      </c>
      <c r="G169" s="143">
        <v>2410.4997410843439</v>
      </c>
      <c r="H169" s="143">
        <v>1936.6317100000001</v>
      </c>
      <c r="I169" s="143">
        <v>1936.63</v>
      </c>
      <c r="J169" s="143">
        <v>2644.9770055487634</v>
      </c>
      <c r="K169" s="143">
        <v>5290.6243899999999</v>
      </c>
      <c r="L169" s="143">
        <v>2290.62</v>
      </c>
      <c r="M169" s="143">
        <v>2792.8406122244614</v>
      </c>
      <c r="N169" s="143">
        <v>4638.4386500000001</v>
      </c>
      <c r="O169" s="143">
        <v>4518.7494100000004</v>
      </c>
      <c r="P169" s="150">
        <v>4518.7494100000004</v>
      </c>
      <c r="Q169" s="167">
        <v>4518.7494100000004</v>
      </c>
      <c r="R169" s="144">
        <v>4518.7494100000004</v>
      </c>
      <c r="S169" s="167">
        <f t="shared" si="88"/>
        <v>1725.9087977755389</v>
      </c>
      <c r="T169" s="167">
        <f t="shared" si="89"/>
        <v>0</v>
      </c>
      <c r="U169" s="151" t="e">
        <f>R169-#REF!</f>
        <v>#REF!</v>
      </c>
      <c r="V169" s="151">
        <f t="shared" si="90"/>
        <v>1725.9087977755389</v>
      </c>
      <c r="W169" s="151">
        <f t="shared" si="91"/>
        <v>0</v>
      </c>
      <c r="X169" s="151" t="e">
        <f>O169-#REF!</f>
        <v>#REF!</v>
      </c>
      <c r="Y169" s="143">
        <f>'[65]2. подк.неподк.'!V157</f>
        <v>2597.8494074999999</v>
      </c>
      <c r="Z169" s="182">
        <f>'[65]2. подк.неподк.'!W157</f>
        <v>2714.7526308374995</v>
      </c>
      <c r="AA169" s="143">
        <f>'[65]2. подк.неподк.'!X157</f>
        <v>13512.59</v>
      </c>
      <c r="AB169" s="143">
        <f>Y169*$AA$11</f>
        <v>2693.5847286074427</v>
      </c>
      <c r="AC169" s="144">
        <f t="shared" si="92"/>
        <v>2693.5847286074427</v>
      </c>
      <c r="AD169" s="143">
        <f t="shared" si="93"/>
        <v>95.735321107442815</v>
      </c>
      <c r="AE169" s="143">
        <f t="shared" si="94"/>
        <v>3.6851759317169979</v>
      </c>
      <c r="AF169" s="143">
        <f t="shared" si="95"/>
        <v>-21.167902230056825</v>
      </c>
      <c r="AG169" s="143">
        <f t="shared" si="96"/>
        <v>-0.77973595051003031</v>
      </c>
      <c r="AH169" s="143">
        <f t="shared" si="97"/>
        <v>-10819.005271392558</v>
      </c>
      <c r="AI169" s="143">
        <f t="shared" si="98"/>
        <v>-80.066110726311962</v>
      </c>
    </row>
    <row r="170" spans="1:35" s="191" customFormat="1" ht="33" customHeight="1" outlineLevel="3">
      <c r="A170" s="139" t="s">
        <v>834</v>
      </c>
      <c r="B170" s="143" t="s">
        <v>835</v>
      </c>
      <c r="C170" s="147" t="s">
        <v>836</v>
      </c>
      <c r="D170" s="148" t="s">
        <v>837</v>
      </c>
      <c r="E170" s="1333" t="s">
        <v>838</v>
      </c>
      <c r="F170" s="1334" t="s">
        <v>121</v>
      </c>
      <c r="G170" s="143">
        <v>0</v>
      </c>
      <c r="H170" s="143">
        <v>198.94</v>
      </c>
      <c r="I170" s="143">
        <v>198.94</v>
      </c>
      <c r="J170" s="1334">
        <v>0</v>
      </c>
      <c r="K170" s="143">
        <v>176.40478999999999</v>
      </c>
      <c r="L170" s="143">
        <v>0</v>
      </c>
      <c r="M170" s="143">
        <v>66.11474843734905</v>
      </c>
      <c r="N170" s="143">
        <v>200.02852999999999</v>
      </c>
      <c r="O170" s="143">
        <v>178.66622000000001</v>
      </c>
      <c r="P170" s="150">
        <v>178.66622000000001</v>
      </c>
      <c r="Q170" s="167">
        <v>178.66622000000001</v>
      </c>
      <c r="R170" s="144">
        <v>178.66622000000001</v>
      </c>
      <c r="S170" s="167">
        <f t="shared" si="88"/>
        <v>112.55147156265096</v>
      </c>
      <c r="T170" s="167">
        <f t="shared" si="89"/>
        <v>0</v>
      </c>
      <c r="U170" s="151" t="e">
        <f>R170-#REF!</f>
        <v>#REF!</v>
      </c>
      <c r="V170" s="151">
        <f t="shared" si="90"/>
        <v>112.55147156265096</v>
      </c>
      <c r="W170" s="151">
        <f t="shared" si="91"/>
        <v>0</v>
      </c>
      <c r="X170" s="151" t="e">
        <f>O170-#REF!</f>
        <v>#REF!</v>
      </c>
      <c r="Y170" s="143">
        <f>'[65]2. подк.неподк.'!V158</f>
        <v>69.751059601403242</v>
      </c>
      <c r="Z170" s="182">
        <f>'[65]2. подк.неподк.'!W158</f>
        <v>72.889857283466384</v>
      </c>
      <c r="AA170" s="143">
        <f>'[65]2. подк.неподк.'!X158</f>
        <v>262.75</v>
      </c>
      <c r="AB170" s="143">
        <f>Y170*$AA$11</f>
        <v>72.321508861951727</v>
      </c>
      <c r="AC170" s="144">
        <f t="shared" si="92"/>
        <v>72.321508861951727</v>
      </c>
      <c r="AD170" s="143">
        <f t="shared" si="93"/>
        <v>2.5704492605484859</v>
      </c>
      <c r="AE170" s="143">
        <f t="shared" si="94"/>
        <v>3.6851759317169979</v>
      </c>
      <c r="AF170" s="143">
        <f t="shared" si="95"/>
        <v>-0.56834842151465637</v>
      </c>
      <c r="AG170" s="143">
        <f t="shared" si="96"/>
        <v>-0.77973595051005873</v>
      </c>
      <c r="AH170" s="143">
        <f t="shared" si="97"/>
        <v>-190.42849113804829</v>
      </c>
      <c r="AI170" s="143">
        <f t="shared" si="98"/>
        <v>-72.475163135318084</v>
      </c>
    </row>
    <row r="171" spans="1:35" s="191" customFormat="1" ht="33" customHeight="1" outlineLevel="3">
      <c r="A171" s="139" t="s">
        <v>839</v>
      </c>
      <c r="B171" s="143" t="s">
        <v>840</v>
      </c>
      <c r="C171" s="147" t="s">
        <v>841</v>
      </c>
      <c r="D171" s="148" t="s">
        <v>842</v>
      </c>
      <c r="E171" s="1333"/>
      <c r="F171" s="1334"/>
      <c r="G171" s="143">
        <v>0</v>
      </c>
      <c r="H171" s="143">
        <v>0</v>
      </c>
      <c r="I171" s="143">
        <v>0</v>
      </c>
      <c r="J171" s="1334"/>
      <c r="K171" s="143"/>
      <c r="L171" s="143"/>
      <c r="M171" s="143"/>
      <c r="N171" s="143">
        <v>28.177310000000002</v>
      </c>
      <c r="O171" s="143">
        <v>26.992290000000001</v>
      </c>
      <c r="P171" s="150">
        <v>26.992290000000001</v>
      </c>
      <c r="Q171" s="167">
        <v>26.992290000000001</v>
      </c>
      <c r="R171" s="144">
        <v>26.992290000000001</v>
      </c>
      <c r="S171" s="167">
        <f t="shared" si="88"/>
        <v>26.992290000000001</v>
      </c>
      <c r="T171" s="167">
        <f t="shared" si="89"/>
        <v>0</v>
      </c>
      <c r="U171" s="151" t="e">
        <f>R171-#REF!</f>
        <v>#REF!</v>
      </c>
      <c r="V171" s="151">
        <f t="shared" si="90"/>
        <v>26.992290000000001</v>
      </c>
      <c r="W171" s="151">
        <f t="shared" si="91"/>
        <v>0</v>
      </c>
      <c r="X171" s="151" t="e">
        <f>O171-#REF!</f>
        <v>#REF!</v>
      </c>
      <c r="Y171" s="143">
        <f>'[65]2. подк.неподк.'!V159</f>
        <v>0</v>
      </c>
      <c r="Z171" s="182">
        <f>'[65]2. подк.неподк.'!W159</f>
        <v>0</v>
      </c>
      <c r="AA171" s="143">
        <f>'[65]2. подк.неподк.'!X159</f>
        <v>85.472181599999999</v>
      </c>
      <c r="AB171" s="143">
        <f>Y171*$AA$11</f>
        <v>0</v>
      </c>
      <c r="AC171" s="144">
        <f t="shared" si="92"/>
        <v>0</v>
      </c>
      <c r="AD171" s="143">
        <f t="shared" si="93"/>
        <v>0</v>
      </c>
      <c r="AE171" s="143"/>
      <c r="AF171" s="143">
        <f t="shared" si="95"/>
        <v>0</v>
      </c>
      <c r="AG171" s="143"/>
      <c r="AH171" s="143">
        <f t="shared" si="97"/>
        <v>-85.472181599999999</v>
      </c>
      <c r="AI171" s="143">
        <f t="shared" si="98"/>
        <v>-100</v>
      </c>
    </row>
    <row r="172" spans="1:35" s="161" customFormat="1" ht="33" customHeight="1" outlineLevel="2">
      <c r="A172" s="153"/>
      <c r="B172" s="154"/>
      <c r="C172" s="155"/>
      <c r="D172" s="394" t="s">
        <v>843</v>
      </c>
      <c r="E172" s="157"/>
      <c r="F172" s="158"/>
      <c r="G172" s="154">
        <f t="shared" ref="G172:I172" si="104">G169+G170</f>
        <v>2410.4997410843439</v>
      </c>
      <c r="H172" s="154">
        <f t="shared" si="104"/>
        <v>2135.5717100000002</v>
      </c>
      <c r="I172" s="154">
        <f t="shared" si="104"/>
        <v>2135.5700000000002</v>
      </c>
      <c r="J172" s="154">
        <f>J169+J170</f>
        <v>2644.9770055487634</v>
      </c>
      <c r="K172" s="154">
        <f>K169+K170+K171</f>
        <v>5467.0291799999995</v>
      </c>
      <c r="L172" s="154">
        <f t="shared" ref="L172:AB172" si="105">L169+L170+L171</f>
        <v>2290.62</v>
      </c>
      <c r="M172" s="154">
        <f t="shared" si="105"/>
        <v>2858.9553606618106</v>
      </c>
      <c r="N172" s="154">
        <f t="shared" si="105"/>
        <v>4866.6444899999997</v>
      </c>
      <c r="O172" s="154">
        <f t="shared" si="105"/>
        <v>4724.4079200000006</v>
      </c>
      <c r="P172" s="159">
        <f t="shared" si="105"/>
        <v>4724.4079200000006</v>
      </c>
      <c r="Q172" s="154">
        <f t="shared" si="105"/>
        <v>4724.4079200000006</v>
      </c>
      <c r="R172" s="144">
        <f t="shared" si="105"/>
        <v>4724.4079200000006</v>
      </c>
      <c r="S172" s="144">
        <f t="shared" si="88"/>
        <v>1865.45255933819</v>
      </c>
      <c r="T172" s="144">
        <f t="shared" si="89"/>
        <v>0</v>
      </c>
      <c r="U172" s="160" t="e">
        <f>R172-#REF!</f>
        <v>#REF!</v>
      </c>
      <c r="V172" s="160">
        <f t="shared" si="90"/>
        <v>1865.45255933819</v>
      </c>
      <c r="W172" s="160">
        <f t="shared" si="91"/>
        <v>0</v>
      </c>
      <c r="X172" s="160" t="e">
        <f>O172-#REF!</f>
        <v>#REF!</v>
      </c>
      <c r="Y172" s="154">
        <f t="shared" si="105"/>
        <v>2667.600467101403</v>
      </c>
      <c r="Z172" s="194">
        <f t="shared" si="105"/>
        <v>2787.6424881209659</v>
      </c>
      <c r="AA172" s="154">
        <f t="shared" si="105"/>
        <v>13860.8121816</v>
      </c>
      <c r="AB172" s="154">
        <f t="shared" si="105"/>
        <v>2765.9062374693945</v>
      </c>
      <c r="AC172" s="144">
        <f t="shared" si="92"/>
        <v>2765.9062374693945</v>
      </c>
      <c r="AD172" s="154">
        <f t="shared" si="93"/>
        <v>98.305770367991499</v>
      </c>
      <c r="AE172" s="154">
        <f t="shared" si="94"/>
        <v>3.6851759317170263</v>
      </c>
      <c r="AF172" s="154">
        <f t="shared" si="95"/>
        <v>-21.736250651571481</v>
      </c>
      <c r="AG172" s="154">
        <f t="shared" si="96"/>
        <v>-0.77973595051003031</v>
      </c>
      <c r="AH172" s="154">
        <f t="shared" si="97"/>
        <v>-11094.905944130605</v>
      </c>
      <c r="AI172" s="154">
        <f t="shared" si="98"/>
        <v>-80.045135874930267</v>
      </c>
    </row>
    <row r="173" spans="1:35" s="191" customFormat="1" ht="33" customHeight="1" outlineLevel="3">
      <c r="A173" s="139" t="s">
        <v>844</v>
      </c>
      <c r="B173" s="143" t="s">
        <v>845</v>
      </c>
      <c r="C173" s="147" t="s">
        <v>846</v>
      </c>
      <c r="D173" s="148" t="s">
        <v>847</v>
      </c>
      <c r="E173" s="149" t="s">
        <v>848</v>
      </c>
      <c r="F173" s="143" t="s">
        <v>121</v>
      </c>
      <c r="G173" s="143">
        <v>0</v>
      </c>
      <c r="H173" s="143">
        <v>311.95580000000001</v>
      </c>
      <c r="I173" s="143">
        <v>0</v>
      </c>
      <c r="J173" s="143">
        <v>0</v>
      </c>
      <c r="K173" s="143">
        <v>196.12166999999999</v>
      </c>
      <c r="L173" s="143">
        <v>0</v>
      </c>
      <c r="M173" s="143">
        <v>0</v>
      </c>
      <c r="N173" s="143">
        <v>26709.161150000004</v>
      </c>
      <c r="O173" s="143">
        <v>26441.13089</v>
      </c>
      <c r="P173" s="150">
        <v>0</v>
      </c>
      <c r="Q173" s="167">
        <v>0</v>
      </c>
      <c r="R173" s="144">
        <v>0</v>
      </c>
      <c r="S173" s="167">
        <f t="shared" si="88"/>
        <v>0</v>
      </c>
      <c r="T173" s="167">
        <f t="shared" si="89"/>
        <v>-26441.13089</v>
      </c>
      <c r="U173" s="151" t="e">
        <f>R173-#REF!</f>
        <v>#REF!</v>
      </c>
      <c r="V173" s="151">
        <f t="shared" si="90"/>
        <v>0</v>
      </c>
      <c r="W173" s="151">
        <f t="shared" si="91"/>
        <v>0</v>
      </c>
      <c r="X173" s="151" t="e">
        <f>O173-#REF!</f>
        <v>#REF!</v>
      </c>
      <c r="Y173" s="143">
        <f>'[65]2. подк.неподк.'!V161</f>
        <v>0</v>
      </c>
      <c r="Z173" s="182">
        <f>'[65]2. подк.неподк.'!W161</f>
        <v>0</v>
      </c>
      <c r="AA173" s="143">
        <f>'[65]2. подк.неподк.'!X161</f>
        <v>58419.285000000003</v>
      </c>
      <c r="AB173" s="143">
        <f>Y173*$AA$11</f>
        <v>0</v>
      </c>
      <c r="AC173" s="144">
        <f t="shared" si="92"/>
        <v>0</v>
      </c>
      <c r="AD173" s="143">
        <f t="shared" si="93"/>
        <v>0</v>
      </c>
      <c r="AE173" s="143"/>
      <c r="AF173" s="143">
        <f t="shared" si="95"/>
        <v>0</v>
      </c>
      <c r="AG173" s="143"/>
      <c r="AH173" s="143">
        <f t="shared" si="97"/>
        <v>-58419.285000000003</v>
      </c>
      <c r="AI173" s="143">
        <f t="shared" si="98"/>
        <v>-100</v>
      </c>
    </row>
    <row r="174" spans="1:35" s="191" customFormat="1" ht="48" customHeight="1" outlineLevel="3">
      <c r="A174" s="139" t="s">
        <v>849</v>
      </c>
      <c r="B174" s="143" t="s">
        <v>850</v>
      </c>
      <c r="C174" s="147" t="s">
        <v>851</v>
      </c>
      <c r="D174" s="148" t="s">
        <v>852</v>
      </c>
      <c r="E174" s="149" t="s">
        <v>853</v>
      </c>
      <c r="F174" s="143" t="s">
        <v>121</v>
      </c>
      <c r="G174" s="143">
        <v>0</v>
      </c>
      <c r="H174" s="143">
        <v>347.90839999999997</v>
      </c>
      <c r="I174" s="143">
        <v>0</v>
      </c>
      <c r="J174" s="143">
        <v>0</v>
      </c>
      <c r="K174" s="143">
        <v>552.58839999999998</v>
      </c>
      <c r="L174" s="143">
        <v>0</v>
      </c>
      <c r="M174" s="143">
        <v>0</v>
      </c>
      <c r="N174" s="143">
        <v>328.58920000000006</v>
      </c>
      <c r="O174" s="143">
        <v>298.72363999999999</v>
      </c>
      <c r="P174" s="150">
        <v>298.72363999999999</v>
      </c>
      <c r="Q174" s="167">
        <v>298.72363999999999</v>
      </c>
      <c r="R174" s="144">
        <v>298.72363999999999</v>
      </c>
      <c r="S174" s="143">
        <f t="shared" si="88"/>
        <v>298.72363999999999</v>
      </c>
      <c r="T174" s="143">
        <f t="shared" si="89"/>
        <v>0</v>
      </c>
      <c r="U174" s="151" t="e">
        <f>R174-#REF!</f>
        <v>#REF!</v>
      </c>
      <c r="V174" s="151">
        <f t="shared" si="90"/>
        <v>298.72363999999999</v>
      </c>
      <c r="W174" s="151">
        <f t="shared" si="91"/>
        <v>0</v>
      </c>
      <c r="X174" s="151" t="e">
        <f>O174-#REF!</f>
        <v>#REF!</v>
      </c>
      <c r="Y174" s="143">
        <f>'[65]2. подк.неподк.'!V162</f>
        <v>0</v>
      </c>
      <c r="Z174" s="182">
        <f>'[65]2. подк.неподк.'!W162</f>
        <v>0</v>
      </c>
      <c r="AA174" s="143">
        <f>'[65]2. подк.неподк.'!X162</f>
        <v>722.52941999999996</v>
      </c>
      <c r="AB174" s="143">
        <f>Y174*$AA$11</f>
        <v>0</v>
      </c>
      <c r="AC174" s="144">
        <f t="shared" si="92"/>
        <v>0</v>
      </c>
      <c r="AD174" s="143">
        <f t="shared" si="93"/>
        <v>0</v>
      </c>
      <c r="AE174" s="143"/>
      <c r="AF174" s="143">
        <f t="shared" si="95"/>
        <v>0</v>
      </c>
      <c r="AG174" s="143"/>
      <c r="AH174" s="143">
        <f t="shared" si="97"/>
        <v>-722.52941999999996</v>
      </c>
      <c r="AI174" s="143">
        <f t="shared" si="98"/>
        <v>-100</v>
      </c>
    </row>
    <row r="175" spans="1:35" s="161" customFormat="1" ht="33" customHeight="1" outlineLevel="2">
      <c r="A175" s="153"/>
      <c r="B175" s="154"/>
      <c r="C175" s="155"/>
      <c r="D175" s="156" t="s">
        <v>854</v>
      </c>
      <c r="E175" s="157"/>
      <c r="F175" s="158"/>
      <c r="G175" s="154">
        <f t="shared" ref="G175:I175" si="106">G173+G174</f>
        <v>0</v>
      </c>
      <c r="H175" s="154">
        <f t="shared" si="106"/>
        <v>659.86419999999998</v>
      </c>
      <c r="I175" s="154">
        <f t="shared" si="106"/>
        <v>0</v>
      </c>
      <c r="J175" s="154">
        <f>J173+J174</f>
        <v>0</v>
      </c>
      <c r="K175" s="154">
        <f t="shared" ref="K175:AB175" si="107">K173+K174</f>
        <v>748.71006999999997</v>
      </c>
      <c r="L175" s="154">
        <f t="shared" si="107"/>
        <v>0</v>
      </c>
      <c r="M175" s="154">
        <f t="shared" si="107"/>
        <v>0</v>
      </c>
      <c r="N175" s="154">
        <f t="shared" si="107"/>
        <v>27037.750350000002</v>
      </c>
      <c r="O175" s="154">
        <f t="shared" si="107"/>
        <v>26739.854530000001</v>
      </c>
      <c r="P175" s="159">
        <f t="shared" si="107"/>
        <v>298.72363999999999</v>
      </c>
      <c r="Q175" s="154">
        <f t="shared" si="107"/>
        <v>298.72363999999999</v>
      </c>
      <c r="R175" s="144">
        <f t="shared" si="107"/>
        <v>298.72363999999999</v>
      </c>
      <c r="S175" s="144">
        <f t="shared" si="88"/>
        <v>298.72363999999999</v>
      </c>
      <c r="T175" s="144">
        <f t="shared" si="89"/>
        <v>-26441.13089</v>
      </c>
      <c r="U175" s="160" t="e">
        <f>R175-#REF!</f>
        <v>#REF!</v>
      </c>
      <c r="V175" s="160">
        <f t="shared" si="90"/>
        <v>298.72363999999999</v>
      </c>
      <c r="W175" s="160">
        <f t="shared" si="91"/>
        <v>0</v>
      </c>
      <c r="X175" s="160" t="e">
        <f>O175-#REF!</f>
        <v>#REF!</v>
      </c>
      <c r="Y175" s="154">
        <f t="shared" si="107"/>
        <v>0</v>
      </c>
      <c r="Z175" s="194">
        <f t="shared" si="107"/>
        <v>0</v>
      </c>
      <c r="AA175" s="154">
        <f t="shared" si="107"/>
        <v>59141.814420000002</v>
      </c>
      <c r="AB175" s="154">
        <f t="shared" si="107"/>
        <v>0</v>
      </c>
      <c r="AC175" s="144">
        <f t="shared" si="92"/>
        <v>0</v>
      </c>
      <c r="AD175" s="154">
        <f t="shared" si="93"/>
        <v>0</v>
      </c>
      <c r="AE175" s="154" t="e">
        <f t="shared" si="94"/>
        <v>#DIV/0!</v>
      </c>
      <c r="AF175" s="154">
        <f t="shared" si="95"/>
        <v>0</v>
      </c>
      <c r="AG175" s="154" t="e">
        <f t="shared" si="96"/>
        <v>#DIV/0!</v>
      </c>
      <c r="AH175" s="154">
        <f t="shared" si="97"/>
        <v>-59141.814420000002</v>
      </c>
      <c r="AI175" s="154">
        <f t="shared" si="98"/>
        <v>-100</v>
      </c>
    </row>
    <row r="176" spans="1:35" s="191" customFormat="1" ht="33" customHeight="1" outlineLevel="3">
      <c r="A176" s="139" t="s">
        <v>855</v>
      </c>
      <c r="B176" s="143" t="s">
        <v>856</v>
      </c>
      <c r="C176" s="147" t="s">
        <v>857</v>
      </c>
      <c r="D176" s="148" t="s">
        <v>858</v>
      </c>
      <c r="E176" s="149" t="s">
        <v>859</v>
      </c>
      <c r="F176" s="143" t="s">
        <v>121</v>
      </c>
      <c r="G176" s="143">
        <v>3248.96649962946</v>
      </c>
      <c r="H176" s="143">
        <v>0</v>
      </c>
      <c r="I176" s="143">
        <v>0</v>
      </c>
      <c r="J176" s="143">
        <v>3565.0041926378663</v>
      </c>
      <c r="K176" s="143">
        <v>38.017470000000003</v>
      </c>
      <c r="L176" s="143">
        <v>38.020000000000003</v>
      </c>
      <c r="M176" s="143">
        <v>3687.6427718153864</v>
      </c>
      <c r="N176" s="143">
        <v>285.03536000000003</v>
      </c>
      <c r="O176" s="143">
        <v>285.03536000000003</v>
      </c>
      <c r="P176" s="150">
        <v>206.31326000000001</v>
      </c>
      <c r="Q176" s="143">
        <v>206.31326000000001</v>
      </c>
      <c r="R176" s="144">
        <v>285.03536000000003</v>
      </c>
      <c r="S176" s="143">
        <f t="shared" si="88"/>
        <v>-3402.6074118153865</v>
      </c>
      <c r="T176" s="143">
        <f t="shared" si="89"/>
        <v>0</v>
      </c>
      <c r="U176" s="151" t="e">
        <f>R176-#REF!</f>
        <v>#REF!</v>
      </c>
      <c r="V176" s="151">
        <f t="shared" si="90"/>
        <v>-3402.6074118153865</v>
      </c>
      <c r="W176" s="151">
        <f t="shared" si="91"/>
        <v>0</v>
      </c>
      <c r="X176" s="151" t="e">
        <f>O176-#REF!</f>
        <v>#REF!</v>
      </c>
      <c r="Y176" s="143">
        <f>'[65]2. подк.неподк.'!V164</f>
        <v>0</v>
      </c>
      <c r="Z176" s="182">
        <f>'[65]2. подк.неподк.'!W164</f>
        <v>0</v>
      </c>
      <c r="AA176" s="143">
        <f>'[65]2. подк.неподк.'!X164</f>
        <v>0</v>
      </c>
      <c r="AB176" s="143">
        <f>Y176*$AA$11</f>
        <v>0</v>
      </c>
      <c r="AC176" s="144">
        <f t="shared" si="92"/>
        <v>0</v>
      </c>
      <c r="AD176" s="143">
        <f t="shared" si="93"/>
        <v>0</v>
      </c>
      <c r="AE176" s="143"/>
      <c r="AF176" s="143">
        <f t="shared" si="95"/>
        <v>0</v>
      </c>
      <c r="AG176" s="143"/>
      <c r="AH176" s="143">
        <f t="shared" si="97"/>
        <v>0</v>
      </c>
      <c r="AI176" s="143"/>
    </row>
    <row r="177" spans="1:35" s="191" customFormat="1" ht="33" customHeight="1" outlineLevel="3">
      <c r="A177" s="139" t="s">
        <v>860</v>
      </c>
      <c r="B177" s="143" t="s">
        <v>861</v>
      </c>
      <c r="C177" s="147" t="s">
        <v>862</v>
      </c>
      <c r="D177" s="148" t="s">
        <v>863</v>
      </c>
      <c r="E177" s="149" t="s">
        <v>864</v>
      </c>
      <c r="F177" s="143" t="s">
        <v>121</v>
      </c>
      <c r="G177" s="143">
        <v>1328.9980838120871</v>
      </c>
      <c r="H177" s="143">
        <v>1131.1680200000001</v>
      </c>
      <c r="I177" s="143">
        <v>1131.17</v>
      </c>
      <c r="J177" s="143">
        <v>1458.2741131181651</v>
      </c>
      <c r="K177" s="143">
        <v>1959.0656799999999</v>
      </c>
      <c r="L177" s="143">
        <v>1959.07</v>
      </c>
      <c r="M177" s="143">
        <v>1492.7</v>
      </c>
      <c r="N177" s="143">
        <v>707.14238999999998</v>
      </c>
      <c r="O177" s="143">
        <v>706.90968999999996</v>
      </c>
      <c r="P177" s="150">
        <v>706.90968999999996</v>
      </c>
      <c r="Q177" s="143">
        <v>706.90968999999996</v>
      </c>
      <c r="R177" s="144">
        <v>706.90968999999996</v>
      </c>
      <c r="S177" s="143">
        <f t="shared" si="88"/>
        <v>-785.79031000000009</v>
      </c>
      <c r="T177" s="143">
        <f t="shared" si="89"/>
        <v>0</v>
      </c>
      <c r="U177" s="151" t="e">
        <f>R177-#REF!</f>
        <v>#REF!</v>
      </c>
      <c r="V177" s="151">
        <f t="shared" si="90"/>
        <v>-785.79031000000009</v>
      </c>
      <c r="W177" s="151">
        <f t="shared" si="91"/>
        <v>0</v>
      </c>
      <c r="X177" s="151" t="e">
        <f>O177-#REF!</f>
        <v>#REF!</v>
      </c>
      <c r="Y177" s="143">
        <f>'[65]2. подк.неподк.'!V165</f>
        <v>1574.7984999999999</v>
      </c>
      <c r="Z177" s="182">
        <f>'[65]2. подк.неподк.'!W165</f>
        <v>1645.6644324999997</v>
      </c>
      <c r="AA177" s="143">
        <f>'[65]2. подк.неподк.'!X165</f>
        <v>4872.7468800000006</v>
      </c>
      <c r="AB177" s="143">
        <f>Y177*$AA$11</f>
        <v>1632.8325952950402</v>
      </c>
      <c r="AC177" s="144">
        <f t="shared" si="92"/>
        <v>1632.8325952950402</v>
      </c>
      <c r="AD177" s="143">
        <f t="shared" si="93"/>
        <v>58.034095295040288</v>
      </c>
      <c r="AE177" s="143">
        <f t="shared" si="94"/>
        <v>3.6851759317169979</v>
      </c>
      <c r="AF177" s="143">
        <f t="shared" si="95"/>
        <v>-12.831837204959584</v>
      </c>
      <c r="AG177" s="143">
        <f t="shared" si="96"/>
        <v>-0.77973595051004452</v>
      </c>
      <c r="AH177" s="143">
        <f t="shared" si="97"/>
        <v>-3239.9142847049607</v>
      </c>
      <c r="AI177" s="143">
        <f t="shared" si="98"/>
        <v>-66.490510681009567</v>
      </c>
    </row>
    <row r="178" spans="1:35" s="191" customFormat="1" ht="33" customHeight="1" outlineLevel="3">
      <c r="A178" s="139" t="s">
        <v>865</v>
      </c>
      <c r="B178" s="143" t="s">
        <v>866</v>
      </c>
      <c r="C178" s="147" t="s">
        <v>867</v>
      </c>
      <c r="D178" s="148" t="s">
        <v>868</v>
      </c>
      <c r="E178" s="149" t="s">
        <v>869</v>
      </c>
      <c r="F178" s="143" t="s">
        <v>121</v>
      </c>
      <c r="G178" s="143">
        <v>0</v>
      </c>
      <c r="H178" s="143">
        <v>10560.68196</v>
      </c>
      <c r="I178" s="143">
        <v>0</v>
      </c>
      <c r="J178" s="143">
        <v>0</v>
      </c>
      <c r="K178" s="143">
        <v>30.375</v>
      </c>
      <c r="L178" s="143">
        <v>0</v>
      </c>
      <c r="M178" s="143">
        <v>0</v>
      </c>
      <c r="N178" s="143"/>
      <c r="O178" s="143"/>
      <c r="P178" s="150">
        <v>30.375</v>
      </c>
      <c r="Q178" s="143">
        <v>30.375</v>
      </c>
      <c r="R178" s="144">
        <v>0</v>
      </c>
      <c r="S178" s="143">
        <f t="shared" si="88"/>
        <v>0</v>
      </c>
      <c r="T178" s="143">
        <f t="shared" si="89"/>
        <v>0</v>
      </c>
      <c r="U178" s="151" t="e">
        <f>R178-#REF!</f>
        <v>#REF!</v>
      </c>
      <c r="V178" s="151">
        <f t="shared" si="90"/>
        <v>0</v>
      </c>
      <c r="W178" s="151">
        <f t="shared" si="91"/>
        <v>0</v>
      </c>
      <c r="X178" s="151" t="e">
        <f>O178-#REF!</f>
        <v>#REF!</v>
      </c>
      <c r="Y178" s="143">
        <f>'[65]2. подк.неподк.'!V166</f>
        <v>0</v>
      </c>
      <c r="Z178" s="182">
        <f>'[65]2. подк.неподк.'!W166</f>
        <v>0</v>
      </c>
      <c r="AA178" s="143">
        <f>'[65]2. подк.неподк.'!X166</f>
        <v>554.48400000000004</v>
      </c>
      <c r="AB178" s="143">
        <f>Y178*$AA$11</f>
        <v>0</v>
      </c>
      <c r="AC178" s="144">
        <f t="shared" si="92"/>
        <v>0</v>
      </c>
      <c r="AD178" s="143">
        <f t="shared" si="93"/>
        <v>0</v>
      </c>
      <c r="AE178" s="143"/>
      <c r="AF178" s="143">
        <f t="shared" si="95"/>
        <v>0</v>
      </c>
      <c r="AG178" s="143"/>
      <c r="AH178" s="143">
        <f t="shared" si="97"/>
        <v>-554.48400000000004</v>
      </c>
      <c r="AI178" s="143">
        <f t="shared" si="98"/>
        <v>-100</v>
      </c>
    </row>
    <row r="179" spans="1:35" s="191" customFormat="1" ht="33" customHeight="1" outlineLevel="3">
      <c r="A179" s="139" t="s">
        <v>870</v>
      </c>
      <c r="B179" s="143" t="s">
        <v>871</v>
      </c>
      <c r="C179" s="147" t="s">
        <v>872</v>
      </c>
      <c r="D179" s="148" t="s">
        <v>873</v>
      </c>
      <c r="E179" s="149" t="s">
        <v>874</v>
      </c>
      <c r="F179" s="143" t="s">
        <v>121</v>
      </c>
      <c r="G179" s="143">
        <v>0</v>
      </c>
      <c r="H179" s="143">
        <v>0</v>
      </c>
      <c r="I179" s="143">
        <v>0</v>
      </c>
      <c r="J179" s="143">
        <v>0</v>
      </c>
      <c r="K179" s="143">
        <v>0</v>
      </c>
      <c r="L179" s="143">
        <v>0</v>
      </c>
      <c r="M179" s="143">
        <v>0</v>
      </c>
      <c r="N179" s="143"/>
      <c r="O179" s="143"/>
      <c r="P179" s="150">
        <v>48.347099999999998</v>
      </c>
      <c r="Q179" s="143">
        <v>48.347099999999998</v>
      </c>
      <c r="R179" s="144">
        <v>0</v>
      </c>
      <c r="S179" s="143">
        <f t="shared" si="88"/>
        <v>0</v>
      </c>
      <c r="T179" s="143">
        <f t="shared" si="89"/>
        <v>0</v>
      </c>
      <c r="U179" s="151" t="e">
        <f>R179-#REF!</f>
        <v>#REF!</v>
      </c>
      <c r="V179" s="151">
        <f t="shared" si="90"/>
        <v>0</v>
      </c>
      <c r="W179" s="151">
        <f t="shared" si="91"/>
        <v>0</v>
      </c>
      <c r="X179" s="151" t="e">
        <f>O179-#REF!</f>
        <v>#REF!</v>
      </c>
      <c r="Y179" s="143">
        <f>'[65]2. подк.неподк.'!V167</f>
        <v>0</v>
      </c>
      <c r="Z179" s="182">
        <f>'[65]2. подк.неподк.'!W167</f>
        <v>0</v>
      </c>
      <c r="AA179" s="143">
        <f>'[65]2. подк.неподк.'!X167</f>
        <v>0</v>
      </c>
      <c r="AB179" s="143">
        <f>Y179*$AA$11</f>
        <v>0</v>
      </c>
      <c r="AC179" s="144">
        <f t="shared" si="92"/>
        <v>0</v>
      </c>
      <c r="AD179" s="143">
        <f t="shared" si="93"/>
        <v>0</v>
      </c>
      <c r="AE179" s="143"/>
      <c r="AF179" s="143">
        <f t="shared" si="95"/>
        <v>0</v>
      </c>
      <c r="AG179" s="143"/>
      <c r="AH179" s="143">
        <f t="shared" si="97"/>
        <v>0</v>
      </c>
      <c r="AI179" s="143"/>
    </row>
    <row r="180" spans="1:35" s="161" customFormat="1" ht="33" customHeight="1" outlineLevel="2">
      <c r="A180" s="153"/>
      <c r="B180" s="154"/>
      <c r="C180" s="155"/>
      <c r="D180" s="394" t="s">
        <v>875</v>
      </c>
      <c r="E180" s="157"/>
      <c r="F180" s="158"/>
      <c r="G180" s="154">
        <f t="shared" ref="G180:I180" si="108">G176+G177+G178+G179</f>
        <v>4577.9645834415469</v>
      </c>
      <c r="H180" s="154">
        <f t="shared" si="108"/>
        <v>11691.849979999999</v>
      </c>
      <c r="I180" s="154">
        <f t="shared" si="108"/>
        <v>1131.17</v>
      </c>
      <c r="J180" s="154">
        <f>J176+J177+J178+J179</f>
        <v>5023.2783057560318</v>
      </c>
      <c r="K180" s="154">
        <f t="shared" ref="K180:AB180" si="109">K176+K177+K178+K179</f>
        <v>2027.4581499999999</v>
      </c>
      <c r="L180" s="154">
        <f t="shared" si="109"/>
        <v>1997.09</v>
      </c>
      <c r="M180" s="154">
        <f t="shared" si="109"/>
        <v>5180.3427718153862</v>
      </c>
      <c r="N180" s="154">
        <f t="shared" si="109"/>
        <v>992.17775000000006</v>
      </c>
      <c r="O180" s="154">
        <f t="shared" si="109"/>
        <v>991.94505000000004</v>
      </c>
      <c r="P180" s="159">
        <f t="shared" si="109"/>
        <v>991.94504999999992</v>
      </c>
      <c r="Q180" s="154">
        <f t="shared" si="109"/>
        <v>991.94504999999992</v>
      </c>
      <c r="R180" s="144">
        <f t="shared" si="109"/>
        <v>991.94505000000004</v>
      </c>
      <c r="S180" s="144">
        <f t="shared" si="88"/>
        <v>-4188.3977218153859</v>
      </c>
      <c r="T180" s="144">
        <f t="shared" si="89"/>
        <v>0</v>
      </c>
      <c r="U180" s="160" t="e">
        <f>R180-#REF!</f>
        <v>#REF!</v>
      </c>
      <c r="V180" s="160">
        <f t="shared" si="90"/>
        <v>-4188.3977218153859</v>
      </c>
      <c r="W180" s="160">
        <f t="shared" si="91"/>
        <v>0</v>
      </c>
      <c r="X180" s="160" t="e">
        <f>O180-#REF!</f>
        <v>#REF!</v>
      </c>
      <c r="Y180" s="154">
        <f t="shared" si="109"/>
        <v>1574.7984999999999</v>
      </c>
      <c r="Z180" s="194">
        <f t="shared" si="109"/>
        <v>1645.6644324999997</v>
      </c>
      <c r="AA180" s="154">
        <f t="shared" si="109"/>
        <v>5427.230880000001</v>
      </c>
      <c r="AB180" s="154">
        <f t="shared" si="109"/>
        <v>1632.8325952950402</v>
      </c>
      <c r="AC180" s="144">
        <f t="shared" si="92"/>
        <v>1632.8325952950402</v>
      </c>
      <c r="AD180" s="154">
        <f t="shared" si="93"/>
        <v>58.034095295040288</v>
      </c>
      <c r="AE180" s="154">
        <f t="shared" si="94"/>
        <v>3.6851759317169979</v>
      </c>
      <c r="AF180" s="154">
        <f t="shared" si="95"/>
        <v>-12.831837204959584</v>
      </c>
      <c r="AG180" s="154">
        <f t="shared" si="96"/>
        <v>-0.77973595051004452</v>
      </c>
      <c r="AH180" s="154">
        <f t="shared" si="97"/>
        <v>-3794.398284704961</v>
      </c>
      <c r="AI180" s="154">
        <f t="shared" si="98"/>
        <v>-69.914075310261353</v>
      </c>
    </row>
    <row r="181" spans="1:35" s="191" customFormat="1" ht="33" customHeight="1" outlineLevel="3">
      <c r="A181" s="139" t="s">
        <v>876</v>
      </c>
      <c r="B181" s="143" t="s">
        <v>877</v>
      </c>
      <c r="C181" s="147" t="s">
        <v>878</v>
      </c>
      <c r="D181" s="148" t="s">
        <v>879</v>
      </c>
      <c r="E181" s="149" t="s">
        <v>880</v>
      </c>
      <c r="F181" s="143" t="s">
        <v>121</v>
      </c>
      <c r="G181" s="143">
        <v>0</v>
      </c>
      <c r="H181" s="143">
        <v>54.45</v>
      </c>
      <c r="I181" s="143">
        <v>0</v>
      </c>
      <c r="J181" s="143">
        <v>0</v>
      </c>
      <c r="K181" s="143">
        <v>258.70184999999998</v>
      </c>
      <c r="L181" s="143">
        <v>0</v>
      </c>
      <c r="M181" s="143">
        <v>0</v>
      </c>
      <c r="N181" s="143">
        <v>216.38315999999998</v>
      </c>
      <c r="O181" s="143">
        <v>203.63924</v>
      </c>
      <c r="P181" s="150">
        <v>0</v>
      </c>
      <c r="Q181" s="143">
        <v>0</v>
      </c>
      <c r="R181" s="144">
        <v>0</v>
      </c>
      <c r="S181" s="143">
        <f t="shared" si="88"/>
        <v>0</v>
      </c>
      <c r="T181" s="143">
        <f t="shared" si="89"/>
        <v>-203.63924</v>
      </c>
      <c r="U181" s="151" t="e">
        <f>R181-#REF!</f>
        <v>#REF!</v>
      </c>
      <c r="V181" s="151">
        <f t="shared" si="90"/>
        <v>0</v>
      </c>
      <c r="W181" s="151">
        <f t="shared" si="91"/>
        <v>0</v>
      </c>
      <c r="X181" s="151" t="e">
        <f>O181-#REF!</f>
        <v>#REF!</v>
      </c>
      <c r="Y181" s="143">
        <f>'[65]2. подк.неподк.'!V169</f>
        <v>0</v>
      </c>
      <c r="Z181" s="182">
        <f>'[65]2. подк.неподк.'!W169</f>
        <v>0</v>
      </c>
      <c r="AA181" s="143">
        <f>'[65]2. подк.неподк.'!X169</f>
        <v>1536.56</v>
      </c>
      <c r="AB181" s="143">
        <f t="shared" ref="AB181:AB204" si="110">Y181*$AA$11</f>
        <v>0</v>
      </c>
      <c r="AC181" s="144">
        <f t="shared" si="92"/>
        <v>0</v>
      </c>
      <c r="AD181" s="143">
        <f t="shared" si="93"/>
        <v>0</v>
      </c>
      <c r="AE181" s="143"/>
      <c r="AF181" s="143">
        <f t="shared" si="95"/>
        <v>0</v>
      </c>
      <c r="AG181" s="143"/>
      <c r="AH181" s="143">
        <f t="shared" si="97"/>
        <v>-1536.56</v>
      </c>
      <c r="AI181" s="143">
        <f t="shared" si="98"/>
        <v>-100</v>
      </c>
    </row>
    <row r="182" spans="1:35" s="191" customFormat="1" ht="33" customHeight="1" outlineLevel="3">
      <c r="A182" s="139" t="s">
        <v>881</v>
      </c>
      <c r="B182" s="143" t="s">
        <v>882</v>
      </c>
      <c r="C182" s="147" t="s">
        <v>883</v>
      </c>
      <c r="D182" s="148" t="s">
        <v>884</v>
      </c>
      <c r="E182" s="149" t="s">
        <v>885</v>
      </c>
      <c r="F182" s="143" t="s">
        <v>121</v>
      </c>
      <c r="G182" s="143">
        <v>370.75</v>
      </c>
      <c r="H182" s="143">
        <v>29.329160000000002</v>
      </c>
      <c r="I182" s="143">
        <v>29.33</v>
      </c>
      <c r="J182" s="143">
        <v>406.81407597499998</v>
      </c>
      <c r="K182" s="143">
        <v>0</v>
      </c>
      <c r="L182" s="143">
        <v>0</v>
      </c>
      <c r="M182" s="143">
        <v>9.7473460213460505</v>
      </c>
      <c r="N182" s="143">
        <v>0</v>
      </c>
      <c r="O182" s="143">
        <v>0</v>
      </c>
      <c r="P182" s="150">
        <v>0</v>
      </c>
      <c r="Q182" s="143">
        <v>0</v>
      </c>
      <c r="R182" s="144">
        <v>0</v>
      </c>
      <c r="S182" s="143">
        <f t="shared" si="88"/>
        <v>-9.7473460213460505</v>
      </c>
      <c r="T182" s="143">
        <f t="shared" si="89"/>
        <v>0</v>
      </c>
      <c r="U182" s="151" t="e">
        <f>R182-#REF!</f>
        <v>#REF!</v>
      </c>
      <c r="V182" s="151">
        <f t="shared" si="90"/>
        <v>-9.7473460213460505</v>
      </c>
      <c r="W182" s="151">
        <f t="shared" si="91"/>
        <v>0</v>
      </c>
      <c r="X182" s="151" t="e">
        <f>O182-#REF!</f>
        <v>#REF!</v>
      </c>
      <c r="Y182" s="143">
        <f>'[65]2. подк.неподк.'!V170</f>
        <v>0</v>
      </c>
      <c r="Z182" s="182">
        <f>'[65]2. подк.неподк.'!W170</f>
        <v>0</v>
      </c>
      <c r="AA182" s="143">
        <f>'[65]2. подк.неподк.'!X170</f>
        <v>0</v>
      </c>
      <c r="AB182" s="143">
        <f t="shared" si="110"/>
        <v>0</v>
      </c>
      <c r="AC182" s="144">
        <f t="shared" si="92"/>
        <v>0</v>
      </c>
      <c r="AD182" s="143">
        <f t="shared" si="93"/>
        <v>0</v>
      </c>
      <c r="AE182" s="143"/>
      <c r="AF182" s="143">
        <f t="shared" si="95"/>
        <v>0</v>
      </c>
      <c r="AG182" s="143"/>
      <c r="AH182" s="143">
        <f t="shared" si="97"/>
        <v>0</v>
      </c>
      <c r="AI182" s="143"/>
    </row>
    <row r="183" spans="1:35" s="191" customFormat="1" ht="45.75" customHeight="1" outlineLevel="3">
      <c r="A183" s="139" t="s">
        <v>886</v>
      </c>
      <c r="B183" s="143" t="s">
        <v>887</v>
      </c>
      <c r="C183" s="147" t="s">
        <v>888</v>
      </c>
      <c r="D183" s="148" t="s">
        <v>889</v>
      </c>
      <c r="E183" s="149" t="s">
        <v>890</v>
      </c>
      <c r="F183" s="143" t="s">
        <v>121</v>
      </c>
      <c r="G183" s="143">
        <v>27737.91</v>
      </c>
      <c r="H183" s="143">
        <v>1292.2033899999999</v>
      </c>
      <c r="I183" s="143">
        <v>1292.2</v>
      </c>
      <c r="J183" s="143">
        <v>30436.068040802998</v>
      </c>
      <c r="K183" s="143">
        <v>16032.198</v>
      </c>
      <c r="L183" s="143">
        <v>16032.2</v>
      </c>
      <c r="M183" s="143">
        <v>13903.3550770533</v>
      </c>
      <c r="N183" s="143">
        <v>13870.407869999999</v>
      </c>
      <c r="O183" s="143">
        <v>13867.469570000001</v>
      </c>
      <c r="P183" s="150">
        <v>13867.469570000001</v>
      </c>
      <c r="Q183" s="143">
        <v>13867.469570000001</v>
      </c>
      <c r="R183" s="144">
        <v>13867.469570000001</v>
      </c>
      <c r="S183" s="143">
        <f t="shared" si="88"/>
        <v>-35.885507053299079</v>
      </c>
      <c r="T183" s="143">
        <f t="shared" si="89"/>
        <v>0</v>
      </c>
      <c r="U183" s="151" t="e">
        <f>R183-#REF!</f>
        <v>#REF!</v>
      </c>
      <c r="V183" s="151">
        <f t="shared" si="90"/>
        <v>-35.885507053299079</v>
      </c>
      <c r="W183" s="151">
        <f t="shared" si="91"/>
        <v>0</v>
      </c>
      <c r="X183" s="151" t="e">
        <f>O183-#REF!</f>
        <v>#REF!</v>
      </c>
      <c r="Y183" s="143">
        <f>'[65]2. подк.неподк.'!V171</f>
        <v>18157.998824999999</v>
      </c>
      <c r="Z183" s="182">
        <f>'[65]2. подк.неподк.'!W171</f>
        <v>18975.108772124997</v>
      </c>
      <c r="AA183" s="143">
        <f>'[65]2. подк.неподк.'!X171</f>
        <v>20028.599999999999</v>
      </c>
      <c r="AB183" s="143">
        <f t="shared" si="110"/>
        <v>18827.153027380355</v>
      </c>
      <c r="AC183" s="144">
        <f t="shared" si="92"/>
        <v>18827.153027380355</v>
      </c>
      <c r="AD183" s="143">
        <f t="shared" si="93"/>
        <v>669.15420238035585</v>
      </c>
      <c r="AE183" s="143">
        <f t="shared" si="94"/>
        <v>3.6851759317169979</v>
      </c>
      <c r="AF183" s="143">
        <f t="shared" si="95"/>
        <v>-147.95574474464229</v>
      </c>
      <c r="AG183" s="143">
        <f t="shared" si="96"/>
        <v>-0.77973595051004452</v>
      </c>
      <c r="AH183" s="143">
        <f t="shared" si="97"/>
        <v>-1201.4469726196439</v>
      </c>
      <c r="AI183" s="143">
        <f t="shared" si="98"/>
        <v>-5.9986567838972462</v>
      </c>
    </row>
    <row r="184" spans="1:35" s="191" customFormat="1" ht="33" customHeight="1" outlineLevel="3">
      <c r="A184" s="139" t="s">
        <v>891</v>
      </c>
      <c r="B184" s="143" t="s">
        <v>892</v>
      </c>
      <c r="C184" s="147" t="s">
        <v>893</v>
      </c>
      <c r="D184" s="148" t="s">
        <v>894</v>
      </c>
      <c r="E184" s="188"/>
      <c r="F184" s="143" t="s">
        <v>121</v>
      </c>
      <c r="G184" s="143">
        <v>0</v>
      </c>
      <c r="H184" s="143">
        <v>0</v>
      </c>
      <c r="I184" s="143">
        <v>0</v>
      </c>
      <c r="J184" s="143">
        <v>0</v>
      </c>
      <c r="K184" s="143">
        <v>0</v>
      </c>
      <c r="L184" s="143">
        <v>0</v>
      </c>
      <c r="M184" s="143">
        <v>0</v>
      </c>
      <c r="N184" s="143">
        <v>0</v>
      </c>
      <c r="O184" s="143">
        <v>0.36042000000000002</v>
      </c>
      <c r="P184" s="150">
        <v>0</v>
      </c>
      <c r="Q184" s="143">
        <v>0</v>
      </c>
      <c r="R184" s="144">
        <v>0</v>
      </c>
      <c r="S184" s="143">
        <f t="shared" si="88"/>
        <v>0</v>
      </c>
      <c r="T184" s="143">
        <f t="shared" si="89"/>
        <v>-0.36042000000000002</v>
      </c>
      <c r="U184" s="151" t="e">
        <f>R184-#REF!</f>
        <v>#REF!</v>
      </c>
      <c r="V184" s="151">
        <f t="shared" si="90"/>
        <v>0</v>
      </c>
      <c r="W184" s="151">
        <f t="shared" si="91"/>
        <v>0</v>
      </c>
      <c r="X184" s="151" t="e">
        <f>O184-#REF!</f>
        <v>#REF!</v>
      </c>
      <c r="Y184" s="143">
        <f>'[65]2. подк.неподк.'!V172</f>
        <v>0</v>
      </c>
      <c r="Z184" s="182">
        <f>'[65]2. подк.неподк.'!W172</f>
        <v>0</v>
      </c>
      <c r="AA184" s="143">
        <f>'[65]2. подк.неподк.'!X172</f>
        <v>0</v>
      </c>
      <c r="AB184" s="143">
        <f t="shared" si="110"/>
        <v>0</v>
      </c>
      <c r="AC184" s="144">
        <f t="shared" si="92"/>
        <v>0</v>
      </c>
      <c r="AD184" s="143">
        <f t="shared" si="93"/>
        <v>0</v>
      </c>
      <c r="AE184" s="143"/>
      <c r="AF184" s="143">
        <f t="shared" si="95"/>
        <v>0</v>
      </c>
      <c r="AG184" s="143"/>
      <c r="AH184" s="143">
        <f t="shared" si="97"/>
        <v>0</v>
      </c>
      <c r="AI184" s="143"/>
    </row>
    <row r="185" spans="1:35" s="191" customFormat="1" ht="33" customHeight="1" outlineLevel="3">
      <c r="A185" s="139" t="s">
        <v>895</v>
      </c>
      <c r="B185" s="143" t="s">
        <v>896</v>
      </c>
      <c r="C185" s="147" t="s">
        <v>897</v>
      </c>
      <c r="D185" s="148" t="s">
        <v>898</v>
      </c>
      <c r="E185" s="149" t="s">
        <v>899</v>
      </c>
      <c r="F185" s="143" t="s">
        <v>121</v>
      </c>
      <c r="G185" s="143">
        <v>0</v>
      </c>
      <c r="H185" s="143">
        <v>293.22975000000002</v>
      </c>
      <c r="I185" s="143">
        <v>0</v>
      </c>
      <c r="J185" s="143">
        <v>0</v>
      </c>
      <c r="K185" s="143">
        <v>213.44060999999999</v>
      </c>
      <c r="L185" s="143">
        <v>0</v>
      </c>
      <c r="M185" s="143">
        <v>0</v>
      </c>
      <c r="N185" s="143">
        <v>287.73345</v>
      </c>
      <c r="O185" s="143">
        <v>278.22639000000004</v>
      </c>
      <c r="P185" s="150">
        <v>278.22639000000004</v>
      </c>
      <c r="Q185" s="143">
        <v>278.22639000000004</v>
      </c>
      <c r="R185" s="144">
        <v>278.22639000000004</v>
      </c>
      <c r="S185" s="143">
        <f t="shared" si="88"/>
        <v>278.22639000000004</v>
      </c>
      <c r="T185" s="143">
        <f t="shared" si="89"/>
        <v>0</v>
      </c>
      <c r="U185" s="151" t="e">
        <f>R185-#REF!</f>
        <v>#REF!</v>
      </c>
      <c r="V185" s="151">
        <f t="shared" si="90"/>
        <v>278.22639000000004</v>
      </c>
      <c r="W185" s="151">
        <f t="shared" si="91"/>
        <v>0</v>
      </c>
      <c r="X185" s="151" t="e">
        <f>O185-#REF!</f>
        <v>#REF!</v>
      </c>
      <c r="Y185" s="143">
        <f>'[65]2. подк.неподк.'!V173</f>
        <v>0</v>
      </c>
      <c r="Z185" s="182">
        <f>'[65]2. подк.неподк.'!W173</f>
        <v>0</v>
      </c>
      <c r="AA185" s="143">
        <f>'[65]2. подк.неподк.'!X173</f>
        <v>351.24299999999999</v>
      </c>
      <c r="AB185" s="143">
        <f t="shared" si="110"/>
        <v>0</v>
      </c>
      <c r="AC185" s="144">
        <f t="shared" si="92"/>
        <v>0</v>
      </c>
      <c r="AD185" s="143">
        <f t="shared" si="93"/>
        <v>0</v>
      </c>
      <c r="AE185" s="143"/>
      <c r="AF185" s="143">
        <f t="shared" si="95"/>
        <v>0</v>
      </c>
      <c r="AG185" s="143"/>
      <c r="AH185" s="143">
        <f t="shared" si="97"/>
        <v>-351.24299999999999</v>
      </c>
      <c r="AI185" s="143">
        <f t="shared" si="98"/>
        <v>-100</v>
      </c>
    </row>
    <row r="186" spans="1:35" s="191" customFormat="1" ht="61.2" customHeight="1" outlineLevel="3">
      <c r="A186" s="139" t="s">
        <v>900</v>
      </c>
      <c r="B186" s="143" t="s">
        <v>901</v>
      </c>
      <c r="C186" s="147" t="s">
        <v>902</v>
      </c>
      <c r="D186" s="148" t="s">
        <v>903</v>
      </c>
      <c r="E186" s="149" t="s">
        <v>904</v>
      </c>
      <c r="F186" s="143" t="s">
        <v>121</v>
      </c>
      <c r="G186" s="143">
        <v>6185.8627864995151</v>
      </c>
      <c r="H186" s="143">
        <v>6293.3679099999999</v>
      </c>
      <c r="I186" s="143">
        <v>6293.37</v>
      </c>
      <c r="J186" s="143">
        <v>6787.5820730895175</v>
      </c>
      <c r="K186" s="143">
        <v>2991.5254199999999</v>
      </c>
      <c r="L186" s="143">
        <v>2991.53</v>
      </c>
      <c r="M186" s="143">
        <v>7167.0378440843651</v>
      </c>
      <c r="N186" s="143">
        <v>2567.7966099999999</v>
      </c>
      <c r="O186" s="143">
        <v>2567.7966099999999</v>
      </c>
      <c r="P186" s="150">
        <v>2567.7966099999999</v>
      </c>
      <c r="Q186" s="143">
        <v>2567.7966099999999</v>
      </c>
      <c r="R186" s="144">
        <v>2567.7966099999999</v>
      </c>
      <c r="S186" s="143">
        <f t="shared" si="88"/>
        <v>-4599.2412340843657</v>
      </c>
      <c r="T186" s="143">
        <f t="shared" si="89"/>
        <v>0</v>
      </c>
      <c r="U186" s="151" t="e">
        <f>R186-#REF!</f>
        <v>#REF!</v>
      </c>
      <c r="V186" s="151">
        <f t="shared" si="90"/>
        <v>-4599.2412340843657</v>
      </c>
      <c r="W186" s="151">
        <f t="shared" si="91"/>
        <v>0</v>
      </c>
      <c r="X186" s="151" t="e">
        <f>O186-#REF!</f>
        <v>#REF!</v>
      </c>
      <c r="Y186" s="143">
        <f>'[65]2. подк.неподк.'!V174</f>
        <v>0</v>
      </c>
      <c r="Z186" s="182">
        <f>'[65]2. подк.неподк.'!W174</f>
        <v>0</v>
      </c>
      <c r="AA186" s="143">
        <f>'[65]2. подк.неподк.'!X174</f>
        <v>3775.93</v>
      </c>
      <c r="AB186" s="143">
        <f t="shared" si="110"/>
        <v>0</v>
      </c>
      <c r="AC186" s="144">
        <f t="shared" si="92"/>
        <v>0</v>
      </c>
      <c r="AD186" s="143">
        <f t="shared" si="93"/>
        <v>0</v>
      </c>
      <c r="AE186" s="143"/>
      <c r="AF186" s="143">
        <f t="shared" si="95"/>
        <v>0</v>
      </c>
      <c r="AG186" s="143"/>
      <c r="AH186" s="143">
        <f t="shared" si="97"/>
        <v>-3775.93</v>
      </c>
      <c r="AI186" s="143">
        <f t="shared" si="98"/>
        <v>-100</v>
      </c>
    </row>
    <row r="187" spans="1:35" s="191" customFormat="1" ht="33" customHeight="1" outlineLevel="3">
      <c r="A187" s="139" t="s">
        <v>905</v>
      </c>
      <c r="B187" s="143" t="s">
        <v>906</v>
      </c>
      <c r="C187" s="147" t="s">
        <v>907</v>
      </c>
      <c r="D187" s="148" t="s">
        <v>908</v>
      </c>
      <c r="E187" s="149" t="s">
        <v>909</v>
      </c>
      <c r="F187" s="143" t="s">
        <v>121</v>
      </c>
      <c r="G187" s="143">
        <v>214.39006913791633</v>
      </c>
      <c r="H187" s="143">
        <v>524.24046999999996</v>
      </c>
      <c r="I187" s="143">
        <v>524.24</v>
      </c>
      <c r="J187" s="143">
        <v>235.24449865018957</v>
      </c>
      <c r="K187" s="143">
        <v>794.53453000000002</v>
      </c>
      <c r="L187" s="143">
        <v>794.53</v>
      </c>
      <c r="M187" s="143">
        <v>297.26877119826696</v>
      </c>
      <c r="N187" s="143">
        <v>465.99753000000004</v>
      </c>
      <c r="O187" s="143">
        <v>464.70533</v>
      </c>
      <c r="P187" s="150">
        <v>464.70533</v>
      </c>
      <c r="Q187" s="143">
        <v>464.70533</v>
      </c>
      <c r="R187" s="144">
        <v>464.70533</v>
      </c>
      <c r="S187" s="143">
        <f t="shared" si="88"/>
        <v>167.43655880173304</v>
      </c>
      <c r="T187" s="143">
        <f t="shared" si="89"/>
        <v>0</v>
      </c>
      <c r="U187" s="151" t="e">
        <f>R187-#REF!</f>
        <v>#REF!</v>
      </c>
      <c r="V187" s="151">
        <f t="shared" si="90"/>
        <v>167.43655880173304</v>
      </c>
      <c r="W187" s="151">
        <f t="shared" si="91"/>
        <v>0</v>
      </c>
      <c r="X187" s="151" t="e">
        <f>O187-#REF!</f>
        <v>#REF!</v>
      </c>
      <c r="Y187" s="143">
        <f>'[65]2. подк.неподк.'!V175</f>
        <v>313.61855361417162</v>
      </c>
      <c r="Z187" s="182">
        <f>'[65]2. подк.неподк.'!W175</f>
        <v>327.73138852680933</v>
      </c>
      <c r="AA187" s="143">
        <f>'[65]2. подк.неподк.'!X175</f>
        <v>566.94491712000013</v>
      </c>
      <c r="AB187" s="143">
        <f t="shared" si="110"/>
        <v>325.17594906936006</v>
      </c>
      <c r="AC187" s="144">
        <f t="shared" si="92"/>
        <v>325.17594906936006</v>
      </c>
      <c r="AD187" s="143">
        <f t="shared" si="93"/>
        <v>11.557395455188441</v>
      </c>
      <c r="AE187" s="143">
        <f t="shared" si="94"/>
        <v>3.6851759317169979</v>
      </c>
      <c r="AF187" s="143">
        <f t="shared" si="95"/>
        <v>-2.5554394574492676</v>
      </c>
      <c r="AG187" s="143">
        <f t="shared" si="96"/>
        <v>-0.77973595051004452</v>
      </c>
      <c r="AH187" s="143">
        <f t="shared" si="97"/>
        <v>-241.76896805064007</v>
      </c>
      <c r="AI187" s="143">
        <f t="shared" si="98"/>
        <v>-42.644172431916694</v>
      </c>
    </row>
    <row r="188" spans="1:35" s="191" customFormat="1" ht="33" customHeight="1" outlineLevel="3">
      <c r="A188" s="152" t="s">
        <v>910</v>
      </c>
      <c r="B188" s="143" t="s">
        <v>911</v>
      </c>
      <c r="C188" s="147" t="s">
        <v>912</v>
      </c>
      <c r="D188" s="164" t="s">
        <v>757</v>
      </c>
      <c r="E188" s="149" t="s">
        <v>913</v>
      </c>
      <c r="F188" s="143" t="s">
        <v>121</v>
      </c>
      <c r="G188" s="143">
        <v>22455.717857532385</v>
      </c>
      <c r="H188" s="143">
        <v>9807.5701900000131</v>
      </c>
      <c r="I188" s="143">
        <v>202.16</v>
      </c>
      <c r="J188" s="143">
        <v>8298.4492395325487</v>
      </c>
      <c r="K188" s="143">
        <v>1719.4299999999998</v>
      </c>
      <c r="L188" s="143">
        <v>1719.4299999999998</v>
      </c>
      <c r="M188" s="143">
        <v>6143.9912557634925</v>
      </c>
      <c r="N188" s="143">
        <v>4258.7382500000003</v>
      </c>
      <c r="O188" s="143">
        <v>4191.09573</v>
      </c>
      <c r="P188" s="150">
        <v>2985.8387499999999</v>
      </c>
      <c r="Q188" s="143">
        <v>2985.8387499999999</v>
      </c>
      <c r="R188" s="144">
        <v>4191.09573</v>
      </c>
      <c r="S188" s="143">
        <f t="shared" si="88"/>
        <v>-1952.8955257634925</v>
      </c>
      <c r="T188" s="143">
        <f t="shared" si="89"/>
        <v>0</v>
      </c>
      <c r="U188" s="151" t="e">
        <f>R188-#REF!</f>
        <v>#REF!</v>
      </c>
      <c r="V188" s="151">
        <f t="shared" si="90"/>
        <v>-1952.8955257634925</v>
      </c>
      <c r="W188" s="151">
        <f t="shared" si="91"/>
        <v>0</v>
      </c>
      <c r="X188" s="151" t="e">
        <f>O188-#REF!</f>
        <v>#REF!</v>
      </c>
      <c r="Y188" s="143">
        <f>'[65]2. подк.неподк.'!V176</f>
        <v>2026.66</v>
      </c>
      <c r="Z188" s="182">
        <f>'[65]2. подк.неподк.'!W176</f>
        <v>2117.8612178624999</v>
      </c>
      <c r="AA188" s="143">
        <f>'[65]2. подк.неподк.'!X176</f>
        <v>3782.08</v>
      </c>
      <c r="AB188" s="143">
        <f t="shared" si="110"/>
        <v>2101.3459865377358</v>
      </c>
      <c r="AC188" s="144">
        <f t="shared" si="92"/>
        <v>2101.3459865377358</v>
      </c>
      <c r="AD188" s="143">
        <f t="shared" si="93"/>
        <v>74.685986537735744</v>
      </c>
      <c r="AE188" s="143">
        <f t="shared" si="94"/>
        <v>3.6851759317169979</v>
      </c>
      <c r="AF188" s="143">
        <f t="shared" si="95"/>
        <v>-16.515231324764045</v>
      </c>
      <c r="AG188" s="143">
        <f t="shared" si="96"/>
        <v>-0.77980706126874111</v>
      </c>
      <c r="AH188" s="143">
        <f t="shared" si="97"/>
        <v>-1680.7340134622641</v>
      </c>
      <c r="AI188" s="143">
        <f t="shared" si="98"/>
        <v>-44.439409358402358</v>
      </c>
    </row>
    <row r="189" spans="1:35" s="191" customFormat="1" ht="33" customHeight="1" outlineLevel="3">
      <c r="A189" s="139" t="s">
        <v>914</v>
      </c>
      <c r="B189" s="143" t="s">
        <v>915</v>
      </c>
      <c r="C189" s="147" t="s">
        <v>916</v>
      </c>
      <c r="D189" s="148" t="s">
        <v>917</v>
      </c>
      <c r="E189" s="188"/>
      <c r="F189" s="143" t="s">
        <v>121</v>
      </c>
      <c r="G189" s="143">
        <v>0</v>
      </c>
      <c r="H189" s="143">
        <v>0</v>
      </c>
      <c r="I189" s="143">
        <v>0</v>
      </c>
      <c r="J189" s="179">
        <v>0</v>
      </c>
      <c r="K189" s="179">
        <v>0</v>
      </c>
      <c r="L189" s="179">
        <v>0</v>
      </c>
      <c r="M189" s="179">
        <v>0</v>
      </c>
      <c r="N189" s="179">
        <v>470.47989000000001</v>
      </c>
      <c r="O189" s="179">
        <v>464.67934000000002</v>
      </c>
      <c r="P189" s="150">
        <v>464.67934000000002</v>
      </c>
      <c r="Q189" s="143">
        <v>464.67934000000002</v>
      </c>
      <c r="R189" s="144">
        <v>464.67934000000002</v>
      </c>
      <c r="S189" s="143">
        <f t="shared" si="88"/>
        <v>464.67934000000002</v>
      </c>
      <c r="T189" s="143">
        <f t="shared" si="89"/>
        <v>0</v>
      </c>
      <c r="U189" s="151" t="e">
        <f>R189-#REF!</f>
        <v>#REF!</v>
      </c>
      <c r="V189" s="151">
        <f t="shared" si="90"/>
        <v>464.67934000000002</v>
      </c>
      <c r="W189" s="151">
        <f t="shared" si="91"/>
        <v>0</v>
      </c>
      <c r="X189" s="151" t="e">
        <f>O189-#REF!</f>
        <v>#REF!</v>
      </c>
      <c r="Y189" s="143">
        <f>'[65]2. подк.неподк.'!V177</f>
        <v>0</v>
      </c>
      <c r="Z189" s="182">
        <f>'[65]2. подк.неподк.'!W177</f>
        <v>0</v>
      </c>
      <c r="AA189" s="143">
        <f>'[65]2. подк.неподк.'!X177</f>
        <v>519.4</v>
      </c>
      <c r="AB189" s="143">
        <f t="shared" si="110"/>
        <v>0</v>
      </c>
      <c r="AC189" s="144">
        <f t="shared" si="92"/>
        <v>0</v>
      </c>
      <c r="AD189" s="143">
        <f t="shared" si="93"/>
        <v>0</v>
      </c>
      <c r="AE189" s="143"/>
      <c r="AF189" s="143">
        <f t="shared" si="95"/>
        <v>0</v>
      </c>
      <c r="AG189" s="143"/>
      <c r="AH189" s="143">
        <f t="shared" si="97"/>
        <v>-519.4</v>
      </c>
      <c r="AI189" s="143">
        <f t="shared" si="98"/>
        <v>-100</v>
      </c>
    </row>
    <row r="190" spans="1:35" s="191" customFormat="1" ht="33" customHeight="1" outlineLevel="3">
      <c r="A190" s="139" t="s">
        <v>918</v>
      </c>
      <c r="B190" s="143" t="s">
        <v>919</v>
      </c>
      <c r="C190" s="147" t="s">
        <v>920</v>
      </c>
      <c r="D190" s="148" t="s">
        <v>921</v>
      </c>
      <c r="E190" s="149" t="s">
        <v>922</v>
      </c>
      <c r="F190" s="143" t="s">
        <v>121</v>
      </c>
      <c r="G190" s="143">
        <v>15646.73483510509</v>
      </c>
      <c r="H190" s="143">
        <v>96117.905140000003</v>
      </c>
      <c r="I190" s="143">
        <v>96117.91</v>
      </c>
      <c r="J190" s="179">
        <v>22147.414366740701</v>
      </c>
      <c r="K190" s="179">
        <v>109752.17554</v>
      </c>
      <c r="L190" s="179">
        <v>109752.18</v>
      </c>
      <c r="M190" s="179">
        <v>45185.307212915061</v>
      </c>
      <c r="N190" s="179">
        <v>83937.808420000001</v>
      </c>
      <c r="O190" s="179">
        <v>79958.768400000001</v>
      </c>
      <c r="P190" s="150">
        <v>79958.768400000001</v>
      </c>
      <c r="Q190" s="143">
        <v>79958.768400000001</v>
      </c>
      <c r="R190" s="144">
        <v>79958.768400000001</v>
      </c>
      <c r="S190" s="143">
        <f t="shared" si="88"/>
        <v>34773.46118708494</v>
      </c>
      <c r="T190" s="143">
        <f t="shared" si="89"/>
        <v>0</v>
      </c>
      <c r="U190" s="151" t="e">
        <f>R190-#REF!</f>
        <v>#REF!</v>
      </c>
      <c r="V190" s="151">
        <f t="shared" si="90"/>
        <v>34773.46118708494</v>
      </c>
      <c r="W190" s="151">
        <f t="shared" si="91"/>
        <v>0</v>
      </c>
      <c r="X190" s="151" t="e">
        <f>O190-#REF!</f>
        <v>#REF!</v>
      </c>
      <c r="Y190" s="143">
        <f>'[65]2. подк.неподк.'!V178</f>
        <v>49617.8491096254</v>
      </c>
      <c r="Z190" s="182">
        <f>'[65]2. подк.неподк.'!W178</f>
        <v>51850.65231955854</v>
      </c>
      <c r="AA190" s="143">
        <f>'[65]2. подк.неподк.'!X178</f>
        <v>94820.794550320003</v>
      </c>
      <c r="AB190" s="143">
        <f t="shared" si="110"/>
        <v>51446.35414284897</v>
      </c>
      <c r="AC190" s="144">
        <f t="shared" si="92"/>
        <v>51446.35414284897</v>
      </c>
      <c r="AD190" s="143">
        <f t="shared" si="93"/>
        <v>1828.5050332235696</v>
      </c>
      <c r="AE190" s="143">
        <f t="shared" si="94"/>
        <v>3.6851759317169979</v>
      </c>
      <c r="AF190" s="143">
        <f t="shared" si="95"/>
        <v>-404.29817670956982</v>
      </c>
      <c r="AG190" s="143">
        <f t="shared" si="96"/>
        <v>-0.77973595051005873</v>
      </c>
      <c r="AH190" s="143">
        <f t="shared" si="97"/>
        <v>-43374.440407471033</v>
      </c>
      <c r="AI190" s="143">
        <f t="shared" si="98"/>
        <v>-45.74359518201765</v>
      </c>
    </row>
    <row r="191" spans="1:35" s="191" customFormat="1" ht="33" customHeight="1" outlineLevel="3">
      <c r="A191" s="139" t="s">
        <v>923</v>
      </c>
      <c r="B191" s="143" t="s">
        <v>924</v>
      </c>
      <c r="C191" s="147" t="s">
        <v>925</v>
      </c>
      <c r="D191" s="148" t="s">
        <v>926</v>
      </c>
      <c r="E191" s="149" t="s">
        <v>927</v>
      </c>
      <c r="F191" s="143" t="s">
        <v>121</v>
      </c>
      <c r="G191" s="143">
        <v>0</v>
      </c>
      <c r="H191" s="143">
        <v>306.13402000000002</v>
      </c>
      <c r="I191" s="143">
        <v>0</v>
      </c>
      <c r="J191" s="179">
        <v>0</v>
      </c>
      <c r="K191" s="179">
        <v>0</v>
      </c>
      <c r="L191" s="179">
        <v>0</v>
      </c>
      <c r="M191" s="179">
        <v>0</v>
      </c>
      <c r="N191" s="179">
        <v>200.73367000000002</v>
      </c>
      <c r="O191" s="179">
        <v>187.56292999999999</v>
      </c>
      <c r="P191" s="150">
        <v>187.56292999999999</v>
      </c>
      <c r="Q191" s="143">
        <v>187.56292999999999</v>
      </c>
      <c r="R191" s="144">
        <v>187.56292999999999</v>
      </c>
      <c r="S191" s="143">
        <f t="shared" si="88"/>
        <v>187.56292999999999</v>
      </c>
      <c r="T191" s="143">
        <f t="shared" si="89"/>
        <v>0</v>
      </c>
      <c r="U191" s="151" t="e">
        <f>R191-#REF!</f>
        <v>#REF!</v>
      </c>
      <c r="V191" s="151">
        <f t="shared" si="90"/>
        <v>187.56292999999999</v>
      </c>
      <c r="W191" s="151">
        <f t="shared" si="91"/>
        <v>0</v>
      </c>
      <c r="X191" s="151" t="e">
        <f>O191-#REF!</f>
        <v>#REF!</v>
      </c>
      <c r="Y191" s="143">
        <f>'[65]2. подк.неподк.'!V179</f>
        <v>0</v>
      </c>
      <c r="Z191" s="182">
        <f>'[65]2. подк.неподк.'!W179</f>
        <v>0</v>
      </c>
      <c r="AA191" s="143">
        <f>'[65]2. подк.неподк.'!X179</f>
        <v>196.46612880000001</v>
      </c>
      <c r="AB191" s="143">
        <f t="shared" si="110"/>
        <v>0</v>
      </c>
      <c r="AC191" s="144">
        <f t="shared" si="92"/>
        <v>0</v>
      </c>
      <c r="AD191" s="143">
        <f t="shared" si="93"/>
        <v>0</v>
      </c>
      <c r="AE191" s="143"/>
      <c r="AF191" s="143">
        <f t="shared" si="95"/>
        <v>0</v>
      </c>
      <c r="AG191" s="143"/>
      <c r="AH191" s="143">
        <f t="shared" si="97"/>
        <v>-196.46612880000001</v>
      </c>
      <c r="AI191" s="143">
        <f t="shared" si="98"/>
        <v>-100</v>
      </c>
    </row>
    <row r="192" spans="1:35" s="191" customFormat="1" ht="47.25" customHeight="1" outlineLevel="3">
      <c r="A192" s="139" t="s">
        <v>928</v>
      </c>
      <c r="B192" s="143" t="s">
        <v>929</v>
      </c>
      <c r="C192" s="147" t="s">
        <v>930</v>
      </c>
      <c r="D192" s="148" t="s">
        <v>931</v>
      </c>
      <c r="E192" s="188"/>
      <c r="F192" s="143" t="s">
        <v>121</v>
      </c>
      <c r="G192" s="143">
        <v>0</v>
      </c>
      <c r="H192" s="143">
        <v>0</v>
      </c>
      <c r="I192" s="143">
        <v>0</v>
      </c>
      <c r="J192" s="179">
        <v>0</v>
      </c>
      <c r="K192" s="179">
        <v>0</v>
      </c>
      <c r="L192" s="179">
        <v>0</v>
      </c>
      <c r="M192" s="179">
        <v>0</v>
      </c>
      <c r="N192" s="179">
        <v>0</v>
      </c>
      <c r="O192" s="179">
        <v>0</v>
      </c>
      <c r="P192" s="150">
        <v>0</v>
      </c>
      <c r="Q192" s="143">
        <v>0</v>
      </c>
      <c r="R192" s="144">
        <v>0</v>
      </c>
      <c r="S192" s="143">
        <f t="shared" si="88"/>
        <v>0</v>
      </c>
      <c r="T192" s="143">
        <f t="shared" si="89"/>
        <v>0</v>
      </c>
      <c r="U192" s="151" t="e">
        <f>R192-#REF!</f>
        <v>#REF!</v>
      </c>
      <c r="V192" s="151">
        <f t="shared" si="90"/>
        <v>0</v>
      </c>
      <c r="W192" s="151">
        <f t="shared" si="91"/>
        <v>0</v>
      </c>
      <c r="X192" s="151" t="e">
        <f>O192-#REF!</f>
        <v>#REF!</v>
      </c>
      <c r="Y192" s="143">
        <f>'[65]2. подк.неподк.'!V180</f>
        <v>0</v>
      </c>
      <c r="Z192" s="182">
        <f>'[65]2. подк.неподк.'!W180</f>
        <v>0</v>
      </c>
      <c r="AA192" s="143">
        <f>'[65]2. подк.неподк.'!X180</f>
        <v>0</v>
      </c>
      <c r="AB192" s="143">
        <f t="shared" si="110"/>
        <v>0</v>
      </c>
      <c r="AC192" s="144">
        <f t="shared" si="92"/>
        <v>0</v>
      </c>
      <c r="AD192" s="143">
        <f t="shared" si="93"/>
        <v>0</v>
      </c>
      <c r="AE192" s="143"/>
      <c r="AF192" s="143">
        <f t="shared" si="95"/>
        <v>0</v>
      </c>
      <c r="AG192" s="143"/>
      <c r="AH192" s="143">
        <f t="shared" si="97"/>
        <v>0</v>
      </c>
      <c r="AI192" s="143"/>
    </row>
    <row r="193" spans="1:35" s="191" customFormat="1" ht="47.25" customHeight="1" outlineLevel="3">
      <c r="A193" s="139" t="s">
        <v>932</v>
      </c>
      <c r="B193" s="143" t="s">
        <v>933</v>
      </c>
      <c r="C193" s="147" t="s">
        <v>934</v>
      </c>
      <c r="D193" s="148" t="s">
        <v>935</v>
      </c>
      <c r="E193" s="188"/>
      <c r="F193" s="143" t="s">
        <v>121</v>
      </c>
      <c r="G193" s="143">
        <v>0</v>
      </c>
      <c r="H193" s="143">
        <v>0</v>
      </c>
      <c r="I193" s="143">
        <v>0</v>
      </c>
      <c r="J193" s="179">
        <v>0</v>
      </c>
      <c r="K193" s="179">
        <v>0</v>
      </c>
      <c r="L193" s="179">
        <v>0</v>
      </c>
      <c r="M193" s="179">
        <v>0</v>
      </c>
      <c r="N193" s="179"/>
      <c r="O193" s="179"/>
      <c r="P193" s="150">
        <v>3.0129999999999999</v>
      </c>
      <c r="Q193" s="143">
        <v>3.0129999999999999</v>
      </c>
      <c r="R193" s="144">
        <v>0</v>
      </c>
      <c r="S193" s="143">
        <f t="shared" si="88"/>
        <v>0</v>
      </c>
      <c r="T193" s="143">
        <f t="shared" si="89"/>
        <v>0</v>
      </c>
      <c r="U193" s="151" t="e">
        <f>R193-#REF!</f>
        <v>#REF!</v>
      </c>
      <c r="V193" s="151">
        <f t="shared" si="90"/>
        <v>0</v>
      </c>
      <c r="W193" s="151">
        <f t="shared" si="91"/>
        <v>0</v>
      </c>
      <c r="X193" s="151" t="e">
        <f>O193-#REF!</f>
        <v>#REF!</v>
      </c>
      <c r="Y193" s="143">
        <f>'[65]2. подк.неподк.'!V181</f>
        <v>0</v>
      </c>
      <c r="Z193" s="182">
        <f>'[65]2. подк.неподк.'!W181</f>
        <v>0</v>
      </c>
      <c r="AA193" s="143">
        <f>'[65]2. подк.неподк.'!X181</f>
        <v>131</v>
      </c>
      <c r="AB193" s="143">
        <f t="shared" si="110"/>
        <v>0</v>
      </c>
      <c r="AC193" s="144">
        <f t="shared" si="92"/>
        <v>0</v>
      </c>
      <c r="AD193" s="143">
        <f t="shared" si="93"/>
        <v>0</v>
      </c>
      <c r="AE193" s="143"/>
      <c r="AF193" s="143">
        <f t="shared" si="95"/>
        <v>0</v>
      </c>
      <c r="AG193" s="143"/>
      <c r="AH193" s="143">
        <f t="shared" si="97"/>
        <v>-131</v>
      </c>
      <c r="AI193" s="143">
        <f t="shared" si="98"/>
        <v>-100</v>
      </c>
    </row>
    <row r="194" spans="1:35" s="191" customFormat="1" ht="53.25" customHeight="1" outlineLevel="3">
      <c r="A194" s="139" t="s">
        <v>936</v>
      </c>
      <c r="B194" s="143" t="s">
        <v>937</v>
      </c>
      <c r="C194" s="147" t="s">
        <v>938</v>
      </c>
      <c r="D194" s="148" t="s">
        <v>939</v>
      </c>
      <c r="E194" s="188"/>
      <c r="F194" s="143" t="s">
        <v>121</v>
      </c>
      <c r="G194" s="143">
        <v>0</v>
      </c>
      <c r="H194" s="143">
        <v>0</v>
      </c>
      <c r="I194" s="143">
        <v>0</v>
      </c>
      <c r="J194" s="179">
        <v>0</v>
      </c>
      <c r="K194" s="179">
        <v>2515.0664499999998</v>
      </c>
      <c r="L194" s="179">
        <v>0</v>
      </c>
      <c r="M194" s="179">
        <v>0</v>
      </c>
      <c r="N194" s="179">
        <v>2525.4330299999997</v>
      </c>
      <c r="O194" s="179">
        <v>0</v>
      </c>
      <c r="P194" s="180">
        <v>0</v>
      </c>
      <c r="Q194" s="182">
        <v>0</v>
      </c>
      <c r="R194" s="144">
        <v>0</v>
      </c>
      <c r="S194" s="182">
        <f t="shared" si="88"/>
        <v>0</v>
      </c>
      <c r="T194" s="182">
        <f t="shared" si="89"/>
        <v>0</v>
      </c>
      <c r="U194" s="181" t="e">
        <f>R194-#REF!</f>
        <v>#REF!</v>
      </c>
      <c r="V194" s="181">
        <f t="shared" si="90"/>
        <v>0</v>
      </c>
      <c r="W194" s="181">
        <f t="shared" si="91"/>
        <v>0</v>
      </c>
      <c r="X194" s="181" t="e">
        <f>O194-#REF!</f>
        <v>#REF!</v>
      </c>
      <c r="Y194" s="143">
        <f>'[65]2. подк.неподк.'!V182</f>
        <v>0</v>
      </c>
      <c r="Z194" s="182">
        <f>'[65]2. подк.неподк.'!W182</f>
        <v>0</v>
      </c>
      <c r="AA194" s="143">
        <f>'[65]2. подк.неподк.'!X182</f>
        <v>10135.690736440678</v>
      </c>
      <c r="AB194" s="143">
        <f t="shared" si="110"/>
        <v>0</v>
      </c>
      <c r="AC194" s="144">
        <f t="shared" si="92"/>
        <v>0</v>
      </c>
      <c r="AD194" s="143">
        <f t="shared" si="93"/>
        <v>0</v>
      </c>
      <c r="AE194" s="143"/>
      <c r="AF194" s="143">
        <f t="shared" si="95"/>
        <v>0</v>
      </c>
      <c r="AG194" s="143"/>
      <c r="AH194" s="143">
        <f t="shared" si="97"/>
        <v>-10135.690736440678</v>
      </c>
      <c r="AI194" s="143">
        <f t="shared" si="98"/>
        <v>-100</v>
      </c>
    </row>
    <row r="195" spans="1:35" s="191" customFormat="1" ht="52.5" customHeight="1" outlineLevel="3">
      <c r="A195" s="139" t="s">
        <v>940</v>
      </c>
      <c r="B195" s="143" t="s">
        <v>941</v>
      </c>
      <c r="C195" s="147" t="s">
        <v>942</v>
      </c>
      <c r="D195" s="148" t="s">
        <v>943</v>
      </c>
      <c r="E195" s="149" t="s">
        <v>944</v>
      </c>
      <c r="F195" s="143" t="s">
        <v>121</v>
      </c>
      <c r="G195" s="143">
        <v>1908.21</v>
      </c>
      <c r="H195" s="143">
        <v>0</v>
      </c>
      <c r="I195" s="143">
        <v>0</v>
      </c>
      <c r="J195" s="143">
        <v>2093.8278837929997</v>
      </c>
      <c r="K195" s="143">
        <v>0</v>
      </c>
      <c r="L195" s="143">
        <v>0</v>
      </c>
      <c r="M195" s="143">
        <v>0</v>
      </c>
      <c r="N195" s="143"/>
      <c r="O195" s="143"/>
      <c r="P195" s="150">
        <v>188.65848</v>
      </c>
      <c r="Q195" s="143">
        <v>188.65848</v>
      </c>
      <c r="R195" s="144">
        <v>0</v>
      </c>
      <c r="S195" s="143">
        <f t="shared" si="88"/>
        <v>0</v>
      </c>
      <c r="T195" s="143">
        <f t="shared" si="89"/>
        <v>0</v>
      </c>
      <c r="U195" s="151" t="e">
        <f>R195-#REF!</f>
        <v>#REF!</v>
      </c>
      <c r="V195" s="151">
        <f t="shared" si="90"/>
        <v>0</v>
      </c>
      <c r="W195" s="151">
        <f t="shared" si="91"/>
        <v>0</v>
      </c>
      <c r="X195" s="151" t="e">
        <f>O195-#REF!</f>
        <v>#REF!</v>
      </c>
      <c r="Y195" s="143">
        <f>'[65]2. подк.неподк.'!V183</f>
        <v>0</v>
      </c>
      <c r="Z195" s="182">
        <f>'[65]2. подк.неподк.'!W183</f>
        <v>0</v>
      </c>
      <c r="AA195" s="143">
        <f>'[65]2. подк.неподк.'!X183</f>
        <v>30.04</v>
      </c>
      <c r="AB195" s="143">
        <f t="shared" si="110"/>
        <v>0</v>
      </c>
      <c r="AC195" s="144">
        <f t="shared" si="92"/>
        <v>0</v>
      </c>
      <c r="AD195" s="143">
        <f t="shared" si="93"/>
        <v>0</v>
      </c>
      <c r="AE195" s="143"/>
      <c r="AF195" s="143">
        <f t="shared" si="95"/>
        <v>0</v>
      </c>
      <c r="AG195" s="143"/>
      <c r="AH195" s="143">
        <f t="shared" si="97"/>
        <v>-30.04</v>
      </c>
      <c r="AI195" s="143">
        <f t="shared" si="98"/>
        <v>-100</v>
      </c>
    </row>
    <row r="196" spans="1:35" s="191" customFormat="1" ht="33" customHeight="1" outlineLevel="3">
      <c r="A196" s="139" t="s">
        <v>945</v>
      </c>
      <c r="B196" s="143" t="s">
        <v>946</v>
      </c>
      <c r="C196" s="147" t="s">
        <v>947</v>
      </c>
      <c r="D196" s="148" t="s">
        <v>948</v>
      </c>
      <c r="E196" s="188"/>
      <c r="F196" s="143" t="s">
        <v>121</v>
      </c>
      <c r="G196" s="143">
        <v>0</v>
      </c>
      <c r="H196" s="143">
        <v>0</v>
      </c>
      <c r="I196" s="143">
        <v>0</v>
      </c>
      <c r="J196" s="179">
        <v>0</v>
      </c>
      <c r="K196" s="179">
        <v>0</v>
      </c>
      <c r="L196" s="179">
        <v>0</v>
      </c>
      <c r="M196" s="179">
        <v>0</v>
      </c>
      <c r="N196" s="179"/>
      <c r="O196" s="179"/>
      <c r="P196" s="180">
        <v>70.843620000000001</v>
      </c>
      <c r="Q196" s="179">
        <v>165.73782999999997</v>
      </c>
      <c r="R196" s="144">
        <v>0</v>
      </c>
      <c r="S196" s="179">
        <f t="shared" si="88"/>
        <v>0</v>
      </c>
      <c r="T196" s="179">
        <f t="shared" si="89"/>
        <v>0</v>
      </c>
      <c r="U196" s="181" t="e">
        <f>R196-#REF!</f>
        <v>#REF!</v>
      </c>
      <c r="V196" s="181">
        <f t="shared" si="90"/>
        <v>0</v>
      </c>
      <c r="W196" s="181">
        <f t="shared" si="91"/>
        <v>94.894209999999973</v>
      </c>
      <c r="X196" s="181" t="e">
        <f>O196-#REF!</f>
        <v>#REF!</v>
      </c>
      <c r="Y196" s="143">
        <f>'[65]2. подк.неподк.'!V184</f>
        <v>693.09781124999995</v>
      </c>
      <c r="Z196" s="182">
        <f>'[65]2. подк.неподк.'!W184</f>
        <v>0</v>
      </c>
      <c r="AA196" s="143">
        <f>'[65]2. подк.неподк.'!X184</f>
        <v>724.28721275624991</v>
      </c>
      <c r="AB196" s="143">
        <f t="shared" si="110"/>
        <v>718.63968497344229</v>
      </c>
      <c r="AC196" s="144">
        <f t="shared" si="92"/>
        <v>718.63968497344229</v>
      </c>
      <c r="AD196" s="143">
        <f t="shared" si="93"/>
        <v>25.541873723442336</v>
      </c>
      <c r="AE196" s="143">
        <f t="shared" si="94"/>
        <v>3.6851759317169979</v>
      </c>
      <c r="AF196" s="143">
        <f t="shared" si="95"/>
        <v>718.63968497344229</v>
      </c>
      <c r="AG196" s="143"/>
      <c r="AH196" s="143">
        <f t="shared" si="97"/>
        <v>-5.6475277828076287</v>
      </c>
      <c r="AI196" s="143">
        <f t="shared" si="98"/>
        <v>-0.77973595051004452</v>
      </c>
    </row>
    <row r="197" spans="1:35" s="191" customFormat="1" ht="33" customHeight="1" outlineLevel="3">
      <c r="A197" s="139" t="s">
        <v>949</v>
      </c>
      <c r="B197" s="143" t="s">
        <v>950</v>
      </c>
      <c r="C197" s="147" t="s">
        <v>951</v>
      </c>
      <c r="D197" s="148" t="s">
        <v>952</v>
      </c>
      <c r="E197" s="188"/>
      <c r="F197" s="143" t="s">
        <v>121</v>
      </c>
      <c r="G197" s="143">
        <v>0</v>
      </c>
      <c r="H197" s="143">
        <v>0</v>
      </c>
      <c r="I197" s="143">
        <v>0</v>
      </c>
      <c r="J197" s="179">
        <v>0</v>
      </c>
      <c r="K197" s="179">
        <v>0</v>
      </c>
      <c r="L197" s="179">
        <v>0</v>
      </c>
      <c r="M197" s="179">
        <v>0</v>
      </c>
      <c r="N197" s="179"/>
      <c r="O197" s="179"/>
      <c r="P197" s="180">
        <v>165.73782999999997</v>
      </c>
      <c r="Q197" s="179">
        <v>0</v>
      </c>
      <c r="R197" s="144">
        <v>0</v>
      </c>
      <c r="S197" s="179">
        <f t="shared" si="88"/>
        <v>0</v>
      </c>
      <c r="T197" s="179">
        <f t="shared" si="89"/>
        <v>0</v>
      </c>
      <c r="U197" s="181" t="e">
        <f>R197-#REF!</f>
        <v>#REF!</v>
      </c>
      <c r="V197" s="181">
        <f t="shared" si="90"/>
        <v>0</v>
      </c>
      <c r="W197" s="181">
        <f t="shared" si="91"/>
        <v>-165.73782999999997</v>
      </c>
      <c r="X197" s="181" t="e">
        <f>O197-#REF!</f>
        <v>#REF!</v>
      </c>
      <c r="Y197" s="143">
        <f>'[65]2. подк.неподк.'!V185</f>
        <v>0</v>
      </c>
      <c r="Z197" s="182">
        <f>'[65]2. подк.неподк.'!W185</f>
        <v>0</v>
      </c>
      <c r="AA197" s="143">
        <f>'[65]2. подк.неподк.'!X185</f>
        <v>212.5</v>
      </c>
      <c r="AB197" s="143">
        <f t="shared" si="110"/>
        <v>0</v>
      </c>
      <c r="AC197" s="144">
        <f t="shared" si="92"/>
        <v>0</v>
      </c>
      <c r="AD197" s="143">
        <f t="shared" si="93"/>
        <v>0</v>
      </c>
      <c r="AE197" s="143"/>
      <c r="AF197" s="143">
        <f t="shared" si="95"/>
        <v>0</v>
      </c>
      <c r="AG197" s="143"/>
      <c r="AH197" s="143">
        <f t="shared" si="97"/>
        <v>-212.5</v>
      </c>
      <c r="AI197" s="143">
        <f t="shared" si="98"/>
        <v>-100</v>
      </c>
    </row>
    <row r="198" spans="1:35" s="191" customFormat="1" ht="33" customHeight="1" outlineLevel="3">
      <c r="A198" s="139" t="s">
        <v>953</v>
      </c>
      <c r="B198" s="143" t="s">
        <v>954</v>
      </c>
      <c r="C198" s="147" t="s">
        <v>955</v>
      </c>
      <c r="D198" s="148" t="s">
        <v>956</v>
      </c>
      <c r="E198" s="149" t="s">
        <v>957</v>
      </c>
      <c r="F198" s="143" t="s">
        <v>121</v>
      </c>
      <c r="G198" s="143">
        <v>0</v>
      </c>
      <c r="H198" s="143">
        <v>0</v>
      </c>
      <c r="I198" s="143">
        <v>0</v>
      </c>
      <c r="J198" s="143">
        <v>0</v>
      </c>
      <c r="K198" s="143">
        <v>19106.18389</v>
      </c>
      <c r="L198" s="143">
        <v>0</v>
      </c>
      <c r="M198" s="143">
        <v>0</v>
      </c>
      <c r="N198" s="143">
        <v>1456.6312499999999</v>
      </c>
      <c r="O198" s="143">
        <v>1430.4957899999999</v>
      </c>
      <c r="P198" s="150">
        <v>0</v>
      </c>
      <c r="Q198" s="143">
        <v>0</v>
      </c>
      <c r="R198" s="144">
        <v>0</v>
      </c>
      <c r="S198" s="143">
        <f t="shared" si="88"/>
        <v>0</v>
      </c>
      <c r="T198" s="143">
        <f t="shared" si="89"/>
        <v>-1430.4957899999999</v>
      </c>
      <c r="U198" s="151" t="e">
        <f>R198-#REF!</f>
        <v>#REF!</v>
      </c>
      <c r="V198" s="151">
        <f t="shared" si="90"/>
        <v>0</v>
      </c>
      <c r="W198" s="151">
        <f t="shared" si="91"/>
        <v>0</v>
      </c>
      <c r="X198" s="151" t="e">
        <f>O198-#REF!</f>
        <v>#REF!</v>
      </c>
      <c r="Y198" s="143">
        <f>'[65]2. подк.неподк.'!V186</f>
        <v>0</v>
      </c>
      <c r="Z198" s="182">
        <f>'[65]2. подк.неподк.'!W186</f>
        <v>0</v>
      </c>
      <c r="AA198" s="143">
        <f>'[65]2. подк.неподк.'!X186</f>
        <v>1696.9915200000003</v>
      </c>
      <c r="AB198" s="143">
        <f t="shared" si="110"/>
        <v>0</v>
      </c>
      <c r="AC198" s="144">
        <f t="shared" si="92"/>
        <v>0</v>
      </c>
      <c r="AD198" s="143">
        <f t="shared" si="93"/>
        <v>0</v>
      </c>
      <c r="AE198" s="143"/>
      <c r="AF198" s="143">
        <f t="shared" si="95"/>
        <v>0</v>
      </c>
      <c r="AG198" s="143"/>
      <c r="AH198" s="143">
        <f t="shared" si="97"/>
        <v>-1696.9915200000003</v>
      </c>
      <c r="AI198" s="143">
        <f t="shared" si="98"/>
        <v>-100</v>
      </c>
    </row>
    <row r="199" spans="1:35" ht="33" customHeight="1" outlineLevel="3">
      <c r="A199" s="139" t="s">
        <v>958</v>
      </c>
      <c r="B199" s="143" t="s">
        <v>959</v>
      </c>
      <c r="C199" s="147" t="s">
        <v>960</v>
      </c>
      <c r="D199" s="148" t="s">
        <v>961</v>
      </c>
      <c r="E199" s="188"/>
      <c r="F199" s="143" t="s">
        <v>121</v>
      </c>
      <c r="G199" s="143">
        <v>0</v>
      </c>
      <c r="H199" s="143">
        <v>0</v>
      </c>
      <c r="I199" s="143">
        <v>0</v>
      </c>
      <c r="J199" s="179">
        <v>0</v>
      </c>
      <c r="K199" s="179">
        <v>0</v>
      </c>
      <c r="L199" s="179">
        <v>0</v>
      </c>
      <c r="M199" s="179">
        <v>0</v>
      </c>
      <c r="N199" s="179"/>
      <c r="O199" s="179"/>
      <c r="P199" s="180">
        <v>777.00405000000001</v>
      </c>
      <c r="Q199" s="179">
        <v>777.00405000000001</v>
      </c>
      <c r="R199" s="144">
        <v>0</v>
      </c>
      <c r="S199" s="179">
        <f t="shared" si="88"/>
        <v>0</v>
      </c>
      <c r="T199" s="179">
        <f t="shared" si="89"/>
        <v>0</v>
      </c>
      <c r="U199" s="181" t="e">
        <f>R199-#REF!</f>
        <v>#REF!</v>
      </c>
      <c r="V199" s="181">
        <f t="shared" si="90"/>
        <v>0</v>
      </c>
      <c r="W199" s="181">
        <f t="shared" si="91"/>
        <v>0</v>
      </c>
      <c r="X199" s="181" t="e">
        <f>O199-#REF!</f>
        <v>#REF!</v>
      </c>
      <c r="Y199" s="143">
        <f>'[65]2. подк.неподк.'!V187</f>
        <v>0</v>
      </c>
      <c r="Z199" s="182">
        <f>'[65]2. подк.неподк.'!W187</f>
        <v>0</v>
      </c>
      <c r="AA199" s="143">
        <f>'[65]2. подк.неподк.'!X187</f>
        <v>520</v>
      </c>
      <c r="AB199" s="143">
        <f t="shared" si="110"/>
        <v>0</v>
      </c>
      <c r="AC199" s="144">
        <f t="shared" si="92"/>
        <v>0</v>
      </c>
      <c r="AD199" s="143">
        <f t="shared" si="93"/>
        <v>0</v>
      </c>
      <c r="AE199" s="143"/>
      <c r="AF199" s="143">
        <f t="shared" si="95"/>
        <v>0</v>
      </c>
      <c r="AG199" s="143"/>
      <c r="AH199" s="143">
        <f t="shared" si="97"/>
        <v>-520</v>
      </c>
      <c r="AI199" s="143">
        <f t="shared" si="98"/>
        <v>-100</v>
      </c>
    </row>
    <row r="200" spans="1:35" ht="51" customHeight="1" outlineLevel="3">
      <c r="A200" s="139" t="s">
        <v>962</v>
      </c>
      <c r="B200" s="143" t="s">
        <v>963</v>
      </c>
      <c r="C200" s="147" t="s">
        <v>964</v>
      </c>
      <c r="D200" s="148" t="s">
        <v>965</v>
      </c>
      <c r="E200" s="188"/>
      <c r="F200" s="143" t="s">
        <v>121</v>
      </c>
      <c r="G200" s="143">
        <v>0</v>
      </c>
      <c r="H200" s="143">
        <v>0</v>
      </c>
      <c r="I200" s="143">
        <v>0</v>
      </c>
      <c r="J200" s="179">
        <v>0</v>
      </c>
      <c r="K200" s="179">
        <v>0</v>
      </c>
      <c r="L200" s="179">
        <v>0</v>
      </c>
      <c r="M200" s="179">
        <v>0</v>
      </c>
      <c r="N200" s="179">
        <v>3116.5554200000001</v>
      </c>
      <c r="O200" s="179">
        <v>3116.5554200000001</v>
      </c>
      <c r="P200" s="180">
        <v>3116.5554200000001</v>
      </c>
      <c r="Q200" s="179">
        <v>6323.6267900000003</v>
      </c>
      <c r="R200" s="144">
        <v>3116.5554200000001</v>
      </c>
      <c r="S200" s="179">
        <f t="shared" si="88"/>
        <v>3116.5554200000001</v>
      </c>
      <c r="T200" s="179">
        <f t="shared" si="89"/>
        <v>0</v>
      </c>
      <c r="U200" s="181" t="e">
        <f>R200-#REF!</f>
        <v>#REF!</v>
      </c>
      <c r="V200" s="181">
        <f t="shared" si="90"/>
        <v>3116.5554200000001</v>
      </c>
      <c r="W200" s="181">
        <f t="shared" si="91"/>
        <v>3207.0713700000001</v>
      </c>
      <c r="X200" s="181" t="e">
        <f>O200-#REF!</f>
        <v>#REF!</v>
      </c>
      <c r="Y200" s="143">
        <f>'[65]2. подк.неподк.'!V188</f>
        <v>0</v>
      </c>
      <c r="Z200" s="182">
        <f>'[65]2. подк.неподк.'!W188</f>
        <v>0</v>
      </c>
      <c r="AA200" s="143">
        <f>'[65]2. подк.неподк.'!X188</f>
        <v>3440.68</v>
      </c>
      <c r="AB200" s="143">
        <f t="shared" si="110"/>
        <v>0</v>
      </c>
      <c r="AC200" s="144">
        <f t="shared" si="92"/>
        <v>0</v>
      </c>
      <c r="AD200" s="143">
        <f t="shared" si="93"/>
        <v>0</v>
      </c>
      <c r="AE200" s="143"/>
      <c r="AF200" s="143">
        <f t="shared" si="95"/>
        <v>0</v>
      </c>
      <c r="AG200" s="143"/>
      <c r="AH200" s="143">
        <f t="shared" si="97"/>
        <v>-3440.68</v>
      </c>
      <c r="AI200" s="143">
        <f t="shared" si="98"/>
        <v>-100</v>
      </c>
    </row>
    <row r="201" spans="1:35" ht="33" customHeight="1" outlineLevel="3">
      <c r="A201" s="139" t="s">
        <v>966</v>
      </c>
      <c r="B201" s="167" t="s">
        <v>967</v>
      </c>
      <c r="C201" s="198" t="s">
        <v>968</v>
      </c>
      <c r="D201" s="199" t="s">
        <v>969</v>
      </c>
      <c r="E201" s="149" t="s">
        <v>970</v>
      </c>
      <c r="F201" s="143" t="s">
        <v>121</v>
      </c>
      <c r="G201" s="143">
        <v>0</v>
      </c>
      <c r="H201" s="143">
        <v>0</v>
      </c>
      <c r="I201" s="143">
        <v>0</v>
      </c>
      <c r="J201" s="143">
        <v>0</v>
      </c>
      <c r="K201" s="143">
        <v>0</v>
      </c>
      <c r="L201" s="143">
        <v>0</v>
      </c>
      <c r="M201" s="143">
        <v>0</v>
      </c>
      <c r="N201" s="143">
        <v>7199.9702400000006</v>
      </c>
      <c r="O201" s="143">
        <v>6323.6267900000003</v>
      </c>
      <c r="P201" s="180">
        <v>6323.6267900000003</v>
      </c>
      <c r="Q201" s="179">
        <v>6323.6267900000003</v>
      </c>
      <c r="R201" s="144">
        <v>0</v>
      </c>
      <c r="S201" s="179">
        <f t="shared" si="88"/>
        <v>0</v>
      </c>
      <c r="T201" s="179">
        <f t="shared" si="89"/>
        <v>-6323.6267900000003</v>
      </c>
      <c r="U201" s="181" t="e">
        <f>R201-#REF!</f>
        <v>#REF!</v>
      </c>
      <c r="V201" s="181">
        <f t="shared" si="90"/>
        <v>0</v>
      </c>
      <c r="W201" s="181">
        <f t="shared" si="91"/>
        <v>0</v>
      </c>
      <c r="X201" s="181" t="e">
        <f>O201-#REF!</f>
        <v>#REF!</v>
      </c>
      <c r="Y201" s="143">
        <f>'[65]2. подк.неподк.'!V189</f>
        <v>0</v>
      </c>
      <c r="Z201" s="182">
        <f>'[65]2. подк.неподк.'!W189</f>
        <v>0</v>
      </c>
      <c r="AA201" s="143">
        <f>'[65]2. подк.неподк.'!X189</f>
        <v>246.69</v>
      </c>
      <c r="AB201" s="143">
        <f t="shared" si="110"/>
        <v>0</v>
      </c>
      <c r="AC201" s="144">
        <f t="shared" si="92"/>
        <v>0</v>
      </c>
      <c r="AD201" s="143">
        <f t="shared" si="93"/>
        <v>0</v>
      </c>
      <c r="AE201" s="143"/>
      <c r="AF201" s="143">
        <f t="shared" si="95"/>
        <v>0</v>
      </c>
      <c r="AG201" s="143"/>
      <c r="AH201" s="143">
        <f t="shared" si="97"/>
        <v>-246.69</v>
      </c>
      <c r="AI201" s="143">
        <f t="shared" si="98"/>
        <v>-100</v>
      </c>
    </row>
    <row r="202" spans="1:35" ht="33" customHeight="1" outlineLevel="3">
      <c r="A202" s="139"/>
      <c r="B202" s="167" t="s">
        <v>971</v>
      </c>
      <c r="C202" s="198"/>
      <c r="D202" s="199" t="s">
        <v>551</v>
      </c>
      <c r="E202" s="149"/>
      <c r="F202" s="143" t="s">
        <v>121</v>
      </c>
      <c r="G202" s="143">
        <v>0</v>
      </c>
      <c r="H202" s="143">
        <v>0</v>
      </c>
      <c r="I202" s="143">
        <v>0</v>
      </c>
      <c r="J202" s="143"/>
      <c r="K202" s="143"/>
      <c r="L202" s="143"/>
      <c r="M202" s="143"/>
      <c r="N202" s="143">
        <v>90</v>
      </c>
      <c r="O202" s="143">
        <v>90</v>
      </c>
      <c r="P202" s="180">
        <v>90</v>
      </c>
      <c r="Q202" s="179">
        <v>90</v>
      </c>
      <c r="R202" s="144">
        <v>90</v>
      </c>
      <c r="S202" s="179">
        <f t="shared" si="88"/>
        <v>90</v>
      </c>
      <c r="T202" s="179">
        <f t="shared" si="89"/>
        <v>0</v>
      </c>
      <c r="U202" s="181" t="e">
        <f>R202-#REF!</f>
        <v>#REF!</v>
      </c>
      <c r="V202" s="181">
        <f t="shared" si="90"/>
        <v>90</v>
      </c>
      <c r="W202" s="181">
        <f t="shared" si="91"/>
        <v>0</v>
      </c>
      <c r="X202" s="181" t="e">
        <f>O202-#REF!</f>
        <v>#REF!</v>
      </c>
      <c r="Y202" s="143">
        <v>0</v>
      </c>
      <c r="Z202" s="182">
        <v>0</v>
      </c>
      <c r="AA202" s="143">
        <v>0</v>
      </c>
      <c r="AB202" s="143">
        <f t="shared" si="110"/>
        <v>0</v>
      </c>
      <c r="AC202" s="144">
        <f t="shared" si="92"/>
        <v>0</v>
      </c>
      <c r="AD202" s="143">
        <f t="shared" si="93"/>
        <v>0</v>
      </c>
      <c r="AE202" s="143"/>
      <c r="AF202" s="143">
        <f t="shared" si="95"/>
        <v>0</v>
      </c>
      <c r="AG202" s="143"/>
      <c r="AH202" s="143">
        <f t="shared" si="97"/>
        <v>0</v>
      </c>
      <c r="AI202" s="143"/>
    </row>
    <row r="203" spans="1:35" ht="33" customHeight="1" outlineLevel="3">
      <c r="A203" s="139"/>
      <c r="B203" s="167" t="s">
        <v>972</v>
      </c>
      <c r="C203" s="198"/>
      <c r="D203" s="199" t="s">
        <v>556</v>
      </c>
      <c r="E203" s="149"/>
      <c r="F203" s="143" t="s">
        <v>121</v>
      </c>
      <c r="G203" s="143">
        <v>0</v>
      </c>
      <c r="H203" s="143">
        <v>0</v>
      </c>
      <c r="I203" s="143">
        <v>0</v>
      </c>
      <c r="J203" s="143"/>
      <c r="K203" s="143"/>
      <c r="L203" s="143"/>
      <c r="M203" s="143"/>
      <c r="N203" s="143">
        <v>165.65</v>
      </c>
      <c r="O203" s="143">
        <v>153.82189000000002</v>
      </c>
      <c r="P203" s="180">
        <v>153.82189000000002</v>
      </c>
      <c r="Q203" s="179">
        <v>153.82189000000002</v>
      </c>
      <c r="R203" s="144">
        <v>153.82189000000002</v>
      </c>
      <c r="S203" s="179">
        <f t="shared" si="88"/>
        <v>153.82189000000002</v>
      </c>
      <c r="T203" s="179">
        <f t="shared" si="89"/>
        <v>0</v>
      </c>
      <c r="U203" s="181" t="e">
        <f>R203-#REF!</f>
        <v>#REF!</v>
      </c>
      <c r="V203" s="181">
        <f t="shared" si="90"/>
        <v>153.82189000000002</v>
      </c>
      <c r="W203" s="181">
        <f t="shared" si="91"/>
        <v>0</v>
      </c>
      <c r="X203" s="181" t="e">
        <f>O203-#REF!</f>
        <v>#REF!</v>
      </c>
      <c r="Y203" s="143">
        <v>0</v>
      </c>
      <c r="Z203" s="182">
        <v>0</v>
      </c>
      <c r="AA203" s="143">
        <v>0</v>
      </c>
      <c r="AB203" s="143">
        <f t="shared" si="110"/>
        <v>0</v>
      </c>
      <c r="AC203" s="144">
        <f t="shared" si="92"/>
        <v>0</v>
      </c>
      <c r="AD203" s="143">
        <f t="shared" si="93"/>
        <v>0</v>
      </c>
      <c r="AE203" s="143"/>
      <c r="AF203" s="143">
        <f t="shared" si="95"/>
        <v>0</v>
      </c>
      <c r="AG203" s="143"/>
      <c r="AH203" s="143">
        <f t="shared" si="97"/>
        <v>0</v>
      </c>
      <c r="AI203" s="143"/>
    </row>
    <row r="204" spans="1:35" ht="33" customHeight="1" outlineLevel="3">
      <c r="A204" s="139"/>
      <c r="B204" s="167" t="s">
        <v>973</v>
      </c>
      <c r="C204" s="198"/>
      <c r="D204" s="199" t="s">
        <v>974</v>
      </c>
      <c r="E204" s="149"/>
      <c r="F204" s="143" t="s">
        <v>121</v>
      </c>
      <c r="G204" s="143">
        <v>0</v>
      </c>
      <c r="H204" s="143">
        <v>0</v>
      </c>
      <c r="I204" s="143">
        <v>0</v>
      </c>
      <c r="J204" s="143"/>
      <c r="K204" s="143"/>
      <c r="L204" s="143"/>
      <c r="M204" s="143"/>
      <c r="N204" s="143"/>
      <c r="O204" s="143"/>
      <c r="P204" s="180"/>
      <c r="Q204" s="179"/>
      <c r="R204" s="144"/>
      <c r="S204" s="179">
        <f t="shared" si="88"/>
        <v>0</v>
      </c>
      <c r="T204" s="179">
        <f t="shared" si="89"/>
        <v>0</v>
      </c>
      <c r="U204" s="181" t="e">
        <f>R204-#REF!</f>
        <v>#REF!</v>
      </c>
      <c r="V204" s="181">
        <f t="shared" si="90"/>
        <v>0</v>
      </c>
      <c r="W204" s="181">
        <f t="shared" si="91"/>
        <v>0</v>
      </c>
      <c r="X204" s="181" t="e">
        <f>O204-#REF!</f>
        <v>#REF!</v>
      </c>
      <c r="Y204" s="143">
        <v>0</v>
      </c>
      <c r="Z204" s="182">
        <v>0</v>
      </c>
      <c r="AA204" s="143">
        <v>0</v>
      </c>
      <c r="AB204" s="143">
        <f t="shared" si="110"/>
        <v>0</v>
      </c>
      <c r="AC204" s="144">
        <f t="shared" si="92"/>
        <v>0</v>
      </c>
      <c r="AD204" s="143">
        <f t="shared" si="93"/>
        <v>0</v>
      </c>
      <c r="AE204" s="143"/>
      <c r="AF204" s="143">
        <f t="shared" si="95"/>
        <v>0</v>
      </c>
      <c r="AG204" s="143"/>
      <c r="AH204" s="143">
        <f t="shared" si="97"/>
        <v>0</v>
      </c>
      <c r="AI204" s="143"/>
    </row>
    <row r="205" spans="1:35" s="161" customFormat="1" ht="33" customHeight="1" outlineLevel="2">
      <c r="A205" s="153"/>
      <c r="B205" s="154"/>
      <c r="C205" s="155"/>
      <c r="D205" s="394" t="s">
        <v>975</v>
      </c>
      <c r="E205" s="157"/>
      <c r="F205" s="158"/>
      <c r="G205" s="154">
        <f t="shared" ref="G205:H205" si="111">SUM(G181:G201)</f>
        <v>74519.575548274923</v>
      </c>
      <c r="H205" s="154">
        <f t="shared" si="111"/>
        <v>114718.43003000002</v>
      </c>
      <c r="I205" s="154">
        <f t="shared" ref="I205" si="112">SUM(I181:I201)</f>
        <v>104459.21</v>
      </c>
      <c r="J205" s="154">
        <f>SUM(J181:J201)</f>
        <v>70405.40017858395</v>
      </c>
      <c r="K205" s="154">
        <f t="shared" ref="K205:M205" si="113">SUM(K181:K201)</f>
        <v>153383.25628999999</v>
      </c>
      <c r="L205" s="154">
        <f t="shared" si="113"/>
        <v>131289.87</v>
      </c>
      <c r="M205" s="154">
        <f t="shared" si="113"/>
        <v>72706.707507035826</v>
      </c>
      <c r="N205" s="154">
        <f>SUM(N181:N204)</f>
        <v>120830.31879</v>
      </c>
      <c r="O205" s="154">
        <f t="shared" ref="O205:AB205" si="114">SUM(O181:O204)</f>
        <v>113298.80385000001</v>
      </c>
      <c r="P205" s="159">
        <f t="shared" si="114"/>
        <v>111664.30840000001</v>
      </c>
      <c r="Q205" s="154">
        <f t="shared" si="114"/>
        <v>114800.53615</v>
      </c>
      <c r="R205" s="144">
        <f t="shared" si="114"/>
        <v>105340.68161000001</v>
      </c>
      <c r="S205" s="144">
        <f t="shared" si="88"/>
        <v>32633.974102964188</v>
      </c>
      <c r="T205" s="144">
        <f t="shared" si="89"/>
        <v>-7958.122239999997</v>
      </c>
      <c r="U205" s="160" t="e">
        <f>R205-#REF!</f>
        <v>#REF!</v>
      </c>
      <c r="V205" s="160">
        <f t="shared" si="90"/>
        <v>32633.974102964188</v>
      </c>
      <c r="W205" s="160">
        <f t="shared" si="91"/>
        <v>3136.2277499999909</v>
      </c>
      <c r="X205" s="160" t="e">
        <f>O205-#REF!</f>
        <v>#REF!</v>
      </c>
      <c r="Y205" s="154">
        <f t="shared" si="114"/>
        <v>70809.224299489564</v>
      </c>
      <c r="Z205" s="194">
        <f t="shared" si="114"/>
        <v>73271.353698072839</v>
      </c>
      <c r="AA205" s="154">
        <f t="shared" si="114"/>
        <v>142715.89806543695</v>
      </c>
      <c r="AB205" s="154">
        <f t="shared" si="114"/>
        <v>73418.668790809868</v>
      </c>
      <c r="AC205" s="144">
        <f t="shared" si="92"/>
        <v>73418.668790809868</v>
      </c>
      <c r="AD205" s="154">
        <f t="shared" si="93"/>
        <v>2609.4444913203042</v>
      </c>
      <c r="AE205" s="154">
        <f t="shared" si="94"/>
        <v>3.6851759317170263</v>
      </c>
      <c r="AF205" s="154">
        <f t="shared" si="95"/>
        <v>147.31509273702977</v>
      </c>
      <c r="AG205" s="154">
        <f t="shared" si="96"/>
        <v>0.20105414367539254</v>
      </c>
      <c r="AH205" s="154">
        <f t="shared" si="97"/>
        <v>-69297.229274627083</v>
      </c>
      <c r="AI205" s="154">
        <f t="shared" si="98"/>
        <v>-48.556068534742693</v>
      </c>
    </row>
    <row r="206" spans="1:35" ht="33" customHeight="1" outlineLevel="1">
      <c r="A206" s="139"/>
      <c r="B206" s="140" t="s">
        <v>976</v>
      </c>
      <c r="C206" s="141"/>
      <c r="D206" s="393" t="s">
        <v>977</v>
      </c>
      <c r="E206" s="188" t="s">
        <v>977</v>
      </c>
      <c r="F206" s="143" t="s">
        <v>121</v>
      </c>
      <c r="G206" s="144">
        <f t="shared" ref="G206:I206" si="115">SUM(G207:G210)</f>
        <v>10697.547500000001</v>
      </c>
      <c r="H206" s="144">
        <f t="shared" si="115"/>
        <v>5558.1854999999996</v>
      </c>
      <c r="I206" s="144">
        <f t="shared" si="115"/>
        <v>5558.19</v>
      </c>
      <c r="J206" s="144">
        <f>SUM(J207:J210)</f>
        <v>10640.86</v>
      </c>
      <c r="K206" s="144">
        <f t="shared" ref="K206:AB206" si="116">SUM(K207:K210)</f>
        <v>7949.0336299999999</v>
      </c>
      <c r="L206" s="144">
        <f t="shared" si="116"/>
        <v>7539.8600000000006</v>
      </c>
      <c r="M206" s="144">
        <f t="shared" si="116"/>
        <v>5884.03</v>
      </c>
      <c r="N206" s="144">
        <f t="shared" si="116"/>
        <v>3864.2157499999994</v>
      </c>
      <c r="O206" s="144">
        <f t="shared" si="116"/>
        <v>3835.9159</v>
      </c>
      <c r="P206" s="145">
        <f t="shared" si="116"/>
        <v>3775.7966499999998</v>
      </c>
      <c r="Q206" s="144">
        <f t="shared" si="116"/>
        <v>3775.7966499999998</v>
      </c>
      <c r="R206" s="144">
        <f t="shared" si="116"/>
        <v>3775.7966499999998</v>
      </c>
      <c r="S206" s="144">
        <f t="shared" si="88"/>
        <v>-2108.23335</v>
      </c>
      <c r="T206" s="144">
        <f t="shared" si="89"/>
        <v>-60.119250000000193</v>
      </c>
      <c r="U206" s="146" t="e">
        <f>R206-#REF!</f>
        <v>#REF!</v>
      </c>
      <c r="V206" s="146">
        <f t="shared" si="90"/>
        <v>-2108.23335</v>
      </c>
      <c r="W206" s="146">
        <f t="shared" si="91"/>
        <v>0</v>
      </c>
      <c r="X206" s="146" t="e">
        <f>O206-#REF!</f>
        <v>#REF!</v>
      </c>
      <c r="Y206" s="144">
        <f t="shared" si="116"/>
        <v>8069.47474375</v>
      </c>
      <c r="Z206" s="170">
        <f t="shared" si="116"/>
        <v>8432.6000400124994</v>
      </c>
      <c r="AA206" s="144">
        <f t="shared" si="116"/>
        <v>8499.1200400124999</v>
      </c>
      <c r="AB206" s="144">
        <f t="shared" si="116"/>
        <v>8366.8490848226575</v>
      </c>
      <c r="AC206" s="144">
        <f t="shared" si="92"/>
        <v>8366.8490848226575</v>
      </c>
      <c r="AD206" s="144">
        <f t="shared" si="93"/>
        <v>297.37434107265744</v>
      </c>
      <c r="AE206" s="144">
        <f t="shared" si="94"/>
        <v>3.6851759317169979</v>
      </c>
      <c r="AF206" s="144">
        <f t="shared" si="95"/>
        <v>-65.750955189841989</v>
      </c>
      <c r="AG206" s="144">
        <f t="shared" si="96"/>
        <v>-0.77972339347122954</v>
      </c>
      <c r="AH206" s="144">
        <f t="shared" si="97"/>
        <v>-132.27095518984243</v>
      </c>
      <c r="AI206" s="144">
        <f t="shared" si="98"/>
        <v>-1.5562899990485164</v>
      </c>
    </row>
    <row r="207" spans="1:35" ht="33" customHeight="1" outlineLevel="2">
      <c r="A207" s="139" t="s">
        <v>978</v>
      </c>
      <c r="B207" s="143" t="s">
        <v>979</v>
      </c>
      <c r="C207" s="147" t="s">
        <v>980</v>
      </c>
      <c r="D207" s="148" t="s">
        <v>981</v>
      </c>
      <c r="E207" s="1332" t="s">
        <v>982</v>
      </c>
      <c r="F207" s="143" t="s">
        <v>121</v>
      </c>
      <c r="G207" s="143">
        <v>10697.547500000001</v>
      </c>
      <c r="H207" s="143">
        <v>5558.1854999999996</v>
      </c>
      <c r="I207" s="143">
        <v>5558.19</v>
      </c>
      <c r="J207" s="143">
        <v>908.73</v>
      </c>
      <c r="K207" s="143">
        <v>650.71425999999997</v>
      </c>
      <c r="L207" s="143">
        <v>350.71</v>
      </c>
      <c r="M207" s="143">
        <v>502.5</v>
      </c>
      <c r="N207" s="143">
        <v>527.6</v>
      </c>
      <c r="O207" s="143">
        <v>519.37950000000001</v>
      </c>
      <c r="P207" s="150">
        <v>519.37950000000001</v>
      </c>
      <c r="Q207" s="167">
        <v>519.37950000000001</v>
      </c>
      <c r="R207" s="144">
        <v>519.37950000000001</v>
      </c>
      <c r="S207" s="167">
        <f t="shared" si="88"/>
        <v>16.879500000000007</v>
      </c>
      <c r="T207" s="167">
        <f t="shared" si="89"/>
        <v>0</v>
      </c>
      <c r="U207" s="151" t="e">
        <f>R207-#REF!</f>
        <v>#REF!</v>
      </c>
      <c r="V207" s="151">
        <f t="shared" si="90"/>
        <v>16.879500000000007</v>
      </c>
      <c r="W207" s="151">
        <f t="shared" si="91"/>
        <v>0</v>
      </c>
      <c r="X207" s="151" t="e">
        <f>O207-#REF!</f>
        <v>#REF!</v>
      </c>
      <c r="Y207" s="143">
        <f>'[65]2. подк.неподк.'!V195</f>
        <v>644.24</v>
      </c>
      <c r="Z207" s="182">
        <f>'[65]2. подк.неподк.'!W195</f>
        <v>673.22973279374992</v>
      </c>
      <c r="AA207" s="143">
        <f>'[65]2. подк.неподк.'!X195</f>
        <v>673.22973279374992</v>
      </c>
      <c r="AB207" s="143">
        <f>Y207*$AA$11</f>
        <v>667.98137742249355</v>
      </c>
      <c r="AC207" s="144">
        <f t="shared" si="92"/>
        <v>667.98137742249355</v>
      </c>
      <c r="AD207" s="143">
        <f t="shared" si="93"/>
        <v>23.741377422493542</v>
      </c>
      <c r="AE207" s="143">
        <f t="shared" si="94"/>
        <v>3.6851759317169979</v>
      </c>
      <c r="AF207" s="143">
        <f t="shared" si="95"/>
        <v>-5.2483553712563662</v>
      </c>
      <c r="AG207" s="143">
        <f t="shared" si="96"/>
        <v>-0.77957866618231719</v>
      </c>
      <c r="AH207" s="143">
        <f t="shared" si="97"/>
        <v>-5.2483553712563662</v>
      </c>
      <c r="AI207" s="143">
        <f t="shared" si="98"/>
        <v>-0.77957866618231719</v>
      </c>
    </row>
    <row r="208" spans="1:35" ht="33" customHeight="1" outlineLevel="2">
      <c r="A208" s="139" t="s">
        <v>983</v>
      </c>
      <c r="B208" s="143" t="s">
        <v>984</v>
      </c>
      <c r="C208" s="147" t="s">
        <v>985</v>
      </c>
      <c r="D208" s="148" t="s">
        <v>986</v>
      </c>
      <c r="E208" s="1332"/>
      <c r="F208" s="143" t="s">
        <v>121</v>
      </c>
      <c r="G208" s="143">
        <v>0</v>
      </c>
      <c r="H208" s="143">
        <v>0</v>
      </c>
      <c r="I208" s="143">
        <v>0</v>
      </c>
      <c r="J208" s="143">
        <v>3711.53</v>
      </c>
      <c r="K208" s="143">
        <v>2713.8523700000001</v>
      </c>
      <c r="L208" s="143">
        <v>2713.85</v>
      </c>
      <c r="M208" s="143">
        <v>2052.35</v>
      </c>
      <c r="N208" s="143">
        <v>1013.5195699999999</v>
      </c>
      <c r="O208" s="143">
        <v>1009.3304899999999</v>
      </c>
      <c r="P208" s="150">
        <v>1009.3304899999999</v>
      </c>
      <c r="Q208" s="143">
        <v>1009.3304899999999</v>
      </c>
      <c r="R208" s="144">
        <v>1009.3304899999999</v>
      </c>
      <c r="S208" s="143">
        <f t="shared" si="88"/>
        <v>-1043.0195100000001</v>
      </c>
      <c r="T208" s="143">
        <f t="shared" si="89"/>
        <v>0</v>
      </c>
      <c r="U208" s="151" t="e">
        <f>R208-#REF!</f>
        <v>#REF!</v>
      </c>
      <c r="V208" s="151">
        <f t="shared" si="90"/>
        <v>-1043.0195100000001</v>
      </c>
      <c r="W208" s="151">
        <f t="shared" si="91"/>
        <v>0</v>
      </c>
      <c r="X208" s="151" t="e">
        <f>O208-#REF!</f>
        <v>#REF!</v>
      </c>
      <c r="Y208" s="143">
        <f>'[65]2. подк.неподк.'!V196</f>
        <v>2831.3551312500003</v>
      </c>
      <c r="Z208" s="182">
        <f>'[65]2. подк.неподк.'!W196</f>
        <v>2958.7661121562501</v>
      </c>
      <c r="AA208" s="143">
        <f>'[65]2. подк.неподк.'!X196</f>
        <v>2958.7661121562501</v>
      </c>
      <c r="AB208" s="143">
        <f>Y208*$AA$11</f>
        <v>2935.6955490882597</v>
      </c>
      <c r="AC208" s="144">
        <f t="shared" si="92"/>
        <v>2935.6955490882597</v>
      </c>
      <c r="AD208" s="143">
        <f t="shared" si="93"/>
        <v>104.34041783825933</v>
      </c>
      <c r="AE208" s="143">
        <f t="shared" si="94"/>
        <v>3.6851759317169979</v>
      </c>
      <c r="AF208" s="143">
        <f t="shared" si="95"/>
        <v>-23.070563067990406</v>
      </c>
      <c r="AG208" s="143">
        <f t="shared" si="96"/>
        <v>-0.77973595051004452</v>
      </c>
      <c r="AH208" s="143">
        <f t="shared" si="97"/>
        <v>-23.070563067990406</v>
      </c>
      <c r="AI208" s="143">
        <f t="shared" si="98"/>
        <v>-0.77973595051004452</v>
      </c>
    </row>
    <row r="209" spans="1:35" ht="33" customHeight="1" outlineLevel="2">
      <c r="A209" s="139" t="s">
        <v>987</v>
      </c>
      <c r="B209" s="143" t="s">
        <v>988</v>
      </c>
      <c r="C209" s="147" t="s">
        <v>989</v>
      </c>
      <c r="D209" s="148" t="s">
        <v>990</v>
      </c>
      <c r="E209" s="1332"/>
      <c r="F209" s="143" t="s">
        <v>121</v>
      </c>
      <c r="G209" s="143">
        <v>0</v>
      </c>
      <c r="H209" s="143">
        <v>0</v>
      </c>
      <c r="I209" s="143">
        <v>0</v>
      </c>
      <c r="J209" s="143">
        <v>6020.6</v>
      </c>
      <c r="K209" s="143">
        <v>4475.2997999999998</v>
      </c>
      <c r="L209" s="143">
        <v>4475.3</v>
      </c>
      <c r="M209" s="143">
        <v>3329.18</v>
      </c>
      <c r="N209" s="143">
        <v>2262.8432799999996</v>
      </c>
      <c r="O209" s="143">
        <v>2247.0866599999999</v>
      </c>
      <c r="P209" s="150">
        <v>2247.0866599999999</v>
      </c>
      <c r="Q209" s="143">
        <v>2247.0866599999999</v>
      </c>
      <c r="R209" s="144">
        <v>2247.0866599999999</v>
      </c>
      <c r="S209" s="143">
        <f t="shared" si="88"/>
        <v>-1082.0933399999999</v>
      </c>
      <c r="T209" s="143">
        <f t="shared" si="89"/>
        <v>0</v>
      </c>
      <c r="U209" s="151" t="e">
        <f>R209-#REF!</f>
        <v>#REF!</v>
      </c>
      <c r="V209" s="151">
        <f t="shared" si="90"/>
        <v>-1082.0933399999999</v>
      </c>
      <c r="W209" s="151">
        <f t="shared" si="91"/>
        <v>0</v>
      </c>
      <c r="X209" s="151" t="e">
        <f>O209-#REF!</f>
        <v>#REF!</v>
      </c>
      <c r="Y209" s="143">
        <f>'[65]2. подк.неподк.'!V197</f>
        <v>4593.8796124999999</v>
      </c>
      <c r="Z209" s="182">
        <f>'[65]2. подк.неподк.'!W197</f>
        <v>4800.6041950624995</v>
      </c>
      <c r="AA209" s="143">
        <f>'[65]2. подк.неподк.'!X197</f>
        <v>4800.6041950624995</v>
      </c>
      <c r="AB209" s="143">
        <f>Y209*$AA$11</f>
        <v>4763.1721583119042</v>
      </c>
      <c r="AC209" s="144">
        <f t="shared" si="92"/>
        <v>4763.1721583119042</v>
      </c>
      <c r="AD209" s="143">
        <f t="shared" si="93"/>
        <v>169.29254581190435</v>
      </c>
      <c r="AE209" s="143">
        <f t="shared" si="94"/>
        <v>3.6851759317169979</v>
      </c>
      <c r="AF209" s="143">
        <f t="shared" si="95"/>
        <v>-37.432036750595216</v>
      </c>
      <c r="AG209" s="143">
        <f t="shared" si="96"/>
        <v>-0.77973595051004452</v>
      </c>
      <c r="AH209" s="143">
        <f t="shared" si="97"/>
        <v>-37.432036750595216</v>
      </c>
      <c r="AI209" s="143">
        <f t="shared" si="98"/>
        <v>-0.77973595051004452</v>
      </c>
    </row>
    <row r="210" spans="1:35" ht="33" customHeight="1" outlineLevel="2">
      <c r="A210" s="139" t="s">
        <v>991</v>
      </c>
      <c r="B210" s="143" t="s">
        <v>992</v>
      </c>
      <c r="C210" s="147" t="s">
        <v>993</v>
      </c>
      <c r="D210" s="148" t="s">
        <v>994</v>
      </c>
      <c r="E210" s="188"/>
      <c r="F210" s="143" t="s">
        <v>121</v>
      </c>
      <c r="G210" s="143">
        <v>0</v>
      </c>
      <c r="H210" s="143">
        <v>0</v>
      </c>
      <c r="I210" s="143">
        <v>0</v>
      </c>
      <c r="J210" s="143">
        <v>0</v>
      </c>
      <c r="K210" s="143">
        <v>109.16719999999999</v>
      </c>
      <c r="L210" s="143">
        <v>0</v>
      </c>
      <c r="M210" s="143">
        <v>0</v>
      </c>
      <c r="N210" s="143">
        <v>60.252900000000004</v>
      </c>
      <c r="O210" s="143">
        <v>60.119250000000001</v>
      </c>
      <c r="P210" s="150">
        <v>0</v>
      </c>
      <c r="Q210" s="143">
        <v>0</v>
      </c>
      <c r="R210" s="144">
        <v>0</v>
      </c>
      <c r="S210" s="143">
        <f t="shared" si="88"/>
        <v>0</v>
      </c>
      <c r="T210" s="143">
        <f t="shared" si="89"/>
        <v>-60.119250000000001</v>
      </c>
      <c r="U210" s="151" t="e">
        <f>R210-#REF!</f>
        <v>#REF!</v>
      </c>
      <c r="V210" s="151">
        <f t="shared" si="90"/>
        <v>0</v>
      </c>
      <c r="W210" s="151">
        <f t="shared" si="91"/>
        <v>0</v>
      </c>
      <c r="X210" s="151" t="e">
        <f>O210-#REF!</f>
        <v>#REF!</v>
      </c>
      <c r="Y210" s="143">
        <f>'[65]2. подк.неподк.'!V198</f>
        <v>0</v>
      </c>
      <c r="Z210" s="182">
        <f>'[65]2. подк.неподк.'!W198</f>
        <v>0</v>
      </c>
      <c r="AA210" s="143">
        <f>'[65]2. подк.неподк.'!X198</f>
        <v>66.52</v>
      </c>
      <c r="AB210" s="143">
        <f>Y210*$AA$11</f>
        <v>0</v>
      </c>
      <c r="AC210" s="144">
        <f t="shared" si="92"/>
        <v>0</v>
      </c>
      <c r="AD210" s="143">
        <f t="shared" si="93"/>
        <v>0</v>
      </c>
      <c r="AE210" s="143"/>
      <c r="AF210" s="143">
        <f t="shared" si="95"/>
        <v>0</v>
      </c>
      <c r="AG210" s="143"/>
      <c r="AH210" s="143">
        <f t="shared" si="97"/>
        <v>-66.52</v>
      </c>
      <c r="AI210" s="143">
        <f t="shared" si="98"/>
        <v>-100</v>
      </c>
    </row>
    <row r="211" spans="1:35" ht="33" customHeight="1" outlineLevel="1">
      <c r="A211" s="139"/>
      <c r="B211" s="140" t="s">
        <v>995</v>
      </c>
      <c r="C211" s="141"/>
      <c r="D211" s="393" t="s">
        <v>996</v>
      </c>
      <c r="E211" s="188" t="s">
        <v>996</v>
      </c>
      <c r="F211" s="143" t="s">
        <v>121</v>
      </c>
      <c r="G211" s="144">
        <f t="shared" ref="G211:I211" si="117">G212+G213</f>
        <v>8385.18</v>
      </c>
      <c r="H211" s="144">
        <f t="shared" si="117"/>
        <v>6235.3351899999998</v>
      </c>
      <c r="I211" s="144">
        <f t="shared" si="117"/>
        <v>6235.34</v>
      </c>
      <c r="J211" s="144">
        <f>J212+J213</f>
        <v>10298.107247149399</v>
      </c>
      <c r="K211" s="144">
        <f t="shared" ref="K211:AB211" si="118">K212+K213</f>
        <v>6622.152149999999</v>
      </c>
      <c r="L211" s="144">
        <f t="shared" si="118"/>
        <v>6622.15</v>
      </c>
      <c r="M211" s="144">
        <f t="shared" si="118"/>
        <v>8358.6335827624789</v>
      </c>
      <c r="N211" s="144">
        <f t="shared" si="118"/>
        <v>6462.9502000000002</v>
      </c>
      <c r="O211" s="144">
        <f t="shared" si="118"/>
        <v>6267.0803600000008</v>
      </c>
      <c r="P211" s="145">
        <f t="shared" si="118"/>
        <v>6267.0803600000008</v>
      </c>
      <c r="Q211" s="144">
        <f t="shared" si="118"/>
        <v>6267.0803600000008</v>
      </c>
      <c r="R211" s="144">
        <f t="shared" si="118"/>
        <v>6267.0803600000008</v>
      </c>
      <c r="S211" s="144">
        <f t="shared" si="88"/>
        <v>-2091.5532227624781</v>
      </c>
      <c r="T211" s="144">
        <f t="shared" si="89"/>
        <v>0</v>
      </c>
      <c r="U211" s="146" t="e">
        <f>R211-#REF!</f>
        <v>#REF!</v>
      </c>
      <c r="V211" s="146">
        <f t="shared" si="90"/>
        <v>-2091.5532227624781</v>
      </c>
      <c r="W211" s="146">
        <f t="shared" si="91"/>
        <v>0</v>
      </c>
      <c r="X211" s="146" t="e">
        <f>O211-#REF!</f>
        <v>#REF!</v>
      </c>
      <c r="Y211" s="144">
        <f t="shared" si="118"/>
        <v>8433.1435888077467</v>
      </c>
      <c r="Z211" s="170">
        <f t="shared" si="118"/>
        <v>8812.6413302415967</v>
      </c>
      <c r="AA211" s="144">
        <f t="shared" si="118"/>
        <v>8837.1013302415959</v>
      </c>
      <c r="AB211" s="144">
        <f t="shared" si="118"/>
        <v>8743.9197666296259</v>
      </c>
      <c r="AC211" s="144">
        <f t="shared" si="92"/>
        <v>8743.9197666296259</v>
      </c>
      <c r="AD211" s="144">
        <f t="shared" si="93"/>
        <v>310.77617782187917</v>
      </c>
      <c r="AE211" s="144">
        <f t="shared" si="94"/>
        <v>3.6851759317169979</v>
      </c>
      <c r="AF211" s="144">
        <f t="shared" si="95"/>
        <v>-68.721563611970851</v>
      </c>
      <c r="AG211" s="144">
        <f t="shared" si="96"/>
        <v>-0.77980665542514771</v>
      </c>
      <c r="AH211" s="144">
        <f t="shared" si="97"/>
        <v>-93.181563611969978</v>
      </c>
      <c r="AI211" s="144">
        <f t="shared" si="98"/>
        <v>-1.0544358396467857</v>
      </c>
    </row>
    <row r="212" spans="1:35" ht="33" customHeight="1" outlineLevel="2">
      <c r="A212" s="152" t="s">
        <v>997</v>
      </c>
      <c r="B212" s="143" t="s">
        <v>998</v>
      </c>
      <c r="C212" s="147" t="s">
        <v>999</v>
      </c>
      <c r="D212" s="164" t="s">
        <v>1000</v>
      </c>
      <c r="E212" s="196" t="s">
        <v>1001</v>
      </c>
      <c r="F212" s="143" t="s">
        <v>121</v>
      </c>
      <c r="G212" s="143">
        <v>7185.18</v>
      </c>
      <c r="H212" s="143">
        <v>4827.5798699999996</v>
      </c>
      <c r="I212" s="143">
        <v>4827.58</v>
      </c>
      <c r="J212" s="143">
        <v>8981.3792511493994</v>
      </c>
      <c r="K212" s="143">
        <v>5155.2999999999993</v>
      </c>
      <c r="L212" s="143">
        <v>5155.2999999999993</v>
      </c>
      <c r="M212" s="143">
        <v>6363.6392924233814</v>
      </c>
      <c r="N212" s="143">
        <v>5065.9046600000001</v>
      </c>
      <c r="O212" s="143">
        <v>4919.0623700000006</v>
      </c>
      <c r="P212" s="150">
        <v>4919.0623700000006</v>
      </c>
      <c r="Q212" s="143">
        <v>4919.0623700000006</v>
      </c>
      <c r="R212" s="144">
        <v>4919.0623700000006</v>
      </c>
      <c r="S212" s="143">
        <f t="shared" si="88"/>
        <v>-1444.5769224233809</v>
      </c>
      <c r="T212" s="143">
        <f t="shared" si="89"/>
        <v>0</v>
      </c>
      <c r="U212" s="151" t="e">
        <f>R212-#REF!</f>
        <v>#REF!</v>
      </c>
      <c r="V212" s="151">
        <f t="shared" si="90"/>
        <v>-1444.5769224233809</v>
      </c>
      <c r="W212" s="151">
        <f t="shared" si="91"/>
        <v>0</v>
      </c>
      <c r="X212" s="151" t="e">
        <f>O212-#REF!</f>
        <v>#REF!</v>
      </c>
      <c r="Y212" s="143">
        <f>'[65]2. подк.неподк.'!V200</f>
        <v>6328.4246125</v>
      </c>
      <c r="Z212" s="182">
        <f>'[65]2. подк.неподк.'!W200</f>
        <v>6613.21</v>
      </c>
      <c r="AA212" s="143">
        <f>'[65]2. подк.неподк.'!X200</f>
        <v>6637.67</v>
      </c>
      <c r="AB212" s="143">
        <f>Y212*$AA$11</f>
        <v>6561.6381931767046</v>
      </c>
      <c r="AC212" s="144">
        <f t="shared" si="92"/>
        <v>6561.6381931767046</v>
      </c>
      <c r="AD212" s="143">
        <f t="shared" si="93"/>
        <v>233.21358067670462</v>
      </c>
      <c r="AE212" s="143">
        <f t="shared" si="94"/>
        <v>3.6851759317169979</v>
      </c>
      <c r="AF212" s="143">
        <f t="shared" si="95"/>
        <v>-51.571806823295447</v>
      </c>
      <c r="AG212" s="143">
        <f t="shared" si="96"/>
        <v>-0.7798301705721542</v>
      </c>
      <c r="AH212" s="143">
        <f t="shared" si="97"/>
        <v>-76.031806823295483</v>
      </c>
      <c r="AI212" s="143">
        <f t="shared" si="98"/>
        <v>-1.1454592774768173</v>
      </c>
    </row>
    <row r="213" spans="1:35" ht="33" customHeight="1" outlineLevel="2">
      <c r="A213" s="139" t="s">
        <v>1002</v>
      </c>
      <c r="B213" s="143" t="s">
        <v>1003</v>
      </c>
      <c r="C213" s="147" t="s">
        <v>1004</v>
      </c>
      <c r="D213" s="148" t="s">
        <v>1005</v>
      </c>
      <c r="E213" s="196" t="s">
        <v>1006</v>
      </c>
      <c r="F213" s="143" t="s">
        <v>121</v>
      </c>
      <c r="G213" s="143">
        <v>1200</v>
      </c>
      <c r="H213" s="143">
        <v>1407.75532</v>
      </c>
      <c r="I213" s="143">
        <v>1407.76</v>
      </c>
      <c r="J213" s="143">
        <v>1316.7279959999998</v>
      </c>
      <c r="K213" s="143">
        <v>1466.8521499999999</v>
      </c>
      <c r="L213" s="143">
        <v>1466.85</v>
      </c>
      <c r="M213" s="143">
        <v>1994.9942903390972</v>
      </c>
      <c r="N213" s="143">
        <v>1397.0455400000001</v>
      </c>
      <c r="O213" s="143">
        <v>1348.0179900000001</v>
      </c>
      <c r="P213" s="150">
        <v>1348.0179900000001</v>
      </c>
      <c r="Q213" s="143">
        <v>1348.0179900000001</v>
      </c>
      <c r="R213" s="144">
        <v>1348.0179900000001</v>
      </c>
      <c r="S213" s="143">
        <f t="shared" si="88"/>
        <v>-646.97630033909718</v>
      </c>
      <c r="T213" s="143">
        <f t="shared" si="89"/>
        <v>0</v>
      </c>
      <c r="U213" s="151" t="e">
        <f>R213-#REF!</f>
        <v>#REF!</v>
      </c>
      <c r="V213" s="151">
        <f t="shared" si="90"/>
        <v>-646.97630033909718</v>
      </c>
      <c r="W213" s="151">
        <f t="shared" si="91"/>
        <v>0</v>
      </c>
      <c r="X213" s="151" t="e">
        <f>O213-#REF!</f>
        <v>#REF!</v>
      </c>
      <c r="Y213" s="143">
        <f>'[65]2. подк.неподк.'!V201</f>
        <v>2104.7189763077477</v>
      </c>
      <c r="Z213" s="182">
        <f>'[65]2. подк.неподк.'!W201</f>
        <v>2199.4313302415962</v>
      </c>
      <c r="AA213" s="143">
        <f>'[65]2. подк.неподк.'!X201</f>
        <v>2199.4313302415962</v>
      </c>
      <c r="AB213" s="143">
        <f>Y213*$AA$11</f>
        <v>2182.2815734529213</v>
      </c>
      <c r="AC213" s="144">
        <f t="shared" si="92"/>
        <v>2182.2815734529213</v>
      </c>
      <c r="AD213" s="143">
        <f t="shared" si="93"/>
        <v>77.56259714517364</v>
      </c>
      <c r="AE213" s="143">
        <f t="shared" si="94"/>
        <v>3.6851759317169979</v>
      </c>
      <c r="AF213" s="143">
        <f t="shared" si="95"/>
        <v>-17.149756788674949</v>
      </c>
      <c r="AG213" s="143">
        <f t="shared" si="96"/>
        <v>-0.77973595051004452</v>
      </c>
      <c r="AH213" s="143">
        <f t="shared" si="97"/>
        <v>-17.149756788674949</v>
      </c>
      <c r="AI213" s="143">
        <f t="shared" si="98"/>
        <v>-0.77973595051004452</v>
      </c>
    </row>
    <row r="214" spans="1:35" ht="48.75" customHeight="1" outlineLevel="1">
      <c r="A214" s="139"/>
      <c r="B214" s="140" t="s">
        <v>1007</v>
      </c>
      <c r="C214" s="141"/>
      <c r="D214" s="393" t="s">
        <v>1008</v>
      </c>
      <c r="E214" s="188" t="s">
        <v>1008</v>
      </c>
      <c r="F214" s="143" t="s">
        <v>121</v>
      </c>
      <c r="G214" s="144">
        <f t="shared" ref="G214:M214" si="119">G215+G216+G217+G219+G218</f>
        <v>4423.2824999999993</v>
      </c>
      <c r="H214" s="144">
        <f t="shared" si="119"/>
        <v>4695.1687400000001</v>
      </c>
      <c r="I214" s="144">
        <f t="shared" si="119"/>
        <v>4695.17</v>
      </c>
      <c r="J214" s="144">
        <f t="shared" si="119"/>
        <v>4853.5458738934994</v>
      </c>
      <c r="K214" s="144">
        <f t="shared" si="119"/>
        <v>6903.2195400000001</v>
      </c>
      <c r="L214" s="144">
        <f t="shared" si="119"/>
        <v>6902.74</v>
      </c>
      <c r="M214" s="144">
        <f t="shared" si="119"/>
        <v>6725.7858389534995</v>
      </c>
      <c r="N214" s="144">
        <f>N215+N216+N217+N219+N218</f>
        <v>6861.59555</v>
      </c>
      <c r="O214" s="144">
        <f t="shared" ref="O214:AB214" si="120">O215+O216+O217+O219+O218</f>
        <v>6711.2716199999995</v>
      </c>
      <c r="P214" s="145">
        <f t="shared" si="120"/>
        <v>6711.2716199999995</v>
      </c>
      <c r="Q214" s="144">
        <f t="shared" si="120"/>
        <v>6711.2716199999995</v>
      </c>
      <c r="R214" s="144">
        <f t="shared" si="120"/>
        <v>6711.2716199999995</v>
      </c>
      <c r="S214" s="144">
        <f t="shared" si="88"/>
        <v>-14.514218953499949</v>
      </c>
      <c r="T214" s="144">
        <f t="shared" si="89"/>
        <v>0</v>
      </c>
      <c r="U214" s="146" t="e">
        <f>R214-#REF!</f>
        <v>#REF!</v>
      </c>
      <c r="V214" s="146">
        <f t="shared" si="90"/>
        <v>-14.514218953499949</v>
      </c>
      <c r="W214" s="146">
        <f t="shared" si="91"/>
        <v>0</v>
      </c>
      <c r="X214" s="146" t="e">
        <f>O214-#REF!</f>
        <v>#REF!</v>
      </c>
      <c r="Y214" s="144">
        <f t="shared" si="120"/>
        <v>4889.7593388005898</v>
      </c>
      <c r="Z214" s="170">
        <f t="shared" si="120"/>
        <v>5109.7985090466163</v>
      </c>
      <c r="AA214" s="144">
        <f t="shared" si="120"/>
        <v>7972.9294579633333</v>
      </c>
      <c r="AB214" s="144">
        <f t="shared" si="120"/>
        <v>5069.9555730729535</v>
      </c>
      <c r="AC214" s="144">
        <f t="shared" si="92"/>
        <v>5069.9555730729535</v>
      </c>
      <c r="AD214" s="144">
        <f t="shared" si="93"/>
        <v>180.19623427236365</v>
      </c>
      <c r="AE214" s="144">
        <f t="shared" si="94"/>
        <v>3.6851759317169979</v>
      </c>
      <c r="AF214" s="144">
        <f t="shared" si="95"/>
        <v>-39.842935973662861</v>
      </c>
      <c r="AG214" s="144">
        <f t="shared" si="96"/>
        <v>-0.77973595051005873</v>
      </c>
      <c r="AH214" s="144">
        <f t="shared" si="97"/>
        <v>-2902.9738848903798</v>
      </c>
      <c r="AI214" s="144">
        <f t="shared" si="98"/>
        <v>-36.410379650241353</v>
      </c>
    </row>
    <row r="215" spans="1:35" ht="33" customHeight="1" outlineLevel="2">
      <c r="A215" s="139" t="s">
        <v>1009</v>
      </c>
      <c r="B215" s="143" t="s">
        <v>1010</v>
      </c>
      <c r="C215" s="147" t="s">
        <v>1011</v>
      </c>
      <c r="D215" s="148" t="s">
        <v>1012</v>
      </c>
      <c r="E215" s="149" t="s">
        <v>1013</v>
      </c>
      <c r="F215" s="143" t="s">
        <v>121</v>
      </c>
      <c r="G215" s="143">
        <v>833.52750000000003</v>
      </c>
      <c r="H215" s="143">
        <v>2605.75038</v>
      </c>
      <c r="I215" s="143">
        <v>2605.75</v>
      </c>
      <c r="J215" s="143">
        <v>914.60749557157499</v>
      </c>
      <c r="K215" s="143">
        <v>2652.3380000000002</v>
      </c>
      <c r="L215" s="143">
        <v>2652.34</v>
      </c>
      <c r="M215" s="143">
        <v>3072</v>
      </c>
      <c r="N215" s="143">
        <v>3071.08331</v>
      </c>
      <c r="O215" s="143">
        <v>3060.0621299999998</v>
      </c>
      <c r="P215" s="150">
        <v>3060.0621299999998</v>
      </c>
      <c r="Q215" s="143">
        <v>3060.0621299999998</v>
      </c>
      <c r="R215" s="144">
        <v>3060.0621299999998</v>
      </c>
      <c r="S215" s="143">
        <f t="shared" si="88"/>
        <v>-11.937870000000203</v>
      </c>
      <c r="T215" s="143">
        <f t="shared" si="89"/>
        <v>0</v>
      </c>
      <c r="U215" s="151" t="e">
        <f>R215-#REF!</f>
        <v>#REF!</v>
      </c>
      <c r="V215" s="151">
        <f t="shared" si="90"/>
        <v>-11.937870000000203</v>
      </c>
      <c r="W215" s="151">
        <f t="shared" si="91"/>
        <v>0</v>
      </c>
      <c r="X215" s="151" t="e">
        <f>O215-#REF!</f>
        <v>#REF!</v>
      </c>
      <c r="Y215" s="143">
        <f>'[65]2. подк.неподк.'!V203</f>
        <v>2923.1111563005902</v>
      </c>
      <c r="Z215" s="182">
        <f>'[65]2. подк.неподк.'!W203</f>
        <v>3054.6511583341166</v>
      </c>
      <c r="AA215" s="143">
        <f>'[65]2. подк.неподк.'!X203</f>
        <v>3501.2715679999997</v>
      </c>
      <c r="AB215" s="143">
        <f>Y215*$AA$11</f>
        <v>3030.8329450899141</v>
      </c>
      <c r="AC215" s="144">
        <f t="shared" si="92"/>
        <v>3030.8329450899141</v>
      </c>
      <c r="AD215" s="143">
        <f t="shared" si="93"/>
        <v>107.72178878932391</v>
      </c>
      <c r="AE215" s="143">
        <f t="shared" si="94"/>
        <v>3.6851759317169979</v>
      </c>
      <c r="AF215" s="143">
        <f t="shared" si="95"/>
        <v>-23.818213244202525</v>
      </c>
      <c r="AG215" s="143">
        <f t="shared" si="96"/>
        <v>-0.77973595051004452</v>
      </c>
      <c r="AH215" s="143">
        <f t="shared" si="97"/>
        <v>-470.43862291008554</v>
      </c>
      <c r="AI215" s="143">
        <f t="shared" si="98"/>
        <v>-13.436222063140619</v>
      </c>
    </row>
    <row r="216" spans="1:35" ht="33" customHeight="1" outlineLevel="2">
      <c r="A216" s="139" t="s">
        <v>1014</v>
      </c>
      <c r="B216" s="143" t="s">
        <v>1015</v>
      </c>
      <c r="C216" s="147" t="s">
        <v>1016</v>
      </c>
      <c r="D216" s="162" t="s">
        <v>1017</v>
      </c>
      <c r="E216" s="149" t="s">
        <v>1018</v>
      </c>
      <c r="F216" s="143" t="s">
        <v>121</v>
      </c>
      <c r="G216" s="143">
        <v>648.4224999999999</v>
      </c>
      <c r="H216" s="143">
        <v>11.81719</v>
      </c>
      <c r="I216" s="143">
        <v>11.82</v>
      </c>
      <c r="J216" s="143">
        <v>711.49671582192479</v>
      </c>
      <c r="K216" s="143">
        <v>169.61799999999999</v>
      </c>
      <c r="L216" s="143">
        <v>169.62</v>
      </c>
      <c r="M216" s="143">
        <v>139</v>
      </c>
      <c r="N216" s="143">
        <v>135.22953000000001</v>
      </c>
      <c r="O216" s="143">
        <v>133.78155999999998</v>
      </c>
      <c r="P216" s="150">
        <v>133.78155999999998</v>
      </c>
      <c r="Q216" s="143">
        <v>133.78155999999998</v>
      </c>
      <c r="R216" s="144">
        <v>133.78155999999998</v>
      </c>
      <c r="S216" s="143">
        <f t="shared" si="88"/>
        <v>-5.2184400000000153</v>
      </c>
      <c r="T216" s="143">
        <f t="shared" si="89"/>
        <v>0</v>
      </c>
      <c r="U216" s="151" t="e">
        <f>R216-#REF!</f>
        <v>#REF!</v>
      </c>
      <c r="V216" s="151">
        <f t="shared" si="90"/>
        <v>-5.2184400000000153</v>
      </c>
      <c r="W216" s="151">
        <f t="shared" si="91"/>
        <v>0</v>
      </c>
      <c r="X216" s="151" t="e">
        <f>O216-#REF!</f>
        <v>#REF!</v>
      </c>
      <c r="Y216" s="143">
        <f>'[65]2. подк.неподк.'!V204</f>
        <v>192.37028249999997</v>
      </c>
      <c r="Z216" s="182">
        <f>'[65]2. подк.неподк.'!W204</f>
        <v>201.02694521249995</v>
      </c>
      <c r="AA216" s="143">
        <f>'[65]2. подк.неподк.'!X204</f>
        <v>300.87273996333329</v>
      </c>
      <c r="AB216" s="143">
        <f>Y216*$AA$11</f>
        <v>199.45946585046596</v>
      </c>
      <c r="AC216" s="144">
        <f t="shared" si="92"/>
        <v>199.45946585046596</v>
      </c>
      <c r="AD216" s="143">
        <f t="shared" si="93"/>
        <v>7.0891833504659871</v>
      </c>
      <c r="AE216" s="143">
        <f t="shared" si="94"/>
        <v>3.6851759317169979</v>
      </c>
      <c r="AF216" s="143">
        <f t="shared" si="95"/>
        <v>-1.5674793620339926</v>
      </c>
      <c r="AG216" s="143">
        <f t="shared" si="96"/>
        <v>-0.77973595051004452</v>
      </c>
      <c r="AH216" s="143">
        <f t="shared" si="97"/>
        <v>-101.41327411286733</v>
      </c>
      <c r="AI216" s="143">
        <f t="shared" si="98"/>
        <v>-33.70636838858394</v>
      </c>
    </row>
    <row r="217" spans="1:35" ht="33" customHeight="1" outlineLevel="2">
      <c r="A217" s="139" t="s">
        <v>1019</v>
      </c>
      <c r="B217" s="143" t="s">
        <v>1020</v>
      </c>
      <c r="C217" s="147" t="s">
        <v>1021</v>
      </c>
      <c r="D217" s="148" t="s">
        <v>1022</v>
      </c>
      <c r="E217" s="1333" t="s">
        <v>1023</v>
      </c>
      <c r="F217" s="1334" t="s">
        <v>121</v>
      </c>
      <c r="G217" s="143">
        <v>0</v>
      </c>
      <c r="H217" s="143">
        <v>0</v>
      </c>
      <c r="I217" s="143">
        <v>0</v>
      </c>
      <c r="J217" s="143">
        <v>224.56</v>
      </c>
      <c r="K217" s="143">
        <v>445.06104999999997</v>
      </c>
      <c r="L217" s="143">
        <v>445.06</v>
      </c>
      <c r="M217" s="143">
        <v>732</v>
      </c>
      <c r="N217" s="143">
        <v>766.37175000000002</v>
      </c>
      <c r="O217" s="143">
        <v>739.79324999999994</v>
      </c>
      <c r="P217" s="150">
        <v>739.79324999999994</v>
      </c>
      <c r="Q217" s="143">
        <v>739.79324999999994</v>
      </c>
      <c r="R217" s="144">
        <v>739.79324999999994</v>
      </c>
      <c r="S217" s="143">
        <f t="shared" si="88"/>
        <v>7.7932499999999436</v>
      </c>
      <c r="T217" s="143">
        <f t="shared" si="89"/>
        <v>0</v>
      </c>
      <c r="U217" s="151" t="e">
        <f>R217-#REF!</f>
        <v>#REF!</v>
      </c>
      <c r="V217" s="151">
        <f t="shared" si="90"/>
        <v>7.7932499999999436</v>
      </c>
      <c r="W217" s="151">
        <f t="shared" si="91"/>
        <v>0</v>
      </c>
      <c r="X217" s="151" t="e">
        <f>O217-#REF!</f>
        <v>#REF!</v>
      </c>
      <c r="Y217" s="143">
        <f>'[65]2. подк.неподк.'!V205</f>
        <v>214.68195</v>
      </c>
      <c r="Z217" s="182">
        <f>'[65]2. подк.неподк.'!W205</f>
        <v>224.34263774999999</v>
      </c>
      <c r="AA217" s="143">
        <f>'[65]2. подк.неподк.'!X205</f>
        <v>844.44932400000016</v>
      </c>
      <c r="AB217" s="143">
        <f>Y217*$AA$11</f>
        <v>222.59335755114071</v>
      </c>
      <c r="AC217" s="144">
        <f t="shared" si="92"/>
        <v>222.59335755114071</v>
      </c>
      <c r="AD217" s="143">
        <f t="shared" si="93"/>
        <v>7.9114075511407123</v>
      </c>
      <c r="AE217" s="143">
        <f t="shared" si="94"/>
        <v>3.6851759317169979</v>
      </c>
      <c r="AF217" s="143">
        <f t="shared" si="95"/>
        <v>-1.7492801988592817</v>
      </c>
      <c r="AG217" s="143">
        <f t="shared" si="96"/>
        <v>-0.77973595051005873</v>
      </c>
      <c r="AH217" s="143">
        <f t="shared" si="97"/>
        <v>-621.85596644885948</v>
      </c>
      <c r="AI217" s="143">
        <f t="shared" si="98"/>
        <v>-73.64041260679123</v>
      </c>
    </row>
    <row r="218" spans="1:35" ht="33" customHeight="1" outlineLevel="2">
      <c r="A218" s="139" t="s">
        <v>1024</v>
      </c>
      <c r="B218" s="143" t="s">
        <v>1025</v>
      </c>
      <c r="C218" s="147" t="s">
        <v>1026</v>
      </c>
      <c r="D218" s="162" t="s">
        <v>1027</v>
      </c>
      <c r="E218" s="1333"/>
      <c r="F218" s="1334"/>
      <c r="G218" s="143">
        <v>1691.3325</v>
      </c>
      <c r="H218" s="143">
        <v>1823.05007</v>
      </c>
      <c r="I218" s="143">
        <v>1823.05</v>
      </c>
      <c r="J218" s="143">
        <v>1631.29</v>
      </c>
      <c r="K218" s="143">
        <v>2762.4987599999999</v>
      </c>
      <c r="L218" s="143">
        <v>2762.02</v>
      </c>
      <c r="M218" s="143">
        <v>2122.0700000000002</v>
      </c>
      <c r="N218" s="143">
        <v>2243.00657</v>
      </c>
      <c r="O218" s="143">
        <v>2166.1840100000004</v>
      </c>
      <c r="P218" s="150">
        <v>2166.1840100000004</v>
      </c>
      <c r="Q218" s="143">
        <v>2166.1840100000004</v>
      </c>
      <c r="R218" s="144">
        <v>2166.1840100000004</v>
      </c>
      <c r="S218" s="143">
        <f t="shared" si="88"/>
        <v>44.114010000000235</v>
      </c>
      <c r="T218" s="143">
        <f t="shared" si="89"/>
        <v>0</v>
      </c>
      <c r="U218" s="151" t="e">
        <f>R218-#REF!</f>
        <v>#REF!</v>
      </c>
      <c r="V218" s="151">
        <f t="shared" si="90"/>
        <v>44.114010000000235</v>
      </c>
      <c r="W218" s="151">
        <f t="shared" si="91"/>
        <v>0</v>
      </c>
      <c r="X218" s="151" t="e">
        <f>O218-#REF!</f>
        <v>#REF!</v>
      </c>
      <c r="Y218" s="143">
        <f>'[65]2. подк.неподк.'!V206</f>
        <v>1559.5959499999999</v>
      </c>
      <c r="Z218" s="182">
        <f>'[65]2. подк.неподк.'!W206</f>
        <v>1629.7777677499998</v>
      </c>
      <c r="AA218" s="143">
        <f>'[65]2. подк.неподк.'!X206</f>
        <v>2644.5540000000005</v>
      </c>
      <c r="AB218" s="143">
        <f>Y218*$AA$11</f>
        <v>1617.0698045814329</v>
      </c>
      <c r="AC218" s="144">
        <f t="shared" si="92"/>
        <v>1617.0698045814329</v>
      </c>
      <c r="AD218" s="143">
        <f t="shared" si="93"/>
        <v>57.473854581432988</v>
      </c>
      <c r="AE218" s="143">
        <f t="shared" si="94"/>
        <v>3.6851759317169979</v>
      </c>
      <c r="AF218" s="143">
        <f t="shared" si="95"/>
        <v>-12.707963168566948</v>
      </c>
      <c r="AG218" s="143">
        <f t="shared" si="96"/>
        <v>-0.77973595051005873</v>
      </c>
      <c r="AH218" s="143">
        <f t="shared" si="97"/>
        <v>-1027.4841954185677</v>
      </c>
      <c r="AI218" s="143">
        <f t="shared" si="98"/>
        <v>-38.852834747128149</v>
      </c>
    </row>
    <row r="219" spans="1:35" ht="33" customHeight="1" outlineLevel="2">
      <c r="A219" s="139" t="s">
        <v>1028</v>
      </c>
      <c r="B219" s="143" t="s">
        <v>1029</v>
      </c>
      <c r="C219" s="147" t="s">
        <v>1030</v>
      </c>
      <c r="D219" s="148" t="s">
        <v>1031</v>
      </c>
      <c r="E219" s="149" t="s">
        <v>1032</v>
      </c>
      <c r="F219" s="143" t="s">
        <v>121</v>
      </c>
      <c r="G219" s="143">
        <v>1250</v>
      </c>
      <c r="H219" s="143">
        <v>254.55109999999999</v>
      </c>
      <c r="I219" s="143">
        <v>254.55</v>
      </c>
      <c r="J219" s="143">
        <v>1371.5916625</v>
      </c>
      <c r="K219" s="143">
        <v>873.70372999999995</v>
      </c>
      <c r="L219" s="143">
        <v>873.7</v>
      </c>
      <c r="M219" s="143">
        <v>660.71583895350022</v>
      </c>
      <c r="N219" s="143">
        <v>645.90439000000015</v>
      </c>
      <c r="O219" s="143">
        <v>611.45067000000006</v>
      </c>
      <c r="P219" s="150">
        <v>611.45067000000006</v>
      </c>
      <c r="Q219" s="143">
        <v>611.45067000000006</v>
      </c>
      <c r="R219" s="144">
        <v>611.45067000000006</v>
      </c>
      <c r="S219" s="143">
        <f t="shared" si="88"/>
        <v>-49.265168953500165</v>
      </c>
      <c r="T219" s="143">
        <f t="shared" si="89"/>
        <v>0</v>
      </c>
      <c r="U219" s="151" t="e">
        <f>R219-#REF!</f>
        <v>#REF!</v>
      </c>
      <c r="V219" s="151">
        <f t="shared" si="90"/>
        <v>-49.265168953500165</v>
      </c>
      <c r="W219" s="151">
        <f t="shared" si="91"/>
        <v>0</v>
      </c>
      <c r="X219" s="151" t="e">
        <f>O219-#REF!</f>
        <v>#REF!</v>
      </c>
      <c r="Y219" s="143">
        <f>'[65]2. подк.неподк.'!V207</f>
        <v>0</v>
      </c>
      <c r="Z219" s="182">
        <f>'[65]2. подк.неподк.'!W207</f>
        <v>0</v>
      </c>
      <c r="AA219" s="143">
        <f>'[65]2. подк.неподк.'!X207</f>
        <v>681.78182600000002</v>
      </c>
      <c r="AB219" s="143">
        <f>Y219*$AA$11</f>
        <v>0</v>
      </c>
      <c r="AC219" s="144">
        <f t="shared" si="92"/>
        <v>0</v>
      </c>
      <c r="AD219" s="143">
        <f t="shared" si="93"/>
        <v>0</v>
      </c>
      <c r="AE219" s="143"/>
      <c r="AF219" s="143">
        <f t="shared" si="95"/>
        <v>0</v>
      </c>
      <c r="AG219" s="143"/>
      <c r="AH219" s="143">
        <f t="shared" si="97"/>
        <v>-681.78182600000002</v>
      </c>
      <c r="AI219" s="143">
        <f t="shared" si="98"/>
        <v>-100</v>
      </c>
    </row>
    <row r="220" spans="1:35" ht="33" customHeight="1" outlineLevel="1">
      <c r="A220" s="139"/>
      <c r="B220" s="140" t="s">
        <v>1033</v>
      </c>
      <c r="C220" s="141"/>
      <c r="D220" s="393" t="s">
        <v>1034</v>
      </c>
      <c r="E220" s="188" t="s">
        <v>1034</v>
      </c>
      <c r="F220" s="143" t="s">
        <v>121</v>
      </c>
      <c r="G220" s="144">
        <f t="shared" ref="G220:K220" si="121">SUM(G221:G227)</f>
        <v>3708</v>
      </c>
      <c r="H220" s="144">
        <f t="shared" si="121"/>
        <v>3617.9949900000001</v>
      </c>
      <c r="I220" s="144">
        <f t="shared" si="121"/>
        <v>3334.6800000000003</v>
      </c>
      <c r="J220" s="144">
        <f t="shared" si="121"/>
        <v>4068.6894591454343</v>
      </c>
      <c r="K220" s="144">
        <f t="shared" si="121"/>
        <v>4833.9864900000002</v>
      </c>
      <c r="L220" s="144">
        <f t="shared" ref="L220:M220" si="122">SUM(L221:L227)</f>
        <v>3715.9700000000003</v>
      </c>
      <c r="M220" s="144">
        <f t="shared" si="122"/>
        <v>1470.8626544865938</v>
      </c>
      <c r="N220" s="144">
        <f>SUM(N221:N227)</f>
        <v>5331.6733299999996</v>
      </c>
      <c r="O220" s="144">
        <f t="shared" ref="O220:AB220" si="123">SUM(O221:O227)</f>
        <v>5324.6292599999997</v>
      </c>
      <c r="P220" s="145">
        <f t="shared" si="123"/>
        <v>4151.8620600000004</v>
      </c>
      <c r="Q220" s="144">
        <f t="shared" si="123"/>
        <v>4151.8620600000004</v>
      </c>
      <c r="R220" s="144">
        <f t="shared" si="123"/>
        <v>4151.8620600000004</v>
      </c>
      <c r="S220" s="144">
        <f t="shared" si="88"/>
        <v>2680.9994055134066</v>
      </c>
      <c r="T220" s="144">
        <f t="shared" si="89"/>
        <v>-1172.7671999999993</v>
      </c>
      <c r="U220" s="146" t="e">
        <f>R220-#REF!</f>
        <v>#REF!</v>
      </c>
      <c r="V220" s="146">
        <f t="shared" si="90"/>
        <v>2680.9994055134066</v>
      </c>
      <c r="W220" s="146">
        <f t="shared" si="91"/>
        <v>0</v>
      </c>
      <c r="X220" s="146" t="e">
        <f>O220-#REF!</f>
        <v>#REF!</v>
      </c>
      <c r="Y220" s="144">
        <f t="shared" si="123"/>
        <v>1544.0178233145814</v>
      </c>
      <c r="Z220" s="170">
        <f t="shared" si="123"/>
        <v>1613.4986253637376</v>
      </c>
      <c r="AA220" s="144">
        <f t="shared" si="123"/>
        <v>7826.8382562026482</v>
      </c>
      <c r="AB220" s="144">
        <f t="shared" si="123"/>
        <v>1600.917596520791</v>
      </c>
      <c r="AC220" s="144">
        <f t="shared" si="92"/>
        <v>1600.917596520791</v>
      </c>
      <c r="AD220" s="144">
        <f t="shared" si="93"/>
        <v>56.899773206209602</v>
      </c>
      <c r="AE220" s="144">
        <f t="shared" si="94"/>
        <v>3.6851759317169979</v>
      </c>
      <c r="AF220" s="144">
        <f t="shared" si="95"/>
        <v>-12.58102884294658</v>
      </c>
      <c r="AG220" s="144">
        <f t="shared" si="96"/>
        <v>-0.77973595051005873</v>
      </c>
      <c r="AH220" s="144">
        <f t="shared" si="97"/>
        <v>-6225.9206596818567</v>
      </c>
      <c r="AI220" s="144">
        <f t="shared" si="98"/>
        <v>-79.545794302672746</v>
      </c>
    </row>
    <row r="221" spans="1:35" ht="33" customHeight="1" outlineLevel="2">
      <c r="A221" s="139" t="s">
        <v>1035</v>
      </c>
      <c r="B221" s="143" t="s">
        <v>1036</v>
      </c>
      <c r="C221" s="147" t="s">
        <v>1037</v>
      </c>
      <c r="D221" s="148" t="s">
        <v>1038</v>
      </c>
      <c r="E221" s="149" t="s">
        <v>1039</v>
      </c>
      <c r="F221" s="143" t="s">
        <v>121</v>
      </c>
      <c r="G221" s="143">
        <v>2016.224487468864</v>
      </c>
      <c r="H221" s="143">
        <v>218.91962000000001</v>
      </c>
      <c r="I221" s="143">
        <v>0</v>
      </c>
      <c r="J221" s="143">
        <v>2212.3493573925034</v>
      </c>
      <c r="K221" s="143">
        <v>1118.0188899999998</v>
      </c>
      <c r="L221" s="143">
        <v>0</v>
      </c>
      <c r="M221" s="143">
        <v>0</v>
      </c>
      <c r="N221" s="143">
        <v>1175.34247</v>
      </c>
      <c r="O221" s="143">
        <v>1172.7672</v>
      </c>
      <c r="P221" s="150">
        <v>0</v>
      </c>
      <c r="Q221" s="167">
        <v>0</v>
      </c>
      <c r="R221" s="144">
        <v>0</v>
      </c>
      <c r="S221" s="167">
        <f t="shared" si="88"/>
        <v>0</v>
      </c>
      <c r="T221" s="167">
        <f t="shared" si="89"/>
        <v>-1172.7672</v>
      </c>
      <c r="U221" s="151" t="e">
        <f>R221-#REF!</f>
        <v>#REF!</v>
      </c>
      <c r="V221" s="151">
        <f t="shared" si="90"/>
        <v>0</v>
      </c>
      <c r="W221" s="151">
        <f t="shared" si="91"/>
        <v>0</v>
      </c>
      <c r="X221" s="151" t="e">
        <f>O221-#REF!</f>
        <v>#REF!</v>
      </c>
      <c r="Y221" s="143">
        <f>'[65]2. подк.неподк.'!V209</f>
        <v>0</v>
      </c>
      <c r="Z221" s="182">
        <f>'[65]2. подк.неподк.'!W209</f>
        <v>0</v>
      </c>
      <c r="AA221" s="143">
        <f>'[65]2. подк.неподк.'!X209</f>
        <v>1297.5999999999999</v>
      </c>
      <c r="AB221" s="143">
        <f t="shared" ref="AB221:AB227" si="124">Y221*$AA$11</f>
        <v>0</v>
      </c>
      <c r="AC221" s="144">
        <f t="shared" si="92"/>
        <v>0</v>
      </c>
      <c r="AD221" s="143">
        <f t="shared" si="93"/>
        <v>0</v>
      </c>
      <c r="AE221" s="143"/>
      <c r="AF221" s="143">
        <f t="shared" si="95"/>
        <v>0</v>
      </c>
      <c r="AG221" s="143"/>
      <c r="AH221" s="143">
        <f t="shared" si="97"/>
        <v>-1297.5999999999999</v>
      </c>
      <c r="AI221" s="143">
        <f t="shared" si="98"/>
        <v>-100</v>
      </c>
    </row>
    <row r="222" spans="1:35" ht="33" customHeight="1" outlineLevel="2">
      <c r="A222" s="139" t="s">
        <v>1040</v>
      </c>
      <c r="B222" s="143" t="s">
        <v>1041</v>
      </c>
      <c r="C222" s="147" t="s">
        <v>1042</v>
      </c>
      <c r="D222" s="148" t="s">
        <v>1043</v>
      </c>
      <c r="E222" s="149" t="s">
        <v>1044</v>
      </c>
      <c r="F222" s="143" t="s">
        <v>121</v>
      </c>
      <c r="G222" s="143">
        <v>75.290000000000006</v>
      </c>
      <c r="H222" s="143">
        <v>450.69668999999999</v>
      </c>
      <c r="I222" s="143">
        <v>450.7</v>
      </c>
      <c r="J222" s="143">
        <v>82.613709015699996</v>
      </c>
      <c r="K222" s="143">
        <v>488.49576999999999</v>
      </c>
      <c r="L222" s="143">
        <v>488.5</v>
      </c>
      <c r="M222" s="143">
        <v>7.3386513448103958</v>
      </c>
      <c r="N222" s="143">
        <v>692.00274000000002</v>
      </c>
      <c r="O222" s="143">
        <v>692.00274000000002</v>
      </c>
      <c r="P222" s="150">
        <v>692.00274000000002</v>
      </c>
      <c r="Q222" s="143">
        <v>692.00274000000002</v>
      </c>
      <c r="R222" s="144">
        <v>692.00274000000002</v>
      </c>
      <c r="S222" s="143">
        <f t="shared" ref="S222:S285" si="125">R222-M222</f>
        <v>684.66408865518963</v>
      </c>
      <c r="T222" s="143">
        <f t="shared" ref="T222:T285" si="126">R222-O222</f>
        <v>0</v>
      </c>
      <c r="U222" s="151" t="e">
        <f>R222-#REF!</f>
        <v>#REF!</v>
      </c>
      <c r="V222" s="151">
        <f t="shared" ref="V222:V285" si="127">R222-M222</f>
        <v>684.66408865518963</v>
      </c>
      <c r="W222" s="151">
        <f t="shared" ref="W222:W285" si="128">Q222-P222</f>
        <v>0</v>
      </c>
      <c r="X222" s="151" t="e">
        <f>O222-#REF!</f>
        <v>#REF!</v>
      </c>
      <c r="Y222" s="143">
        <f>'[65]2. подк.неподк.'!V210</f>
        <v>0</v>
      </c>
      <c r="Z222" s="182">
        <f>'[65]2. подк.неподк.'!W210</f>
        <v>0</v>
      </c>
      <c r="AA222" s="143">
        <f>'[65]2. подк.неподк.'!X210</f>
        <v>0</v>
      </c>
      <c r="AB222" s="143">
        <f t="shared" si="124"/>
        <v>0</v>
      </c>
      <c r="AC222" s="144">
        <f t="shared" ref="AC222:AC285" si="129">AB222</f>
        <v>0</v>
      </c>
      <c r="AD222" s="143">
        <f t="shared" ref="AD222:AD285" si="130">AB222-Y222</f>
        <v>0</v>
      </c>
      <c r="AE222" s="143"/>
      <c r="AF222" s="143">
        <f t="shared" ref="AF222:AF285" si="131">AB222-Z222</f>
        <v>0</v>
      </c>
      <c r="AG222" s="143"/>
      <c r="AH222" s="143">
        <f t="shared" ref="AH222:AH285" si="132">AB222-AA222</f>
        <v>0</v>
      </c>
      <c r="AI222" s="143"/>
    </row>
    <row r="223" spans="1:35" ht="33" customHeight="1" outlineLevel="2">
      <c r="A223" s="139" t="s">
        <v>1045</v>
      </c>
      <c r="B223" s="143" t="s">
        <v>1046</v>
      </c>
      <c r="C223" s="147" t="s">
        <v>1047</v>
      </c>
      <c r="D223" s="148" t="s">
        <v>1048</v>
      </c>
      <c r="E223" s="149" t="s">
        <v>1049</v>
      </c>
      <c r="F223" s="143" t="s">
        <v>121</v>
      </c>
      <c r="G223" s="143">
        <v>1459.2944047673459</v>
      </c>
      <c r="H223" s="143">
        <v>2546.5122500000002</v>
      </c>
      <c r="I223" s="143">
        <v>2546.5100000000002</v>
      </c>
      <c r="J223" s="143">
        <v>1601.2447871906013</v>
      </c>
      <c r="K223" s="143">
        <v>2437.5476500000004</v>
      </c>
      <c r="L223" s="143">
        <v>2437.5500000000002</v>
      </c>
      <c r="M223" s="143">
        <v>735.30390563933986</v>
      </c>
      <c r="N223" s="143">
        <v>2750.7380400000002</v>
      </c>
      <c r="O223" s="143">
        <v>2746.2692400000001</v>
      </c>
      <c r="P223" s="150">
        <v>2746.2692400000001</v>
      </c>
      <c r="Q223" s="143">
        <v>2746.2692400000001</v>
      </c>
      <c r="R223" s="144">
        <v>2746.2692400000001</v>
      </c>
      <c r="S223" s="143">
        <f t="shared" si="125"/>
        <v>2010.9653343606601</v>
      </c>
      <c r="T223" s="143">
        <f t="shared" si="126"/>
        <v>0</v>
      </c>
      <c r="U223" s="151" t="e">
        <f>R223-#REF!</f>
        <v>#REF!</v>
      </c>
      <c r="V223" s="151">
        <f t="shared" si="127"/>
        <v>2010.9653343606601</v>
      </c>
      <c r="W223" s="151">
        <f t="shared" si="128"/>
        <v>0</v>
      </c>
      <c r="X223" s="151" t="e">
        <f>O223-#REF!</f>
        <v>#REF!</v>
      </c>
      <c r="Y223" s="143">
        <f>'[65]2. подк.неподк.'!V211</f>
        <v>775.74562044950346</v>
      </c>
      <c r="Z223" s="182">
        <f>'[65]2. подк.неподк.'!W211</f>
        <v>810.6541733697311</v>
      </c>
      <c r="AA223" s="143">
        <f>'[65]2. подк.неподк.'!X211</f>
        <v>4726.3938042086411</v>
      </c>
      <c r="AB223" s="143">
        <f t="shared" si="124"/>
        <v>804.33321134565722</v>
      </c>
      <c r="AC223" s="144">
        <f t="shared" si="129"/>
        <v>804.33321134565722</v>
      </c>
      <c r="AD223" s="143">
        <f t="shared" si="130"/>
        <v>28.587590896153756</v>
      </c>
      <c r="AE223" s="143">
        <f t="shared" ref="AE223:AE284" si="133">AB223/Y223*100-100</f>
        <v>3.6851759317169979</v>
      </c>
      <c r="AF223" s="143">
        <f t="shared" si="131"/>
        <v>-6.3209620240738786</v>
      </c>
      <c r="AG223" s="143">
        <f t="shared" ref="AG223:AG284" si="134">AB223/Z223*100-100</f>
        <v>-0.77973595051005873</v>
      </c>
      <c r="AH223" s="143">
        <f t="shared" si="132"/>
        <v>-3922.0605928629839</v>
      </c>
      <c r="AI223" s="143">
        <f t="shared" ref="AI223:AI285" si="135">AB223/AA223*100-100</f>
        <v>-82.98209491918692</v>
      </c>
    </row>
    <row r="224" spans="1:35" ht="33" customHeight="1" outlineLevel="2">
      <c r="A224" s="139" t="s">
        <v>1050</v>
      </c>
      <c r="B224" s="143" t="s">
        <v>1051</v>
      </c>
      <c r="C224" s="147" t="s">
        <v>1052</v>
      </c>
      <c r="D224" s="148" t="s">
        <v>1053</v>
      </c>
      <c r="E224" s="149" t="s">
        <v>1054</v>
      </c>
      <c r="F224" s="143" t="s">
        <v>121</v>
      </c>
      <c r="G224" s="143">
        <v>0</v>
      </c>
      <c r="H224" s="143">
        <v>64.400000000000006</v>
      </c>
      <c r="I224" s="143">
        <v>0</v>
      </c>
      <c r="J224" s="143">
        <v>0</v>
      </c>
      <c r="K224" s="143">
        <v>0</v>
      </c>
      <c r="L224" s="143">
        <v>0</v>
      </c>
      <c r="M224" s="143">
        <v>0</v>
      </c>
      <c r="N224" s="143">
        <v>0</v>
      </c>
      <c r="O224" s="143">
        <v>0</v>
      </c>
      <c r="P224" s="150">
        <v>0</v>
      </c>
      <c r="Q224" s="143">
        <v>0</v>
      </c>
      <c r="R224" s="144">
        <v>0</v>
      </c>
      <c r="S224" s="143">
        <f t="shared" si="125"/>
        <v>0</v>
      </c>
      <c r="T224" s="143">
        <f t="shared" si="126"/>
        <v>0</v>
      </c>
      <c r="U224" s="151" t="e">
        <f>R224-#REF!</f>
        <v>#REF!</v>
      </c>
      <c r="V224" s="151">
        <f t="shared" si="127"/>
        <v>0</v>
      </c>
      <c r="W224" s="151">
        <f t="shared" si="128"/>
        <v>0</v>
      </c>
      <c r="X224" s="151" t="e">
        <f>O224-#REF!</f>
        <v>#REF!</v>
      </c>
      <c r="Y224" s="143">
        <f>'[65]2. подк.неподк.'!V212</f>
        <v>0</v>
      </c>
      <c r="Z224" s="182">
        <f>'[65]2. подк.неподк.'!W212</f>
        <v>0</v>
      </c>
      <c r="AA224" s="143">
        <f>'[65]2. подк.неподк.'!X212</f>
        <v>1000</v>
      </c>
      <c r="AB224" s="143">
        <f t="shared" si="124"/>
        <v>0</v>
      </c>
      <c r="AC224" s="144">
        <f t="shared" si="129"/>
        <v>0</v>
      </c>
      <c r="AD224" s="143">
        <f t="shared" si="130"/>
        <v>0</v>
      </c>
      <c r="AE224" s="143"/>
      <c r="AF224" s="143">
        <f t="shared" si="131"/>
        <v>0</v>
      </c>
      <c r="AG224" s="143"/>
      <c r="AH224" s="143">
        <f t="shared" si="132"/>
        <v>-1000</v>
      </c>
      <c r="AI224" s="143">
        <f t="shared" si="135"/>
        <v>-100</v>
      </c>
    </row>
    <row r="225" spans="1:35" ht="33" customHeight="1" outlineLevel="2">
      <c r="A225" s="139" t="s">
        <v>1055</v>
      </c>
      <c r="B225" s="143" t="s">
        <v>1056</v>
      </c>
      <c r="C225" s="147" t="s">
        <v>1057</v>
      </c>
      <c r="D225" s="148" t="s">
        <v>1058</v>
      </c>
      <c r="E225" s="149" t="s">
        <v>1059</v>
      </c>
      <c r="F225" s="143" t="s">
        <v>121</v>
      </c>
      <c r="G225" s="143">
        <v>157.19110776379011</v>
      </c>
      <c r="H225" s="143">
        <v>337.46643</v>
      </c>
      <c r="I225" s="143">
        <v>337.47</v>
      </c>
      <c r="J225" s="143">
        <v>172.48160554662959</v>
      </c>
      <c r="K225" s="143">
        <v>789.92417999999998</v>
      </c>
      <c r="L225" s="143">
        <v>789.92</v>
      </c>
      <c r="M225" s="143">
        <v>728.22009750244354</v>
      </c>
      <c r="N225" s="143">
        <v>713.59008000000006</v>
      </c>
      <c r="O225" s="143">
        <v>713.59008000000006</v>
      </c>
      <c r="P225" s="150">
        <v>713.59008000000006</v>
      </c>
      <c r="Q225" s="143">
        <v>713.59008000000006</v>
      </c>
      <c r="R225" s="144">
        <v>713.59008000000006</v>
      </c>
      <c r="S225" s="143">
        <f t="shared" si="125"/>
        <v>-14.630017502443479</v>
      </c>
      <c r="T225" s="143">
        <f t="shared" si="126"/>
        <v>0</v>
      </c>
      <c r="U225" s="151" t="e">
        <f>R225-#REF!</f>
        <v>#REF!</v>
      </c>
      <c r="V225" s="151">
        <f t="shared" si="127"/>
        <v>-14.630017502443479</v>
      </c>
      <c r="W225" s="151">
        <f t="shared" si="128"/>
        <v>0</v>
      </c>
      <c r="X225" s="151" t="e">
        <f>O225-#REF!</f>
        <v>#REF!</v>
      </c>
      <c r="Y225" s="143">
        <f>'[65]2. подк.неподк.'!V213</f>
        <v>768.27220286507793</v>
      </c>
      <c r="Z225" s="182">
        <f>'[65]2. подк.неподк.'!W213</f>
        <v>802.84445199400636</v>
      </c>
      <c r="AA225" s="143">
        <f>'[65]2. подк.неподк.'!X213</f>
        <v>802.84445199400636</v>
      </c>
      <c r="AB225" s="143">
        <f t="shared" si="124"/>
        <v>796.58438517513378</v>
      </c>
      <c r="AC225" s="144">
        <f t="shared" si="129"/>
        <v>796.58438517513378</v>
      </c>
      <c r="AD225" s="143">
        <f t="shared" si="130"/>
        <v>28.312182310055846</v>
      </c>
      <c r="AE225" s="143">
        <f t="shared" si="133"/>
        <v>3.6851759317169979</v>
      </c>
      <c r="AF225" s="143">
        <f t="shared" si="131"/>
        <v>-6.2600668188725876</v>
      </c>
      <c r="AG225" s="143">
        <f t="shared" si="134"/>
        <v>-0.77973595051004452</v>
      </c>
      <c r="AH225" s="143">
        <f t="shared" si="132"/>
        <v>-6.2600668188725876</v>
      </c>
      <c r="AI225" s="143">
        <f t="shared" si="135"/>
        <v>-0.77973595051004452</v>
      </c>
    </row>
    <row r="226" spans="1:35" ht="33" customHeight="1" outlineLevel="2">
      <c r="A226" s="139" t="s">
        <v>1060</v>
      </c>
      <c r="B226" s="143" t="s">
        <v>1061</v>
      </c>
      <c r="C226" s="147" t="s">
        <v>1062</v>
      </c>
      <c r="D226" s="148" t="s">
        <v>1063</v>
      </c>
      <c r="E226" s="149" t="s">
        <v>1064</v>
      </c>
      <c r="F226" s="143" t="s">
        <v>121</v>
      </c>
      <c r="G226" s="143">
        <v>0</v>
      </c>
      <c r="H226" s="143">
        <v>0</v>
      </c>
      <c r="I226" s="143">
        <v>0</v>
      </c>
      <c r="J226" s="143">
        <v>0</v>
      </c>
      <c r="K226" s="143">
        <v>0</v>
      </c>
      <c r="L226" s="143">
        <v>0</v>
      </c>
      <c r="M226" s="143">
        <v>0</v>
      </c>
      <c r="N226" s="143">
        <v>0</v>
      </c>
      <c r="O226" s="143">
        <v>0</v>
      </c>
      <c r="P226" s="150">
        <v>0</v>
      </c>
      <c r="Q226" s="143">
        <v>0</v>
      </c>
      <c r="R226" s="144">
        <v>0</v>
      </c>
      <c r="S226" s="143">
        <f t="shared" si="125"/>
        <v>0</v>
      </c>
      <c r="T226" s="143">
        <f t="shared" si="126"/>
        <v>0</v>
      </c>
      <c r="U226" s="151" t="e">
        <f>R226-#REF!</f>
        <v>#REF!</v>
      </c>
      <c r="V226" s="151">
        <f t="shared" si="127"/>
        <v>0</v>
      </c>
      <c r="W226" s="151">
        <f t="shared" si="128"/>
        <v>0</v>
      </c>
      <c r="X226" s="151" t="e">
        <f>O226-#REF!</f>
        <v>#REF!</v>
      </c>
      <c r="Y226" s="143">
        <f>'[65]2. подк.неподк.'!V214</f>
        <v>0</v>
      </c>
      <c r="Z226" s="182">
        <f>'[65]2. подк.неподк.'!W214</f>
        <v>0</v>
      </c>
      <c r="AA226" s="143">
        <f>'[65]2. подк.неподк.'!X214</f>
        <v>0</v>
      </c>
      <c r="AB226" s="143">
        <f t="shared" si="124"/>
        <v>0</v>
      </c>
      <c r="AC226" s="144">
        <f t="shared" si="129"/>
        <v>0</v>
      </c>
      <c r="AD226" s="143">
        <f t="shared" si="130"/>
        <v>0</v>
      </c>
      <c r="AE226" s="143"/>
      <c r="AF226" s="143">
        <f t="shared" si="131"/>
        <v>0</v>
      </c>
      <c r="AG226" s="143"/>
      <c r="AH226" s="143">
        <f t="shared" si="132"/>
        <v>0</v>
      </c>
      <c r="AI226" s="143"/>
    </row>
    <row r="227" spans="1:35" ht="33" customHeight="1" outlineLevel="2">
      <c r="A227" s="139" t="s">
        <v>1065</v>
      </c>
      <c r="B227" s="143" t="s">
        <v>1066</v>
      </c>
      <c r="C227" s="147" t="s">
        <v>1067</v>
      </c>
      <c r="D227" s="189" t="s">
        <v>1068</v>
      </c>
      <c r="E227" s="149" t="s">
        <v>1069</v>
      </c>
      <c r="F227" s="143" t="s">
        <v>121</v>
      </c>
      <c r="G227" s="143">
        <v>0</v>
      </c>
      <c r="H227" s="143">
        <v>0</v>
      </c>
      <c r="I227" s="143">
        <v>0</v>
      </c>
      <c r="J227" s="143">
        <v>0</v>
      </c>
      <c r="K227" s="143">
        <v>0</v>
      </c>
      <c r="L227" s="143">
        <v>0</v>
      </c>
      <c r="M227" s="143">
        <v>0</v>
      </c>
      <c r="N227" s="143">
        <v>0</v>
      </c>
      <c r="O227" s="143">
        <v>0</v>
      </c>
      <c r="P227" s="150">
        <v>0</v>
      </c>
      <c r="Q227" s="143">
        <v>0</v>
      </c>
      <c r="R227" s="144">
        <v>0</v>
      </c>
      <c r="S227" s="143">
        <f t="shared" si="125"/>
        <v>0</v>
      </c>
      <c r="T227" s="143">
        <f t="shared" si="126"/>
        <v>0</v>
      </c>
      <c r="U227" s="151" t="e">
        <f>R227-#REF!</f>
        <v>#REF!</v>
      </c>
      <c r="V227" s="151">
        <f t="shared" si="127"/>
        <v>0</v>
      </c>
      <c r="W227" s="151">
        <f t="shared" si="128"/>
        <v>0</v>
      </c>
      <c r="X227" s="151" t="e">
        <f>O227-#REF!</f>
        <v>#REF!</v>
      </c>
      <c r="Y227" s="143">
        <f>'[65]2. подк.неподк.'!V215</f>
        <v>0</v>
      </c>
      <c r="Z227" s="182">
        <f>'[65]2. подк.неподк.'!W215</f>
        <v>0</v>
      </c>
      <c r="AA227" s="143">
        <f>'[65]2. подк.неподк.'!X215</f>
        <v>0</v>
      </c>
      <c r="AB227" s="143">
        <f t="shared" si="124"/>
        <v>0</v>
      </c>
      <c r="AC227" s="144">
        <f t="shared" si="129"/>
        <v>0</v>
      </c>
      <c r="AD227" s="143">
        <f t="shared" si="130"/>
        <v>0</v>
      </c>
      <c r="AE227" s="143"/>
      <c r="AF227" s="143">
        <f t="shared" si="131"/>
        <v>0</v>
      </c>
      <c r="AG227" s="143"/>
      <c r="AH227" s="143">
        <f t="shared" si="132"/>
        <v>0</v>
      </c>
      <c r="AI227" s="143"/>
    </row>
    <row r="228" spans="1:35" ht="33" customHeight="1" outlineLevel="1">
      <c r="A228" s="139"/>
      <c r="B228" s="140" t="s">
        <v>1070</v>
      </c>
      <c r="C228" s="141"/>
      <c r="D228" s="393" t="s">
        <v>1071</v>
      </c>
      <c r="E228" s="188" t="s">
        <v>1071</v>
      </c>
      <c r="F228" s="143" t="s">
        <v>121</v>
      </c>
      <c r="G228" s="144">
        <f t="shared" ref="G228:K228" si="136">SUM(G229:G233)</f>
        <v>5182.665</v>
      </c>
      <c r="H228" s="144">
        <f t="shared" si="136"/>
        <v>3407.2187800000002</v>
      </c>
      <c r="I228" s="144">
        <f t="shared" si="136"/>
        <v>2548.0699999999997</v>
      </c>
      <c r="J228" s="144">
        <f t="shared" si="136"/>
        <v>5686.8000828244494</v>
      </c>
      <c r="K228" s="144">
        <f t="shared" si="136"/>
        <v>8089.9306999999999</v>
      </c>
      <c r="L228" s="144">
        <f t="shared" ref="L228:M228" si="137">SUM(L229:L233)</f>
        <v>585.89</v>
      </c>
      <c r="M228" s="144">
        <f t="shared" si="137"/>
        <v>3951.4904896454455</v>
      </c>
      <c r="N228" s="144">
        <f>SUM(N229:N233)</f>
        <v>4228.9970599999997</v>
      </c>
      <c r="O228" s="144">
        <f t="shared" ref="O228:AB228" si="138">SUM(O229:O233)</f>
        <v>4034.8852999999999</v>
      </c>
      <c r="P228" s="145">
        <f t="shared" si="138"/>
        <v>4034.8852999999999</v>
      </c>
      <c r="Q228" s="144">
        <f t="shared" si="138"/>
        <v>4034.8852999999999</v>
      </c>
      <c r="R228" s="144">
        <f t="shared" si="138"/>
        <v>4034.8852999999999</v>
      </c>
      <c r="S228" s="144">
        <f t="shared" si="125"/>
        <v>83.394810354554465</v>
      </c>
      <c r="T228" s="144">
        <f t="shared" si="126"/>
        <v>0</v>
      </c>
      <c r="U228" s="146" t="e">
        <f>R228-#REF!</f>
        <v>#REF!</v>
      </c>
      <c r="V228" s="146">
        <f t="shared" si="127"/>
        <v>83.394810354554465</v>
      </c>
      <c r="W228" s="146">
        <f t="shared" si="128"/>
        <v>0</v>
      </c>
      <c r="X228" s="146" t="e">
        <f>O228-#REF!</f>
        <v>#REF!</v>
      </c>
      <c r="Y228" s="144">
        <f t="shared" si="138"/>
        <v>664.47249624999995</v>
      </c>
      <c r="Z228" s="170">
        <f t="shared" si="138"/>
        <v>694.37375858124994</v>
      </c>
      <c r="AA228" s="144">
        <f t="shared" si="138"/>
        <v>4728.9484599999996</v>
      </c>
      <c r="AB228" s="144">
        <f t="shared" si="138"/>
        <v>688.95947675468415</v>
      </c>
      <c r="AC228" s="144">
        <f t="shared" si="129"/>
        <v>688.95947675468415</v>
      </c>
      <c r="AD228" s="144">
        <f t="shared" si="130"/>
        <v>24.486980504684198</v>
      </c>
      <c r="AE228" s="144">
        <f t="shared" si="133"/>
        <v>3.6851759317169979</v>
      </c>
      <c r="AF228" s="144">
        <f t="shared" si="131"/>
        <v>-5.4142818265657979</v>
      </c>
      <c r="AG228" s="144">
        <f t="shared" si="134"/>
        <v>-0.77973595051004452</v>
      </c>
      <c r="AH228" s="144">
        <f t="shared" si="132"/>
        <v>-4039.9889832453155</v>
      </c>
      <c r="AI228" s="144">
        <f t="shared" si="135"/>
        <v>-85.431021661955597</v>
      </c>
    </row>
    <row r="229" spans="1:35" ht="33" customHeight="1" outlineLevel="2">
      <c r="A229" s="139" t="s">
        <v>1072</v>
      </c>
      <c r="B229" s="143" t="s">
        <v>1073</v>
      </c>
      <c r="C229" s="147" t="s">
        <v>1074</v>
      </c>
      <c r="D229" s="148" t="s">
        <v>1075</v>
      </c>
      <c r="E229" s="149" t="s">
        <v>1076</v>
      </c>
      <c r="F229" s="143" t="s">
        <v>121</v>
      </c>
      <c r="G229" s="143">
        <v>1691.3325</v>
      </c>
      <c r="H229" s="143">
        <v>455.76078999999999</v>
      </c>
      <c r="I229" s="143">
        <v>455.76</v>
      </c>
      <c r="J229" s="143">
        <v>1855.8540444122248</v>
      </c>
      <c r="K229" s="143">
        <v>585.88513999999998</v>
      </c>
      <c r="L229" s="143">
        <v>585.89</v>
      </c>
      <c r="M229" s="143">
        <v>584.79219924156894</v>
      </c>
      <c r="N229" s="143">
        <v>594.16305</v>
      </c>
      <c r="O229" s="143">
        <v>582.02267000000006</v>
      </c>
      <c r="P229" s="150">
        <v>582.02267000000006</v>
      </c>
      <c r="Q229" s="143">
        <v>582.02267000000006</v>
      </c>
      <c r="R229" s="144">
        <v>582.02267000000006</v>
      </c>
      <c r="S229" s="143">
        <f t="shared" si="125"/>
        <v>-2.7695292415688755</v>
      </c>
      <c r="T229" s="143">
        <f t="shared" si="126"/>
        <v>0</v>
      </c>
      <c r="U229" s="151" t="e">
        <f>R229-#REF!</f>
        <v>#REF!</v>
      </c>
      <c r="V229" s="151">
        <f t="shared" si="127"/>
        <v>-2.7695292415688755</v>
      </c>
      <c r="W229" s="151">
        <f t="shared" si="128"/>
        <v>0</v>
      </c>
      <c r="X229" s="151" t="e">
        <f>O229-#REF!</f>
        <v>#REF!</v>
      </c>
      <c r="Y229" s="143">
        <f>'[65]2. подк.неподк.'!V217</f>
        <v>664.47249624999995</v>
      </c>
      <c r="Z229" s="182">
        <f>'[65]2. подк.неподк.'!W217</f>
        <v>694.37375858124994</v>
      </c>
      <c r="AA229" s="143">
        <f>'[65]2. подк.неподк.'!X217</f>
        <v>920.91</v>
      </c>
      <c r="AB229" s="143">
        <f>Y229*$AA$11</f>
        <v>688.95947675468415</v>
      </c>
      <c r="AC229" s="144">
        <f t="shared" si="129"/>
        <v>688.95947675468415</v>
      </c>
      <c r="AD229" s="143">
        <f t="shared" si="130"/>
        <v>24.486980504684198</v>
      </c>
      <c r="AE229" s="143">
        <f t="shared" si="133"/>
        <v>3.6851759317169979</v>
      </c>
      <c r="AF229" s="143">
        <f t="shared" si="131"/>
        <v>-5.4142818265657979</v>
      </c>
      <c r="AG229" s="143">
        <f t="shared" si="134"/>
        <v>-0.77973595051004452</v>
      </c>
      <c r="AH229" s="143">
        <f t="shared" si="132"/>
        <v>-231.95052324531582</v>
      </c>
      <c r="AI229" s="143">
        <f t="shared" si="135"/>
        <v>-25.187100068987831</v>
      </c>
    </row>
    <row r="230" spans="1:35" ht="33" customHeight="1" outlineLevel="2">
      <c r="A230" s="139" t="s">
        <v>1077</v>
      </c>
      <c r="B230" s="143" t="s">
        <v>1078</v>
      </c>
      <c r="C230" s="147" t="s">
        <v>1079</v>
      </c>
      <c r="D230" s="148" t="s">
        <v>1080</v>
      </c>
      <c r="E230" s="149" t="s">
        <v>1081</v>
      </c>
      <c r="F230" s="143" t="s">
        <v>121</v>
      </c>
      <c r="G230" s="143">
        <v>1691.3325</v>
      </c>
      <c r="H230" s="143">
        <v>859.14836000000003</v>
      </c>
      <c r="I230" s="143">
        <v>0</v>
      </c>
      <c r="J230" s="143">
        <v>1855.8540444122248</v>
      </c>
      <c r="K230" s="143">
        <v>0</v>
      </c>
      <c r="L230" s="143">
        <v>0</v>
      </c>
      <c r="M230" s="143">
        <v>1129.6982904038766</v>
      </c>
      <c r="N230" s="143">
        <v>984.11404000000005</v>
      </c>
      <c r="O230" s="143">
        <v>930.62285999999995</v>
      </c>
      <c r="P230" s="150">
        <v>930.62285999999995</v>
      </c>
      <c r="Q230" s="143">
        <v>930.62285999999995</v>
      </c>
      <c r="R230" s="144">
        <v>930.62285999999995</v>
      </c>
      <c r="S230" s="143">
        <f t="shared" si="125"/>
        <v>-199.07543040387668</v>
      </c>
      <c r="T230" s="143">
        <f t="shared" si="126"/>
        <v>0</v>
      </c>
      <c r="U230" s="151" t="e">
        <f>R230-#REF!</f>
        <v>#REF!</v>
      </c>
      <c r="V230" s="151">
        <f t="shared" si="127"/>
        <v>-199.07543040387668</v>
      </c>
      <c r="W230" s="151">
        <f t="shared" si="128"/>
        <v>0</v>
      </c>
      <c r="X230" s="151" t="e">
        <f>O230-#REF!</f>
        <v>#REF!</v>
      </c>
      <c r="Y230" s="143">
        <f>'[65]2. подк.неподк.'!V218</f>
        <v>0</v>
      </c>
      <c r="Z230" s="182">
        <f>'[65]2. подк.неподк.'!W218</f>
        <v>0</v>
      </c>
      <c r="AA230" s="143">
        <f>'[65]2. подк.неподк.'!X218</f>
        <v>1166.4000000000001</v>
      </c>
      <c r="AB230" s="143">
        <f>Y230*$AA$11</f>
        <v>0</v>
      </c>
      <c r="AC230" s="144">
        <f t="shared" si="129"/>
        <v>0</v>
      </c>
      <c r="AD230" s="143">
        <f t="shared" si="130"/>
        <v>0</v>
      </c>
      <c r="AE230" s="143"/>
      <c r="AF230" s="143">
        <f t="shared" si="131"/>
        <v>0</v>
      </c>
      <c r="AG230" s="143"/>
      <c r="AH230" s="143">
        <f t="shared" si="132"/>
        <v>-1166.4000000000001</v>
      </c>
      <c r="AI230" s="143">
        <f t="shared" si="135"/>
        <v>-100</v>
      </c>
    </row>
    <row r="231" spans="1:35" ht="33" customHeight="1" outlineLevel="2">
      <c r="A231" s="139" t="s">
        <v>1082</v>
      </c>
      <c r="B231" s="143" t="s">
        <v>1083</v>
      </c>
      <c r="C231" s="147" t="s">
        <v>1084</v>
      </c>
      <c r="D231" s="148" t="s">
        <v>1085</v>
      </c>
      <c r="E231" s="188"/>
      <c r="F231" s="143" t="s">
        <v>121</v>
      </c>
      <c r="G231" s="143">
        <v>0</v>
      </c>
      <c r="H231" s="143">
        <v>0</v>
      </c>
      <c r="I231" s="143">
        <v>0</v>
      </c>
      <c r="J231" s="143">
        <v>0</v>
      </c>
      <c r="K231" s="143">
        <v>0</v>
      </c>
      <c r="L231" s="143">
        <v>0</v>
      </c>
      <c r="M231" s="143">
        <v>0</v>
      </c>
      <c r="N231" s="143">
        <v>288.09564</v>
      </c>
      <c r="O231" s="143">
        <v>287.16131000000001</v>
      </c>
      <c r="P231" s="150">
        <v>287.16131000000001</v>
      </c>
      <c r="Q231" s="143">
        <v>287.16131000000001</v>
      </c>
      <c r="R231" s="144">
        <v>287.16131000000001</v>
      </c>
      <c r="S231" s="143">
        <f t="shared" si="125"/>
        <v>287.16131000000001</v>
      </c>
      <c r="T231" s="143">
        <f t="shared" si="126"/>
        <v>0</v>
      </c>
      <c r="U231" s="151" t="e">
        <f>R231-#REF!</f>
        <v>#REF!</v>
      </c>
      <c r="V231" s="151">
        <f t="shared" si="127"/>
        <v>287.16131000000001</v>
      </c>
      <c r="W231" s="151">
        <f t="shared" si="128"/>
        <v>0</v>
      </c>
      <c r="X231" s="151" t="e">
        <f>O231-#REF!</f>
        <v>#REF!</v>
      </c>
      <c r="Y231" s="143">
        <f>'[65]2. подк.неподк.'!V219</f>
        <v>0</v>
      </c>
      <c r="Z231" s="182">
        <f>'[65]2. подк.неподк.'!W219</f>
        <v>0</v>
      </c>
      <c r="AA231" s="143">
        <f>'[65]2. подк.неподк.'!X219</f>
        <v>406.56</v>
      </c>
      <c r="AB231" s="143">
        <f>Y231*$AA$11</f>
        <v>0</v>
      </c>
      <c r="AC231" s="144">
        <f t="shared" si="129"/>
        <v>0</v>
      </c>
      <c r="AD231" s="143">
        <f t="shared" si="130"/>
        <v>0</v>
      </c>
      <c r="AE231" s="143"/>
      <c r="AF231" s="143">
        <f t="shared" si="131"/>
        <v>0</v>
      </c>
      <c r="AG231" s="143"/>
      <c r="AH231" s="143">
        <f t="shared" si="132"/>
        <v>-406.56</v>
      </c>
      <c r="AI231" s="143">
        <f t="shared" si="135"/>
        <v>-100</v>
      </c>
    </row>
    <row r="232" spans="1:35" ht="33" customHeight="1" outlineLevel="2">
      <c r="A232" s="139" t="s">
        <v>1086</v>
      </c>
      <c r="B232" s="143" t="s">
        <v>1087</v>
      </c>
      <c r="C232" s="147" t="s">
        <v>1088</v>
      </c>
      <c r="D232" s="148" t="s">
        <v>1089</v>
      </c>
      <c r="E232" s="149" t="s">
        <v>1090</v>
      </c>
      <c r="F232" s="143" t="s">
        <v>121</v>
      </c>
      <c r="G232" s="143">
        <v>1800</v>
      </c>
      <c r="H232" s="143">
        <v>2092.3096300000002</v>
      </c>
      <c r="I232" s="143">
        <v>2092.31</v>
      </c>
      <c r="J232" s="143">
        <v>1975.0919939999999</v>
      </c>
      <c r="K232" s="143">
        <v>0</v>
      </c>
      <c r="L232" s="143">
        <v>0</v>
      </c>
      <c r="M232" s="143">
        <v>2237</v>
      </c>
      <c r="N232" s="143">
        <v>2362.6243300000001</v>
      </c>
      <c r="O232" s="143">
        <v>2235.0784600000002</v>
      </c>
      <c r="P232" s="150">
        <v>2235.0784600000002</v>
      </c>
      <c r="Q232" s="143">
        <v>2235.0784600000002</v>
      </c>
      <c r="R232" s="144">
        <v>2235.0784600000002</v>
      </c>
      <c r="S232" s="143">
        <f t="shared" si="125"/>
        <v>-1.9215399999998226</v>
      </c>
      <c r="T232" s="143">
        <f t="shared" si="126"/>
        <v>0</v>
      </c>
      <c r="U232" s="151" t="e">
        <f>R232-#REF!</f>
        <v>#REF!</v>
      </c>
      <c r="V232" s="151">
        <f t="shared" si="127"/>
        <v>-1.9215399999998226</v>
      </c>
      <c r="W232" s="151">
        <f t="shared" si="128"/>
        <v>0</v>
      </c>
      <c r="X232" s="151" t="e">
        <f>O232-#REF!</f>
        <v>#REF!</v>
      </c>
      <c r="Y232" s="143">
        <f>'[65]2. подк.неподк.'!V220</f>
        <v>0</v>
      </c>
      <c r="Z232" s="182">
        <f>'[65]2. подк.неподк.'!W220</f>
        <v>0</v>
      </c>
      <c r="AA232" s="143">
        <f>'[65]2. подк.неподк.'!X220</f>
        <v>2235.0784600000002</v>
      </c>
      <c r="AB232" s="143">
        <f>Y232*$AA$11</f>
        <v>0</v>
      </c>
      <c r="AC232" s="144">
        <f t="shared" si="129"/>
        <v>0</v>
      </c>
      <c r="AD232" s="143">
        <f t="shared" si="130"/>
        <v>0</v>
      </c>
      <c r="AE232" s="143"/>
      <c r="AF232" s="143">
        <f t="shared" si="131"/>
        <v>0</v>
      </c>
      <c r="AG232" s="143"/>
      <c r="AH232" s="143">
        <f t="shared" si="132"/>
        <v>-2235.0784600000002</v>
      </c>
      <c r="AI232" s="143">
        <f t="shared" si="135"/>
        <v>-100</v>
      </c>
    </row>
    <row r="233" spans="1:35" ht="33" customHeight="1" outlineLevel="2">
      <c r="A233" s="139"/>
      <c r="B233" s="143" t="s">
        <v>1091</v>
      </c>
      <c r="C233" s="147" t="s">
        <v>1092</v>
      </c>
      <c r="D233" s="148" t="s">
        <v>1093</v>
      </c>
      <c r="E233" s="149"/>
      <c r="F233" s="143" t="s">
        <v>121</v>
      </c>
      <c r="G233" s="143">
        <v>0</v>
      </c>
      <c r="H233" s="143">
        <v>0</v>
      </c>
      <c r="I233" s="143">
        <v>0</v>
      </c>
      <c r="J233" s="143">
        <v>0</v>
      </c>
      <c r="K233" s="143">
        <v>7504.0455599999996</v>
      </c>
      <c r="L233" s="143">
        <v>0</v>
      </c>
      <c r="M233" s="143">
        <v>0</v>
      </c>
      <c r="N233" s="143"/>
      <c r="O233" s="143"/>
      <c r="P233" s="150">
        <v>0</v>
      </c>
      <c r="Q233" s="167">
        <v>0</v>
      </c>
      <c r="R233" s="144">
        <v>0</v>
      </c>
      <c r="S233" s="167">
        <f t="shared" si="125"/>
        <v>0</v>
      </c>
      <c r="T233" s="167">
        <f t="shared" si="126"/>
        <v>0</v>
      </c>
      <c r="U233" s="151" t="e">
        <f>R233-#REF!</f>
        <v>#REF!</v>
      </c>
      <c r="V233" s="151">
        <f t="shared" si="127"/>
        <v>0</v>
      </c>
      <c r="W233" s="151">
        <f t="shared" si="128"/>
        <v>0</v>
      </c>
      <c r="X233" s="151" t="e">
        <f>O233-#REF!</f>
        <v>#REF!</v>
      </c>
      <c r="Y233" s="143">
        <f>'[65]2. подк.неподк.'!V221</f>
        <v>0</v>
      </c>
      <c r="Z233" s="182">
        <f>'[65]2. подк.неподк.'!W221</f>
        <v>0</v>
      </c>
      <c r="AA233" s="143">
        <v>0</v>
      </c>
      <c r="AB233" s="143">
        <f>Y233*$AA$11</f>
        <v>0</v>
      </c>
      <c r="AC233" s="144">
        <f t="shared" si="129"/>
        <v>0</v>
      </c>
      <c r="AD233" s="143">
        <f t="shared" si="130"/>
        <v>0</v>
      </c>
      <c r="AE233" s="143"/>
      <c r="AF233" s="143">
        <f t="shared" si="131"/>
        <v>0</v>
      </c>
      <c r="AG233" s="143"/>
      <c r="AH233" s="143">
        <f t="shared" si="132"/>
        <v>0</v>
      </c>
      <c r="AI233" s="143"/>
    </row>
    <row r="234" spans="1:35" ht="33" customHeight="1" outlineLevel="1">
      <c r="A234" s="197"/>
      <c r="B234" s="140" t="s">
        <v>1094</v>
      </c>
      <c r="C234" s="141"/>
      <c r="D234" s="393" t="s">
        <v>1095</v>
      </c>
      <c r="E234" s="188" t="s">
        <v>1095</v>
      </c>
      <c r="F234" s="143" t="s">
        <v>121</v>
      </c>
      <c r="G234" s="144">
        <f t="shared" ref="G234:I234" si="139">SUM(G235:G239)</f>
        <v>2775.230507184152</v>
      </c>
      <c r="H234" s="144">
        <f t="shared" si="139"/>
        <v>3185.68833</v>
      </c>
      <c r="I234" s="144">
        <f t="shared" si="139"/>
        <v>3184.78836</v>
      </c>
      <c r="J234" s="144">
        <f>SUM(J235:J239)</f>
        <v>3045.1864201355434</v>
      </c>
      <c r="K234" s="144">
        <f t="shared" ref="K234:AB234" si="140">SUM(K235:K239)</f>
        <v>3129.8628799999997</v>
      </c>
      <c r="L234" s="144">
        <f t="shared" si="140"/>
        <v>3129.8599999999997</v>
      </c>
      <c r="M234" s="144">
        <f t="shared" si="140"/>
        <v>2688.2618994274103</v>
      </c>
      <c r="N234" s="144">
        <f t="shared" si="140"/>
        <v>5074.73369</v>
      </c>
      <c r="O234" s="144">
        <f t="shared" si="140"/>
        <v>4839.0552399999997</v>
      </c>
      <c r="P234" s="145">
        <f t="shared" si="140"/>
        <v>4839.0552399999997</v>
      </c>
      <c r="Q234" s="144">
        <f t="shared" si="140"/>
        <v>4839.0552399999997</v>
      </c>
      <c r="R234" s="144">
        <f t="shared" si="140"/>
        <v>4839.0552399999997</v>
      </c>
      <c r="S234" s="144">
        <f t="shared" si="125"/>
        <v>2150.7933405725894</v>
      </c>
      <c r="T234" s="144">
        <f t="shared" si="126"/>
        <v>0</v>
      </c>
      <c r="U234" s="146" t="e">
        <f>R234-#REF!</f>
        <v>#REF!</v>
      </c>
      <c r="V234" s="146">
        <f t="shared" si="127"/>
        <v>2150.7933405725894</v>
      </c>
      <c r="W234" s="146">
        <f t="shared" si="128"/>
        <v>0</v>
      </c>
      <c r="X234" s="146" t="e">
        <f>O234-#REF!</f>
        <v>#REF!</v>
      </c>
      <c r="Y234" s="144">
        <f t="shared" si="140"/>
        <v>3114.3808670829167</v>
      </c>
      <c r="Z234" s="170">
        <f t="shared" si="140"/>
        <v>3254.5280061016479</v>
      </c>
      <c r="AA234" s="144">
        <f t="shared" si="140"/>
        <v>5677.5950782500004</v>
      </c>
      <c r="AB234" s="144">
        <f t="shared" si="140"/>
        <v>3229.1512812186556</v>
      </c>
      <c r="AC234" s="144">
        <f t="shared" si="129"/>
        <v>3229.1512812186556</v>
      </c>
      <c r="AD234" s="144">
        <f t="shared" si="130"/>
        <v>114.77041413573897</v>
      </c>
      <c r="AE234" s="144">
        <f t="shared" si="133"/>
        <v>3.6851759317169979</v>
      </c>
      <c r="AF234" s="144">
        <f t="shared" si="131"/>
        <v>-25.376724882992221</v>
      </c>
      <c r="AG234" s="144">
        <f t="shared" si="134"/>
        <v>-0.77973595051004452</v>
      </c>
      <c r="AH234" s="144">
        <f t="shared" si="132"/>
        <v>-2448.4437970313447</v>
      </c>
      <c r="AI234" s="144">
        <f t="shared" si="135"/>
        <v>-43.124663934047689</v>
      </c>
    </row>
    <row r="235" spans="1:35" ht="33" customHeight="1" outlineLevel="2">
      <c r="A235" s="139" t="s">
        <v>1096</v>
      </c>
      <c r="B235" s="143" t="s">
        <v>1097</v>
      </c>
      <c r="C235" s="147" t="s">
        <v>1098</v>
      </c>
      <c r="D235" s="148" t="s">
        <v>1099</v>
      </c>
      <c r="E235" s="149" t="s">
        <v>1100</v>
      </c>
      <c r="F235" s="143" t="s">
        <v>121</v>
      </c>
      <c r="G235" s="143">
        <v>1200</v>
      </c>
      <c r="H235" s="143">
        <v>935</v>
      </c>
      <c r="I235" s="143">
        <v>935</v>
      </c>
      <c r="J235" s="143">
        <v>1316.7279959999998</v>
      </c>
      <c r="K235" s="143">
        <v>1036.5852199999999</v>
      </c>
      <c r="L235" s="143">
        <v>1036.5899999999999</v>
      </c>
      <c r="M235" s="143">
        <v>786.26208967510627</v>
      </c>
      <c r="N235" s="143">
        <v>1045.5140100000001</v>
      </c>
      <c r="O235" s="143">
        <v>985.90191000000004</v>
      </c>
      <c r="P235" s="150">
        <v>985.90191000000004</v>
      </c>
      <c r="Q235" s="143">
        <v>985.90191000000004</v>
      </c>
      <c r="R235" s="144">
        <v>985.90191000000004</v>
      </c>
      <c r="S235" s="143">
        <f t="shared" si="125"/>
        <v>199.63982032489378</v>
      </c>
      <c r="T235" s="143">
        <f t="shared" si="126"/>
        <v>0</v>
      </c>
      <c r="U235" s="151" t="e">
        <f>R235-#REF!</f>
        <v>#REF!</v>
      </c>
      <c r="V235" s="151">
        <f t="shared" si="127"/>
        <v>199.63982032489378</v>
      </c>
      <c r="W235" s="151">
        <f t="shared" si="128"/>
        <v>0</v>
      </c>
      <c r="X235" s="151" t="e">
        <f>O235-#REF!</f>
        <v>#REF!</v>
      </c>
      <c r="Y235" s="143">
        <f>'[65]2. подк.неподк.'!V223</f>
        <v>1175.6226337499997</v>
      </c>
      <c r="Z235" s="182">
        <f>'[65]2. подк.неподк.'!W223</f>
        <v>1228.5256522687496</v>
      </c>
      <c r="AA235" s="143">
        <f>'[65]2. подк.неподк.'!X223</f>
        <v>1255.9100000000001</v>
      </c>
      <c r="AB235" s="143">
        <f>Y235*$AA$11</f>
        <v>1218.9463960967723</v>
      </c>
      <c r="AC235" s="144">
        <f t="shared" si="129"/>
        <v>1218.9463960967723</v>
      </c>
      <c r="AD235" s="143">
        <f t="shared" si="130"/>
        <v>43.323762346772583</v>
      </c>
      <c r="AE235" s="143">
        <f t="shared" si="133"/>
        <v>3.6851759317169979</v>
      </c>
      <c r="AF235" s="143">
        <f t="shared" si="131"/>
        <v>-9.5792561719772493</v>
      </c>
      <c r="AG235" s="143">
        <f t="shared" si="134"/>
        <v>-0.77973595051003031</v>
      </c>
      <c r="AH235" s="143">
        <f t="shared" si="132"/>
        <v>-36.963603903227749</v>
      </c>
      <c r="AI235" s="143">
        <f t="shared" si="135"/>
        <v>-2.9431729903597983</v>
      </c>
    </row>
    <row r="236" spans="1:35" s="200" customFormat="1" ht="33" customHeight="1" outlineLevel="2">
      <c r="A236" s="139" t="s">
        <v>1101</v>
      </c>
      <c r="B236" s="143" t="s">
        <v>1102</v>
      </c>
      <c r="C236" s="147" t="s">
        <v>1103</v>
      </c>
      <c r="D236" s="148" t="s">
        <v>1104</v>
      </c>
      <c r="E236" s="149" t="s">
        <v>1105</v>
      </c>
      <c r="F236" s="143" t="s">
        <v>121</v>
      </c>
      <c r="G236" s="143">
        <v>424.93776126163908</v>
      </c>
      <c r="H236" s="143">
        <v>974.90022999999997</v>
      </c>
      <c r="I236" s="143">
        <v>974</v>
      </c>
      <c r="J236" s="143">
        <v>466.27287234230369</v>
      </c>
      <c r="K236" s="143">
        <v>1096.7721899999999</v>
      </c>
      <c r="L236" s="143">
        <v>1096.77</v>
      </c>
      <c r="M236" s="143">
        <v>819.81507172678266</v>
      </c>
      <c r="N236" s="143">
        <v>1147.3548999999998</v>
      </c>
      <c r="O236" s="143">
        <v>1074.1103799999999</v>
      </c>
      <c r="P236" s="150">
        <v>1074.1103799999999</v>
      </c>
      <c r="Q236" s="143">
        <v>1074.1103799999999</v>
      </c>
      <c r="R236" s="144">
        <v>1074.1103799999999</v>
      </c>
      <c r="S236" s="143">
        <f t="shared" si="125"/>
        <v>254.29530827321719</v>
      </c>
      <c r="T236" s="143">
        <f t="shared" si="126"/>
        <v>0</v>
      </c>
      <c r="U236" s="151" t="e">
        <f>R236-#REF!</f>
        <v>#REF!</v>
      </c>
      <c r="V236" s="151">
        <f t="shared" si="127"/>
        <v>254.29530827321719</v>
      </c>
      <c r="W236" s="151">
        <f t="shared" si="128"/>
        <v>0</v>
      </c>
      <c r="X236" s="151" t="e">
        <f>O236-#REF!</f>
        <v>#REF!</v>
      </c>
      <c r="Y236" s="143">
        <f>'[65]2. подк.неподк.'!V224</f>
        <v>864.90490067175563</v>
      </c>
      <c r="Z236" s="182">
        <f>'[65]2. подк.неподк.'!W224</f>
        <v>903.82562120198452</v>
      </c>
      <c r="AA236" s="143">
        <f>'[65]2. подк.неподк.'!X224</f>
        <v>1384.53</v>
      </c>
      <c r="AB236" s="143">
        <f>Y236*$AA$11</f>
        <v>896.778167903552</v>
      </c>
      <c r="AC236" s="144">
        <f t="shared" si="129"/>
        <v>896.778167903552</v>
      </c>
      <c r="AD236" s="143">
        <f t="shared" si="130"/>
        <v>31.873267231796376</v>
      </c>
      <c r="AE236" s="143">
        <f t="shared" si="133"/>
        <v>3.6851759317169979</v>
      </c>
      <c r="AF236" s="143">
        <f t="shared" si="131"/>
        <v>-7.0474532984325151</v>
      </c>
      <c r="AG236" s="143">
        <f t="shared" si="134"/>
        <v>-0.77973595051003031</v>
      </c>
      <c r="AH236" s="143">
        <f t="shared" si="132"/>
        <v>-487.75183209644797</v>
      </c>
      <c r="AI236" s="143">
        <f t="shared" si="135"/>
        <v>-35.228693643073669</v>
      </c>
    </row>
    <row r="237" spans="1:35" ht="33" customHeight="1" outlineLevel="2">
      <c r="A237" s="139" t="s">
        <v>1106</v>
      </c>
      <c r="B237" s="143" t="s">
        <v>1107</v>
      </c>
      <c r="C237" s="147" t="s">
        <v>1108</v>
      </c>
      <c r="D237" s="148" t="s">
        <v>1109</v>
      </c>
      <c r="E237" s="149" t="s">
        <v>1110</v>
      </c>
      <c r="F237" s="143" t="s">
        <v>121</v>
      </c>
      <c r="G237" s="143">
        <v>805.26024439638672</v>
      </c>
      <c r="H237" s="143">
        <v>758.95182999999997</v>
      </c>
      <c r="I237" s="143">
        <v>758.95</v>
      </c>
      <c r="J237" s="143">
        <v>883.590589885437</v>
      </c>
      <c r="K237" s="143">
        <v>803.60307</v>
      </c>
      <c r="L237" s="143">
        <v>803.6</v>
      </c>
      <c r="M237" s="143">
        <v>638.21930675780322</v>
      </c>
      <c r="N237" s="143">
        <v>909.11506000000008</v>
      </c>
      <c r="O237" s="143">
        <v>844.19569999999999</v>
      </c>
      <c r="P237" s="150">
        <v>844.19569999999999</v>
      </c>
      <c r="Q237" s="143">
        <v>844.19569999999999</v>
      </c>
      <c r="R237" s="144">
        <v>844.19569999999999</v>
      </c>
      <c r="S237" s="143">
        <f t="shared" si="125"/>
        <v>205.97639324219676</v>
      </c>
      <c r="T237" s="143">
        <f t="shared" si="126"/>
        <v>0</v>
      </c>
      <c r="U237" s="151" t="e">
        <f>R237-#REF!</f>
        <v>#REF!</v>
      </c>
      <c r="V237" s="151">
        <f t="shared" si="127"/>
        <v>205.97639324219676</v>
      </c>
      <c r="W237" s="151">
        <f t="shared" si="128"/>
        <v>0</v>
      </c>
      <c r="X237" s="151" t="e">
        <f>O237-#REF!</f>
        <v>#REF!</v>
      </c>
      <c r="Y237" s="143">
        <f>'[65]2. подк.неподк.'!V225</f>
        <v>911.38284999999996</v>
      </c>
      <c r="Z237" s="182">
        <f>'[65]2. подк.неподк.'!W225</f>
        <v>952.39507824999987</v>
      </c>
      <c r="AA237" s="143">
        <f>'[65]2. подк.неподк.'!X225</f>
        <v>952.39507824999987</v>
      </c>
      <c r="AB237" s="143">
        <f>Y237*$AA$11</f>
        <v>944.96891143399637</v>
      </c>
      <c r="AC237" s="144">
        <f t="shared" si="129"/>
        <v>944.96891143399637</v>
      </c>
      <c r="AD237" s="143">
        <f t="shared" si="130"/>
        <v>33.586061433996406</v>
      </c>
      <c r="AE237" s="143">
        <f t="shared" si="133"/>
        <v>3.6851759317169979</v>
      </c>
      <c r="AF237" s="143">
        <f t="shared" si="131"/>
        <v>-7.4261668160035015</v>
      </c>
      <c r="AG237" s="143">
        <f t="shared" si="134"/>
        <v>-0.77973595051004452</v>
      </c>
      <c r="AH237" s="143">
        <f t="shared" si="132"/>
        <v>-7.4261668160035015</v>
      </c>
      <c r="AI237" s="143">
        <f t="shared" si="135"/>
        <v>-0.77973595051004452</v>
      </c>
    </row>
    <row r="238" spans="1:35" ht="33" customHeight="1" outlineLevel="2">
      <c r="A238" s="139" t="s">
        <v>1111</v>
      </c>
      <c r="B238" s="143" t="s">
        <v>1112</v>
      </c>
      <c r="C238" s="147" t="s">
        <v>1113</v>
      </c>
      <c r="D238" s="148" t="s">
        <v>1114</v>
      </c>
      <c r="E238" s="149" t="s">
        <v>1115</v>
      </c>
      <c r="F238" s="143" t="s">
        <v>121</v>
      </c>
      <c r="G238" s="143">
        <v>195.0325015261262</v>
      </c>
      <c r="H238" s="143">
        <v>344.81790999999998</v>
      </c>
      <c r="I238" s="143">
        <v>344.82</v>
      </c>
      <c r="J238" s="143">
        <v>214.00396240780256</v>
      </c>
      <c r="K238" s="143">
        <v>0</v>
      </c>
      <c r="L238" s="143">
        <v>0</v>
      </c>
      <c r="M238" s="143">
        <v>289.96497376898685</v>
      </c>
      <c r="N238" s="143">
        <v>1774.1974300000002</v>
      </c>
      <c r="O238" s="143">
        <v>1749.5303200000001</v>
      </c>
      <c r="P238" s="150">
        <v>1749.5303200000001</v>
      </c>
      <c r="Q238" s="143">
        <v>1749.5303200000001</v>
      </c>
      <c r="R238" s="144">
        <v>1749.5303200000001</v>
      </c>
      <c r="S238" s="143">
        <f t="shared" si="125"/>
        <v>1459.5653462310133</v>
      </c>
      <c r="T238" s="143">
        <f t="shared" si="126"/>
        <v>0</v>
      </c>
      <c r="U238" s="151" t="e">
        <f>R238-#REF!</f>
        <v>#REF!</v>
      </c>
      <c r="V238" s="151">
        <f t="shared" si="127"/>
        <v>1459.5653462310133</v>
      </c>
      <c r="W238" s="151">
        <f t="shared" si="128"/>
        <v>0</v>
      </c>
      <c r="X238" s="151" t="e">
        <f>O238-#REF!</f>
        <v>#REF!</v>
      </c>
      <c r="Y238" s="143">
        <f>'[65]2. подк.неподк.'!V226</f>
        <v>0</v>
      </c>
      <c r="Z238" s="182">
        <f>'[65]2. подк.неподк.'!W226</f>
        <v>0</v>
      </c>
      <c r="AA238" s="143">
        <f>'[65]2. подк.неподк.'!X226</f>
        <v>1876.63</v>
      </c>
      <c r="AB238" s="143">
        <f>Y238*$AA$11</f>
        <v>0</v>
      </c>
      <c r="AC238" s="144">
        <f t="shared" si="129"/>
        <v>0</v>
      </c>
      <c r="AD238" s="143">
        <f t="shared" si="130"/>
        <v>0</v>
      </c>
      <c r="AE238" s="143"/>
      <c r="AF238" s="143">
        <f t="shared" si="131"/>
        <v>0</v>
      </c>
      <c r="AG238" s="143"/>
      <c r="AH238" s="143">
        <f t="shared" si="132"/>
        <v>-1876.63</v>
      </c>
      <c r="AI238" s="143">
        <f t="shared" si="135"/>
        <v>-100</v>
      </c>
    </row>
    <row r="239" spans="1:35" ht="33" customHeight="1" outlineLevel="2">
      <c r="A239" s="139" t="s">
        <v>1116</v>
      </c>
      <c r="B239" s="143" t="s">
        <v>1117</v>
      </c>
      <c r="C239" s="147" t="s">
        <v>1118</v>
      </c>
      <c r="D239" s="148" t="s">
        <v>1119</v>
      </c>
      <c r="E239" s="149" t="s">
        <v>1120</v>
      </c>
      <c r="F239" s="143" t="s">
        <v>121</v>
      </c>
      <c r="G239" s="143">
        <v>150</v>
      </c>
      <c r="H239" s="143">
        <v>172.01836</v>
      </c>
      <c r="I239" s="143">
        <v>172.01836</v>
      </c>
      <c r="J239" s="179">
        <v>164.59099949999998</v>
      </c>
      <c r="K239" s="179">
        <v>192.9024</v>
      </c>
      <c r="L239" s="179">
        <v>192.9</v>
      </c>
      <c r="M239" s="179">
        <v>154.00045749873112</v>
      </c>
      <c r="N239" s="179">
        <v>198.55228999999997</v>
      </c>
      <c r="O239" s="179">
        <v>185.31692999999999</v>
      </c>
      <c r="P239" s="180">
        <v>185.31692999999999</v>
      </c>
      <c r="Q239" s="179">
        <v>185.31692999999999</v>
      </c>
      <c r="R239" s="144">
        <v>185.31692999999999</v>
      </c>
      <c r="S239" s="179">
        <f t="shared" si="125"/>
        <v>31.316472501268862</v>
      </c>
      <c r="T239" s="179">
        <f t="shared" si="126"/>
        <v>0</v>
      </c>
      <c r="U239" s="181" t="e">
        <f>R239-#REF!</f>
        <v>#REF!</v>
      </c>
      <c r="V239" s="181">
        <f t="shared" si="127"/>
        <v>31.316472501268862</v>
      </c>
      <c r="W239" s="181">
        <f t="shared" si="128"/>
        <v>0</v>
      </c>
      <c r="X239" s="181" t="e">
        <f>O239-#REF!</f>
        <v>#REF!</v>
      </c>
      <c r="Y239" s="143">
        <f>'[65]2. подк.неподк.'!V227</f>
        <v>162.47048266116133</v>
      </c>
      <c r="Z239" s="182">
        <f>'[65]2. подк.неподк.'!W227</f>
        <v>169.78165438091358</v>
      </c>
      <c r="AA239" s="143">
        <f>'[65]2. подк.неподк.'!X227</f>
        <v>208.13</v>
      </c>
      <c r="AB239" s="143">
        <f>Y239*$AA$11</f>
        <v>168.45780578433488</v>
      </c>
      <c r="AC239" s="144">
        <f t="shared" si="129"/>
        <v>168.45780578433488</v>
      </c>
      <c r="AD239" s="143">
        <f t="shared" si="130"/>
        <v>5.9873231231735531</v>
      </c>
      <c r="AE239" s="143">
        <f t="shared" si="133"/>
        <v>3.6851759317169979</v>
      </c>
      <c r="AF239" s="143">
        <f t="shared" si="131"/>
        <v>-1.3238485965786992</v>
      </c>
      <c r="AG239" s="143">
        <f t="shared" si="134"/>
        <v>-0.77973595051005873</v>
      </c>
      <c r="AH239" s="143">
        <f t="shared" si="132"/>
        <v>-39.672194215665115</v>
      </c>
      <c r="AI239" s="143">
        <f t="shared" si="135"/>
        <v>-19.061257010361359</v>
      </c>
    </row>
    <row r="240" spans="1:35" ht="33" customHeight="1" outlineLevel="1">
      <c r="A240" s="139"/>
      <c r="B240" s="140" t="s">
        <v>1121</v>
      </c>
      <c r="C240" s="141"/>
      <c r="D240" s="393" t="s">
        <v>1122</v>
      </c>
      <c r="E240" s="188" t="s">
        <v>1123</v>
      </c>
      <c r="F240" s="143" t="s">
        <v>121</v>
      </c>
      <c r="G240" s="144">
        <f t="shared" ref="G240:I240" si="141">G241</f>
        <v>0</v>
      </c>
      <c r="H240" s="144">
        <f t="shared" si="141"/>
        <v>14.41</v>
      </c>
      <c r="I240" s="144">
        <f t="shared" si="141"/>
        <v>0</v>
      </c>
      <c r="J240" s="144">
        <f>J241</f>
        <v>0</v>
      </c>
      <c r="K240" s="144">
        <f t="shared" ref="K240:AB240" si="142">K241</f>
        <v>13.22683</v>
      </c>
      <c r="L240" s="144">
        <f t="shared" si="142"/>
        <v>0</v>
      </c>
      <c r="M240" s="144">
        <v>0</v>
      </c>
      <c r="N240" s="144">
        <v>0</v>
      </c>
      <c r="O240" s="144">
        <v>0</v>
      </c>
      <c r="P240" s="145">
        <v>0</v>
      </c>
      <c r="Q240" s="144">
        <v>0</v>
      </c>
      <c r="R240" s="144">
        <v>0</v>
      </c>
      <c r="S240" s="144">
        <f t="shared" si="125"/>
        <v>0</v>
      </c>
      <c r="T240" s="144">
        <f t="shared" si="126"/>
        <v>0</v>
      </c>
      <c r="U240" s="146" t="e">
        <f>R240-#REF!</f>
        <v>#REF!</v>
      </c>
      <c r="V240" s="146">
        <f t="shared" si="127"/>
        <v>0</v>
      </c>
      <c r="W240" s="146">
        <f t="shared" si="128"/>
        <v>0</v>
      </c>
      <c r="X240" s="146" t="e">
        <f>O240-#REF!</f>
        <v>#REF!</v>
      </c>
      <c r="Y240" s="144">
        <f t="shared" si="142"/>
        <v>0</v>
      </c>
      <c r="Z240" s="170">
        <f t="shared" si="142"/>
        <v>0</v>
      </c>
      <c r="AA240" s="144">
        <f t="shared" si="142"/>
        <v>0</v>
      </c>
      <c r="AB240" s="144">
        <f t="shared" si="142"/>
        <v>0</v>
      </c>
      <c r="AC240" s="144">
        <f t="shared" si="129"/>
        <v>0</v>
      </c>
      <c r="AD240" s="144">
        <f t="shared" si="130"/>
        <v>0</v>
      </c>
      <c r="AE240" s="144"/>
      <c r="AF240" s="144">
        <f t="shared" si="131"/>
        <v>0</v>
      </c>
      <c r="AG240" s="144"/>
      <c r="AH240" s="144">
        <f t="shared" si="132"/>
        <v>0</v>
      </c>
      <c r="AI240" s="144"/>
    </row>
    <row r="241" spans="1:35" ht="33" customHeight="1" outlineLevel="2">
      <c r="A241" s="152" t="s">
        <v>1124</v>
      </c>
      <c r="B241" s="143" t="s">
        <v>1125</v>
      </c>
      <c r="C241" s="183" t="s">
        <v>1126</v>
      </c>
      <c r="D241" s="164" t="s">
        <v>1127</v>
      </c>
      <c r="E241" s="149" t="s">
        <v>1128</v>
      </c>
      <c r="F241" s="143" t="s">
        <v>121</v>
      </c>
      <c r="G241" s="143">
        <v>0</v>
      </c>
      <c r="H241" s="143">
        <v>14.41</v>
      </c>
      <c r="I241" s="143">
        <v>0</v>
      </c>
      <c r="J241" s="179">
        <v>0</v>
      </c>
      <c r="K241" s="179">
        <v>13.22683</v>
      </c>
      <c r="L241" s="179">
        <v>0</v>
      </c>
      <c r="M241" s="179">
        <v>0</v>
      </c>
      <c r="N241" s="179">
        <v>0</v>
      </c>
      <c r="O241" s="179">
        <v>0</v>
      </c>
      <c r="P241" s="180">
        <v>0</v>
      </c>
      <c r="Q241" s="179">
        <v>0</v>
      </c>
      <c r="R241" s="144">
        <v>0</v>
      </c>
      <c r="S241" s="179">
        <f t="shared" si="125"/>
        <v>0</v>
      </c>
      <c r="T241" s="179">
        <f t="shared" si="126"/>
        <v>0</v>
      </c>
      <c r="U241" s="181" t="e">
        <f>R241-#REF!</f>
        <v>#REF!</v>
      </c>
      <c r="V241" s="181">
        <f t="shared" si="127"/>
        <v>0</v>
      </c>
      <c r="W241" s="181">
        <f t="shared" si="128"/>
        <v>0</v>
      </c>
      <c r="X241" s="181" t="e">
        <f>O241-#REF!</f>
        <v>#REF!</v>
      </c>
      <c r="Y241" s="143">
        <f>'[65]2. подк.неподк.'!V229</f>
        <v>0</v>
      </c>
      <c r="Z241" s="182">
        <f>'[65]2. подк.неподк.'!W229</f>
        <v>0</v>
      </c>
      <c r="AA241" s="143">
        <f>'[65]2. подк.неподк.'!X229</f>
        <v>0</v>
      </c>
      <c r="AB241" s="143">
        <f>Y241*$AA$11</f>
        <v>0</v>
      </c>
      <c r="AC241" s="144">
        <f t="shared" si="129"/>
        <v>0</v>
      </c>
      <c r="AD241" s="143">
        <f t="shared" si="130"/>
        <v>0</v>
      </c>
      <c r="AE241" s="143"/>
      <c r="AF241" s="143">
        <f t="shared" si="131"/>
        <v>0</v>
      </c>
      <c r="AG241" s="143"/>
      <c r="AH241" s="143">
        <f t="shared" si="132"/>
        <v>0</v>
      </c>
      <c r="AI241" s="143"/>
    </row>
    <row r="242" spans="1:35" ht="33" customHeight="1" outlineLevel="2">
      <c r="A242" s="152"/>
      <c r="B242" s="151"/>
      <c r="C242" s="201"/>
      <c r="D242" s="202" t="s">
        <v>1129</v>
      </c>
      <c r="E242" s="203"/>
      <c r="F242" s="151" t="s">
        <v>121</v>
      </c>
      <c r="G242" s="204">
        <f t="shared" ref="G242:I242" si="143">G243</f>
        <v>122841.85</v>
      </c>
      <c r="H242" s="204">
        <f t="shared" si="143"/>
        <v>365166</v>
      </c>
      <c r="I242" s="204">
        <f t="shared" si="143"/>
        <v>145028.34</v>
      </c>
      <c r="J242" s="204">
        <f>J243</f>
        <v>134791.08677484002</v>
      </c>
      <c r="K242" s="204">
        <f>K243+K244</f>
        <v>379717.01</v>
      </c>
      <c r="L242" s="204">
        <f t="shared" ref="L242:R242" si="144">L243+L244</f>
        <v>134791.09</v>
      </c>
      <c r="M242" s="204">
        <f t="shared" si="144"/>
        <v>139673.22</v>
      </c>
      <c r="N242" s="204">
        <f t="shared" si="144"/>
        <v>427241.94519</v>
      </c>
      <c r="O242" s="204">
        <f t="shared" si="144"/>
        <v>419796.17699000001</v>
      </c>
      <c r="P242" s="205">
        <f t="shared" si="144"/>
        <v>419796.17699000001</v>
      </c>
      <c r="Q242" s="204">
        <f t="shared" si="144"/>
        <v>419796.17699000001</v>
      </c>
      <c r="R242" s="144">
        <f t="shared" si="144"/>
        <v>341262.83999999997</v>
      </c>
      <c r="S242" s="206">
        <f t="shared" si="125"/>
        <v>201589.61999999997</v>
      </c>
      <c r="T242" s="206">
        <f t="shared" si="126"/>
        <v>-78533.33699000004</v>
      </c>
      <c r="U242" s="207" t="e">
        <f>R242-#REF!</f>
        <v>#REF!</v>
      </c>
      <c r="V242" s="207">
        <f t="shared" si="127"/>
        <v>201589.61999999997</v>
      </c>
      <c r="W242" s="207">
        <f t="shared" si="128"/>
        <v>0</v>
      </c>
      <c r="X242" s="207" t="e">
        <f>O242-#REF!</f>
        <v>#REF!</v>
      </c>
      <c r="Y242" s="206">
        <f>'[65]2. подк.неподк.'!V230</f>
        <v>147355.24709999998</v>
      </c>
      <c r="Z242" s="170">
        <f>'[65]2. подк.неподк.'!W230</f>
        <v>153986.23321949996</v>
      </c>
      <c r="AA242" s="175">
        <f>'[65]2. подк.неподк.'!X230</f>
        <v>1018013</v>
      </c>
      <c r="AB242" s="175">
        <f>AB243+AB244</f>
        <v>152785.54720025128</v>
      </c>
      <c r="AC242" s="144">
        <f t="shared" si="129"/>
        <v>152785.54720025128</v>
      </c>
      <c r="AD242" s="175">
        <f t="shared" si="130"/>
        <v>5430.3001002513047</v>
      </c>
      <c r="AE242" s="175">
        <f t="shared" si="133"/>
        <v>3.6851759317169979</v>
      </c>
      <c r="AF242" s="175">
        <f t="shared" si="131"/>
        <v>-1200.6860192486783</v>
      </c>
      <c r="AG242" s="175">
        <f t="shared" si="134"/>
        <v>-0.77973595051004452</v>
      </c>
      <c r="AH242" s="175">
        <f t="shared" si="132"/>
        <v>-865227.45279974875</v>
      </c>
      <c r="AI242" s="175">
        <f t="shared" si="135"/>
        <v>-84.991788199143699</v>
      </c>
    </row>
    <row r="243" spans="1:35" ht="33.6" customHeight="1">
      <c r="A243" s="1335" t="s">
        <v>1130</v>
      </c>
      <c r="B243" s="1337" t="s">
        <v>1131</v>
      </c>
      <c r="C243" s="147" t="s">
        <v>1132</v>
      </c>
      <c r="D243" s="208" t="s">
        <v>1133</v>
      </c>
      <c r="E243" s="1338" t="s">
        <v>1134</v>
      </c>
      <c r="F243" s="1334" t="s">
        <v>121</v>
      </c>
      <c r="G243" s="1307">
        <v>122841.85</v>
      </c>
      <c r="H243" s="143">
        <v>365166</v>
      </c>
      <c r="I243" s="143">
        <v>145028.34</v>
      </c>
      <c r="J243" s="1328">
        <v>134791.08677484002</v>
      </c>
      <c r="K243" s="144">
        <v>153008.24</v>
      </c>
      <c r="L243" s="144">
        <v>134791.09</v>
      </c>
      <c r="M243" s="144">
        <v>139673.22</v>
      </c>
      <c r="N243" s="144">
        <v>292666.12676000001</v>
      </c>
      <c r="O243" s="144">
        <v>289913.17716000002</v>
      </c>
      <c r="P243" s="145">
        <v>289913.17716000002</v>
      </c>
      <c r="Q243" s="144">
        <v>289913.17716000002</v>
      </c>
      <c r="R243" s="144">
        <v>235675.91</v>
      </c>
      <c r="S243" s="144">
        <f t="shared" si="125"/>
        <v>96002.69</v>
      </c>
      <c r="T243" s="144">
        <f t="shared" si="126"/>
        <v>-54237.267160000018</v>
      </c>
      <c r="U243" s="146" t="e">
        <f>R243-#REF!</f>
        <v>#REF!</v>
      </c>
      <c r="V243" s="146">
        <f t="shared" si="127"/>
        <v>96002.69</v>
      </c>
      <c r="W243" s="209">
        <f t="shared" si="128"/>
        <v>0</v>
      </c>
      <c r="X243" s="209" t="e">
        <f>O243-#REF!</f>
        <v>#REF!</v>
      </c>
      <c r="Y243" s="1307">
        <f>'[65]2. подк.неподк.'!V231</f>
        <v>147355.24709999998</v>
      </c>
      <c r="Z243" s="1329">
        <f>'[65]2. подк.неподк.'!W231</f>
        <v>153986.23321949996</v>
      </c>
      <c r="AA243" s="143">
        <f>'[65]2. подк.неподк.'!X231</f>
        <v>500000</v>
      </c>
      <c r="AB243" s="1307">
        <f>Y243*AA11</f>
        <v>152785.54720025128</v>
      </c>
      <c r="AC243" s="144">
        <f t="shared" si="129"/>
        <v>152785.54720025128</v>
      </c>
      <c r="AD243" s="1307">
        <f t="shared" si="130"/>
        <v>5430.3001002513047</v>
      </c>
      <c r="AE243" s="1307">
        <f t="shared" si="133"/>
        <v>3.6851759317169979</v>
      </c>
      <c r="AF243" s="1307">
        <f t="shared" si="131"/>
        <v>-1200.6860192486783</v>
      </c>
      <c r="AG243" s="1307">
        <f t="shared" si="134"/>
        <v>-0.77973595051004452</v>
      </c>
      <c r="AH243" s="1307">
        <f t="shared" si="132"/>
        <v>-347214.45279974875</v>
      </c>
      <c r="AI243" s="1307">
        <f t="shared" si="135"/>
        <v>-69.442890559949745</v>
      </c>
    </row>
    <row r="244" spans="1:35" ht="33.6" customHeight="1" collapsed="1">
      <c r="A244" s="1336"/>
      <c r="B244" s="1337"/>
      <c r="C244" s="147" t="s">
        <v>1135</v>
      </c>
      <c r="D244" s="208" t="s">
        <v>1136</v>
      </c>
      <c r="E244" s="1338"/>
      <c r="F244" s="1334"/>
      <c r="G244" s="1327"/>
      <c r="H244" s="143">
        <v>0</v>
      </c>
      <c r="I244" s="143">
        <v>0</v>
      </c>
      <c r="J244" s="1328"/>
      <c r="K244" s="144">
        <v>226708.77</v>
      </c>
      <c r="L244" s="144">
        <v>0</v>
      </c>
      <c r="M244" s="144">
        <v>0</v>
      </c>
      <c r="N244" s="144">
        <v>134575.81843000001</v>
      </c>
      <c r="O244" s="144">
        <v>129882.99983</v>
      </c>
      <c r="P244" s="145">
        <v>129882.99983</v>
      </c>
      <c r="Q244" s="144">
        <v>129882.99983</v>
      </c>
      <c r="R244" s="144">
        <v>105586.93</v>
      </c>
      <c r="S244" s="144">
        <f t="shared" si="125"/>
        <v>105586.93</v>
      </c>
      <c r="T244" s="144">
        <f t="shared" si="126"/>
        <v>-24296.069830000008</v>
      </c>
      <c r="U244" s="146" t="e">
        <f>R244-#REF!</f>
        <v>#REF!</v>
      </c>
      <c r="V244" s="146">
        <f t="shared" si="127"/>
        <v>105586.93</v>
      </c>
      <c r="W244" s="210">
        <f t="shared" si="128"/>
        <v>0</v>
      </c>
      <c r="X244" s="210" t="e">
        <f>O244-#REF!</f>
        <v>#REF!</v>
      </c>
      <c r="Y244" s="1327"/>
      <c r="Z244" s="1329"/>
      <c r="AA244" s="143">
        <f>'[65]2. подк.неподк.'!X232</f>
        <v>518013</v>
      </c>
      <c r="AB244" s="1308"/>
      <c r="AC244" s="144">
        <f t="shared" si="129"/>
        <v>0</v>
      </c>
      <c r="AD244" s="1308">
        <f t="shared" si="130"/>
        <v>0</v>
      </c>
      <c r="AE244" s="1308" t="e">
        <f t="shared" si="133"/>
        <v>#DIV/0!</v>
      </c>
      <c r="AF244" s="1308">
        <f t="shared" si="131"/>
        <v>0</v>
      </c>
      <c r="AG244" s="1308" t="e">
        <f t="shared" si="134"/>
        <v>#DIV/0!</v>
      </c>
      <c r="AH244" s="1308">
        <f t="shared" si="132"/>
        <v>-518013</v>
      </c>
      <c r="AI244" s="1308">
        <f t="shared" si="135"/>
        <v>-100</v>
      </c>
    </row>
    <row r="245" spans="1:35" ht="33.6" customHeight="1">
      <c r="A245" s="139" t="s">
        <v>1137</v>
      </c>
      <c r="B245" s="140" t="s">
        <v>1138</v>
      </c>
      <c r="C245" s="147" t="s">
        <v>1139</v>
      </c>
      <c r="D245" s="208" t="s">
        <v>1140</v>
      </c>
      <c r="E245" s="188" t="s">
        <v>1141</v>
      </c>
      <c r="F245" s="143" t="s">
        <v>121</v>
      </c>
      <c r="G245" s="143">
        <v>16762.93</v>
      </c>
      <c r="H245" s="143">
        <v>21298.679769999999</v>
      </c>
      <c r="I245" s="143">
        <v>21298.68</v>
      </c>
      <c r="J245" s="144">
        <v>18393.5</v>
      </c>
      <c r="K245" s="144">
        <v>25196.31407</v>
      </c>
      <c r="L245" s="144">
        <v>25196.31</v>
      </c>
      <c r="M245" s="144">
        <v>21298.679769999999</v>
      </c>
      <c r="N245" s="144">
        <v>28593.266530000001</v>
      </c>
      <c r="O245" s="144">
        <v>28494.76209</v>
      </c>
      <c r="P245" s="145">
        <v>28494.76209</v>
      </c>
      <c r="Q245" s="144">
        <v>28494.76209</v>
      </c>
      <c r="R245" s="144">
        <v>28494.76209</v>
      </c>
      <c r="S245" s="144">
        <f t="shared" si="125"/>
        <v>7196.0823200000013</v>
      </c>
      <c r="T245" s="144">
        <f t="shared" si="126"/>
        <v>0</v>
      </c>
      <c r="U245" s="146" t="e">
        <f>R245-#REF!</f>
        <v>#REF!</v>
      </c>
      <c r="V245" s="146">
        <f t="shared" si="127"/>
        <v>7196.0823200000013</v>
      </c>
      <c r="W245" s="146">
        <f t="shared" si="128"/>
        <v>0</v>
      </c>
      <c r="X245" s="146" t="e">
        <f>O245-#REF!</f>
        <v>#REF!</v>
      </c>
      <c r="Y245" s="143">
        <f>'[65]2. подк.неподк.'!V233</f>
        <v>22470.107157349998</v>
      </c>
      <c r="Z245" s="182">
        <f>'[65]2. подк.неподк.'!W233</f>
        <v>23481.261979430747</v>
      </c>
      <c r="AA245" s="143">
        <f>'[65]2. подк.неподк.'!X233</f>
        <v>38592.99</v>
      </c>
      <c r="AB245" s="143">
        <f>Y245*$AA$11</f>
        <v>23298.17013814368</v>
      </c>
      <c r="AC245" s="144">
        <f t="shared" si="129"/>
        <v>23298.17013814368</v>
      </c>
      <c r="AD245" s="143">
        <f t="shared" si="130"/>
        <v>828.06298079368207</v>
      </c>
      <c r="AE245" s="143">
        <f t="shared" si="133"/>
        <v>3.6851759317169979</v>
      </c>
      <c r="AF245" s="143">
        <f t="shared" si="131"/>
        <v>-183.09184128706693</v>
      </c>
      <c r="AG245" s="143">
        <f t="shared" si="134"/>
        <v>-0.77973595051004452</v>
      </c>
      <c r="AH245" s="143">
        <f t="shared" si="132"/>
        <v>-15294.819861856318</v>
      </c>
      <c r="AI245" s="143">
        <f t="shared" si="135"/>
        <v>-39.631082903543671</v>
      </c>
    </row>
    <row r="246" spans="1:35" s="214" customFormat="1" ht="21.75" customHeight="1">
      <c r="A246" s="211"/>
      <c r="B246" s="166"/>
      <c r="C246" s="212"/>
      <c r="D246" s="213" t="s">
        <v>1142</v>
      </c>
      <c r="E246" s="213" t="s">
        <v>1142</v>
      </c>
      <c r="F246" s="168" t="s">
        <v>121</v>
      </c>
      <c r="G246" s="168">
        <f t="shared" ref="G246:I246" si="145">G29+G95+G96+G113+G129+G243+G245</f>
        <v>1612170.9103215688</v>
      </c>
      <c r="H246" s="168">
        <f t="shared" si="145"/>
        <v>1943860.97095</v>
      </c>
      <c r="I246" s="168">
        <f t="shared" si="145"/>
        <v>1602820.2280177155</v>
      </c>
      <c r="J246" s="168">
        <f>J29+J95+J96+J113+J129+J243+J245</f>
        <v>1768857.1430750673</v>
      </c>
      <c r="K246" s="168">
        <f t="shared" ref="K246:AA246" si="146">K29+K95+K96+K113+K129+K243+K244+K245</f>
        <v>2059211.8763689999</v>
      </c>
      <c r="L246" s="168">
        <f t="shared" si="146"/>
        <v>1749169.1986700001</v>
      </c>
      <c r="M246" s="168">
        <f t="shared" si="146"/>
        <v>1655457.4148923224</v>
      </c>
      <c r="N246" s="168">
        <f t="shared" si="146"/>
        <v>2252764.3344800002</v>
      </c>
      <c r="O246" s="168">
        <f t="shared" si="146"/>
        <v>2161665.4932500003</v>
      </c>
      <c r="P246" s="168">
        <f t="shared" si="146"/>
        <v>2117678.8413225324</v>
      </c>
      <c r="Q246" s="168">
        <f t="shared" si="146"/>
        <v>2120815.0690725325</v>
      </c>
      <c r="R246" s="168">
        <f t="shared" si="146"/>
        <v>2016701.8244825325</v>
      </c>
      <c r="S246" s="168">
        <f t="shared" si="125"/>
        <v>361244.40959021007</v>
      </c>
      <c r="T246" s="168">
        <f t="shared" si="126"/>
        <v>-144963.66876746784</v>
      </c>
      <c r="U246" s="146" t="e">
        <f>R246-#REF!</f>
        <v>#REF!</v>
      </c>
      <c r="V246" s="146">
        <f t="shared" si="127"/>
        <v>361244.40959021007</v>
      </c>
      <c r="W246" s="146">
        <f t="shared" si="128"/>
        <v>3136.2277500000782</v>
      </c>
      <c r="X246" s="146" t="e">
        <f>O246-#REF!</f>
        <v>#REF!</v>
      </c>
      <c r="Y246" s="168">
        <f>Y29+Y95+Y96+Y113+Y129+Y243+Y244+Y245</f>
        <v>1788344.6142069914</v>
      </c>
      <c r="Z246" s="168">
        <f t="shared" ref="Z246" si="147">Z29+Z95+Z96+Z113+Z129+Z243+Z244+Z245</f>
        <v>1868820.1199230908</v>
      </c>
      <c r="AA246" s="168">
        <f t="shared" si="146"/>
        <v>4313998.9154455531</v>
      </c>
      <c r="AB246" s="168">
        <f>AB29+AB95+AB96+AB113+AB129+AB243+AB244+AB245</f>
        <v>1854248.2595059047</v>
      </c>
      <c r="AC246" s="144">
        <f t="shared" si="129"/>
        <v>1854248.2595059047</v>
      </c>
      <c r="AD246" s="168">
        <f t="shared" si="130"/>
        <v>65903.645298913354</v>
      </c>
      <c r="AE246" s="168">
        <f t="shared" si="133"/>
        <v>3.6851759317169979</v>
      </c>
      <c r="AF246" s="168">
        <f t="shared" si="131"/>
        <v>-14571.86041718605</v>
      </c>
      <c r="AG246" s="168">
        <f t="shared" si="134"/>
        <v>-0.77973584840181331</v>
      </c>
      <c r="AH246" s="168">
        <f t="shared" si="132"/>
        <v>-2459750.6559396484</v>
      </c>
      <c r="AI246" s="168">
        <f t="shared" si="135"/>
        <v>-57.017878403560132</v>
      </c>
    </row>
    <row r="247" spans="1:35" ht="33" customHeight="1">
      <c r="A247" s="139" t="s">
        <v>1143</v>
      </c>
      <c r="B247" s="140" t="s">
        <v>1144</v>
      </c>
      <c r="C247" s="215" t="s">
        <v>1145</v>
      </c>
      <c r="D247" s="188" t="s">
        <v>1146</v>
      </c>
      <c r="E247" s="188" t="s">
        <v>1147</v>
      </c>
      <c r="F247" s="216" t="s">
        <v>552</v>
      </c>
      <c r="G247" s="124">
        <v>242856.14</v>
      </c>
      <c r="H247" s="124">
        <v>209032.18979999999</v>
      </c>
      <c r="I247" s="124">
        <v>209032.18979999999</v>
      </c>
      <c r="J247" s="144">
        <v>266480.56591900397</v>
      </c>
      <c r="K247" s="144">
        <v>252116.268376013</v>
      </c>
      <c r="L247" s="144">
        <v>252116.27</v>
      </c>
      <c r="M247" s="144">
        <v>267108.12723232195</v>
      </c>
      <c r="N247" s="144">
        <v>283140.83447</v>
      </c>
      <c r="O247" s="144">
        <v>262515.55822000001</v>
      </c>
      <c r="P247" s="145">
        <v>262515.55822000001</v>
      </c>
      <c r="Q247" s="144">
        <v>262515.56</v>
      </c>
      <c r="R247" s="144">
        <v>262515.56</v>
      </c>
      <c r="S247" s="144">
        <f t="shared" si="125"/>
        <v>-4592.5672323219478</v>
      </c>
      <c r="T247" s="144">
        <f t="shared" si="126"/>
        <v>1.7799999914132059E-3</v>
      </c>
      <c r="U247" s="146" t="e">
        <f>R247-#REF!</f>
        <v>#REF!</v>
      </c>
      <c r="V247" s="146">
        <f t="shared" si="127"/>
        <v>-4592.5672323219478</v>
      </c>
      <c r="W247" s="146">
        <f t="shared" si="128"/>
        <v>1.7799999914132059E-3</v>
      </c>
      <c r="X247" s="146" t="e">
        <f>O247-#REF!</f>
        <v>#REF!</v>
      </c>
      <c r="Y247" s="143">
        <f>'[65]2. подк.неподк.'!V235</f>
        <v>305659.3041537251</v>
      </c>
      <c r="Z247" s="167">
        <f>'[65]2. подк.неподк.'!W235</f>
        <v>319413.97284064273</v>
      </c>
      <c r="AA247" s="143">
        <f>'[65]2. подк.неподк.'!X235</f>
        <v>642070.35919999983</v>
      </c>
      <c r="AB247" s="143">
        <f>(AB95+AB96)*30.4%</f>
        <v>316923.38726345182</v>
      </c>
      <c r="AC247" s="144">
        <f t="shared" si="129"/>
        <v>316923.38726345182</v>
      </c>
      <c r="AD247" s="143">
        <f t="shared" si="130"/>
        <v>11264.083109726722</v>
      </c>
      <c r="AE247" s="143">
        <f t="shared" si="133"/>
        <v>3.6851759317169979</v>
      </c>
      <c r="AF247" s="143">
        <f t="shared" si="131"/>
        <v>-2490.5855771909119</v>
      </c>
      <c r="AG247" s="143">
        <f t="shared" si="134"/>
        <v>-0.77973595051005873</v>
      </c>
      <c r="AH247" s="143">
        <f t="shared" si="132"/>
        <v>-325146.97193654801</v>
      </c>
      <c r="AI247" s="143">
        <f t="shared" si="135"/>
        <v>-50.640395912633515</v>
      </c>
    </row>
    <row r="248" spans="1:35" ht="25.5" customHeight="1">
      <c r="A248" s="152" t="s">
        <v>1148</v>
      </c>
      <c r="B248" s="140" t="s">
        <v>1149</v>
      </c>
      <c r="C248" s="215" t="s">
        <v>1150</v>
      </c>
      <c r="D248" s="208" t="s">
        <v>1151</v>
      </c>
      <c r="E248" s="188" t="s">
        <v>1152</v>
      </c>
      <c r="F248" s="178" t="s">
        <v>552</v>
      </c>
      <c r="G248" s="217">
        <v>190618.3</v>
      </c>
      <c r="H248" s="217">
        <v>210670</v>
      </c>
      <c r="I248" s="217">
        <v>206821.41</v>
      </c>
      <c r="J248" s="144">
        <v>320675.59000000003</v>
      </c>
      <c r="K248" s="144">
        <v>297196.01500000001</v>
      </c>
      <c r="L248" s="144">
        <v>297196.01500000001</v>
      </c>
      <c r="M248" s="144">
        <v>206057.33</v>
      </c>
      <c r="N248" s="144">
        <v>321828.63365999999</v>
      </c>
      <c r="O248" s="144">
        <v>320542.03473999997</v>
      </c>
      <c r="P248" s="145">
        <v>320484.65000000002</v>
      </c>
      <c r="Q248" s="144">
        <v>320484.65000000002</v>
      </c>
      <c r="R248" s="168">
        <v>320484.65000000002</v>
      </c>
      <c r="S248" s="144">
        <f t="shared" si="125"/>
        <v>114427.32000000004</v>
      </c>
      <c r="T248" s="144">
        <f t="shared" si="126"/>
        <v>-57.384739999950398</v>
      </c>
      <c r="U248" s="146" t="e">
        <f>R248-#REF!</f>
        <v>#REF!</v>
      </c>
      <c r="V248" s="146">
        <f t="shared" si="127"/>
        <v>114427.32000000004</v>
      </c>
      <c r="W248" s="146">
        <f t="shared" si="128"/>
        <v>0</v>
      </c>
      <c r="X248" s="146" t="e">
        <f>O248-#REF!</f>
        <v>#REF!</v>
      </c>
      <c r="Y248" s="143">
        <f>'[65]2. подк.неподк.'!V236</f>
        <v>297196.02</v>
      </c>
      <c r="Z248" s="167">
        <f>'[65]2. подк.неподк.'!W236</f>
        <v>334238.02499999997</v>
      </c>
      <c r="AA248" s="143">
        <f>'[65]2. подк.неподк.'!X236</f>
        <v>973491.73</v>
      </c>
      <c r="AB248" s="143">
        <v>356306</v>
      </c>
      <c r="AC248" s="144">
        <f t="shared" si="129"/>
        <v>356306</v>
      </c>
      <c r="AD248" s="143">
        <f t="shared" si="130"/>
        <v>59109.979999999981</v>
      </c>
      <c r="AE248" s="143">
        <f t="shared" si="133"/>
        <v>19.889223280984709</v>
      </c>
      <c r="AF248" s="143">
        <f t="shared" si="131"/>
        <v>22067.975000000035</v>
      </c>
      <c r="AG248" s="143">
        <f t="shared" si="134"/>
        <v>6.6024728933819148</v>
      </c>
      <c r="AH248" s="143">
        <f t="shared" si="132"/>
        <v>-617185.73</v>
      </c>
      <c r="AI248" s="143">
        <f t="shared" si="135"/>
        <v>-63.399175460894774</v>
      </c>
    </row>
    <row r="249" spans="1:35" s="224" customFormat="1" ht="33" customHeight="1">
      <c r="A249" s="218"/>
      <c r="B249" s="219" t="s">
        <v>1153</v>
      </c>
      <c r="C249" s="220"/>
      <c r="D249" s="221" t="s">
        <v>1154</v>
      </c>
      <c r="E249" s="221" t="s">
        <v>1154</v>
      </c>
      <c r="F249" s="222" t="s">
        <v>552</v>
      </c>
      <c r="G249" s="223">
        <f t="shared" ref="G249:I249" si="148">SUM(G250:G261)</f>
        <v>1830295.91</v>
      </c>
      <c r="H249" s="223">
        <f t="shared" si="148"/>
        <v>1773388.9077499995</v>
      </c>
      <c r="I249" s="223">
        <f t="shared" si="148"/>
        <v>1771929.0301799998</v>
      </c>
      <c r="J249" s="223">
        <f>SUM(J250:J261)</f>
        <v>1142089.7710558169</v>
      </c>
      <c r="K249" s="223">
        <f>SUM(K250:K261)</f>
        <v>1610485.2276699999</v>
      </c>
      <c r="L249" s="223">
        <f>SUM(L250:L261)</f>
        <v>1602981.1629900001</v>
      </c>
      <c r="M249" s="223">
        <f t="shared" ref="M249" si="149">SUM(M250:M261)</f>
        <v>1371851.0164803262</v>
      </c>
      <c r="N249" s="223">
        <f>SUM(N250:N261)</f>
        <v>1364948.2011299999</v>
      </c>
      <c r="O249" s="223">
        <f t="shared" ref="O249:AA249" si="150">SUM(O250:O261)</f>
        <v>1362495.0174000002</v>
      </c>
      <c r="P249" s="223">
        <f t="shared" si="150"/>
        <v>1362495.0174</v>
      </c>
      <c r="Q249" s="223">
        <f t="shared" si="150"/>
        <v>1362495.0174</v>
      </c>
      <c r="R249" s="223">
        <f t="shared" si="150"/>
        <v>1362495.0174000002</v>
      </c>
      <c r="S249" s="223">
        <f t="shared" si="125"/>
        <v>-9355.9990803259425</v>
      </c>
      <c r="T249" s="223">
        <f t="shared" si="126"/>
        <v>0</v>
      </c>
      <c r="U249" s="146" t="e">
        <f>R249-#REF!</f>
        <v>#REF!</v>
      </c>
      <c r="V249" s="146">
        <f t="shared" si="127"/>
        <v>-9355.9990803259425</v>
      </c>
      <c r="W249" s="146">
        <f t="shared" si="128"/>
        <v>0</v>
      </c>
      <c r="X249" s="146" t="e">
        <f>O249-#REF!</f>
        <v>#REF!</v>
      </c>
      <c r="Y249" s="223">
        <f t="shared" si="150"/>
        <v>1263084.8551806</v>
      </c>
      <c r="Z249" s="223">
        <f t="shared" si="150"/>
        <v>1319923.673663727</v>
      </c>
      <c r="AA249" s="223">
        <f t="shared" si="150"/>
        <v>1520064.7667064348</v>
      </c>
      <c r="AB249" s="223">
        <f>SUM(AB250:AB261)</f>
        <v>1279232.5540322866</v>
      </c>
      <c r="AC249" s="223">
        <f>SUM(AC250:AC261)</f>
        <v>1309946.4342949539</v>
      </c>
      <c r="AD249" s="223">
        <f t="shared" si="130"/>
        <v>16147.69885168667</v>
      </c>
      <c r="AE249" s="223">
        <f t="shared" si="133"/>
        <v>1.2784334152575951</v>
      </c>
      <c r="AF249" s="223">
        <f t="shared" si="131"/>
        <v>-40691.119631440379</v>
      </c>
      <c r="AG249" s="223">
        <f t="shared" si="134"/>
        <v>-3.0828388370740925</v>
      </c>
      <c r="AH249" s="223">
        <f t="shared" si="132"/>
        <v>-240832.21267414815</v>
      </c>
      <c r="AI249" s="223">
        <f t="shared" si="135"/>
        <v>-15.843549429539493</v>
      </c>
    </row>
    <row r="250" spans="1:35" ht="28.5" customHeight="1" outlineLevel="1">
      <c r="A250" s="139" t="s">
        <v>1155</v>
      </c>
      <c r="B250" s="176" t="s">
        <v>1156</v>
      </c>
      <c r="C250" s="215" t="s">
        <v>1157</v>
      </c>
      <c r="D250" s="148" t="s">
        <v>1158</v>
      </c>
      <c r="E250" s="225" t="s">
        <v>1159</v>
      </c>
      <c r="F250" s="178" t="s">
        <v>552</v>
      </c>
      <c r="G250" s="178">
        <v>144465.29</v>
      </c>
      <c r="H250" s="178">
        <v>144794.01196999999</v>
      </c>
      <c r="I250" s="178">
        <v>144794.01196999999</v>
      </c>
      <c r="J250" s="143">
        <v>158517.90549375699</v>
      </c>
      <c r="K250" s="143">
        <v>126797.00155</v>
      </c>
      <c r="L250" s="143">
        <v>126797</v>
      </c>
      <c r="M250" s="143">
        <v>110968.17</v>
      </c>
      <c r="N250" s="143">
        <v>110968.16979</v>
      </c>
      <c r="O250" s="143">
        <v>110968.16979</v>
      </c>
      <c r="P250" s="150">
        <v>110968.16979</v>
      </c>
      <c r="Q250" s="143">
        <v>110968.16979</v>
      </c>
      <c r="R250" s="143">
        <v>110968.16979</v>
      </c>
      <c r="S250" s="143">
        <f t="shared" si="125"/>
        <v>-2.0999999833293259E-4</v>
      </c>
      <c r="T250" s="143">
        <f t="shared" si="126"/>
        <v>0</v>
      </c>
      <c r="U250" s="151" t="e">
        <f>R250-#REF!</f>
        <v>#REF!</v>
      </c>
      <c r="V250" s="151">
        <f t="shared" si="127"/>
        <v>-2.0999999833293259E-4</v>
      </c>
      <c r="W250" s="151">
        <f t="shared" si="128"/>
        <v>0</v>
      </c>
      <c r="X250" s="151" t="e">
        <f>O250-#REF!</f>
        <v>#REF!</v>
      </c>
      <c r="Y250" s="143">
        <f>'[65]2. подк.неподк.'!V238</f>
        <v>57418.25</v>
      </c>
      <c r="Z250" s="143">
        <f>'[65]2. подк.неподк.'!W238</f>
        <v>60002.071249999994</v>
      </c>
      <c r="AA250" s="166"/>
      <c r="AB250" s="143">
        <v>0</v>
      </c>
      <c r="AC250" s="144">
        <f t="shared" si="129"/>
        <v>0</v>
      </c>
      <c r="AD250" s="143">
        <f t="shared" si="130"/>
        <v>-57418.25</v>
      </c>
      <c r="AE250" s="143">
        <f t="shared" si="133"/>
        <v>-100</v>
      </c>
      <c r="AF250" s="143">
        <f t="shared" si="131"/>
        <v>-60002.071249999994</v>
      </c>
      <c r="AG250" s="143">
        <f t="shared" si="134"/>
        <v>-100</v>
      </c>
      <c r="AH250" s="143">
        <f t="shared" si="132"/>
        <v>0</v>
      </c>
      <c r="AI250" s="143" t="e">
        <f t="shared" si="135"/>
        <v>#DIV/0!</v>
      </c>
    </row>
    <row r="251" spans="1:35" ht="28.5" customHeight="1" outlineLevel="1">
      <c r="A251" s="139" t="s">
        <v>1160</v>
      </c>
      <c r="B251" s="176" t="s">
        <v>1161</v>
      </c>
      <c r="C251" s="215" t="s">
        <v>1162</v>
      </c>
      <c r="D251" s="148" t="s">
        <v>1163</v>
      </c>
      <c r="E251" s="225" t="s">
        <v>1164</v>
      </c>
      <c r="F251" s="178" t="s">
        <v>552</v>
      </c>
      <c r="G251" s="178">
        <v>318029.19</v>
      </c>
      <c r="H251" s="178">
        <v>262920.66586000001</v>
      </c>
      <c r="I251" s="178">
        <v>262920.66586000001</v>
      </c>
      <c r="J251" s="143">
        <v>348964.93880762695</v>
      </c>
      <c r="K251" s="143">
        <v>185469.95342000001</v>
      </c>
      <c r="L251" s="143">
        <v>185469.95</v>
      </c>
      <c r="M251" s="143">
        <v>152505.99964000002</v>
      </c>
      <c r="N251" s="143">
        <v>154856.07118</v>
      </c>
      <c r="O251" s="143">
        <v>154856.07118</v>
      </c>
      <c r="P251" s="150">
        <v>154856.07118</v>
      </c>
      <c r="Q251" s="143">
        <v>154856.07118</v>
      </c>
      <c r="R251" s="143">
        <v>154856.07118</v>
      </c>
      <c r="S251" s="143">
        <f t="shared" si="125"/>
        <v>2350.0715399999754</v>
      </c>
      <c r="T251" s="143">
        <f t="shared" si="126"/>
        <v>0</v>
      </c>
      <c r="U251" s="151" t="e">
        <f>R251-#REF!</f>
        <v>#REF!</v>
      </c>
      <c r="V251" s="151">
        <f t="shared" si="127"/>
        <v>2350.0715399999754</v>
      </c>
      <c r="W251" s="151">
        <f t="shared" si="128"/>
        <v>0</v>
      </c>
      <c r="X251" s="151" t="e">
        <f>O251-#REF!</f>
        <v>#REF!</v>
      </c>
      <c r="Y251" s="143">
        <f>'[65]2. подк.неподк.'!V239</f>
        <v>144204.47825999997</v>
      </c>
      <c r="Z251" s="143">
        <f>'[65]2. подк.неподк.'!W239</f>
        <v>150693.67978169996</v>
      </c>
      <c r="AA251" s="143">
        <f>'[65]2. подк.неподк.'!X239</f>
        <v>320096.00685322029</v>
      </c>
      <c r="AB251" s="143">
        <v>173746.64</v>
      </c>
      <c r="AC251" s="144">
        <f t="shared" si="129"/>
        <v>173746.64</v>
      </c>
      <c r="AD251" s="143">
        <f t="shared" si="130"/>
        <v>29542.16174000004</v>
      </c>
      <c r="AE251" s="143">
        <f t="shared" si="133"/>
        <v>20.486299799050386</v>
      </c>
      <c r="AF251" s="143">
        <f t="shared" si="131"/>
        <v>23052.960218300053</v>
      </c>
      <c r="AG251" s="143">
        <f t="shared" si="134"/>
        <v>15.297894544545841</v>
      </c>
      <c r="AH251" s="143">
        <f t="shared" si="132"/>
        <v>-146349.36685322027</v>
      </c>
      <c r="AI251" s="143">
        <f t="shared" si="135"/>
        <v>-45.720460024460294</v>
      </c>
    </row>
    <row r="252" spans="1:35" ht="28.5" customHeight="1" outlineLevel="1">
      <c r="A252" s="139" t="s">
        <v>1165</v>
      </c>
      <c r="B252" s="176" t="s">
        <v>1166</v>
      </c>
      <c r="C252" s="215" t="s">
        <v>1167</v>
      </c>
      <c r="D252" s="148" t="s">
        <v>1168</v>
      </c>
      <c r="E252" s="225" t="s">
        <v>1169</v>
      </c>
      <c r="F252" s="178" t="s">
        <v>552</v>
      </c>
      <c r="G252" s="178">
        <v>113326.77</v>
      </c>
      <c r="H252" s="178">
        <v>83450.859200000006</v>
      </c>
      <c r="I252" s="178">
        <v>83450.859200000006</v>
      </c>
      <c r="J252" s="143">
        <v>124350.43889624099</v>
      </c>
      <c r="K252" s="143">
        <v>100013.73493999999</v>
      </c>
      <c r="L252" s="143">
        <v>100013.73</v>
      </c>
      <c r="M252" s="143">
        <v>90494.064429999984</v>
      </c>
      <c r="N252" s="143">
        <v>90494.061379999999</v>
      </c>
      <c r="O252" s="143">
        <v>90480.068419999996</v>
      </c>
      <c r="P252" s="150">
        <v>90480.068419999996</v>
      </c>
      <c r="Q252" s="143">
        <v>90480.068419999996</v>
      </c>
      <c r="R252" s="143">
        <v>90480.068419999996</v>
      </c>
      <c r="S252" s="143">
        <f t="shared" si="125"/>
        <v>-13.996009999988019</v>
      </c>
      <c r="T252" s="143">
        <f t="shared" si="126"/>
        <v>0</v>
      </c>
      <c r="U252" s="151" t="e">
        <f>R252-#REF!</f>
        <v>#REF!</v>
      </c>
      <c r="V252" s="151">
        <f t="shared" si="127"/>
        <v>-13.996009999988019</v>
      </c>
      <c r="W252" s="151">
        <f t="shared" si="128"/>
        <v>0</v>
      </c>
      <c r="X252" s="151" t="e">
        <f>O252-#REF!</f>
        <v>#REF!</v>
      </c>
      <c r="Y252" s="143">
        <f>'[65]2. подк.неподк.'!V240</f>
        <v>88888.551999999996</v>
      </c>
      <c r="Z252" s="143">
        <f>'[65]2. подк.неподк.'!W240</f>
        <v>92888.536839999986</v>
      </c>
      <c r="AA252" s="166">
        <f>'[65]2. подк.неподк.'!X240+60002.0645</f>
        <v>152890.60133999999</v>
      </c>
      <c r="AB252" s="143">
        <v>134303.46</v>
      </c>
      <c r="AC252" s="144">
        <f t="shared" si="129"/>
        <v>134303.46</v>
      </c>
      <c r="AD252" s="143">
        <f t="shared" si="130"/>
        <v>45414.907999999996</v>
      </c>
      <c r="AE252" s="143">
        <f t="shared" si="133"/>
        <v>51.091965138547891</v>
      </c>
      <c r="AF252" s="143">
        <f t="shared" si="131"/>
        <v>41414.923160000006</v>
      </c>
      <c r="AG252" s="143">
        <f t="shared" si="134"/>
        <v>44.585612572773101</v>
      </c>
      <c r="AH252" s="143">
        <f t="shared" si="132"/>
        <v>-18587.141340000002</v>
      </c>
      <c r="AI252" s="143">
        <f t="shared" si="135"/>
        <v>-12.157151045972853</v>
      </c>
    </row>
    <row r="253" spans="1:35" ht="28.5" customHeight="1" outlineLevel="1">
      <c r="A253" s="139" t="s">
        <v>1170</v>
      </c>
      <c r="B253" s="176" t="s">
        <v>1171</v>
      </c>
      <c r="C253" s="215" t="s">
        <v>1172</v>
      </c>
      <c r="D253" s="148" t="s">
        <v>1173</v>
      </c>
      <c r="E253" s="225" t="s">
        <v>1174</v>
      </c>
      <c r="F253" s="178" t="s">
        <v>552</v>
      </c>
      <c r="G253" s="178">
        <v>789452.42</v>
      </c>
      <c r="H253" s="178">
        <v>902596.45401999995</v>
      </c>
      <c r="I253" s="178">
        <v>902596.45401999995</v>
      </c>
      <c r="J253" s="143">
        <v>0</v>
      </c>
      <c r="K253" s="143">
        <v>830969.39298999996</v>
      </c>
      <c r="L253" s="143">
        <v>830969.39298999996</v>
      </c>
      <c r="M253" s="143">
        <v>628510.49</v>
      </c>
      <c r="N253" s="143">
        <v>641206.82625000004</v>
      </c>
      <c r="O253" s="143">
        <v>641206.82625000004</v>
      </c>
      <c r="P253" s="150">
        <v>641206.82625000004</v>
      </c>
      <c r="Q253" s="143">
        <v>641206.82625000004</v>
      </c>
      <c r="R253" s="143">
        <v>641206.82625000004</v>
      </c>
      <c r="S253" s="143">
        <f t="shared" si="125"/>
        <v>12696.336250000051</v>
      </c>
      <c r="T253" s="143">
        <f t="shared" si="126"/>
        <v>0</v>
      </c>
      <c r="U253" s="151" t="e">
        <f>R253-#REF!</f>
        <v>#REF!</v>
      </c>
      <c r="V253" s="151">
        <f t="shared" si="127"/>
        <v>12696.336250000051</v>
      </c>
      <c r="W253" s="151">
        <f t="shared" si="128"/>
        <v>0</v>
      </c>
      <c r="X253" s="151" t="e">
        <f>O253-#REF!</f>
        <v>#REF!</v>
      </c>
      <c r="Y253" s="143">
        <f>'[65]2. подк.неподк.'!V241</f>
        <v>564085.91</v>
      </c>
      <c r="Z253" s="143">
        <f>'[65]2. подк.неподк.'!W241</f>
        <v>589469.77595000004</v>
      </c>
      <c r="AA253" s="143">
        <f>'[65]2. подк.неподк.'!X241</f>
        <v>589469.77595000004</v>
      </c>
      <c r="AB253" s="143">
        <v>547641.30000000005</v>
      </c>
      <c r="AC253" s="144">
        <f t="shared" si="129"/>
        <v>547641.30000000005</v>
      </c>
      <c r="AD253" s="143">
        <f t="shared" si="130"/>
        <v>-16444.609999999986</v>
      </c>
      <c r="AE253" s="143">
        <f t="shared" si="133"/>
        <v>-2.9152669315920292</v>
      </c>
      <c r="AF253" s="143">
        <f t="shared" si="131"/>
        <v>-41828.475949999993</v>
      </c>
      <c r="AG253" s="143">
        <f t="shared" si="134"/>
        <v>-7.0959492168344838</v>
      </c>
      <c r="AH253" s="143">
        <f t="shared" si="132"/>
        <v>-41828.475949999993</v>
      </c>
      <c r="AI253" s="143">
        <f t="shared" si="135"/>
        <v>-7.0959492168344838</v>
      </c>
    </row>
    <row r="254" spans="1:35" ht="28.5" customHeight="1" outlineLevel="1">
      <c r="A254" s="139" t="s">
        <v>1175</v>
      </c>
      <c r="B254" s="176" t="s">
        <v>1176</v>
      </c>
      <c r="C254" s="215" t="s">
        <v>1177</v>
      </c>
      <c r="D254" s="148" t="s">
        <v>1178</v>
      </c>
      <c r="E254" s="225" t="s">
        <v>1179</v>
      </c>
      <c r="F254" s="178" t="s">
        <v>552</v>
      </c>
      <c r="G254" s="178">
        <v>95936.07</v>
      </c>
      <c r="H254" s="178">
        <v>58235.60961</v>
      </c>
      <c r="I254" s="178">
        <v>58235.60961</v>
      </c>
      <c r="J254" s="143">
        <v>105268.08811793099</v>
      </c>
      <c r="K254" s="143">
        <v>68222.991980000006</v>
      </c>
      <c r="L254" s="143">
        <v>68222.990000000005</v>
      </c>
      <c r="M254" s="143">
        <v>66781.149999999994</v>
      </c>
      <c r="N254" s="143">
        <v>62154.389900000002</v>
      </c>
      <c r="O254" s="143">
        <v>62154.389900000002</v>
      </c>
      <c r="P254" s="150">
        <v>62154.389900000002</v>
      </c>
      <c r="Q254" s="143">
        <v>62154.389900000002</v>
      </c>
      <c r="R254" s="143">
        <v>62154.389900000002</v>
      </c>
      <c r="S254" s="143">
        <f t="shared" si="125"/>
        <v>-4626.7600999999922</v>
      </c>
      <c r="T254" s="143">
        <f t="shared" si="126"/>
        <v>0</v>
      </c>
      <c r="U254" s="151" t="e">
        <f>R254-#REF!</f>
        <v>#REF!</v>
      </c>
      <c r="V254" s="151">
        <f t="shared" si="127"/>
        <v>-4626.7600999999922</v>
      </c>
      <c r="W254" s="151">
        <f t="shared" si="128"/>
        <v>0</v>
      </c>
      <c r="X254" s="151" t="e">
        <f>O254-#REF!</f>
        <v>#REF!</v>
      </c>
      <c r="Y254" s="143">
        <f>'[65]2. подк.неподк.'!V242</f>
        <v>72470.539999999994</v>
      </c>
      <c r="Z254" s="143">
        <f>'[65]2. подк.неподк.'!W242</f>
        <v>75731.714299999992</v>
      </c>
      <c r="AA254" s="143">
        <f>'[65]2. подк.неподк.'!X242</f>
        <v>75731.714299999992</v>
      </c>
      <c r="AB254" s="143">
        <f t="shared" ref="AB254:AB261" si="151">Y254*$AA$11</f>
        <v>75141.206897665339</v>
      </c>
      <c r="AC254" s="144">
        <f t="shared" si="129"/>
        <v>75141.206897665339</v>
      </c>
      <c r="AD254" s="143">
        <f t="shared" si="130"/>
        <v>2670.6668976653455</v>
      </c>
      <c r="AE254" s="143">
        <f t="shared" si="133"/>
        <v>3.6851759317169979</v>
      </c>
      <c r="AF254" s="143">
        <f t="shared" si="131"/>
        <v>-590.50740233465331</v>
      </c>
      <c r="AG254" s="143">
        <f t="shared" si="134"/>
        <v>-0.77973595051004452</v>
      </c>
      <c r="AH254" s="143">
        <f t="shared" si="132"/>
        <v>-590.50740233465331</v>
      </c>
      <c r="AI254" s="143">
        <f t="shared" si="135"/>
        <v>-0.77973595051004452</v>
      </c>
    </row>
    <row r="255" spans="1:35" ht="28.5" customHeight="1" outlineLevel="1">
      <c r="A255" s="139" t="s">
        <v>1180</v>
      </c>
      <c r="B255" s="176" t="s">
        <v>1181</v>
      </c>
      <c r="C255" s="215" t="s">
        <v>1182</v>
      </c>
      <c r="D255" s="148" t="s">
        <v>1183</v>
      </c>
      <c r="E255" s="225" t="s">
        <v>1184</v>
      </c>
      <c r="F255" s="178" t="s">
        <v>552</v>
      </c>
      <c r="G255" s="178">
        <v>8560.98</v>
      </c>
      <c r="H255" s="178">
        <v>5121.7745400000003</v>
      </c>
      <c r="I255" s="178">
        <v>5121.7745400000003</v>
      </c>
      <c r="J255" s="143">
        <v>9393.7347758339984</v>
      </c>
      <c r="K255" s="143">
        <v>4631.8183399999998</v>
      </c>
      <c r="L255" s="143">
        <v>4631.82</v>
      </c>
      <c r="M255" s="143">
        <v>4140.7700000000004</v>
      </c>
      <c r="N255" s="143">
        <v>4997.1476199999997</v>
      </c>
      <c r="O255" s="143">
        <v>4995.5531100000007</v>
      </c>
      <c r="P255" s="150">
        <v>4995.5531100000007</v>
      </c>
      <c r="Q255" s="143">
        <v>4995.5531100000007</v>
      </c>
      <c r="R255" s="143">
        <v>4995.5531100000007</v>
      </c>
      <c r="S255" s="143">
        <f t="shared" si="125"/>
        <v>854.78311000000031</v>
      </c>
      <c r="T255" s="143">
        <f t="shared" si="126"/>
        <v>0</v>
      </c>
      <c r="U255" s="151" t="e">
        <f>R255-#REF!</f>
        <v>#REF!</v>
      </c>
      <c r="V255" s="151">
        <f t="shared" si="127"/>
        <v>854.78311000000031</v>
      </c>
      <c r="W255" s="151">
        <f t="shared" si="128"/>
        <v>0</v>
      </c>
      <c r="X255" s="151" t="e">
        <f>O255-#REF!</f>
        <v>#REF!</v>
      </c>
      <c r="Y255" s="143">
        <f>'[65]2. подк.неподк.'!V243</f>
        <v>5120.3999999999996</v>
      </c>
      <c r="Z255" s="143">
        <f>'[65]2. подк.неподк.'!W243</f>
        <v>5350.8179999999993</v>
      </c>
      <c r="AA255" s="143">
        <f>'[65]2. подк.неподк.'!X243</f>
        <v>5508.6079430508489</v>
      </c>
      <c r="AB255" s="143">
        <f t="shared" si="151"/>
        <v>5309.0957484076371</v>
      </c>
      <c r="AC255" s="144">
        <f t="shared" si="129"/>
        <v>5309.0957484076371</v>
      </c>
      <c r="AD255" s="143">
        <f t="shared" si="130"/>
        <v>188.69574840763744</v>
      </c>
      <c r="AE255" s="143">
        <f t="shared" si="133"/>
        <v>3.6851759317169979</v>
      </c>
      <c r="AF255" s="143">
        <f t="shared" si="131"/>
        <v>-41.722251592362227</v>
      </c>
      <c r="AG255" s="143">
        <f t="shared" si="134"/>
        <v>-0.77973595051004452</v>
      </c>
      <c r="AH255" s="143">
        <f t="shared" si="132"/>
        <v>-199.51219464321184</v>
      </c>
      <c r="AI255" s="143">
        <f t="shared" si="135"/>
        <v>-3.6218259986154635</v>
      </c>
    </row>
    <row r="256" spans="1:35" ht="28.5" customHeight="1" outlineLevel="1">
      <c r="A256" s="139" t="s">
        <v>1185</v>
      </c>
      <c r="B256" s="176" t="s">
        <v>1186</v>
      </c>
      <c r="C256" s="215" t="s">
        <v>1187</v>
      </c>
      <c r="D256" s="148" t="s">
        <v>1188</v>
      </c>
      <c r="E256" s="225" t="s">
        <v>1189</v>
      </c>
      <c r="F256" s="178" t="s">
        <v>552</v>
      </c>
      <c r="G256" s="178">
        <v>2685.21</v>
      </c>
      <c r="H256" s="178">
        <v>13724.02434</v>
      </c>
      <c r="I256" s="178">
        <v>13724.02434</v>
      </c>
      <c r="J256" s="143">
        <v>2946.409237893</v>
      </c>
      <c r="K256" s="143">
        <v>9285.9032700000007</v>
      </c>
      <c r="L256" s="143">
        <v>9285.9</v>
      </c>
      <c r="M256" s="143">
        <v>13727.381290326264</v>
      </c>
      <c r="N256" s="143">
        <v>5782.9227999999994</v>
      </c>
      <c r="O256" s="143">
        <v>5772.8763300000001</v>
      </c>
      <c r="P256" s="150">
        <v>5772.8763300000001</v>
      </c>
      <c r="Q256" s="143">
        <v>5772.8763300000001</v>
      </c>
      <c r="R256" s="143">
        <v>5772.8763300000001</v>
      </c>
      <c r="S256" s="143">
        <f t="shared" si="125"/>
        <v>-7954.5049603262642</v>
      </c>
      <c r="T256" s="143">
        <f t="shared" si="126"/>
        <v>0</v>
      </c>
      <c r="U256" s="151" t="e">
        <f>R256-#REF!</f>
        <v>#REF!</v>
      </c>
      <c r="V256" s="151">
        <f t="shared" si="127"/>
        <v>-7954.5049603262642</v>
      </c>
      <c r="W256" s="151">
        <f t="shared" si="128"/>
        <v>0</v>
      </c>
      <c r="X256" s="151" t="e">
        <f>O256-#REF!</f>
        <v>#REF!</v>
      </c>
      <c r="Y256" s="143">
        <f>'[65]2. подк.неподк.'!V244</f>
        <v>12796.04</v>
      </c>
      <c r="Z256" s="143">
        <f>'[65]2. подк.неподк.'!W244</f>
        <v>13371.861800000001</v>
      </c>
      <c r="AA256" s="143">
        <f>'[65]2. подк.неподк.'!X244</f>
        <v>13371.861800000001</v>
      </c>
      <c r="AB256" s="143">
        <f t="shared" si="151"/>
        <v>13267.596586292881</v>
      </c>
      <c r="AC256" s="144">
        <f t="shared" si="129"/>
        <v>13267.596586292881</v>
      </c>
      <c r="AD256" s="143">
        <f t="shared" si="130"/>
        <v>471.55658629287973</v>
      </c>
      <c r="AE256" s="143">
        <f t="shared" si="133"/>
        <v>3.6851759317169979</v>
      </c>
      <c r="AF256" s="143">
        <f t="shared" si="131"/>
        <v>-104.26521370711998</v>
      </c>
      <c r="AG256" s="143">
        <f t="shared" si="134"/>
        <v>-0.77973595051005873</v>
      </c>
      <c r="AH256" s="143">
        <f t="shared" si="132"/>
        <v>-104.26521370711998</v>
      </c>
      <c r="AI256" s="143">
        <f t="shared" si="135"/>
        <v>-0.77973595051005873</v>
      </c>
    </row>
    <row r="257" spans="1:35" ht="38.25" customHeight="1" outlineLevel="1">
      <c r="A257" s="139" t="s">
        <v>1190</v>
      </c>
      <c r="B257" s="176" t="s">
        <v>1191</v>
      </c>
      <c r="C257" s="215" t="s">
        <v>1192</v>
      </c>
      <c r="D257" s="148" t="s">
        <v>1193</v>
      </c>
      <c r="E257" s="225" t="s">
        <v>1194</v>
      </c>
      <c r="F257" s="178" t="s">
        <v>552</v>
      </c>
      <c r="G257" s="178">
        <v>130725.43</v>
      </c>
      <c r="H257" s="178">
        <v>118666.49163999999</v>
      </c>
      <c r="I257" s="178">
        <v>117206.61407000001</v>
      </c>
      <c r="J257" s="143">
        <v>143441.52397001898</v>
      </c>
      <c r="K257" s="143">
        <v>114062.59647999999</v>
      </c>
      <c r="L257" s="143">
        <v>106558.55</v>
      </c>
      <c r="M257" s="143">
        <v>120738.58112</v>
      </c>
      <c r="N257" s="143">
        <v>117310.68969</v>
      </c>
      <c r="O257" s="143">
        <v>115109.19314</v>
      </c>
      <c r="P257" s="150">
        <v>115032.44422</v>
      </c>
      <c r="Q257" s="167">
        <v>115032.44422</v>
      </c>
      <c r="R257" s="167">
        <v>115109.19314</v>
      </c>
      <c r="S257" s="167">
        <f t="shared" si="125"/>
        <v>-5629.3879799999995</v>
      </c>
      <c r="T257" s="167">
        <f t="shared" si="126"/>
        <v>0</v>
      </c>
      <c r="U257" s="151" t="e">
        <f>R257-#REF!</f>
        <v>#REF!</v>
      </c>
      <c r="V257" s="151">
        <f t="shared" si="127"/>
        <v>-5629.3879799999995</v>
      </c>
      <c r="W257" s="151">
        <f t="shared" si="128"/>
        <v>0</v>
      </c>
      <c r="X257" s="151" t="e">
        <f>O257-#REF!</f>
        <v>#REF!</v>
      </c>
      <c r="Y257" s="143">
        <f>'[65]2. подк.неподк.'!V245</f>
        <v>112419.27122059999</v>
      </c>
      <c r="Z257" s="143">
        <f>'[65]2. подк.неподк.'!W245</f>
        <v>117478.13842552698</v>
      </c>
      <c r="AA257" s="143">
        <f>'[65]2. подк.неподк.'!X245</f>
        <v>147275.99940890036</v>
      </c>
      <c r="AB257" s="143">
        <f>Y257*$AA$11</f>
        <v>116562.11914623319</v>
      </c>
      <c r="AC257" s="168">
        <f>AA257</f>
        <v>147275.99940890036</v>
      </c>
      <c r="AD257" s="143">
        <f t="shared" si="130"/>
        <v>4142.8479256332066</v>
      </c>
      <c r="AE257" s="143">
        <f t="shared" si="133"/>
        <v>3.6851759317169979</v>
      </c>
      <c r="AF257" s="143">
        <f t="shared" si="131"/>
        <v>-916.01927929378871</v>
      </c>
      <c r="AG257" s="143">
        <f t="shared" si="134"/>
        <v>-0.77973595051004452</v>
      </c>
      <c r="AH257" s="143">
        <f t="shared" si="132"/>
        <v>-30713.880262667168</v>
      </c>
      <c r="AI257" s="143">
        <f t="shared" si="135"/>
        <v>-20.85464052930476</v>
      </c>
    </row>
    <row r="258" spans="1:35" ht="28.5" customHeight="1" outlineLevel="1">
      <c r="A258" s="139" t="s">
        <v>1195</v>
      </c>
      <c r="B258" s="176" t="s">
        <v>1196</v>
      </c>
      <c r="C258" s="215" t="s">
        <v>1197</v>
      </c>
      <c r="D258" s="148" t="s">
        <v>1198</v>
      </c>
      <c r="E258" s="225" t="s">
        <v>1199</v>
      </c>
      <c r="F258" s="178" t="s">
        <v>552</v>
      </c>
      <c r="G258" s="178">
        <v>10653.58</v>
      </c>
      <c r="H258" s="178">
        <v>5895.0526200000004</v>
      </c>
      <c r="I258" s="178">
        <v>5895.0526200000004</v>
      </c>
      <c r="J258" s="143">
        <v>11689.888883413998</v>
      </c>
      <c r="K258" s="143">
        <v>1633.3358700000001</v>
      </c>
      <c r="L258" s="143">
        <v>1633.34</v>
      </c>
      <c r="M258" s="143">
        <v>1769.02</v>
      </c>
      <c r="N258" s="143">
        <v>953.08475999999996</v>
      </c>
      <c r="O258" s="143">
        <v>953.08475999999996</v>
      </c>
      <c r="P258" s="150">
        <v>953.08475999999996</v>
      </c>
      <c r="Q258" s="143">
        <v>953.08475999999996</v>
      </c>
      <c r="R258" s="143">
        <v>953.08475999999996</v>
      </c>
      <c r="S258" s="143">
        <f t="shared" si="125"/>
        <v>-815.93524000000002</v>
      </c>
      <c r="T258" s="143">
        <f t="shared" si="126"/>
        <v>0</v>
      </c>
      <c r="U258" s="151" t="e">
        <f>R258-#REF!</f>
        <v>#REF!</v>
      </c>
      <c r="V258" s="151">
        <f t="shared" si="127"/>
        <v>-815.93524000000002</v>
      </c>
      <c r="W258" s="151">
        <f t="shared" si="128"/>
        <v>0</v>
      </c>
      <c r="X258" s="151" t="e">
        <f>O258-#REF!</f>
        <v>#REF!</v>
      </c>
      <c r="Y258" s="143">
        <f>'[65]2. подк.неподк.'!V246</f>
        <v>1723.1736999999998</v>
      </c>
      <c r="Z258" s="143">
        <f>'[65]2. подк.неподк.'!W246</f>
        <v>1800.7165164999997</v>
      </c>
      <c r="AA258" s="143">
        <f>'[65]2. подк.неподк.'!X246</f>
        <v>1800.7165164999997</v>
      </c>
      <c r="AB258" s="143">
        <f t="shared" si="151"/>
        <v>1786.6756824540771</v>
      </c>
      <c r="AC258" s="144">
        <f t="shared" si="129"/>
        <v>1786.6756824540771</v>
      </c>
      <c r="AD258" s="143">
        <f t="shared" si="130"/>
        <v>63.501982454077279</v>
      </c>
      <c r="AE258" s="143">
        <f t="shared" si="133"/>
        <v>3.6851759317169979</v>
      </c>
      <c r="AF258" s="143">
        <f t="shared" si="131"/>
        <v>-14.040834045922566</v>
      </c>
      <c r="AG258" s="143">
        <f t="shared" si="134"/>
        <v>-0.77973595051004452</v>
      </c>
      <c r="AH258" s="143">
        <f t="shared" si="132"/>
        <v>-14.040834045922566</v>
      </c>
      <c r="AI258" s="143">
        <f t="shared" si="135"/>
        <v>-0.77973595051004452</v>
      </c>
    </row>
    <row r="259" spans="1:35" ht="28.5" customHeight="1" outlineLevel="1">
      <c r="A259" s="139" t="s">
        <v>1200</v>
      </c>
      <c r="B259" s="176" t="s">
        <v>1201</v>
      </c>
      <c r="C259" s="215" t="s">
        <v>1202</v>
      </c>
      <c r="D259" s="148" t="s">
        <v>1203</v>
      </c>
      <c r="E259" s="225" t="s">
        <v>1204</v>
      </c>
      <c r="F259" s="178" t="s">
        <v>552</v>
      </c>
      <c r="G259" s="178">
        <v>44464.07</v>
      </c>
      <c r="H259" s="178">
        <v>33688.11778</v>
      </c>
      <c r="I259" s="178">
        <v>33688.11778</v>
      </c>
      <c r="J259" s="143">
        <v>48789.236820330996</v>
      </c>
      <c r="K259" s="143">
        <v>36127.274089999999</v>
      </c>
      <c r="L259" s="143">
        <v>36127.269999999997</v>
      </c>
      <c r="M259" s="143">
        <v>38351.5</v>
      </c>
      <c r="N259" s="143">
        <v>38174.099550000006</v>
      </c>
      <c r="O259" s="143">
        <v>38047.931859999997</v>
      </c>
      <c r="P259" s="150">
        <v>38047.931859999997</v>
      </c>
      <c r="Q259" s="143">
        <v>38047.931859999997</v>
      </c>
      <c r="R259" s="143">
        <v>38047.931859999997</v>
      </c>
      <c r="S259" s="143">
        <f t="shared" si="125"/>
        <v>-303.56814000000304</v>
      </c>
      <c r="T259" s="143">
        <f t="shared" si="126"/>
        <v>0</v>
      </c>
      <c r="U259" s="151" t="e">
        <f>R259-#REF!</f>
        <v>#REF!</v>
      </c>
      <c r="V259" s="151">
        <f t="shared" si="127"/>
        <v>-303.56814000000304</v>
      </c>
      <c r="W259" s="151">
        <f t="shared" si="128"/>
        <v>0</v>
      </c>
      <c r="X259" s="151" t="e">
        <f>O259-#REF!</f>
        <v>#REF!</v>
      </c>
      <c r="Y259" s="143">
        <f>'[65]2. подк.неподк.'!V247</f>
        <v>43428.9</v>
      </c>
      <c r="Z259" s="143">
        <f>'[65]2. подк.неподк.'!W247</f>
        <v>45383.200499999999</v>
      </c>
      <c r="AA259" s="143">
        <f>'[65]2. подк.неподк.'!X247</f>
        <v>46050.558721627123</v>
      </c>
      <c r="AB259" s="143">
        <f t="shared" si="151"/>
        <v>45029.331370209446</v>
      </c>
      <c r="AC259" s="144">
        <f t="shared" si="129"/>
        <v>45029.331370209446</v>
      </c>
      <c r="AD259" s="143">
        <f t="shared" si="130"/>
        <v>1600.4313702094441</v>
      </c>
      <c r="AE259" s="143">
        <f t="shared" si="133"/>
        <v>3.6851759317169979</v>
      </c>
      <c r="AF259" s="143">
        <f t="shared" si="131"/>
        <v>-353.86912979055342</v>
      </c>
      <c r="AG259" s="143">
        <f t="shared" si="134"/>
        <v>-0.77973595051004452</v>
      </c>
      <c r="AH259" s="143">
        <f t="shared" si="132"/>
        <v>-1021.2273514176777</v>
      </c>
      <c r="AI259" s="143">
        <f t="shared" si="135"/>
        <v>-2.2176220653281007</v>
      </c>
    </row>
    <row r="260" spans="1:35" ht="38.25" customHeight="1" outlineLevel="1">
      <c r="A260" s="139" t="s">
        <v>1205</v>
      </c>
      <c r="B260" s="176" t="s">
        <v>1206</v>
      </c>
      <c r="C260" s="215" t="s">
        <v>1207</v>
      </c>
      <c r="D260" s="148" t="s">
        <v>1208</v>
      </c>
      <c r="E260" s="225" t="s">
        <v>1209</v>
      </c>
      <c r="F260" s="178" t="s">
        <v>552</v>
      </c>
      <c r="G260" s="178">
        <v>171996.9</v>
      </c>
      <c r="H260" s="178">
        <v>144295.84617</v>
      </c>
      <c r="I260" s="178">
        <v>144295.84617</v>
      </c>
      <c r="J260" s="143">
        <v>188727.60605276999</v>
      </c>
      <c r="K260" s="143">
        <v>133271.22474000001</v>
      </c>
      <c r="L260" s="143">
        <v>133271.22</v>
      </c>
      <c r="M260" s="143">
        <v>143863.89000000001</v>
      </c>
      <c r="N260" s="143">
        <v>138050.73821000001</v>
      </c>
      <c r="O260" s="143">
        <v>137950.85266</v>
      </c>
      <c r="P260" s="150">
        <v>137950.85266</v>
      </c>
      <c r="Q260" s="143">
        <v>137950.85266</v>
      </c>
      <c r="R260" s="143">
        <v>137950.85266</v>
      </c>
      <c r="S260" s="143">
        <f t="shared" si="125"/>
        <v>-5913.0373400000099</v>
      </c>
      <c r="T260" s="143">
        <f t="shared" si="126"/>
        <v>0</v>
      </c>
      <c r="U260" s="151" t="e">
        <f>R260-#REF!</f>
        <v>#REF!</v>
      </c>
      <c r="V260" s="151">
        <f t="shared" si="127"/>
        <v>-5913.0373400000099</v>
      </c>
      <c r="W260" s="151">
        <f t="shared" si="128"/>
        <v>0</v>
      </c>
      <c r="X260" s="151" t="e">
        <f>O260-#REF!</f>
        <v>#REF!</v>
      </c>
      <c r="Y260" s="143">
        <f>'[65]2. подк.неподк.'!V248</f>
        <v>160529.34</v>
      </c>
      <c r="Z260" s="143">
        <f>'[65]2. подк.неподк.'!W248</f>
        <v>167753.16029999999</v>
      </c>
      <c r="AA260" s="143">
        <f>'[65]2. подк.неподк.'!X248</f>
        <v>167753.16029999999</v>
      </c>
      <c r="AB260" s="143">
        <f t="shared" si="151"/>
        <v>166445.12860102416</v>
      </c>
      <c r="AC260" s="144">
        <f t="shared" si="129"/>
        <v>166445.12860102416</v>
      </c>
      <c r="AD260" s="143">
        <f t="shared" si="130"/>
        <v>5915.7886010241637</v>
      </c>
      <c r="AE260" s="143">
        <f t="shared" si="133"/>
        <v>3.6851759317169979</v>
      </c>
      <c r="AF260" s="143">
        <f t="shared" si="131"/>
        <v>-1308.0316989758285</v>
      </c>
      <c r="AG260" s="143">
        <f t="shared" si="134"/>
        <v>-0.77973595051004452</v>
      </c>
      <c r="AH260" s="143">
        <f t="shared" si="132"/>
        <v>-1308.0316989758285</v>
      </c>
      <c r="AI260" s="143">
        <f t="shared" si="135"/>
        <v>-0.77973595051004452</v>
      </c>
    </row>
    <row r="261" spans="1:35" ht="33" customHeight="1" outlineLevel="1">
      <c r="A261" s="139" t="s">
        <v>1210</v>
      </c>
      <c r="B261" s="176" t="s">
        <v>1211</v>
      </c>
      <c r="C261" s="215" t="s">
        <v>1212</v>
      </c>
      <c r="D261" s="148" t="s">
        <v>1213</v>
      </c>
      <c r="E261" s="177"/>
      <c r="F261" s="177"/>
      <c r="G261" s="178">
        <v>0</v>
      </c>
      <c r="H261" s="178">
        <v>0</v>
      </c>
      <c r="I261" s="178">
        <v>0</v>
      </c>
      <c r="J261" s="143">
        <v>0</v>
      </c>
      <c r="K261" s="143">
        <v>0</v>
      </c>
      <c r="L261" s="143">
        <v>0</v>
      </c>
      <c r="M261" s="143">
        <v>0</v>
      </c>
      <c r="N261" s="143"/>
      <c r="O261" s="143"/>
      <c r="P261" s="150">
        <v>76.748919999999998</v>
      </c>
      <c r="Q261" s="143">
        <v>76.748919999999998</v>
      </c>
      <c r="R261" s="143">
        <v>0</v>
      </c>
      <c r="S261" s="143">
        <f t="shared" si="125"/>
        <v>0</v>
      </c>
      <c r="T261" s="143">
        <f t="shared" si="126"/>
        <v>0</v>
      </c>
      <c r="U261" s="151" t="e">
        <f>R261-#REF!</f>
        <v>#REF!</v>
      </c>
      <c r="V261" s="151">
        <f t="shared" si="127"/>
        <v>0</v>
      </c>
      <c r="W261" s="151">
        <f t="shared" si="128"/>
        <v>0</v>
      </c>
      <c r="X261" s="151" t="e">
        <f>O261-#REF!</f>
        <v>#REF!</v>
      </c>
      <c r="Y261" s="143">
        <f>'[65]2. подк.неподк.'!V249</f>
        <v>0</v>
      </c>
      <c r="Z261" s="143">
        <f>'[65]2. подк.неподк.'!W249</f>
        <v>0</v>
      </c>
      <c r="AA261" s="143">
        <f>'[65]2. подк.неподк.'!X249</f>
        <v>115.76357313600002</v>
      </c>
      <c r="AB261" s="143">
        <f t="shared" si="151"/>
        <v>0</v>
      </c>
      <c r="AC261" s="144">
        <f t="shared" si="129"/>
        <v>0</v>
      </c>
      <c r="AD261" s="143">
        <f t="shared" si="130"/>
        <v>0</v>
      </c>
      <c r="AE261" s="143"/>
      <c r="AF261" s="143">
        <f t="shared" si="131"/>
        <v>0</v>
      </c>
      <c r="AG261" s="143"/>
      <c r="AH261" s="143">
        <f t="shared" si="132"/>
        <v>-115.76357313600002</v>
      </c>
      <c r="AI261" s="143">
        <f t="shared" si="135"/>
        <v>-100</v>
      </c>
    </row>
    <row r="262" spans="1:35" ht="33" customHeight="1">
      <c r="A262" s="139"/>
      <c r="B262" s="140" t="s">
        <v>1214</v>
      </c>
      <c r="C262" s="177"/>
      <c r="D262" s="142" t="s">
        <v>1215</v>
      </c>
      <c r="E262" s="142" t="s">
        <v>1216</v>
      </c>
      <c r="F262" s="178" t="s">
        <v>552</v>
      </c>
      <c r="G262" s="144">
        <f t="shared" ref="G262:K262" si="152">SUM(G263:G266)</f>
        <v>7541.0651584000007</v>
      </c>
      <c r="H262" s="144">
        <f t="shared" si="152"/>
        <v>9234.7918700000009</v>
      </c>
      <c r="I262" s="144">
        <f t="shared" si="152"/>
        <v>9234.7888199999998</v>
      </c>
      <c r="J262" s="144">
        <f t="shared" si="152"/>
        <v>8274.6096887804197</v>
      </c>
      <c r="K262" s="144">
        <f t="shared" si="152"/>
        <v>22048.092809999998</v>
      </c>
      <c r="L262" s="144">
        <f t="shared" ref="L262:M262" si="153">SUM(L263:L266)</f>
        <v>22048.1</v>
      </c>
      <c r="M262" s="144">
        <f t="shared" si="153"/>
        <v>22999.781288762038</v>
      </c>
      <c r="N262" s="144">
        <f>SUM(N263:N266)</f>
        <v>39436.677009999999</v>
      </c>
      <c r="O262" s="144">
        <f t="shared" ref="O262:AA262" si="154">SUM(O263:O266)</f>
        <v>38017.816229999997</v>
      </c>
      <c r="P262" s="145">
        <f t="shared" ref="P262:R262" si="155">O262</f>
        <v>38017.816229999997</v>
      </c>
      <c r="Q262" s="144">
        <f t="shared" si="155"/>
        <v>38017.816229999997</v>
      </c>
      <c r="R262" s="144">
        <f t="shared" si="155"/>
        <v>38017.816229999997</v>
      </c>
      <c r="S262" s="144">
        <f t="shared" si="125"/>
        <v>15018.034941237958</v>
      </c>
      <c r="T262" s="144">
        <f t="shared" si="126"/>
        <v>0</v>
      </c>
      <c r="U262" s="146" t="e">
        <f>R262-#REF!</f>
        <v>#REF!</v>
      </c>
      <c r="V262" s="146">
        <f t="shared" si="127"/>
        <v>15018.034941237958</v>
      </c>
      <c r="W262" s="146">
        <f t="shared" si="128"/>
        <v>0</v>
      </c>
      <c r="X262" s="146" t="e">
        <f>O262-#REF!</f>
        <v>#REF!</v>
      </c>
      <c r="Y262" s="144">
        <f t="shared" si="154"/>
        <v>49202.400000000001</v>
      </c>
      <c r="Z262" s="144">
        <f t="shared" si="154"/>
        <v>51416.507999999994</v>
      </c>
      <c r="AA262" s="144">
        <f t="shared" si="154"/>
        <v>86424.864949999988</v>
      </c>
      <c r="AB262" s="144">
        <f>SUM(AB263:AB266)</f>
        <v>61010.539999999994</v>
      </c>
      <c r="AC262" s="144">
        <f>AC263+AC264+AC265+AC266</f>
        <v>61010.539999999994</v>
      </c>
      <c r="AD262" s="144">
        <f t="shared" si="130"/>
        <v>11808.139999999992</v>
      </c>
      <c r="AE262" s="144">
        <f t="shared" si="133"/>
        <v>23.999113864364332</v>
      </c>
      <c r="AF262" s="144">
        <f t="shared" si="131"/>
        <v>9594.0319999999992</v>
      </c>
      <c r="AG262" s="144">
        <f t="shared" si="134"/>
        <v>18.659439104654865</v>
      </c>
      <c r="AH262" s="144">
        <f t="shared" si="132"/>
        <v>-25414.324949999995</v>
      </c>
      <c r="AI262" s="144">
        <f t="shared" si="135"/>
        <v>-29.406265158416076</v>
      </c>
    </row>
    <row r="263" spans="1:35" ht="25.5" customHeight="1" outlineLevel="1">
      <c r="A263" s="139" t="s">
        <v>1217</v>
      </c>
      <c r="B263" s="176" t="s">
        <v>1218</v>
      </c>
      <c r="C263" s="215" t="s">
        <v>1219</v>
      </c>
      <c r="D263" s="148" t="s">
        <v>1220</v>
      </c>
      <c r="E263" s="226" t="s">
        <v>1221</v>
      </c>
      <c r="F263" s="178" t="s">
        <v>552</v>
      </c>
      <c r="G263" s="178">
        <v>376.06141510000003</v>
      </c>
      <c r="H263" s="178">
        <v>298.79334999999998</v>
      </c>
      <c r="I263" s="178">
        <v>298.79000000000002</v>
      </c>
      <c r="J263" s="143">
        <v>412.64216123128932</v>
      </c>
      <c r="K263" s="143">
        <v>1238.6773400000002</v>
      </c>
      <c r="L263" s="143">
        <v>1238.68</v>
      </c>
      <c r="M263" s="143">
        <v>434.09955361531638</v>
      </c>
      <c r="N263" s="143">
        <v>9193.9609999999993</v>
      </c>
      <c r="O263" s="143">
        <v>8225.2744600000005</v>
      </c>
      <c r="P263" s="150">
        <v>8225.2744600000005</v>
      </c>
      <c r="Q263" s="143">
        <v>8225.2744600000005</v>
      </c>
      <c r="R263" s="143">
        <v>8225.2744600000005</v>
      </c>
      <c r="S263" s="143">
        <f t="shared" si="125"/>
        <v>7791.1749063846837</v>
      </c>
      <c r="T263" s="143">
        <f t="shared" si="126"/>
        <v>0</v>
      </c>
      <c r="U263" s="151" t="e">
        <f>R263-#REF!</f>
        <v>#REF!</v>
      </c>
      <c r="V263" s="151">
        <f t="shared" si="127"/>
        <v>7791.1749063846837</v>
      </c>
      <c r="W263" s="151">
        <f t="shared" si="128"/>
        <v>0</v>
      </c>
      <c r="X263" s="151" t="e">
        <f>O263-#REF!</f>
        <v>#REF!</v>
      </c>
      <c r="Y263" s="143">
        <f>'[65]2. подк.неподк.'!V251</f>
        <v>8260.75</v>
      </c>
      <c r="Z263" s="143">
        <f>'[65]2. подк.неподк.'!W251</f>
        <v>8632.4837499999994</v>
      </c>
      <c r="AA263" s="166">
        <f>'[65]2. подк.неподк.'!X251+2000</f>
        <v>11615.84</v>
      </c>
      <c r="AB263" s="143">
        <v>10243.256798550476</v>
      </c>
      <c r="AC263" s="144">
        <f t="shared" si="129"/>
        <v>10243.256798550476</v>
      </c>
      <c r="AD263" s="143">
        <f t="shared" si="130"/>
        <v>1982.5067985504757</v>
      </c>
      <c r="AE263" s="143">
        <f t="shared" si="133"/>
        <v>23.999113864364332</v>
      </c>
      <c r="AF263" s="143">
        <f t="shared" si="131"/>
        <v>1610.7730485504762</v>
      </c>
      <c r="AG263" s="143">
        <f t="shared" si="134"/>
        <v>18.659439104654865</v>
      </c>
      <c r="AH263" s="143">
        <f t="shared" si="132"/>
        <v>-1372.5832014495245</v>
      </c>
      <c r="AI263" s="143">
        <f t="shared" si="135"/>
        <v>-11.816478200883665</v>
      </c>
    </row>
    <row r="264" spans="1:35" ht="22.5" customHeight="1" outlineLevel="1">
      <c r="A264" s="139" t="s">
        <v>1222</v>
      </c>
      <c r="B264" s="176" t="s">
        <v>1223</v>
      </c>
      <c r="C264" s="227" t="s">
        <v>1224</v>
      </c>
      <c r="D264" s="162" t="s">
        <v>1225</v>
      </c>
      <c r="E264" s="226" t="s">
        <v>1226</v>
      </c>
      <c r="F264" s="178" t="s">
        <v>552</v>
      </c>
      <c r="G264" s="178">
        <v>69.669200000000004</v>
      </c>
      <c r="H264" s="178">
        <v>0</v>
      </c>
      <c r="I264" s="178">
        <v>0</v>
      </c>
      <c r="J264" s="143">
        <v>76.446155082435993</v>
      </c>
      <c r="K264" s="143">
        <v>936.4</v>
      </c>
      <c r="L264" s="143">
        <v>936.4</v>
      </c>
      <c r="M264" s="143">
        <v>80.421355146722675</v>
      </c>
      <c r="N264" s="143">
        <v>946.83600000000001</v>
      </c>
      <c r="O264" s="143">
        <v>937.53021000000001</v>
      </c>
      <c r="P264" s="150">
        <v>937.53021000000001</v>
      </c>
      <c r="Q264" s="143">
        <v>937.53021000000001</v>
      </c>
      <c r="R264" s="143">
        <v>937.53021000000001</v>
      </c>
      <c r="S264" s="143">
        <f t="shared" si="125"/>
        <v>857.10885485327731</v>
      </c>
      <c r="T264" s="143">
        <f t="shared" si="126"/>
        <v>0</v>
      </c>
      <c r="U264" s="151" t="e">
        <f>R264-#REF!</f>
        <v>#REF!</v>
      </c>
      <c r="V264" s="151">
        <f t="shared" si="127"/>
        <v>857.10885485327731</v>
      </c>
      <c r="W264" s="151">
        <f t="shared" si="128"/>
        <v>0</v>
      </c>
      <c r="X264" s="151" t="e">
        <f>O264-#REF!</f>
        <v>#REF!</v>
      </c>
      <c r="Y264" s="143">
        <f>'[65]2. подк.неподк.'!V252</f>
        <v>978.11</v>
      </c>
      <c r="Z264" s="143">
        <f>'[65]2. подк.неподк.'!W252</f>
        <v>1022.1249499999999</v>
      </c>
      <c r="AA264" s="166">
        <f>'[65]2. подк.неподк.'!X252+1000</f>
        <v>2022.1249499999999</v>
      </c>
      <c r="AB264" s="143">
        <v>1212.847732618734</v>
      </c>
      <c r="AC264" s="144">
        <f t="shared" si="129"/>
        <v>1212.847732618734</v>
      </c>
      <c r="AD264" s="143">
        <f t="shared" si="130"/>
        <v>234.73773261873396</v>
      </c>
      <c r="AE264" s="143">
        <f t="shared" si="133"/>
        <v>23.999113864364332</v>
      </c>
      <c r="AF264" s="143">
        <f t="shared" si="131"/>
        <v>190.72278261873407</v>
      </c>
      <c r="AG264" s="143">
        <f t="shared" si="134"/>
        <v>18.659439104654879</v>
      </c>
      <c r="AH264" s="143">
        <f t="shared" si="132"/>
        <v>-809.27721738126593</v>
      </c>
      <c r="AI264" s="143">
        <f t="shared" si="135"/>
        <v>-40.021128139547756</v>
      </c>
    </row>
    <row r="265" spans="1:35" s="191" customFormat="1" ht="21" customHeight="1" outlineLevel="1">
      <c r="A265" s="139" t="s">
        <v>1227</v>
      </c>
      <c r="B265" s="176" t="s">
        <v>1228</v>
      </c>
      <c r="C265" s="227" t="s">
        <v>1229</v>
      </c>
      <c r="D265" s="162" t="s">
        <v>1230</v>
      </c>
      <c r="E265" s="226" t="s">
        <v>1231</v>
      </c>
      <c r="F265" s="178" t="s">
        <v>552</v>
      </c>
      <c r="G265" s="178">
        <v>5513.3645433000002</v>
      </c>
      <c r="H265" s="178">
        <v>4609.3688199999997</v>
      </c>
      <c r="I265" s="178">
        <v>4609.3688199999997</v>
      </c>
      <c r="J265" s="143">
        <v>6049.6678826065945</v>
      </c>
      <c r="K265" s="143">
        <v>18373.98547</v>
      </c>
      <c r="L265" s="143">
        <v>18373.990000000002</v>
      </c>
      <c r="M265" s="143">
        <v>21291.119999999999</v>
      </c>
      <c r="N265" s="143">
        <v>27851.028999999999</v>
      </c>
      <c r="O265" s="143">
        <v>27587.461620000002</v>
      </c>
      <c r="P265" s="150">
        <v>27587.461620000002</v>
      </c>
      <c r="Q265" s="143">
        <v>27587.461620000002</v>
      </c>
      <c r="R265" s="143">
        <v>27587.461620000002</v>
      </c>
      <c r="S265" s="143">
        <f t="shared" si="125"/>
        <v>6296.3416200000029</v>
      </c>
      <c r="T265" s="143">
        <f t="shared" si="126"/>
        <v>0</v>
      </c>
      <c r="U265" s="151" t="e">
        <f>R265-#REF!</f>
        <v>#REF!</v>
      </c>
      <c r="V265" s="151">
        <f t="shared" si="127"/>
        <v>6296.3416200000029</v>
      </c>
      <c r="W265" s="151">
        <f t="shared" si="128"/>
        <v>0</v>
      </c>
      <c r="X265" s="151" t="e">
        <f>O265-#REF!</f>
        <v>#REF!</v>
      </c>
      <c r="Y265" s="143">
        <f>'[65]2. подк.неподк.'!V253</f>
        <v>38611.82</v>
      </c>
      <c r="Z265" s="143">
        <f>'[65]2. подк.неподк.'!W253</f>
        <v>40349.351899999994</v>
      </c>
      <c r="AA265" s="166">
        <f>'[65]2. подк.неподк.'!X253-4000</f>
        <v>70315.759999999995</v>
      </c>
      <c r="AB265" s="166">
        <v>47878.314646903396</v>
      </c>
      <c r="AC265" s="168">
        <v>47878.314646903396</v>
      </c>
      <c r="AD265" s="143">
        <f t="shared" si="130"/>
        <v>9266.4946469033966</v>
      </c>
      <c r="AE265" s="143">
        <f t="shared" si="133"/>
        <v>23.999113864364332</v>
      </c>
      <c r="AF265" s="143">
        <f t="shared" si="131"/>
        <v>7528.9627469034021</v>
      </c>
      <c r="AG265" s="143">
        <f t="shared" si="134"/>
        <v>18.659439104654865</v>
      </c>
      <c r="AH265" s="143">
        <f t="shared" si="132"/>
        <v>-22437.445353096598</v>
      </c>
      <c r="AI265" s="143">
        <f t="shared" si="135"/>
        <v>-31.90955392233063</v>
      </c>
    </row>
    <row r="266" spans="1:35" ht="36" customHeight="1" outlineLevel="1">
      <c r="A266" s="139" t="s">
        <v>1232</v>
      </c>
      <c r="B266" s="176" t="s">
        <v>1233</v>
      </c>
      <c r="C266" s="227" t="s">
        <v>1234</v>
      </c>
      <c r="D266" s="162" t="s">
        <v>1235</v>
      </c>
      <c r="E266" s="226" t="s">
        <v>1236</v>
      </c>
      <c r="F266" s="178" t="s">
        <v>552</v>
      </c>
      <c r="G266" s="178">
        <v>1581.97</v>
      </c>
      <c r="H266" s="178">
        <v>4326.6297000000004</v>
      </c>
      <c r="I266" s="178">
        <v>4326.63</v>
      </c>
      <c r="J266" s="143">
        <v>1735.8534898600999</v>
      </c>
      <c r="K266" s="143">
        <v>1499.03</v>
      </c>
      <c r="L266" s="143">
        <v>1499.03</v>
      </c>
      <c r="M266" s="143">
        <v>1194.1403800000001</v>
      </c>
      <c r="N266" s="143">
        <v>1444.8510100000001</v>
      </c>
      <c r="O266" s="143">
        <v>1267.5499399999999</v>
      </c>
      <c r="P266" s="150">
        <v>1267.5499399999999</v>
      </c>
      <c r="Q266" s="143">
        <v>1267.5499399999999</v>
      </c>
      <c r="R266" s="143">
        <v>1267.5499399999999</v>
      </c>
      <c r="S266" s="143">
        <f t="shared" si="125"/>
        <v>73.409559999999829</v>
      </c>
      <c r="T266" s="143">
        <f t="shared" si="126"/>
        <v>0</v>
      </c>
      <c r="U266" s="151" t="e">
        <f>R266-#REF!</f>
        <v>#REF!</v>
      </c>
      <c r="V266" s="151">
        <f t="shared" si="127"/>
        <v>73.409559999999829</v>
      </c>
      <c r="W266" s="151">
        <f t="shared" si="128"/>
        <v>0</v>
      </c>
      <c r="X266" s="151" t="e">
        <f>O266-#REF!</f>
        <v>#REF!</v>
      </c>
      <c r="Y266" s="143">
        <f>'[65]2. подк.неподк.'!V254</f>
        <v>1351.72</v>
      </c>
      <c r="Z266" s="143">
        <f>'[65]2. подк.неподк.'!W254</f>
        <v>1412.5473999999999</v>
      </c>
      <c r="AA266" s="166">
        <f>'[65]2. подк.неподк.'!X254+1000</f>
        <v>2471.1400000000003</v>
      </c>
      <c r="AB266" s="143">
        <v>1676.1208219273856</v>
      </c>
      <c r="AC266" s="144">
        <f t="shared" si="129"/>
        <v>1676.1208219273856</v>
      </c>
      <c r="AD266" s="143">
        <f t="shared" si="130"/>
        <v>324.40082192738555</v>
      </c>
      <c r="AE266" s="143">
        <f t="shared" si="133"/>
        <v>23.999113864364332</v>
      </c>
      <c r="AF266" s="143">
        <f t="shared" si="131"/>
        <v>263.57342192738565</v>
      </c>
      <c r="AG266" s="143">
        <f t="shared" si="134"/>
        <v>18.659439104654865</v>
      </c>
      <c r="AH266" s="143">
        <f t="shared" si="132"/>
        <v>-795.01917807261475</v>
      </c>
      <c r="AI266" s="143">
        <f t="shared" si="135"/>
        <v>-32.172162567584778</v>
      </c>
    </row>
    <row r="267" spans="1:35" s="224" customFormat="1" ht="33" customHeight="1">
      <c r="A267" s="228"/>
      <c r="B267" s="229" t="s">
        <v>1237</v>
      </c>
      <c r="C267" s="230"/>
      <c r="D267" s="231" t="s">
        <v>1238</v>
      </c>
      <c r="E267" s="231" t="s">
        <v>1238</v>
      </c>
      <c r="F267" s="222" t="s">
        <v>552</v>
      </c>
      <c r="G267" s="223">
        <f t="shared" ref="G267:M267" si="156">G268+G269+G270+G271</f>
        <v>97268.786800749993</v>
      </c>
      <c r="H267" s="223">
        <f t="shared" si="156"/>
        <v>114535</v>
      </c>
      <c r="I267" s="223">
        <f t="shared" si="156"/>
        <v>33984.17</v>
      </c>
      <c r="J267" s="223">
        <f t="shared" si="156"/>
        <v>120732.58128418244</v>
      </c>
      <c r="K267" s="223">
        <f t="shared" si="156"/>
        <v>42563.4</v>
      </c>
      <c r="L267" s="223">
        <f t="shared" si="156"/>
        <v>10914.799442499998</v>
      </c>
      <c r="M267" s="223">
        <f t="shared" si="156"/>
        <v>33181.1325</v>
      </c>
      <c r="N267" s="223">
        <f>N268+N269+N270+N271</f>
        <v>14303.000000000005</v>
      </c>
      <c r="O267" s="223">
        <f t="shared" ref="O267:AA267" si="157">O268+O269+O270+O271</f>
        <v>-33146</v>
      </c>
      <c r="P267" s="223">
        <f t="shared" si="157"/>
        <v>30598.419227500006</v>
      </c>
      <c r="Q267" s="223">
        <f t="shared" si="157"/>
        <v>30598.419227500006</v>
      </c>
      <c r="R267" s="223">
        <f t="shared" si="157"/>
        <v>29017.512530000004</v>
      </c>
      <c r="S267" s="223">
        <f t="shared" si="125"/>
        <v>-4163.6199699999961</v>
      </c>
      <c r="T267" s="223">
        <f>SUM(T268:T274)</f>
        <v>-17593.821715723974</v>
      </c>
      <c r="U267" s="146" t="e">
        <f>R267-#REF!</f>
        <v>#REF!</v>
      </c>
      <c r="V267" s="146">
        <f t="shared" si="127"/>
        <v>-4163.6199699999961</v>
      </c>
      <c r="W267" s="146">
        <f t="shared" si="128"/>
        <v>0</v>
      </c>
      <c r="X267" s="146" t="e">
        <f>O267-#REF!</f>
        <v>#REF!</v>
      </c>
      <c r="Y267" s="223">
        <f t="shared" si="157"/>
        <v>94894.848929852014</v>
      </c>
      <c r="Z267" s="223">
        <f t="shared" si="157"/>
        <v>99875.162665224314</v>
      </c>
      <c r="AA267" s="223">
        <f t="shared" si="157"/>
        <v>240747.37227624294</v>
      </c>
      <c r="AB267" s="223">
        <f>AB268+AB269+AB270+AB271</f>
        <v>100136.47299469695</v>
      </c>
      <c r="AC267" s="223">
        <f>AC268+AC269+AC270+AC271</f>
        <v>101034.89390476303</v>
      </c>
      <c r="AD267" s="223">
        <f t="shared" si="130"/>
        <v>5241.6240648449311</v>
      </c>
      <c r="AE267" s="223">
        <f t="shared" si="133"/>
        <v>5.5236128451183362</v>
      </c>
      <c r="AF267" s="223">
        <f t="shared" si="131"/>
        <v>261.31032947263157</v>
      </c>
      <c r="AG267" s="223">
        <f t="shared" si="134"/>
        <v>0.26163695006789567</v>
      </c>
      <c r="AH267" s="223">
        <f t="shared" si="132"/>
        <v>-140610.89928154601</v>
      </c>
      <c r="AI267" s="223">
        <f t="shared" si="135"/>
        <v>-58.405995443307916</v>
      </c>
    </row>
    <row r="268" spans="1:35" ht="33" customHeight="1" outlineLevel="1">
      <c r="A268" s="139" t="s">
        <v>1239</v>
      </c>
      <c r="B268" s="176" t="s">
        <v>1240</v>
      </c>
      <c r="C268" s="215" t="s">
        <v>1241</v>
      </c>
      <c r="D268" s="148" t="s">
        <v>1242</v>
      </c>
      <c r="E268" s="232" t="s">
        <v>1243</v>
      </c>
      <c r="F268" s="178" t="s">
        <v>552</v>
      </c>
      <c r="G268" s="178">
        <v>97268.786800749993</v>
      </c>
      <c r="H268" s="178">
        <v>114535</v>
      </c>
      <c r="I268" s="178">
        <v>33984.17</v>
      </c>
      <c r="J268" s="143">
        <v>120732.58128418244</v>
      </c>
      <c r="K268" s="143">
        <v>30763.669316423468</v>
      </c>
      <c r="L268" s="143">
        <v>10914.799442499998</v>
      </c>
      <c r="M268" s="143">
        <v>33181.1325</v>
      </c>
      <c r="N268" s="143">
        <v>14761.000000000004</v>
      </c>
      <c r="O268" s="143">
        <v>-34207.376494441727</v>
      </c>
      <c r="P268" s="150">
        <v>30598.419227500006</v>
      </c>
      <c r="Q268" s="143">
        <v>30598.419227500006</v>
      </c>
      <c r="R268" s="143">
        <v>29017.512530000004</v>
      </c>
      <c r="S268" s="143">
        <f t="shared" si="125"/>
        <v>-4163.6199699999961</v>
      </c>
      <c r="T268" s="143">
        <v>0</v>
      </c>
      <c r="U268" s="151" t="e">
        <f>R268-#REF!</f>
        <v>#REF!</v>
      </c>
      <c r="V268" s="151">
        <f t="shared" si="127"/>
        <v>-4163.6199699999961</v>
      </c>
      <c r="W268" s="151">
        <f t="shared" si="128"/>
        <v>0</v>
      </c>
      <c r="X268" s="151" t="e">
        <f>O268-#REF!</f>
        <v>#REF!</v>
      </c>
      <c r="Y268" s="143">
        <f>'[65]2. подк.неподк.'!V256</f>
        <v>94894.848929852014</v>
      </c>
      <c r="Z268" s="143">
        <f>'[65]2. подк.неподк.'!W256</f>
        <v>99875.162665224314</v>
      </c>
      <c r="AA268" s="143">
        <f>'[65]2. подк.неподк.'!X256</f>
        <v>240747.37227624294</v>
      </c>
      <c r="AB268" s="143">
        <f>AB382</f>
        <v>100136.47299469695</v>
      </c>
      <c r="AC268" s="144">
        <v>101034.89390476303</v>
      </c>
      <c r="AD268" s="143">
        <f t="shared" si="130"/>
        <v>5241.6240648449311</v>
      </c>
      <c r="AE268" s="143">
        <f t="shared" si="133"/>
        <v>5.5236128451183362</v>
      </c>
      <c r="AF268" s="143">
        <f t="shared" si="131"/>
        <v>261.31032947263157</v>
      </c>
      <c r="AG268" s="143">
        <f t="shared" si="134"/>
        <v>0.26163695006789567</v>
      </c>
      <c r="AH268" s="143">
        <f t="shared" si="132"/>
        <v>-140610.89928154601</v>
      </c>
      <c r="AI268" s="143">
        <f t="shared" si="135"/>
        <v>-58.405995443307916</v>
      </c>
    </row>
    <row r="269" spans="1:35" ht="33" customHeight="1" outlineLevel="1">
      <c r="A269" s="139" t="s">
        <v>1244</v>
      </c>
      <c r="B269" s="176" t="s">
        <v>1245</v>
      </c>
      <c r="C269" s="233" t="s">
        <v>1246</v>
      </c>
      <c r="D269" s="148" t="s">
        <v>1247</v>
      </c>
      <c r="E269" s="177"/>
      <c r="F269" s="178" t="s">
        <v>552</v>
      </c>
      <c r="G269" s="178">
        <v>0</v>
      </c>
      <c r="H269" s="178">
        <v>0</v>
      </c>
      <c r="I269" s="178">
        <v>0</v>
      </c>
      <c r="J269" s="143">
        <v>0</v>
      </c>
      <c r="K269" s="143">
        <v>10212.206836832402</v>
      </c>
      <c r="L269" s="143">
        <v>0</v>
      </c>
      <c r="M269" s="143">
        <v>0</v>
      </c>
      <c r="N269" s="143">
        <v>-2194</v>
      </c>
      <c r="O269" s="143">
        <v>5084.4105432426759</v>
      </c>
      <c r="P269" s="150">
        <v>0</v>
      </c>
      <c r="Q269" s="143">
        <v>0</v>
      </c>
      <c r="R269" s="143">
        <v>0</v>
      </c>
      <c r="S269" s="143">
        <f t="shared" si="125"/>
        <v>0</v>
      </c>
      <c r="T269" s="143">
        <f t="shared" si="126"/>
        <v>-5084.4105432426759</v>
      </c>
      <c r="U269" s="151" t="e">
        <f>R269-#REF!</f>
        <v>#REF!</v>
      </c>
      <c r="V269" s="151">
        <f t="shared" si="127"/>
        <v>0</v>
      </c>
      <c r="W269" s="151">
        <f t="shared" si="128"/>
        <v>0</v>
      </c>
      <c r="X269" s="151" t="e">
        <f>O269-#REF!</f>
        <v>#REF!</v>
      </c>
      <c r="Y269" s="143">
        <f>'[65]2. подк.неподк.'!V257</f>
        <v>0</v>
      </c>
      <c r="Z269" s="143">
        <f>'[65]2. подк.неподк.'!W257</f>
        <v>0</v>
      </c>
      <c r="AA269" s="143">
        <f>'[65]2. подк.неподк.'!X257</f>
        <v>0</v>
      </c>
      <c r="AB269" s="143">
        <f t="shared" ref="AB269:AB274" si="158">Y269*$AA$11</f>
        <v>0</v>
      </c>
      <c r="AC269" s="144">
        <f t="shared" si="129"/>
        <v>0</v>
      </c>
      <c r="AD269" s="143">
        <f t="shared" si="130"/>
        <v>0</v>
      </c>
      <c r="AE269" s="143"/>
      <c r="AF269" s="143">
        <f t="shared" si="131"/>
        <v>0</v>
      </c>
      <c r="AG269" s="143"/>
      <c r="AH269" s="143">
        <f t="shared" si="132"/>
        <v>0</v>
      </c>
      <c r="AI269" s="143"/>
    </row>
    <row r="270" spans="1:35" ht="33" customHeight="1" outlineLevel="1">
      <c r="A270" s="139" t="s">
        <v>1248</v>
      </c>
      <c r="B270" s="176" t="s">
        <v>1249</v>
      </c>
      <c r="C270" s="233" t="s">
        <v>1250</v>
      </c>
      <c r="D270" s="148" t="s">
        <v>1251</v>
      </c>
      <c r="E270" s="177"/>
      <c r="F270" s="178" t="s">
        <v>552</v>
      </c>
      <c r="G270" s="178">
        <v>0</v>
      </c>
      <c r="H270" s="178">
        <v>0</v>
      </c>
      <c r="I270" s="178">
        <v>0</v>
      </c>
      <c r="J270" s="143">
        <v>0</v>
      </c>
      <c r="K270" s="143">
        <v>-846.7541713965179</v>
      </c>
      <c r="L270" s="143">
        <v>0</v>
      </c>
      <c r="M270" s="143">
        <v>0</v>
      </c>
      <c r="N270" s="143">
        <v>-5397.9999999999991</v>
      </c>
      <c r="O270" s="143">
        <v>12509.411172481299</v>
      </c>
      <c r="P270" s="150">
        <v>0</v>
      </c>
      <c r="Q270" s="143">
        <v>0</v>
      </c>
      <c r="R270" s="143">
        <v>0</v>
      </c>
      <c r="S270" s="143">
        <f t="shared" si="125"/>
        <v>0</v>
      </c>
      <c r="T270" s="143">
        <f t="shared" si="126"/>
        <v>-12509.411172481299</v>
      </c>
      <c r="U270" s="151" t="e">
        <f>R270-#REF!</f>
        <v>#REF!</v>
      </c>
      <c r="V270" s="151">
        <f t="shared" si="127"/>
        <v>0</v>
      </c>
      <c r="W270" s="151">
        <f t="shared" si="128"/>
        <v>0</v>
      </c>
      <c r="X270" s="151" t="e">
        <f>O270-#REF!</f>
        <v>#REF!</v>
      </c>
      <c r="Y270" s="143">
        <f>'[65]2. подк.неподк.'!V258</f>
        <v>0</v>
      </c>
      <c r="Z270" s="143">
        <f>'[65]2. подк.неподк.'!W258</f>
        <v>0</v>
      </c>
      <c r="AA270" s="143">
        <f>'[65]2. подк.неподк.'!X258</f>
        <v>0</v>
      </c>
      <c r="AB270" s="143">
        <f t="shared" si="158"/>
        <v>0</v>
      </c>
      <c r="AC270" s="144">
        <f t="shared" si="129"/>
        <v>0</v>
      </c>
      <c r="AD270" s="143">
        <f t="shared" si="130"/>
        <v>0</v>
      </c>
      <c r="AE270" s="143"/>
      <c r="AF270" s="143">
        <f t="shared" si="131"/>
        <v>0</v>
      </c>
      <c r="AG270" s="143"/>
      <c r="AH270" s="143">
        <f t="shared" si="132"/>
        <v>0</v>
      </c>
      <c r="AI270" s="143"/>
    </row>
    <row r="271" spans="1:35" ht="33" customHeight="1" outlineLevel="1">
      <c r="A271" s="139" t="s">
        <v>1252</v>
      </c>
      <c r="B271" s="176" t="s">
        <v>1253</v>
      </c>
      <c r="C271" s="233" t="s">
        <v>1254</v>
      </c>
      <c r="D271" s="148" t="s">
        <v>1255</v>
      </c>
      <c r="E271" s="177"/>
      <c r="F271" s="178" t="s">
        <v>552</v>
      </c>
      <c r="G271" s="178">
        <v>0</v>
      </c>
      <c r="H271" s="178">
        <v>0</v>
      </c>
      <c r="I271" s="178">
        <v>0</v>
      </c>
      <c r="J271" s="143">
        <v>0</v>
      </c>
      <c r="K271" s="143">
        <v>2434.2780181406461</v>
      </c>
      <c r="L271" s="143">
        <v>0</v>
      </c>
      <c r="M271" s="143">
        <v>0</v>
      </c>
      <c r="N271" s="143">
        <v>7134.0000000000009</v>
      </c>
      <c r="O271" s="143">
        <v>-16532.445221282251</v>
      </c>
      <c r="P271" s="150">
        <v>0</v>
      </c>
      <c r="Q271" s="143">
        <v>0</v>
      </c>
      <c r="R271" s="143">
        <v>0</v>
      </c>
      <c r="S271" s="143">
        <f t="shared" si="125"/>
        <v>0</v>
      </c>
      <c r="T271" s="143">
        <v>0</v>
      </c>
      <c r="U271" s="151" t="e">
        <f>R271-#REF!</f>
        <v>#REF!</v>
      </c>
      <c r="V271" s="151">
        <f t="shared" si="127"/>
        <v>0</v>
      </c>
      <c r="W271" s="151">
        <f t="shared" si="128"/>
        <v>0</v>
      </c>
      <c r="X271" s="151" t="e">
        <f>O271-#REF!</f>
        <v>#REF!</v>
      </c>
      <c r="Y271" s="143">
        <f>'[65]2. подк.неподк.'!V259</f>
        <v>0</v>
      </c>
      <c r="Z271" s="143">
        <f>'[65]2. подк.неподк.'!W259</f>
        <v>0</v>
      </c>
      <c r="AA271" s="143">
        <f>'[65]2. подк.неподк.'!X259</f>
        <v>0</v>
      </c>
      <c r="AB271" s="143">
        <f t="shared" si="158"/>
        <v>0</v>
      </c>
      <c r="AC271" s="144">
        <f t="shared" si="129"/>
        <v>0</v>
      </c>
      <c r="AD271" s="143">
        <f t="shared" si="130"/>
        <v>0</v>
      </c>
      <c r="AE271" s="143"/>
      <c r="AF271" s="143">
        <f t="shared" si="131"/>
        <v>0</v>
      </c>
      <c r="AG271" s="143"/>
      <c r="AH271" s="143">
        <f t="shared" si="132"/>
        <v>0</v>
      </c>
      <c r="AI271" s="143"/>
    </row>
    <row r="272" spans="1:35" ht="33" customHeight="1" outlineLevel="1">
      <c r="A272" s="139" t="s">
        <v>1256</v>
      </c>
      <c r="B272" s="176" t="s">
        <v>1257</v>
      </c>
      <c r="C272" s="233" t="s">
        <v>1258</v>
      </c>
      <c r="D272" s="148" t="s">
        <v>1259</v>
      </c>
      <c r="E272" s="177"/>
      <c r="F272" s="178" t="s">
        <v>552</v>
      </c>
      <c r="G272" s="178">
        <v>0</v>
      </c>
      <c r="H272" s="178">
        <v>0</v>
      </c>
      <c r="I272" s="178">
        <v>0</v>
      </c>
      <c r="J272" s="143">
        <v>0</v>
      </c>
      <c r="K272" s="143">
        <v>0</v>
      </c>
      <c r="L272" s="143">
        <v>0</v>
      </c>
      <c r="M272" s="143">
        <v>0</v>
      </c>
      <c r="N272" s="143">
        <v>0</v>
      </c>
      <c r="O272" s="143">
        <v>0</v>
      </c>
      <c r="P272" s="150">
        <v>0</v>
      </c>
      <c r="Q272" s="143">
        <v>0</v>
      </c>
      <c r="R272" s="143">
        <v>0</v>
      </c>
      <c r="S272" s="143">
        <f t="shared" si="125"/>
        <v>0</v>
      </c>
      <c r="T272" s="143">
        <f t="shared" si="126"/>
        <v>0</v>
      </c>
      <c r="U272" s="151" t="e">
        <f>R272-#REF!</f>
        <v>#REF!</v>
      </c>
      <c r="V272" s="151">
        <f t="shared" si="127"/>
        <v>0</v>
      </c>
      <c r="W272" s="151">
        <f t="shared" si="128"/>
        <v>0</v>
      </c>
      <c r="X272" s="151" t="e">
        <f>O272-#REF!</f>
        <v>#REF!</v>
      </c>
      <c r="Y272" s="143">
        <f>'[65]2. подк.неподк.'!V260</f>
        <v>0</v>
      </c>
      <c r="Z272" s="143">
        <f>'[65]2. подк.неподк.'!W260</f>
        <v>0</v>
      </c>
      <c r="AA272" s="143">
        <f>'[65]2. подк.неподк.'!X260</f>
        <v>0</v>
      </c>
      <c r="AB272" s="143">
        <f t="shared" si="158"/>
        <v>0</v>
      </c>
      <c r="AC272" s="144">
        <f t="shared" si="129"/>
        <v>0</v>
      </c>
      <c r="AD272" s="143">
        <f t="shared" si="130"/>
        <v>0</v>
      </c>
      <c r="AE272" s="143"/>
      <c r="AF272" s="143">
        <f t="shared" si="131"/>
        <v>0</v>
      </c>
      <c r="AG272" s="143"/>
      <c r="AH272" s="143">
        <f t="shared" si="132"/>
        <v>0</v>
      </c>
      <c r="AI272" s="143"/>
    </row>
    <row r="273" spans="1:35" ht="33" customHeight="1" outlineLevel="1">
      <c r="A273" s="139" t="s">
        <v>1260</v>
      </c>
      <c r="B273" s="176" t="s">
        <v>1261</v>
      </c>
      <c r="C273" s="233" t="s">
        <v>1262</v>
      </c>
      <c r="D273" s="148" t="s">
        <v>1263</v>
      </c>
      <c r="E273" s="232" t="s">
        <v>1264</v>
      </c>
      <c r="F273" s="178" t="s">
        <v>552</v>
      </c>
      <c r="G273" s="178">
        <v>0</v>
      </c>
      <c r="H273" s="178">
        <v>0</v>
      </c>
      <c r="I273" s="178">
        <v>0</v>
      </c>
      <c r="J273" s="143">
        <v>0</v>
      </c>
      <c r="K273" s="143">
        <v>0</v>
      </c>
      <c r="L273" s="143">
        <v>0</v>
      </c>
      <c r="M273" s="143">
        <v>0</v>
      </c>
      <c r="N273" s="143">
        <v>0</v>
      </c>
      <c r="O273" s="143">
        <v>0</v>
      </c>
      <c r="P273" s="150">
        <v>0</v>
      </c>
      <c r="Q273" s="143">
        <v>0</v>
      </c>
      <c r="R273" s="143">
        <v>0</v>
      </c>
      <c r="S273" s="143">
        <f t="shared" si="125"/>
        <v>0</v>
      </c>
      <c r="T273" s="143">
        <f t="shared" si="126"/>
        <v>0</v>
      </c>
      <c r="U273" s="151" t="e">
        <f>R273-#REF!</f>
        <v>#REF!</v>
      </c>
      <c r="V273" s="151">
        <f t="shared" si="127"/>
        <v>0</v>
      </c>
      <c r="W273" s="151">
        <f t="shared" si="128"/>
        <v>0</v>
      </c>
      <c r="X273" s="151" t="e">
        <f>O273-#REF!</f>
        <v>#REF!</v>
      </c>
      <c r="Y273" s="143">
        <f>'[65]2. подк.неподк.'!V261</f>
        <v>0</v>
      </c>
      <c r="Z273" s="143">
        <f>'[65]2. подк.неподк.'!W261</f>
        <v>0</v>
      </c>
      <c r="AA273" s="143">
        <f>'[65]2. подк.неподк.'!X261</f>
        <v>0</v>
      </c>
      <c r="AB273" s="143">
        <f t="shared" si="158"/>
        <v>0</v>
      </c>
      <c r="AC273" s="144">
        <f t="shared" si="129"/>
        <v>0</v>
      </c>
      <c r="AD273" s="143">
        <f t="shared" si="130"/>
        <v>0</v>
      </c>
      <c r="AE273" s="143"/>
      <c r="AF273" s="143">
        <f t="shared" si="131"/>
        <v>0</v>
      </c>
      <c r="AG273" s="143"/>
      <c r="AH273" s="143">
        <f t="shared" si="132"/>
        <v>0</v>
      </c>
      <c r="AI273" s="143"/>
    </row>
    <row r="274" spans="1:35" ht="33" customHeight="1" outlineLevel="1">
      <c r="A274" s="139" t="s">
        <v>1265</v>
      </c>
      <c r="B274" s="176" t="s">
        <v>1266</v>
      </c>
      <c r="C274" s="233" t="s">
        <v>1267</v>
      </c>
      <c r="D274" s="148" t="s">
        <v>1268</v>
      </c>
      <c r="E274" s="177"/>
      <c r="F274" s="178" t="s">
        <v>552</v>
      </c>
      <c r="G274" s="178">
        <v>0</v>
      </c>
      <c r="H274" s="178">
        <v>0</v>
      </c>
      <c r="I274" s="178">
        <v>0</v>
      </c>
      <c r="J274" s="143">
        <v>0</v>
      </c>
      <c r="K274" s="143">
        <v>0</v>
      </c>
      <c r="L274" s="143">
        <v>0</v>
      </c>
      <c r="M274" s="143">
        <v>0</v>
      </c>
      <c r="N274" s="143">
        <v>0</v>
      </c>
      <c r="O274" s="143">
        <v>0</v>
      </c>
      <c r="P274" s="150">
        <v>0</v>
      </c>
      <c r="Q274" s="143">
        <v>0</v>
      </c>
      <c r="R274" s="143">
        <v>0</v>
      </c>
      <c r="S274" s="143">
        <f t="shared" si="125"/>
        <v>0</v>
      </c>
      <c r="T274" s="143">
        <f t="shared" si="126"/>
        <v>0</v>
      </c>
      <c r="U274" s="151" t="e">
        <f>R274-#REF!</f>
        <v>#REF!</v>
      </c>
      <c r="V274" s="151">
        <f t="shared" si="127"/>
        <v>0</v>
      </c>
      <c r="W274" s="151">
        <f t="shared" si="128"/>
        <v>0</v>
      </c>
      <c r="X274" s="151" t="e">
        <f>O274-#REF!</f>
        <v>#REF!</v>
      </c>
      <c r="Y274" s="143">
        <f>'[65]2. подк.неподк.'!V262</f>
        <v>0</v>
      </c>
      <c r="Z274" s="143">
        <f>'[65]2. подк.неподк.'!W262</f>
        <v>0</v>
      </c>
      <c r="AA274" s="143">
        <f>'[65]2. подк.неподк.'!X262</f>
        <v>0</v>
      </c>
      <c r="AB274" s="143">
        <f t="shared" si="158"/>
        <v>0</v>
      </c>
      <c r="AC274" s="144">
        <f t="shared" si="129"/>
        <v>0</v>
      </c>
      <c r="AD274" s="143">
        <f t="shared" si="130"/>
        <v>0</v>
      </c>
      <c r="AE274" s="143"/>
      <c r="AF274" s="143">
        <f t="shared" si="131"/>
        <v>0</v>
      </c>
      <c r="AG274" s="143"/>
      <c r="AH274" s="143">
        <f t="shared" si="132"/>
        <v>0</v>
      </c>
      <c r="AI274" s="143"/>
    </row>
    <row r="275" spans="1:35" s="237" customFormat="1" ht="33" customHeight="1">
      <c r="A275" s="228"/>
      <c r="B275" s="219" t="s">
        <v>1269</v>
      </c>
      <c r="C275" s="234"/>
      <c r="D275" s="235" t="s">
        <v>1270</v>
      </c>
      <c r="E275" s="221" t="s">
        <v>1271</v>
      </c>
      <c r="F275" s="236" t="s">
        <v>552</v>
      </c>
      <c r="G275" s="236">
        <v>217326.59</v>
      </c>
      <c r="H275" s="236">
        <v>0</v>
      </c>
      <c r="I275" s="236">
        <v>-1503.8</v>
      </c>
      <c r="J275" s="223">
        <v>450143.9</v>
      </c>
      <c r="K275" s="223">
        <v>0</v>
      </c>
      <c r="L275" s="223">
        <v>0</v>
      </c>
      <c r="M275" s="223">
        <v>341940.25276786846</v>
      </c>
      <c r="N275" s="223">
        <v>0</v>
      </c>
      <c r="O275" s="223">
        <v>0</v>
      </c>
      <c r="P275" s="223">
        <v>0</v>
      </c>
      <c r="Q275" s="223">
        <v>0</v>
      </c>
      <c r="R275" s="223">
        <v>0</v>
      </c>
      <c r="S275" s="223">
        <f t="shared" si="125"/>
        <v>-341940.25276786846</v>
      </c>
      <c r="T275" s="223">
        <f t="shared" si="126"/>
        <v>0</v>
      </c>
      <c r="U275" s="146" t="e">
        <f>R275-#REF!</f>
        <v>#REF!</v>
      </c>
      <c r="V275" s="146">
        <f t="shared" si="127"/>
        <v>-341940.25276786846</v>
      </c>
      <c r="W275" s="146">
        <f t="shared" si="128"/>
        <v>0</v>
      </c>
      <c r="X275" s="146" t="e">
        <f>O275-#REF!</f>
        <v>#REF!</v>
      </c>
      <c r="Y275" s="223">
        <f>'[65]2. подк.неподк.'!V263</f>
        <v>345140.29777159984</v>
      </c>
      <c r="Z275" s="223">
        <f>'[65]2. подк.неподк.'!W263</f>
        <v>333453.19945632201</v>
      </c>
      <c r="AA275" s="223">
        <f>'[65]2. подк.неподк.'!X263</f>
        <v>5341487.6500000004</v>
      </c>
      <c r="AB275" s="223">
        <f>'[64]4. Выпадающие 2012_2014'!Z92</f>
        <v>368373.10943581146</v>
      </c>
      <c r="AC275" s="144">
        <f t="shared" si="129"/>
        <v>368373.10943581146</v>
      </c>
      <c r="AD275" s="223">
        <f t="shared" si="130"/>
        <v>23232.811664211622</v>
      </c>
      <c r="AE275" s="223">
        <f t="shared" si="133"/>
        <v>6.7314109115088598</v>
      </c>
      <c r="AF275" s="223">
        <f t="shared" si="131"/>
        <v>34919.909979489457</v>
      </c>
      <c r="AG275" s="223">
        <f t="shared" si="134"/>
        <v>10.472207205216378</v>
      </c>
      <c r="AH275" s="223">
        <f t="shared" si="132"/>
        <v>-4973114.5405641887</v>
      </c>
      <c r="AI275" s="223">
        <f t="shared" si="135"/>
        <v>-93.103548419964767</v>
      </c>
    </row>
    <row r="276" spans="1:35" s="224" customFormat="1" ht="33" customHeight="1">
      <c r="A276" s="218"/>
      <c r="B276" s="219" t="s">
        <v>1272</v>
      </c>
      <c r="C276" s="238"/>
      <c r="D276" s="221" t="s">
        <v>1273</v>
      </c>
      <c r="E276" s="221" t="s">
        <v>1273</v>
      </c>
      <c r="F276" s="222" t="s">
        <v>552</v>
      </c>
      <c r="G276" s="223">
        <v>326829.46999999997</v>
      </c>
      <c r="H276" s="223">
        <v>94491</v>
      </c>
      <c r="I276" s="223">
        <v>0</v>
      </c>
      <c r="J276" s="223">
        <v>414629.91919286898</v>
      </c>
      <c r="K276" s="223">
        <v>81519.929999999993</v>
      </c>
      <c r="L276" s="223">
        <v>0</v>
      </c>
      <c r="M276" s="223">
        <v>64196.78</v>
      </c>
      <c r="N276" s="223">
        <v>262313.280030002</v>
      </c>
      <c r="O276" s="223">
        <v>101736.78313000068</v>
      </c>
      <c r="P276" s="223">
        <v>64196.78</v>
      </c>
      <c r="Q276" s="223">
        <v>64196.78</v>
      </c>
      <c r="R276" s="223">
        <v>64196.78</v>
      </c>
      <c r="S276" s="223">
        <f t="shared" si="125"/>
        <v>0</v>
      </c>
      <c r="T276" s="223">
        <f t="shared" si="126"/>
        <v>-37540.003130000681</v>
      </c>
      <c r="U276" s="146" t="e">
        <f>R276-#REF!</f>
        <v>#REF!</v>
      </c>
      <c r="V276" s="146">
        <f t="shared" si="127"/>
        <v>0</v>
      </c>
      <c r="W276" s="146">
        <f t="shared" si="128"/>
        <v>0</v>
      </c>
      <c r="X276" s="146" t="e">
        <f>O276-#REF!</f>
        <v>#REF!</v>
      </c>
      <c r="Y276" s="223">
        <f>'[65]2. подк.неподк.'!V264</f>
        <v>336598.63571940805</v>
      </c>
      <c r="Z276" s="223">
        <f>'[65]2. подк.неподк.'!W264</f>
        <v>354585.75646089728</v>
      </c>
      <c r="AA276" s="223">
        <f>'[65]2. подк.неподк.'!X264</f>
        <v>775756.23813897197</v>
      </c>
      <c r="AB276" s="223">
        <v>355981.21535599872</v>
      </c>
      <c r="AC276" s="144">
        <v>359574.89899626304</v>
      </c>
      <c r="AD276" s="223">
        <f t="shared" si="130"/>
        <v>19382.579636590672</v>
      </c>
      <c r="AE276" s="223">
        <f t="shared" si="133"/>
        <v>5.7583654773776942</v>
      </c>
      <c r="AF276" s="223">
        <f t="shared" si="131"/>
        <v>1395.4588951014448</v>
      </c>
      <c r="AG276" s="223">
        <f t="shared" si="134"/>
        <v>0.3935462351983432</v>
      </c>
      <c r="AH276" s="223">
        <f t="shared" si="132"/>
        <v>-419775.02278297325</v>
      </c>
      <c r="AI276" s="223">
        <f t="shared" si="135"/>
        <v>-54.111717334043938</v>
      </c>
    </row>
    <row r="277" spans="1:35" ht="26.25" customHeight="1">
      <c r="A277" s="139"/>
      <c r="B277" s="140" t="s">
        <v>1274</v>
      </c>
      <c r="C277" s="177"/>
      <c r="D277" s="172" t="s">
        <v>1275</v>
      </c>
      <c r="E277" s="172" t="s">
        <v>1275</v>
      </c>
      <c r="F277" s="143" t="s">
        <v>121</v>
      </c>
      <c r="G277" s="144">
        <f t="shared" ref="G277:L277" si="159">G278</f>
        <v>6015.91</v>
      </c>
      <c r="H277" s="144">
        <f t="shared" si="159"/>
        <v>4521.5244199999997</v>
      </c>
      <c r="I277" s="144">
        <f t="shared" si="159"/>
        <v>4521.5200000000004</v>
      </c>
      <c r="J277" s="144">
        <f t="shared" si="159"/>
        <v>6601.1</v>
      </c>
      <c r="K277" s="144">
        <f t="shared" si="159"/>
        <v>4119.4361200000003</v>
      </c>
      <c r="L277" s="144">
        <f t="shared" si="159"/>
        <v>4119.4399999999996</v>
      </c>
      <c r="M277" s="144">
        <f>M278</f>
        <v>2462.2300300000002</v>
      </c>
      <c r="N277" s="144">
        <f>N278</f>
        <v>5039.1831000000002</v>
      </c>
      <c r="O277" s="144">
        <f t="shared" ref="O277:AB277" si="160">O278</f>
        <v>4628.4464700000008</v>
      </c>
      <c r="P277" s="145">
        <f t="shared" si="160"/>
        <v>4628.4464700000008</v>
      </c>
      <c r="Q277" s="144">
        <f t="shared" si="160"/>
        <v>4628.4464700000008</v>
      </c>
      <c r="R277" s="144">
        <f t="shared" si="160"/>
        <v>4628.4464700000008</v>
      </c>
      <c r="S277" s="144">
        <f t="shared" si="125"/>
        <v>2166.2164400000006</v>
      </c>
      <c r="T277" s="144">
        <f t="shared" si="126"/>
        <v>0</v>
      </c>
      <c r="U277" s="146" t="e">
        <f>R277-#REF!</f>
        <v>#REF!</v>
      </c>
      <c r="V277" s="146">
        <f t="shared" si="127"/>
        <v>2166.2164400000006</v>
      </c>
      <c r="W277" s="146">
        <f t="shared" si="128"/>
        <v>0</v>
      </c>
      <c r="X277" s="146" t="e">
        <f>O277-#REF!</f>
        <v>#REF!</v>
      </c>
      <c r="Y277" s="144">
        <f t="shared" si="160"/>
        <v>4671.9598899999992</v>
      </c>
      <c r="Z277" s="144">
        <f t="shared" si="160"/>
        <v>4882.1980850499986</v>
      </c>
      <c r="AA277" s="144">
        <f t="shared" si="160"/>
        <v>5116.54</v>
      </c>
      <c r="AB277" s="144">
        <f t="shared" si="160"/>
        <v>4844.1298314057512</v>
      </c>
      <c r="AC277" s="144">
        <f t="shared" si="129"/>
        <v>4844.1298314057512</v>
      </c>
      <c r="AD277" s="144">
        <f t="shared" si="130"/>
        <v>172.16994140575207</v>
      </c>
      <c r="AE277" s="144">
        <f t="shared" si="133"/>
        <v>3.6851759317169979</v>
      </c>
      <c r="AF277" s="144">
        <f t="shared" si="131"/>
        <v>-38.068253644247307</v>
      </c>
      <c r="AG277" s="144">
        <f t="shared" si="134"/>
        <v>-0.77973595051003031</v>
      </c>
      <c r="AH277" s="144">
        <f t="shared" si="132"/>
        <v>-272.41016859424872</v>
      </c>
      <c r="AI277" s="144">
        <f t="shared" si="135"/>
        <v>-5.3241090384175322</v>
      </c>
    </row>
    <row r="278" spans="1:35" ht="33" customHeight="1" outlineLevel="1">
      <c r="A278" s="139" t="s">
        <v>1276</v>
      </c>
      <c r="B278" s="176" t="s">
        <v>1277</v>
      </c>
      <c r="C278" s="215" t="s">
        <v>1278</v>
      </c>
      <c r="D278" s="149" t="s">
        <v>1279</v>
      </c>
      <c r="E278" s="149" t="s">
        <v>1280</v>
      </c>
      <c r="F278" s="143" t="s">
        <v>121</v>
      </c>
      <c r="G278" s="143">
        <v>6015.91</v>
      </c>
      <c r="H278" s="143">
        <v>4521.5244199999997</v>
      </c>
      <c r="I278" s="143">
        <v>4521.5200000000004</v>
      </c>
      <c r="J278" s="143">
        <v>6601.1</v>
      </c>
      <c r="K278" s="143">
        <v>4119.4361200000003</v>
      </c>
      <c r="L278" s="143">
        <v>4119.4399999999996</v>
      </c>
      <c r="M278" s="143">
        <v>2462.2300300000002</v>
      </c>
      <c r="N278" s="143">
        <v>5039.1831000000002</v>
      </c>
      <c r="O278" s="143">
        <v>4628.4464700000008</v>
      </c>
      <c r="P278" s="150">
        <v>4628.4464700000008</v>
      </c>
      <c r="Q278" s="143">
        <v>4628.4464700000008</v>
      </c>
      <c r="R278" s="143">
        <v>4628.4464700000008</v>
      </c>
      <c r="S278" s="143">
        <f t="shared" si="125"/>
        <v>2166.2164400000006</v>
      </c>
      <c r="T278" s="143">
        <f t="shared" si="126"/>
        <v>0</v>
      </c>
      <c r="U278" s="151" t="e">
        <f>R278-#REF!</f>
        <v>#REF!</v>
      </c>
      <c r="V278" s="151">
        <f t="shared" si="127"/>
        <v>2166.2164400000006</v>
      </c>
      <c r="W278" s="151">
        <f t="shared" si="128"/>
        <v>0</v>
      </c>
      <c r="X278" s="151" t="e">
        <f>O278-#REF!</f>
        <v>#REF!</v>
      </c>
      <c r="Y278" s="143">
        <f>'[65]2. подк.неподк.'!V266</f>
        <v>4671.9598899999992</v>
      </c>
      <c r="Z278" s="143">
        <f>'[65]2. подк.неподк.'!W266</f>
        <v>4882.1980850499986</v>
      </c>
      <c r="AA278" s="143">
        <f>'[65]2. подк.неподк.'!X266</f>
        <v>5116.54</v>
      </c>
      <c r="AB278" s="143">
        <f>Y278*$AA$11</f>
        <v>4844.1298314057512</v>
      </c>
      <c r="AC278" s="144">
        <f t="shared" si="129"/>
        <v>4844.1298314057512</v>
      </c>
      <c r="AD278" s="143">
        <f t="shared" si="130"/>
        <v>172.16994140575207</v>
      </c>
      <c r="AE278" s="143">
        <f t="shared" si="133"/>
        <v>3.6851759317169979</v>
      </c>
      <c r="AF278" s="143">
        <f t="shared" si="131"/>
        <v>-38.068253644247307</v>
      </c>
      <c r="AG278" s="143">
        <f t="shared" si="134"/>
        <v>-0.77973595051003031</v>
      </c>
      <c r="AH278" s="143">
        <f t="shared" si="132"/>
        <v>-272.41016859424872</v>
      </c>
      <c r="AI278" s="143">
        <f t="shared" si="135"/>
        <v>-5.3241090384175322</v>
      </c>
    </row>
    <row r="279" spans="1:35" ht="24" customHeight="1">
      <c r="A279" s="139" t="s">
        <v>1281</v>
      </c>
      <c r="B279" s="239" t="s">
        <v>1282</v>
      </c>
      <c r="C279" s="240" t="s">
        <v>1283</v>
      </c>
      <c r="D279" s="241" t="s">
        <v>1284</v>
      </c>
      <c r="E279" s="142" t="s">
        <v>1285</v>
      </c>
      <c r="F279" s="178" t="s">
        <v>552</v>
      </c>
      <c r="G279" s="217">
        <v>20800</v>
      </c>
      <c r="H279" s="217">
        <v>0</v>
      </c>
      <c r="I279" s="217">
        <v>0</v>
      </c>
      <c r="J279" s="144">
        <v>22823.2853</v>
      </c>
      <c r="K279" s="144">
        <v>7247.24802</v>
      </c>
      <c r="L279" s="144">
        <v>7247.25</v>
      </c>
      <c r="M279" s="144">
        <v>20800</v>
      </c>
      <c r="N279" s="144">
        <v>7560.8363399999998</v>
      </c>
      <c r="O279" s="144">
        <v>7088.4152899999999</v>
      </c>
      <c r="P279" s="145">
        <v>7088.4152899999999</v>
      </c>
      <c r="Q279" s="144">
        <v>7088.4152899999999</v>
      </c>
      <c r="R279" s="144">
        <v>7088.4152899999999</v>
      </c>
      <c r="S279" s="144">
        <f t="shared" si="125"/>
        <v>-13711.584709999999</v>
      </c>
      <c r="T279" s="144">
        <f t="shared" si="126"/>
        <v>0</v>
      </c>
      <c r="U279" s="146" t="e">
        <f>R279-#REF!</f>
        <v>#REF!</v>
      </c>
      <c r="V279" s="146">
        <f t="shared" si="127"/>
        <v>-13711.584709999999</v>
      </c>
      <c r="W279" s="146">
        <f t="shared" si="128"/>
        <v>0</v>
      </c>
      <c r="X279" s="146" t="e">
        <f>O279-#REF!</f>
        <v>#REF!</v>
      </c>
      <c r="Y279" s="144">
        <f>'[65]2. подк.неподк.'!V267</f>
        <v>20800</v>
      </c>
      <c r="Z279" s="144">
        <f>'[65]2. подк.неподк.'!W267</f>
        <v>21736</v>
      </c>
      <c r="AA279" s="144">
        <f>'[65]2. подк.неподк.'!X267</f>
        <v>21736</v>
      </c>
      <c r="AB279" s="168">
        <f>Y279</f>
        <v>20800</v>
      </c>
      <c r="AC279" s="168">
        <f>AB279</f>
        <v>20800</v>
      </c>
      <c r="AD279" s="144">
        <f t="shared" si="130"/>
        <v>0</v>
      </c>
      <c r="AE279" s="144">
        <f t="shared" si="133"/>
        <v>0</v>
      </c>
      <c r="AF279" s="144">
        <f t="shared" si="131"/>
        <v>-936</v>
      </c>
      <c r="AG279" s="144">
        <f t="shared" si="134"/>
        <v>-4.3062200956937744</v>
      </c>
      <c r="AH279" s="144">
        <f t="shared" si="132"/>
        <v>-936</v>
      </c>
      <c r="AI279" s="144">
        <f t="shared" si="135"/>
        <v>-4.3062200956937744</v>
      </c>
    </row>
    <row r="280" spans="1:35" ht="19.5" customHeight="1">
      <c r="A280" s="139"/>
      <c r="B280" s="140" t="s">
        <v>1286</v>
      </c>
      <c r="C280" s="177"/>
      <c r="D280" s="188" t="s">
        <v>1287</v>
      </c>
      <c r="E280" s="188" t="s">
        <v>1287</v>
      </c>
      <c r="F280" s="178" t="s">
        <v>552</v>
      </c>
      <c r="G280" s="144">
        <f>G281+G282+G283+G284</f>
        <v>4161.644397</v>
      </c>
      <c r="H280" s="144">
        <f t="shared" ref="H280:I280" si="161">H281+H282+H283+H284</f>
        <v>67230</v>
      </c>
      <c r="I280" s="144">
        <f t="shared" si="161"/>
        <v>4273</v>
      </c>
      <c r="J280" s="144">
        <f>SUM(J281+J284)</f>
        <v>4531.2451859056318</v>
      </c>
      <c r="K280" s="144">
        <f t="shared" ref="K280:AA280" si="162">SUM(K281+K284+K282)</f>
        <v>33081.443930000001</v>
      </c>
      <c r="L280" s="144">
        <f t="shared" si="162"/>
        <v>3674.79</v>
      </c>
      <c r="M280" s="144">
        <f t="shared" si="162"/>
        <v>4748.74</v>
      </c>
      <c r="N280" s="144">
        <f>SUM(N281+N284+N282)</f>
        <v>367781.34206000005</v>
      </c>
      <c r="O280" s="144">
        <f t="shared" si="162"/>
        <v>332686.40981000004</v>
      </c>
      <c r="P280" s="145">
        <f t="shared" si="162"/>
        <v>1984.5105799999999</v>
      </c>
      <c r="Q280" s="144">
        <f t="shared" si="162"/>
        <v>1984.5105799999999</v>
      </c>
      <c r="R280" s="144">
        <f t="shared" si="162"/>
        <v>1984.5105799999999</v>
      </c>
      <c r="S280" s="144">
        <f t="shared" si="125"/>
        <v>-2764.2294199999997</v>
      </c>
      <c r="T280" s="144">
        <f t="shared" si="126"/>
        <v>-330701.89923000004</v>
      </c>
      <c r="U280" s="146" t="e">
        <f>R280-#REF!</f>
        <v>#REF!</v>
      </c>
      <c r="V280" s="146">
        <f t="shared" si="127"/>
        <v>-2764.2294199999997</v>
      </c>
      <c r="W280" s="146">
        <f t="shared" si="128"/>
        <v>0</v>
      </c>
      <c r="X280" s="146" t="e">
        <f>O280-#REF!</f>
        <v>#REF!</v>
      </c>
      <c r="Y280" s="144">
        <f t="shared" si="162"/>
        <v>3097.21</v>
      </c>
      <c r="Z280" s="144">
        <f t="shared" si="162"/>
        <v>3236.5844499999998</v>
      </c>
      <c r="AA280" s="144">
        <f t="shared" si="162"/>
        <v>3639.7289999999998</v>
      </c>
      <c r="AB280" s="144">
        <f>SUM(AB281+AB284+AB282)</f>
        <v>3211.347637474732</v>
      </c>
      <c r="AC280" s="144">
        <f>AB280</f>
        <v>3211.347637474732</v>
      </c>
      <c r="AD280" s="144">
        <f t="shared" si="130"/>
        <v>114.13763747473195</v>
      </c>
      <c r="AE280" s="144">
        <f t="shared" si="133"/>
        <v>3.6851759317169979</v>
      </c>
      <c r="AF280" s="144">
        <f t="shared" si="131"/>
        <v>-25.236812525267851</v>
      </c>
      <c r="AG280" s="144">
        <f t="shared" si="134"/>
        <v>-0.77973595051004452</v>
      </c>
      <c r="AH280" s="144">
        <f t="shared" si="132"/>
        <v>-428.38136252526783</v>
      </c>
      <c r="AI280" s="144">
        <f t="shared" si="135"/>
        <v>-11.769595003508996</v>
      </c>
    </row>
    <row r="281" spans="1:35" ht="33" customHeight="1" outlineLevel="1">
      <c r="A281" s="139" t="s">
        <v>1288</v>
      </c>
      <c r="B281" s="176" t="s">
        <v>1289</v>
      </c>
      <c r="C281" s="215" t="s">
        <v>1290</v>
      </c>
      <c r="D281" s="196" t="s">
        <v>1291</v>
      </c>
      <c r="E281" s="196" t="s">
        <v>1292</v>
      </c>
      <c r="F281" s="178" t="s">
        <v>552</v>
      </c>
      <c r="G281" s="178">
        <v>3241.5643970000001</v>
      </c>
      <c r="H281" s="178">
        <v>4273</v>
      </c>
      <c r="I281" s="178">
        <v>4273</v>
      </c>
      <c r="J281" s="143">
        <v>3556.8821603056317</v>
      </c>
      <c r="K281" s="143">
        <v>3504.11085</v>
      </c>
      <c r="L281" s="143">
        <v>3504.11</v>
      </c>
      <c r="M281" s="143">
        <v>3739.0899999999997</v>
      </c>
      <c r="N281" s="143">
        <v>2091.12228</v>
      </c>
      <c r="O281" s="143">
        <v>1876.4972399999999</v>
      </c>
      <c r="P281" s="150">
        <v>1876.4972399999999</v>
      </c>
      <c r="Q281" s="143">
        <v>1876.4972399999999</v>
      </c>
      <c r="R281" s="143">
        <v>1876.4972399999999</v>
      </c>
      <c r="S281" s="143">
        <f t="shared" si="125"/>
        <v>-1862.5927599999998</v>
      </c>
      <c r="T281" s="143">
        <f t="shared" si="126"/>
        <v>0</v>
      </c>
      <c r="U281" s="151" t="e">
        <f>R281-#REF!</f>
        <v>#REF!</v>
      </c>
      <c r="V281" s="151">
        <f t="shared" si="127"/>
        <v>-1862.5927599999998</v>
      </c>
      <c r="W281" s="151">
        <f t="shared" si="128"/>
        <v>0</v>
      </c>
      <c r="X281" s="151" t="e">
        <f>O281-#REF!</f>
        <v>#REF!</v>
      </c>
      <c r="Y281" s="143">
        <f>'[65]2. подк.неподк.'!V269</f>
        <v>2949.29</v>
      </c>
      <c r="Z281" s="143">
        <f>'[65]2. подк.неподк.'!W269</f>
        <v>3082.0080499999999</v>
      </c>
      <c r="AA281" s="143">
        <f>'[65]2. подк.неподк.'!X269</f>
        <v>3485.1525999999999</v>
      </c>
      <c r="AB281" s="143">
        <f>Y281*$AA$11</f>
        <v>3057.9765252365364</v>
      </c>
      <c r="AC281" s="144">
        <f t="shared" si="129"/>
        <v>3057.9765252365364</v>
      </c>
      <c r="AD281" s="143">
        <f t="shared" si="130"/>
        <v>108.68652523653645</v>
      </c>
      <c r="AE281" s="143">
        <f t="shared" si="133"/>
        <v>3.6851759317169979</v>
      </c>
      <c r="AF281" s="143">
        <f t="shared" si="131"/>
        <v>-24.031524763463494</v>
      </c>
      <c r="AG281" s="143">
        <f t="shared" si="134"/>
        <v>-0.77973595051004452</v>
      </c>
      <c r="AH281" s="143">
        <f t="shared" si="132"/>
        <v>-427.17607476346348</v>
      </c>
      <c r="AI281" s="143">
        <f t="shared" si="135"/>
        <v>-12.257026414380348</v>
      </c>
    </row>
    <row r="282" spans="1:35" ht="33" customHeight="1" outlineLevel="1">
      <c r="A282" s="139"/>
      <c r="B282" s="176" t="s">
        <v>1293</v>
      </c>
      <c r="C282" s="215"/>
      <c r="D282" s="196" t="s">
        <v>1294</v>
      </c>
      <c r="E282" s="196" t="s">
        <v>1295</v>
      </c>
      <c r="F282" s="178" t="s">
        <v>552</v>
      </c>
      <c r="G282" s="178">
        <v>920.08</v>
      </c>
      <c r="H282" s="178">
        <v>62957</v>
      </c>
      <c r="I282" s="178">
        <v>0</v>
      </c>
      <c r="J282" s="143">
        <v>0</v>
      </c>
      <c r="K282" s="143">
        <v>29406.651000000002</v>
      </c>
      <c r="L282" s="143">
        <v>0</v>
      </c>
      <c r="M282" s="143">
        <v>0</v>
      </c>
      <c r="N282" s="143">
        <v>365568.57398000004</v>
      </c>
      <c r="O282" s="143">
        <v>330701.89923000004</v>
      </c>
      <c r="P282" s="150">
        <v>0</v>
      </c>
      <c r="Q282" s="143">
        <v>0</v>
      </c>
      <c r="R282" s="143">
        <v>0</v>
      </c>
      <c r="S282" s="143">
        <f t="shared" si="125"/>
        <v>0</v>
      </c>
      <c r="T282" s="143">
        <f t="shared" si="126"/>
        <v>-330701.89923000004</v>
      </c>
      <c r="U282" s="151" t="e">
        <f>R282-#REF!</f>
        <v>#REF!</v>
      </c>
      <c r="V282" s="151">
        <f t="shared" si="127"/>
        <v>0</v>
      </c>
      <c r="W282" s="151">
        <f t="shared" si="128"/>
        <v>0</v>
      </c>
      <c r="X282" s="151" t="e">
        <f>O282-#REF!</f>
        <v>#REF!</v>
      </c>
      <c r="Y282" s="143">
        <f>'[65]2. подк.неподк.'!V270</f>
        <v>0</v>
      </c>
      <c r="Z282" s="143">
        <f>'[65]2. подк.неподк.'!W270</f>
        <v>0</v>
      </c>
      <c r="AA282" s="143">
        <f>'[65]2. подк.неподк.'!X270</f>
        <v>0</v>
      </c>
      <c r="AB282" s="143">
        <f>Y282*$AA$11</f>
        <v>0</v>
      </c>
      <c r="AC282" s="144">
        <f t="shared" si="129"/>
        <v>0</v>
      </c>
      <c r="AD282" s="143">
        <f t="shared" si="130"/>
        <v>0</v>
      </c>
      <c r="AE282" s="143"/>
      <c r="AF282" s="143">
        <f t="shared" si="131"/>
        <v>0</v>
      </c>
      <c r="AG282" s="143"/>
      <c r="AH282" s="143">
        <f t="shared" si="132"/>
        <v>0</v>
      </c>
      <c r="AI282" s="143"/>
    </row>
    <row r="283" spans="1:35" ht="33" customHeight="1" outlineLevel="1">
      <c r="A283" s="139"/>
      <c r="B283" s="176" t="s">
        <v>1296</v>
      </c>
      <c r="C283" s="215"/>
      <c r="D283" s="196" t="s">
        <v>1297</v>
      </c>
      <c r="E283" s="196" t="s">
        <v>1298</v>
      </c>
      <c r="F283" s="178" t="s">
        <v>552</v>
      </c>
      <c r="G283" s="178">
        <v>0</v>
      </c>
      <c r="H283" s="178">
        <v>0</v>
      </c>
      <c r="I283" s="178">
        <v>0</v>
      </c>
      <c r="J283" s="143"/>
      <c r="K283" s="143"/>
      <c r="L283" s="143"/>
      <c r="M283" s="143"/>
      <c r="N283" s="143">
        <v>0</v>
      </c>
      <c r="O283" s="143">
        <v>0</v>
      </c>
      <c r="P283" s="150">
        <v>0</v>
      </c>
      <c r="Q283" s="143">
        <v>0</v>
      </c>
      <c r="R283" s="143">
        <v>0</v>
      </c>
      <c r="S283" s="143">
        <f t="shared" si="125"/>
        <v>0</v>
      </c>
      <c r="T283" s="143">
        <f t="shared" si="126"/>
        <v>0</v>
      </c>
      <c r="U283" s="151" t="e">
        <f>R283-#REF!</f>
        <v>#REF!</v>
      </c>
      <c r="V283" s="151">
        <f t="shared" si="127"/>
        <v>0</v>
      </c>
      <c r="W283" s="151">
        <f t="shared" si="128"/>
        <v>0</v>
      </c>
      <c r="X283" s="151" t="e">
        <f>O283-#REF!</f>
        <v>#REF!</v>
      </c>
      <c r="Y283" s="143">
        <f>'[65]2. подк.неподк.'!V271</f>
        <v>0</v>
      </c>
      <c r="Z283" s="143">
        <f>'[65]2. подк.неподк.'!W271</f>
        <v>1</v>
      </c>
      <c r="AA283" s="143">
        <f>'[65]2. подк.неподк.'!X271</f>
        <v>0</v>
      </c>
      <c r="AB283" s="143">
        <f>Y283*$AA$11</f>
        <v>0</v>
      </c>
      <c r="AC283" s="144">
        <f t="shared" si="129"/>
        <v>0</v>
      </c>
      <c r="AD283" s="143">
        <f t="shared" si="130"/>
        <v>0</v>
      </c>
      <c r="AE283" s="143"/>
      <c r="AF283" s="143">
        <f t="shared" si="131"/>
        <v>-1</v>
      </c>
      <c r="AG283" s="143">
        <f t="shared" si="134"/>
        <v>-100</v>
      </c>
      <c r="AH283" s="143">
        <f t="shared" si="132"/>
        <v>0</v>
      </c>
      <c r="AI283" s="143"/>
    </row>
    <row r="284" spans="1:35" ht="33" customHeight="1" outlineLevel="1">
      <c r="A284" s="139" t="s">
        <v>1299</v>
      </c>
      <c r="B284" s="176" t="s">
        <v>1300</v>
      </c>
      <c r="C284" s="215" t="s">
        <v>1301</v>
      </c>
      <c r="D284" s="196" t="s">
        <v>1302</v>
      </c>
      <c r="E284" s="196" t="s">
        <v>1303</v>
      </c>
      <c r="F284" s="178" t="s">
        <v>552</v>
      </c>
      <c r="G284" s="178">
        <v>0</v>
      </c>
      <c r="H284" s="178">
        <v>0</v>
      </c>
      <c r="I284" s="178">
        <v>0</v>
      </c>
      <c r="J284" s="143">
        <v>974.36302560000013</v>
      </c>
      <c r="K284" s="143">
        <v>170.68207999999998</v>
      </c>
      <c r="L284" s="143">
        <v>170.68</v>
      </c>
      <c r="M284" s="143">
        <v>1009.65</v>
      </c>
      <c r="N284" s="143">
        <v>121.64580000000001</v>
      </c>
      <c r="O284" s="143">
        <v>108.01334</v>
      </c>
      <c r="P284" s="150">
        <v>108.01334</v>
      </c>
      <c r="Q284" s="143">
        <v>108.01334</v>
      </c>
      <c r="R284" s="143">
        <v>108.01334</v>
      </c>
      <c r="S284" s="143">
        <f t="shared" si="125"/>
        <v>-901.63666000000001</v>
      </c>
      <c r="T284" s="143">
        <f t="shared" si="126"/>
        <v>0</v>
      </c>
      <c r="U284" s="151" t="e">
        <f>R284-#REF!</f>
        <v>#REF!</v>
      </c>
      <c r="V284" s="151">
        <f t="shared" si="127"/>
        <v>-901.63666000000001</v>
      </c>
      <c r="W284" s="151">
        <f t="shared" si="128"/>
        <v>0</v>
      </c>
      <c r="X284" s="151" t="e">
        <f>O284-#REF!</f>
        <v>#REF!</v>
      </c>
      <c r="Y284" s="143">
        <f>'[65]2. подк.неподк.'!V272</f>
        <v>147.91999999999999</v>
      </c>
      <c r="Z284" s="143">
        <f>'[65]2. подк.неподк.'!W272</f>
        <v>154.57639999999998</v>
      </c>
      <c r="AA284" s="143">
        <f>'[65]2. подк.неподк.'!X272</f>
        <v>154.57639999999998</v>
      </c>
      <c r="AB284" s="143">
        <f>Y284*$AA$11</f>
        <v>153.37111223819576</v>
      </c>
      <c r="AC284" s="144">
        <f t="shared" si="129"/>
        <v>153.37111223819576</v>
      </c>
      <c r="AD284" s="143">
        <f t="shared" si="130"/>
        <v>5.4511122381957762</v>
      </c>
      <c r="AE284" s="143">
        <f t="shared" si="133"/>
        <v>3.6851759317169979</v>
      </c>
      <c r="AF284" s="143">
        <f t="shared" si="131"/>
        <v>-1.2052877618042146</v>
      </c>
      <c r="AG284" s="143">
        <f t="shared" si="134"/>
        <v>-0.77973595051005873</v>
      </c>
      <c r="AH284" s="143">
        <f t="shared" si="132"/>
        <v>-1.2052877618042146</v>
      </c>
      <c r="AI284" s="143">
        <f t="shared" si="135"/>
        <v>-0.77973595051005873</v>
      </c>
    </row>
    <row r="285" spans="1:35" ht="20.25" customHeight="1">
      <c r="A285" s="139"/>
      <c r="B285" s="140" t="s">
        <v>1304</v>
      </c>
      <c r="C285" s="215"/>
      <c r="D285" s="142" t="s">
        <v>1305</v>
      </c>
      <c r="E285" s="142" t="s">
        <v>1306</v>
      </c>
      <c r="F285" s="178" t="s">
        <v>552</v>
      </c>
      <c r="G285" s="144">
        <f>SUM(G286:G315)</f>
        <v>1637.41</v>
      </c>
      <c r="H285" s="144">
        <f t="shared" ref="H285:M285" si="163">SUM(H286:H315)</f>
        <v>97751</v>
      </c>
      <c r="I285" s="144">
        <f t="shared" si="163"/>
        <v>4317.2299999999996</v>
      </c>
      <c r="J285" s="144">
        <f t="shared" si="163"/>
        <v>4737.0626746223861</v>
      </c>
      <c r="K285" s="144">
        <f t="shared" si="163"/>
        <v>143220.65036</v>
      </c>
      <c r="L285" s="144">
        <f t="shared" si="163"/>
        <v>0</v>
      </c>
      <c r="M285" s="144">
        <f t="shared" si="163"/>
        <v>4964.441683004261</v>
      </c>
      <c r="N285" s="144">
        <f>SUM(N286:N320)</f>
        <v>248782.46003999995</v>
      </c>
      <c r="O285" s="144">
        <f>SUM(O286:O320)</f>
        <v>127325.39408999997</v>
      </c>
      <c r="P285" s="145">
        <f t="shared" ref="P285:AA285" si="164">SUM(P286:P320)</f>
        <v>21063.618310000002</v>
      </c>
      <c r="Q285" s="144">
        <f t="shared" si="164"/>
        <v>21063.618310000002</v>
      </c>
      <c r="R285" s="144">
        <f t="shared" si="164"/>
        <v>12074.092410000001</v>
      </c>
      <c r="S285" s="144">
        <f t="shared" si="125"/>
        <v>7109.6507269957401</v>
      </c>
      <c r="T285" s="144">
        <f t="shared" si="126"/>
        <v>-115251.30167999998</v>
      </c>
      <c r="U285" s="146" t="e">
        <f>R285-#REF!</f>
        <v>#REF!</v>
      </c>
      <c r="V285" s="146">
        <f t="shared" si="127"/>
        <v>7109.6507269957401</v>
      </c>
      <c r="W285" s="146">
        <f t="shared" si="128"/>
        <v>0</v>
      </c>
      <c r="X285" s="146" t="e">
        <f>O285-#REF!</f>
        <v>#REF!</v>
      </c>
      <c r="Y285" s="144">
        <f t="shared" si="164"/>
        <v>0</v>
      </c>
      <c r="Z285" s="144">
        <f t="shared" si="164"/>
        <v>0</v>
      </c>
      <c r="AA285" s="144">
        <f t="shared" si="164"/>
        <v>36280.510966000002</v>
      </c>
      <c r="AB285" s="144">
        <f>SUM(AB286:AB320)</f>
        <v>0</v>
      </c>
      <c r="AC285" s="144">
        <f t="shared" si="129"/>
        <v>0</v>
      </c>
      <c r="AD285" s="144">
        <f t="shared" si="130"/>
        <v>0</v>
      </c>
      <c r="AE285" s="144"/>
      <c r="AF285" s="144">
        <f t="shared" si="131"/>
        <v>0</v>
      </c>
      <c r="AG285" s="144"/>
      <c r="AH285" s="144">
        <f t="shared" si="132"/>
        <v>-36280.510966000002</v>
      </c>
      <c r="AI285" s="144">
        <f t="shared" si="135"/>
        <v>-100</v>
      </c>
    </row>
    <row r="286" spans="1:35" ht="33" customHeight="1" outlineLevel="1">
      <c r="A286" s="139" t="s">
        <v>1307</v>
      </c>
      <c r="B286" s="242" t="s">
        <v>1308</v>
      </c>
      <c r="C286" s="240" t="s">
        <v>1309</v>
      </c>
      <c r="D286" s="199" t="s">
        <v>1310</v>
      </c>
      <c r="E286" s="148" t="s">
        <v>1305</v>
      </c>
      <c r="F286" s="178" t="s">
        <v>552</v>
      </c>
      <c r="G286" s="178">
        <v>0</v>
      </c>
      <c r="H286" s="178">
        <v>1753</v>
      </c>
      <c r="I286" s="178">
        <v>0</v>
      </c>
      <c r="J286" s="143">
        <v>4737.0626746223861</v>
      </c>
      <c r="K286" s="143">
        <v>34282.24005</v>
      </c>
      <c r="L286" s="143">
        <v>0</v>
      </c>
      <c r="M286" s="143">
        <v>4964.441683004261</v>
      </c>
      <c r="N286" s="143">
        <v>6383.3005499999999</v>
      </c>
      <c r="O286" s="143">
        <v>4017.1843699999999</v>
      </c>
      <c r="P286" s="150">
        <v>4017.1843699999999</v>
      </c>
      <c r="Q286" s="167">
        <v>4017.1843699999999</v>
      </c>
      <c r="R286" s="167">
        <v>4017.1843699999999</v>
      </c>
      <c r="S286" s="167">
        <f t="shared" ref="S286:S321" si="165">R286-M286</f>
        <v>-947.25731300426105</v>
      </c>
      <c r="T286" s="167">
        <f t="shared" ref="T286:T342" si="166">R286-O286</f>
        <v>0</v>
      </c>
      <c r="U286" s="151" t="e">
        <f>R286-#REF!</f>
        <v>#REF!</v>
      </c>
      <c r="V286" s="151">
        <f t="shared" ref="V286:V321" si="167">R286-M286</f>
        <v>-947.25731300426105</v>
      </c>
      <c r="W286" s="151">
        <f t="shared" ref="W286:W321" si="168">Q286-P286</f>
        <v>0</v>
      </c>
      <c r="X286" s="151" t="e">
        <f>O286-#REF!</f>
        <v>#REF!</v>
      </c>
      <c r="Y286" s="143">
        <f>'[65]2. подк.неподк.'!V274</f>
        <v>0</v>
      </c>
      <c r="Z286" s="143">
        <f>'[65]2. подк.неподк.'!W274</f>
        <v>0</v>
      </c>
      <c r="AA286" s="143">
        <v>0</v>
      </c>
      <c r="AB286" s="143">
        <f t="shared" ref="AB286:AB320" si="169">Y286*$AA$11</f>
        <v>0</v>
      </c>
      <c r="AC286" s="144">
        <f t="shared" ref="AC286:AC320" si="170">AB286</f>
        <v>0</v>
      </c>
      <c r="AD286" s="143">
        <f t="shared" ref="AD286:AD342" si="171">AB286-Y286</f>
        <v>0</v>
      </c>
      <c r="AE286" s="143"/>
      <c r="AF286" s="143">
        <f t="shared" ref="AF286:AF342" si="172">AB286-Z286</f>
        <v>0</v>
      </c>
      <c r="AG286" s="143"/>
      <c r="AH286" s="143">
        <f t="shared" ref="AH286:AH342" si="173">AB286-AA286</f>
        <v>0</v>
      </c>
      <c r="AI286" s="143"/>
    </row>
    <row r="287" spans="1:35" ht="33" customHeight="1" outlineLevel="1">
      <c r="A287" s="139" t="s">
        <v>1311</v>
      </c>
      <c r="B287" s="242" t="s">
        <v>1312</v>
      </c>
      <c r="C287" s="243" t="s">
        <v>1313</v>
      </c>
      <c r="D287" s="199" t="s">
        <v>1314</v>
      </c>
      <c r="E287" s="232" t="s">
        <v>1315</v>
      </c>
      <c r="F287" s="178" t="s">
        <v>552</v>
      </c>
      <c r="G287" s="178">
        <v>0</v>
      </c>
      <c r="H287" s="178">
        <v>0</v>
      </c>
      <c r="I287" s="178">
        <v>0</v>
      </c>
      <c r="J287" s="143">
        <v>0</v>
      </c>
      <c r="K287" s="143">
        <v>0</v>
      </c>
      <c r="L287" s="143">
        <v>0</v>
      </c>
      <c r="M287" s="143">
        <v>0</v>
      </c>
      <c r="N287" s="143">
        <v>9749.808070000001</v>
      </c>
      <c r="O287" s="143"/>
      <c r="P287" s="150">
        <v>0</v>
      </c>
      <c r="Q287" s="167">
        <v>0</v>
      </c>
      <c r="R287" s="167">
        <v>0</v>
      </c>
      <c r="S287" s="167">
        <f t="shared" si="165"/>
        <v>0</v>
      </c>
      <c r="T287" s="167">
        <f t="shared" si="166"/>
        <v>0</v>
      </c>
      <c r="U287" s="151" t="e">
        <f>R287-#REF!</f>
        <v>#REF!</v>
      </c>
      <c r="V287" s="151">
        <f t="shared" si="167"/>
        <v>0</v>
      </c>
      <c r="W287" s="151">
        <f t="shared" si="168"/>
        <v>0</v>
      </c>
      <c r="X287" s="151" t="e">
        <f>O287-#REF!</f>
        <v>#REF!</v>
      </c>
      <c r="Y287" s="143">
        <f>'[65]2. подк.неподк.'!V275</f>
        <v>0</v>
      </c>
      <c r="Z287" s="143">
        <f>'[65]2. подк.неподк.'!W275</f>
        <v>0</v>
      </c>
      <c r="AA287" s="143">
        <v>0</v>
      </c>
      <c r="AB287" s="143">
        <f t="shared" si="169"/>
        <v>0</v>
      </c>
      <c r="AC287" s="144">
        <f t="shared" si="170"/>
        <v>0</v>
      </c>
      <c r="AD287" s="143">
        <f t="shared" si="171"/>
        <v>0</v>
      </c>
      <c r="AE287" s="143"/>
      <c r="AF287" s="143">
        <f t="shared" si="172"/>
        <v>0</v>
      </c>
      <c r="AG287" s="143"/>
      <c r="AH287" s="143">
        <f t="shared" si="173"/>
        <v>0</v>
      </c>
      <c r="AI287" s="143"/>
    </row>
    <row r="288" spans="1:35" ht="33" customHeight="1" outlineLevel="1">
      <c r="A288" s="139" t="s">
        <v>1316</v>
      </c>
      <c r="B288" s="242" t="s">
        <v>1317</v>
      </c>
      <c r="C288" s="243" t="s">
        <v>1318</v>
      </c>
      <c r="D288" s="199" t="s">
        <v>1319</v>
      </c>
      <c r="E288" s="232" t="s">
        <v>1320</v>
      </c>
      <c r="F288" s="178" t="s">
        <v>552</v>
      </c>
      <c r="G288" s="178">
        <v>0</v>
      </c>
      <c r="H288" s="178">
        <v>0</v>
      </c>
      <c r="I288" s="178">
        <v>0</v>
      </c>
      <c r="J288" s="143">
        <v>0</v>
      </c>
      <c r="K288" s="143">
        <v>898.95402999999999</v>
      </c>
      <c r="L288" s="143">
        <v>0</v>
      </c>
      <c r="M288" s="143">
        <v>0</v>
      </c>
      <c r="N288" s="143">
        <v>3605.5514400000002</v>
      </c>
      <c r="O288" s="143"/>
      <c r="P288" s="150">
        <v>0</v>
      </c>
      <c r="Q288" s="167">
        <v>0</v>
      </c>
      <c r="R288" s="167">
        <v>0</v>
      </c>
      <c r="S288" s="167">
        <f t="shared" si="165"/>
        <v>0</v>
      </c>
      <c r="T288" s="167">
        <f t="shared" si="166"/>
        <v>0</v>
      </c>
      <c r="U288" s="151" t="e">
        <f>R288-#REF!</f>
        <v>#REF!</v>
      </c>
      <c r="V288" s="151">
        <f t="shared" si="167"/>
        <v>0</v>
      </c>
      <c r="W288" s="151">
        <f t="shared" si="168"/>
        <v>0</v>
      </c>
      <c r="X288" s="151" t="e">
        <f>O288-#REF!</f>
        <v>#REF!</v>
      </c>
      <c r="Y288" s="143">
        <f>'[65]2. подк.неподк.'!V276</f>
        <v>0</v>
      </c>
      <c r="Z288" s="143">
        <f>'[65]2. подк.неподк.'!W276</f>
        <v>0</v>
      </c>
      <c r="AA288" s="143">
        <v>0</v>
      </c>
      <c r="AB288" s="143">
        <f t="shared" si="169"/>
        <v>0</v>
      </c>
      <c r="AC288" s="144">
        <f t="shared" si="170"/>
        <v>0</v>
      </c>
      <c r="AD288" s="143">
        <f t="shared" si="171"/>
        <v>0</v>
      </c>
      <c r="AE288" s="143"/>
      <c r="AF288" s="143">
        <f t="shared" si="172"/>
        <v>0</v>
      </c>
      <c r="AG288" s="143"/>
      <c r="AH288" s="143">
        <f t="shared" si="173"/>
        <v>0</v>
      </c>
      <c r="AI288" s="143"/>
    </row>
    <row r="289" spans="1:35" ht="33" customHeight="1" outlineLevel="1">
      <c r="A289" s="139" t="s">
        <v>1321</v>
      </c>
      <c r="B289" s="176" t="s">
        <v>1322</v>
      </c>
      <c r="C289" s="233" t="s">
        <v>1323</v>
      </c>
      <c r="D289" s="148" t="s">
        <v>1324</v>
      </c>
      <c r="E289" s="232" t="s">
        <v>1325</v>
      </c>
      <c r="F289" s="178" t="s">
        <v>552</v>
      </c>
      <c r="G289" s="178">
        <v>0</v>
      </c>
      <c r="H289" s="178">
        <v>0</v>
      </c>
      <c r="I289" s="178">
        <v>0</v>
      </c>
      <c r="J289" s="143">
        <v>0</v>
      </c>
      <c r="K289" s="143">
        <v>0</v>
      </c>
      <c r="L289" s="143">
        <v>0</v>
      </c>
      <c r="M289" s="143">
        <v>0</v>
      </c>
      <c r="N289" s="143">
        <v>147.60840999999999</v>
      </c>
      <c r="O289" s="143"/>
      <c r="P289" s="150">
        <v>0</v>
      </c>
      <c r="Q289" s="167">
        <v>0</v>
      </c>
      <c r="R289" s="167">
        <v>0</v>
      </c>
      <c r="S289" s="167">
        <f t="shared" si="165"/>
        <v>0</v>
      </c>
      <c r="T289" s="167">
        <f t="shared" si="166"/>
        <v>0</v>
      </c>
      <c r="U289" s="151" t="e">
        <f>R289-#REF!</f>
        <v>#REF!</v>
      </c>
      <c r="V289" s="151">
        <f t="shared" si="167"/>
        <v>0</v>
      </c>
      <c r="W289" s="151">
        <f t="shared" si="168"/>
        <v>0</v>
      </c>
      <c r="X289" s="151" t="e">
        <f>O289-#REF!</f>
        <v>#REF!</v>
      </c>
      <c r="Y289" s="143">
        <f>'[65]2. подк.неподк.'!V277</f>
        <v>0</v>
      </c>
      <c r="Z289" s="143">
        <f>'[65]2. подк.неподк.'!W277</f>
        <v>0</v>
      </c>
      <c r="AA289" s="143">
        <v>0</v>
      </c>
      <c r="AB289" s="143">
        <f t="shared" si="169"/>
        <v>0</v>
      </c>
      <c r="AC289" s="144">
        <f t="shared" si="170"/>
        <v>0</v>
      </c>
      <c r="AD289" s="143">
        <f t="shared" si="171"/>
        <v>0</v>
      </c>
      <c r="AE289" s="143"/>
      <c r="AF289" s="143">
        <f t="shared" si="172"/>
        <v>0</v>
      </c>
      <c r="AG289" s="143"/>
      <c r="AH289" s="143">
        <f t="shared" si="173"/>
        <v>0</v>
      </c>
      <c r="AI289" s="143"/>
    </row>
    <row r="290" spans="1:35" ht="33" customHeight="1" outlineLevel="1">
      <c r="A290" s="139" t="s">
        <v>1326</v>
      </c>
      <c r="B290" s="176" t="s">
        <v>1327</v>
      </c>
      <c r="C290" s="233" t="s">
        <v>1328</v>
      </c>
      <c r="D290" s="148" t="s">
        <v>1329</v>
      </c>
      <c r="E290" s="232" t="s">
        <v>1330</v>
      </c>
      <c r="F290" s="178" t="s">
        <v>552</v>
      </c>
      <c r="G290" s="178">
        <v>0</v>
      </c>
      <c r="H290" s="178">
        <v>0</v>
      </c>
      <c r="I290" s="178">
        <v>0</v>
      </c>
      <c r="J290" s="143">
        <v>0</v>
      </c>
      <c r="K290" s="143">
        <v>0</v>
      </c>
      <c r="L290" s="143">
        <v>0</v>
      </c>
      <c r="M290" s="143">
        <v>0</v>
      </c>
      <c r="N290" s="143">
        <v>79320.149999999994</v>
      </c>
      <c r="O290" s="143"/>
      <c r="P290" s="150">
        <v>0</v>
      </c>
      <c r="Q290" s="167">
        <v>0</v>
      </c>
      <c r="R290" s="167">
        <v>0</v>
      </c>
      <c r="S290" s="167">
        <f t="shared" si="165"/>
        <v>0</v>
      </c>
      <c r="T290" s="167">
        <f t="shared" si="166"/>
        <v>0</v>
      </c>
      <c r="U290" s="151" t="e">
        <f>R290-#REF!</f>
        <v>#REF!</v>
      </c>
      <c r="V290" s="151">
        <f t="shared" si="167"/>
        <v>0</v>
      </c>
      <c r="W290" s="151">
        <f t="shared" si="168"/>
        <v>0</v>
      </c>
      <c r="X290" s="151" t="e">
        <f>O290-#REF!</f>
        <v>#REF!</v>
      </c>
      <c r="Y290" s="143">
        <f>'[65]2. подк.неподк.'!V278</f>
        <v>0</v>
      </c>
      <c r="Z290" s="143">
        <f>'[65]2. подк.неподк.'!W278</f>
        <v>0</v>
      </c>
      <c r="AA290" s="143">
        <v>0</v>
      </c>
      <c r="AB290" s="143">
        <f t="shared" si="169"/>
        <v>0</v>
      </c>
      <c r="AC290" s="144">
        <f t="shared" si="170"/>
        <v>0</v>
      </c>
      <c r="AD290" s="143">
        <f t="shared" si="171"/>
        <v>0</v>
      </c>
      <c r="AE290" s="143"/>
      <c r="AF290" s="143">
        <f t="shared" si="172"/>
        <v>0</v>
      </c>
      <c r="AG290" s="143"/>
      <c r="AH290" s="143">
        <f t="shared" si="173"/>
        <v>0</v>
      </c>
      <c r="AI290" s="143"/>
    </row>
    <row r="291" spans="1:35" ht="33" customHeight="1" outlineLevel="1">
      <c r="A291" s="139" t="s">
        <v>1331</v>
      </c>
      <c r="B291" s="176" t="s">
        <v>1332</v>
      </c>
      <c r="C291" s="233" t="s">
        <v>1333</v>
      </c>
      <c r="D291" s="148" t="s">
        <v>1334</v>
      </c>
      <c r="E291" s="142"/>
      <c r="F291" s="178" t="s">
        <v>552</v>
      </c>
      <c r="G291" s="178">
        <v>0</v>
      </c>
      <c r="H291" s="178">
        <v>0</v>
      </c>
      <c r="I291" s="178">
        <v>0</v>
      </c>
      <c r="J291" s="143">
        <v>0</v>
      </c>
      <c r="K291" s="143">
        <v>0</v>
      </c>
      <c r="L291" s="143">
        <v>0</v>
      </c>
      <c r="M291" s="143">
        <v>0</v>
      </c>
      <c r="N291" s="143">
        <v>0</v>
      </c>
      <c r="O291" s="143"/>
      <c r="P291" s="150">
        <v>0</v>
      </c>
      <c r="Q291" s="167">
        <v>0</v>
      </c>
      <c r="R291" s="167">
        <v>0</v>
      </c>
      <c r="S291" s="167">
        <f t="shared" si="165"/>
        <v>0</v>
      </c>
      <c r="T291" s="167">
        <f t="shared" si="166"/>
        <v>0</v>
      </c>
      <c r="U291" s="151" t="e">
        <f>R291-#REF!</f>
        <v>#REF!</v>
      </c>
      <c r="V291" s="151">
        <f t="shared" si="167"/>
        <v>0</v>
      </c>
      <c r="W291" s="151">
        <f t="shared" si="168"/>
        <v>0</v>
      </c>
      <c r="X291" s="151" t="e">
        <f>O291-#REF!</f>
        <v>#REF!</v>
      </c>
      <c r="Y291" s="143">
        <f>'[65]2. подк.неподк.'!V279</f>
        <v>0</v>
      </c>
      <c r="Z291" s="143">
        <f>'[65]2. подк.неподк.'!W279</f>
        <v>0</v>
      </c>
      <c r="AA291" s="143">
        <v>0</v>
      </c>
      <c r="AB291" s="143">
        <f t="shared" si="169"/>
        <v>0</v>
      </c>
      <c r="AC291" s="144">
        <f t="shared" si="170"/>
        <v>0</v>
      </c>
      <c r="AD291" s="143">
        <f t="shared" si="171"/>
        <v>0</v>
      </c>
      <c r="AE291" s="143"/>
      <c r="AF291" s="143">
        <f t="shared" si="172"/>
        <v>0</v>
      </c>
      <c r="AG291" s="143"/>
      <c r="AH291" s="143">
        <f t="shared" si="173"/>
        <v>0</v>
      </c>
      <c r="AI291" s="143"/>
    </row>
    <row r="292" spans="1:35" ht="33" customHeight="1" outlineLevel="1">
      <c r="A292" s="139" t="s">
        <v>1335</v>
      </c>
      <c r="B292" s="242" t="s">
        <v>1336</v>
      </c>
      <c r="C292" s="243" t="s">
        <v>1337</v>
      </c>
      <c r="D292" s="199" t="s">
        <v>1338</v>
      </c>
      <c r="E292" s="232" t="s">
        <v>1339</v>
      </c>
      <c r="F292" s="178" t="s">
        <v>552</v>
      </c>
      <c r="G292" s="178">
        <v>0</v>
      </c>
      <c r="H292" s="178">
        <v>10642</v>
      </c>
      <c r="I292" s="178">
        <v>0</v>
      </c>
      <c r="J292" s="143">
        <v>0</v>
      </c>
      <c r="K292" s="143">
        <v>0</v>
      </c>
      <c r="L292" s="143">
        <v>0</v>
      </c>
      <c r="M292" s="143">
        <v>0</v>
      </c>
      <c r="N292" s="143">
        <v>171.64151999999999</v>
      </c>
      <c r="O292" s="143">
        <v>171.64151999999999</v>
      </c>
      <c r="P292" s="150">
        <v>0</v>
      </c>
      <c r="Q292" s="143">
        <v>0</v>
      </c>
      <c r="R292" s="143">
        <v>0</v>
      </c>
      <c r="S292" s="143">
        <f t="shared" si="165"/>
        <v>0</v>
      </c>
      <c r="T292" s="143">
        <f t="shared" si="166"/>
        <v>-171.64151999999999</v>
      </c>
      <c r="U292" s="151" t="e">
        <f>R292-#REF!</f>
        <v>#REF!</v>
      </c>
      <c r="V292" s="151">
        <f t="shared" si="167"/>
        <v>0</v>
      </c>
      <c r="W292" s="151">
        <f t="shared" si="168"/>
        <v>0</v>
      </c>
      <c r="X292" s="151" t="e">
        <f>O292-#REF!</f>
        <v>#REF!</v>
      </c>
      <c r="Y292" s="143">
        <f>'[65]2. подк.неподк.'!V280</f>
        <v>0</v>
      </c>
      <c r="Z292" s="143">
        <f>'[65]2. подк.неподк.'!W280</f>
        <v>0</v>
      </c>
      <c r="AA292" s="143">
        <f>'[65]2. подк.неподк.'!X280</f>
        <v>0</v>
      </c>
      <c r="AB292" s="143">
        <f t="shared" si="169"/>
        <v>0</v>
      </c>
      <c r="AC292" s="144">
        <f t="shared" si="170"/>
        <v>0</v>
      </c>
      <c r="AD292" s="143">
        <f t="shared" si="171"/>
        <v>0</v>
      </c>
      <c r="AE292" s="143"/>
      <c r="AF292" s="143">
        <f t="shared" si="172"/>
        <v>0</v>
      </c>
      <c r="AG292" s="143"/>
      <c r="AH292" s="143">
        <f t="shared" si="173"/>
        <v>0</v>
      </c>
      <c r="AI292" s="143"/>
    </row>
    <row r="293" spans="1:35" ht="33" customHeight="1" outlineLevel="1">
      <c r="A293" s="139" t="s">
        <v>1340</v>
      </c>
      <c r="B293" s="242" t="s">
        <v>1341</v>
      </c>
      <c r="C293" s="243" t="s">
        <v>1342</v>
      </c>
      <c r="D293" s="199" t="s">
        <v>1343</v>
      </c>
      <c r="E293" s="232" t="s">
        <v>1344</v>
      </c>
      <c r="F293" s="178" t="s">
        <v>552</v>
      </c>
      <c r="G293" s="178">
        <v>0</v>
      </c>
      <c r="H293" s="178">
        <v>0</v>
      </c>
      <c r="I293" s="178">
        <v>0</v>
      </c>
      <c r="J293" s="143">
        <v>0</v>
      </c>
      <c r="K293" s="143">
        <v>399.34</v>
      </c>
      <c r="L293" s="143">
        <v>0</v>
      </c>
      <c r="M293" s="143">
        <v>0</v>
      </c>
      <c r="N293" s="143">
        <v>322.9153</v>
      </c>
      <c r="O293" s="143">
        <v>290.23509999999999</v>
      </c>
      <c r="P293" s="150">
        <v>0</v>
      </c>
      <c r="Q293" s="143">
        <v>0</v>
      </c>
      <c r="R293" s="143">
        <v>0</v>
      </c>
      <c r="S293" s="143">
        <f t="shared" si="165"/>
        <v>0</v>
      </c>
      <c r="T293" s="143">
        <f t="shared" si="166"/>
        <v>-290.23509999999999</v>
      </c>
      <c r="U293" s="151" t="e">
        <f>R293-#REF!</f>
        <v>#REF!</v>
      </c>
      <c r="V293" s="151">
        <f t="shared" si="167"/>
        <v>0</v>
      </c>
      <c r="W293" s="151">
        <f t="shared" si="168"/>
        <v>0</v>
      </c>
      <c r="X293" s="151" t="e">
        <f>O293-#REF!</f>
        <v>#REF!</v>
      </c>
      <c r="Y293" s="143">
        <f>'[65]2. подк.неподк.'!V281</f>
        <v>0</v>
      </c>
      <c r="Z293" s="143">
        <f>'[65]2. подк.неподк.'!W281</f>
        <v>0</v>
      </c>
      <c r="AA293" s="143">
        <f>'[65]2. подк.неподк.'!X281</f>
        <v>400</v>
      </c>
      <c r="AB293" s="143">
        <f t="shared" si="169"/>
        <v>0</v>
      </c>
      <c r="AC293" s="144">
        <f t="shared" si="170"/>
        <v>0</v>
      </c>
      <c r="AD293" s="143">
        <f t="shared" si="171"/>
        <v>0</v>
      </c>
      <c r="AE293" s="143"/>
      <c r="AF293" s="143">
        <f t="shared" si="172"/>
        <v>0</v>
      </c>
      <c r="AG293" s="143"/>
      <c r="AH293" s="143">
        <f t="shared" si="173"/>
        <v>-400</v>
      </c>
      <c r="AI293" s="143">
        <f t="shared" ref="AI293:AI342" si="174">AB293/AA293*100-100</f>
        <v>-100</v>
      </c>
    </row>
    <row r="294" spans="1:35" ht="33" customHeight="1" outlineLevel="1">
      <c r="A294" s="139" t="s">
        <v>1345</v>
      </c>
      <c r="B294" s="242" t="s">
        <v>1346</v>
      </c>
      <c r="C294" s="243" t="s">
        <v>1347</v>
      </c>
      <c r="D294" s="199" t="s">
        <v>1348</v>
      </c>
      <c r="E294" s="232" t="s">
        <v>1349</v>
      </c>
      <c r="F294" s="178" t="s">
        <v>552</v>
      </c>
      <c r="G294" s="178">
        <v>0</v>
      </c>
      <c r="H294" s="178">
        <v>0</v>
      </c>
      <c r="I294" s="178">
        <v>0</v>
      </c>
      <c r="J294" s="143">
        <v>0</v>
      </c>
      <c r="K294" s="143">
        <v>0</v>
      </c>
      <c r="L294" s="143">
        <v>0</v>
      </c>
      <c r="M294" s="143">
        <v>0</v>
      </c>
      <c r="N294" s="143">
        <v>133.88426000000001</v>
      </c>
      <c r="O294" s="143">
        <v>129.16819000000001</v>
      </c>
      <c r="P294" s="150">
        <v>0</v>
      </c>
      <c r="Q294" s="143">
        <v>0</v>
      </c>
      <c r="R294" s="143">
        <v>0</v>
      </c>
      <c r="S294" s="143">
        <f t="shared" si="165"/>
        <v>0</v>
      </c>
      <c r="T294" s="143">
        <f t="shared" si="166"/>
        <v>-129.16819000000001</v>
      </c>
      <c r="U294" s="151" t="e">
        <f>R294-#REF!</f>
        <v>#REF!</v>
      </c>
      <c r="V294" s="151">
        <f t="shared" si="167"/>
        <v>0</v>
      </c>
      <c r="W294" s="151">
        <f t="shared" si="168"/>
        <v>0</v>
      </c>
      <c r="X294" s="151" t="e">
        <f>O294-#REF!</f>
        <v>#REF!</v>
      </c>
      <c r="Y294" s="143">
        <f>'[65]2. подк.неподк.'!V282</f>
        <v>0</v>
      </c>
      <c r="Z294" s="143">
        <f>'[65]2. подк.неподк.'!W282</f>
        <v>0</v>
      </c>
      <c r="AA294" s="143">
        <f>'[65]2. подк.неподк.'!X282</f>
        <v>0</v>
      </c>
      <c r="AB294" s="143">
        <f t="shared" si="169"/>
        <v>0</v>
      </c>
      <c r="AC294" s="144">
        <f t="shared" si="170"/>
        <v>0</v>
      </c>
      <c r="AD294" s="143">
        <f t="shared" si="171"/>
        <v>0</v>
      </c>
      <c r="AE294" s="143"/>
      <c r="AF294" s="143">
        <f t="shared" si="172"/>
        <v>0</v>
      </c>
      <c r="AG294" s="143"/>
      <c r="AH294" s="143">
        <f t="shared" si="173"/>
        <v>0</v>
      </c>
      <c r="AI294" s="143"/>
    </row>
    <row r="295" spans="1:35" ht="33" customHeight="1" outlineLevel="1">
      <c r="A295" s="139" t="s">
        <v>1350</v>
      </c>
      <c r="B295" s="242" t="s">
        <v>1351</v>
      </c>
      <c r="C295" s="243" t="s">
        <v>1352</v>
      </c>
      <c r="D295" s="199" t="s">
        <v>1353</v>
      </c>
      <c r="E295" s="142"/>
      <c r="F295" s="178" t="s">
        <v>552</v>
      </c>
      <c r="G295" s="178">
        <v>0</v>
      </c>
      <c r="H295" s="178">
        <v>0</v>
      </c>
      <c r="I295" s="178">
        <v>0</v>
      </c>
      <c r="J295" s="143">
        <v>0</v>
      </c>
      <c r="K295" s="143">
        <v>1420.36887</v>
      </c>
      <c r="L295" s="143">
        <v>0</v>
      </c>
      <c r="M295" s="143">
        <v>0</v>
      </c>
      <c r="N295" s="143">
        <v>1773.89723</v>
      </c>
      <c r="O295" s="143">
        <v>983.84157999999991</v>
      </c>
      <c r="P295" s="150">
        <v>0</v>
      </c>
      <c r="Q295" s="143">
        <v>0</v>
      </c>
      <c r="R295" s="143">
        <v>0</v>
      </c>
      <c r="S295" s="143">
        <f t="shared" si="165"/>
        <v>0</v>
      </c>
      <c r="T295" s="143">
        <f t="shared" si="166"/>
        <v>-983.84157999999991</v>
      </c>
      <c r="U295" s="151" t="e">
        <f>R295-#REF!</f>
        <v>#REF!</v>
      </c>
      <c r="V295" s="151">
        <f t="shared" si="167"/>
        <v>0</v>
      </c>
      <c r="W295" s="151">
        <f t="shared" si="168"/>
        <v>0</v>
      </c>
      <c r="X295" s="151" t="e">
        <f>O295-#REF!</f>
        <v>#REF!</v>
      </c>
      <c r="Y295" s="143">
        <f>'[65]2. подк.неподк.'!V283</f>
        <v>0</v>
      </c>
      <c r="Z295" s="143">
        <f>'[65]2. подк.неподк.'!W283</f>
        <v>0</v>
      </c>
      <c r="AA295" s="143">
        <f>'[65]2. подк.неподк.'!X283</f>
        <v>1958.3825400000001</v>
      </c>
      <c r="AB295" s="143">
        <f t="shared" si="169"/>
        <v>0</v>
      </c>
      <c r="AC295" s="144">
        <f t="shared" si="170"/>
        <v>0</v>
      </c>
      <c r="AD295" s="143">
        <f t="shared" si="171"/>
        <v>0</v>
      </c>
      <c r="AE295" s="143"/>
      <c r="AF295" s="143">
        <f t="shared" si="172"/>
        <v>0</v>
      </c>
      <c r="AG295" s="143"/>
      <c r="AH295" s="143">
        <f t="shared" si="173"/>
        <v>-1958.3825400000001</v>
      </c>
      <c r="AI295" s="143">
        <f t="shared" si="174"/>
        <v>-100</v>
      </c>
    </row>
    <row r="296" spans="1:35" ht="33" customHeight="1" outlineLevel="1">
      <c r="A296" s="139" t="s">
        <v>1354</v>
      </c>
      <c r="B296" s="242" t="s">
        <v>1355</v>
      </c>
      <c r="C296" s="243" t="s">
        <v>1356</v>
      </c>
      <c r="D296" s="199" t="s">
        <v>1357</v>
      </c>
      <c r="E296" s="232" t="s">
        <v>1358</v>
      </c>
      <c r="F296" s="178" t="s">
        <v>552</v>
      </c>
      <c r="G296" s="178">
        <v>1637.41</v>
      </c>
      <c r="H296" s="178">
        <v>85356</v>
      </c>
      <c r="I296" s="178">
        <v>4317.2299999999996</v>
      </c>
      <c r="J296" s="143">
        <v>0</v>
      </c>
      <c r="K296" s="143">
        <v>69622.929000000004</v>
      </c>
      <c r="L296" s="143">
        <v>0</v>
      </c>
      <c r="M296" s="143">
        <v>0</v>
      </c>
      <c r="N296" s="143">
        <v>83353.972290000005</v>
      </c>
      <c r="O296" s="143">
        <v>82760.428840000008</v>
      </c>
      <c r="P296" s="150">
        <v>0</v>
      </c>
      <c r="Q296" s="143">
        <v>0</v>
      </c>
      <c r="R296" s="143">
        <v>0</v>
      </c>
      <c r="S296" s="143">
        <f t="shared" si="165"/>
        <v>0</v>
      </c>
      <c r="T296" s="143">
        <f t="shared" si="166"/>
        <v>-82760.428840000008</v>
      </c>
      <c r="U296" s="151" t="e">
        <f>R296-#REF!</f>
        <v>#REF!</v>
      </c>
      <c r="V296" s="151">
        <f t="shared" si="167"/>
        <v>0</v>
      </c>
      <c r="W296" s="151">
        <f t="shared" si="168"/>
        <v>0</v>
      </c>
      <c r="X296" s="151" t="e">
        <f>O296-#REF!</f>
        <v>#REF!</v>
      </c>
      <c r="Y296" s="143">
        <f>'[65]2. подк.неподк.'!V284</f>
        <v>0</v>
      </c>
      <c r="Z296" s="143">
        <f>'[65]2. подк.неподк.'!W284</f>
        <v>0</v>
      </c>
      <c r="AA296" s="143">
        <f>'[65]2. подк.неподк.'!X284</f>
        <v>0</v>
      </c>
      <c r="AB296" s="143">
        <f t="shared" si="169"/>
        <v>0</v>
      </c>
      <c r="AC296" s="144">
        <f t="shared" si="170"/>
        <v>0</v>
      </c>
      <c r="AD296" s="143">
        <f t="shared" si="171"/>
        <v>0</v>
      </c>
      <c r="AE296" s="143"/>
      <c r="AF296" s="143">
        <f t="shared" si="172"/>
        <v>0</v>
      </c>
      <c r="AG296" s="143"/>
      <c r="AH296" s="143">
        <f t="shared" si="173"/>
        <v>0</v>
      </c>
      <c r="AI296" s="143"/>
    </row>
    <row r="297" spans="1:35" s="244" customFormat="1" ht="33" customHeight="1" outlineLevel="1">
      <c r="A297" s="139" t="s">
        <v>1359</v>
      </c>
      <c r="B297" s="242" t="s">
        <v>1360</v>
      </c>
      <c r="C297" s="243" t="s">
        <v>1361</v>
      </c>
      <c r="D297" s="199" t="s">
        <v>1362</v>
      </c>
      <c r="E297" s="232" t="s">
        <v>1363</v>
      </c>
      <c r="F297" s="178" t="s">
        <v>552</v>
      </c>
      <c r="G297" s="178">
        <v>0</v>
      </c>
      <c r="H297" s="178">
        <v>0</v>
      </c>
      <c r="I297" s="178">
        <v>0</v>
      </c>
      <c r="J297" s="143">
        <v>0</v>
      </c>
      <c r="K297" s="143">
        <v>630.92899999999997</v>
      </c>
      <c r="L297" s="143">
        <v>0</v>
      </c>
      <c r="M297" s="143">
        <v>0</v>
      </c>
      <c r="N297" s="143">
        <v>109.25556</v>
      </c>
      <c r="O297" s="143">
        <v>108.9982</v>
      </c>
      <c r="P297" s="150">
        <v>108.9982</v>
      </c>
      <c r="Q297" s="143">
        <v>108.9982</v>
      </c>
      <c r="R297" s="143">
        <v>108.9982</v>
      </c>
      <c r="S297" s="143">
        <f t="shared" si="165"/>
        <v>108.9982</v>
      </c>
      <c r="T297" s="143">
        <f t="shared" si="166"/>
        <v>0</v>
      </c>
      <c r="U297" s="151" t="e">
        <f>R297-#REF!</f>
        <v>#REF!</v>
      </c>
      <c r="V297" s="151">
        <f t="shared" si="167"/>
        <v>108.9982</v>
      </c>
      <c r="W297" s="151">
        <f t="shared" si="168"/>
        <v>0</v>
      </c>
      <c r="X297" s="151" t="e">
        <f>O297-#REF!</f>
        <v>#REF!</v>
      </c>
      <c r="Y297" s="143">
        <f>'[65]2. подк.неподк.'!V285</f>
        <v>0</v>
      </c>
      <c r="Z297" s="143">
        <f>'[65]2. подк.неподк.'!W285</f>
        <v>0</v>
      </c>
      <c r="AA297" s="143">
        <f>'[65]2. подк.неподк.'!X285</f>
        <v>0</v>
      </c>
      <c r="AB297" s="143">
        <f t="shared" si="169"/>
        <v>0</v>
      </c>
      <c r="AC297" s="144">
        <f t="shared" si="170"/>
        <v>0</v>
      </c>
      <c r="AD297" s="143">
        <f t="shared" si="171"/>
        <v>0</v>
      </c>
      <c r="AE297" s="143"/>
      <c r="AF297" s="143">
        <f t="shared" si="172"/>
        <v>0</v>
      </c>
      <c r="AG297" s="143"/>
      <c r="AH297" s="143">
        <f t="shared" si="173"/>
        <v>0</v>
      </c>
      <c r="AI297" s="143"/>
    </row>
    <row r="298" spans="1:35" ht="33" customHeight="1" outlineLevel="1">
      <c r="A298" s="139" t="s">
        <v>1364</v>
      </c>
      <c r="B298" s="176" t="s">
        <v>1365</v>
      </c>
      <c r="C298" s="233" t="s">
        <v>1366</v>
      </c>
      <c r="D298" s="148" t="s">
        <v>1367</v>
      </c>
      <c r="E298" s="142"/>
      <c r="F298" s="178" t="s">
        <v>552</v>
      </c>
      <c r="G298" s="178">
        <v>0</v>
      </c>
      <c r="H298" s="178">
        <v>0</v>
      </c>
      <c r="I298" s="178">
        <v>0</v>
      </c>
      <c r="J298" s="143">
        <v>0</v>
      </c>
      <c r="K298" s="143">
        <v>0</v>
      </c>
      <c r="L298" s="143">
        <v>0</v>
      </c>
      <c r="M298" s="143">
        <v>0</v>
      </c>
      <c r="N298" s="143">
        <v>0</v>
      </c>
      <c r="O298" s="143">
        <v>0</v>
      </c>
      <c r="P298" s="150">
        <v>0</v>
      </c>
      <c r="Q298" s="143">
        <v>0</v>
      </c>
      <c r="R298" s="143">
        <v>0</v>
      </c>
      <c r="S298" s="143">
        <f t="shared" si="165"/>
        <v>0</v>
      </c>
      <c r="T298" s="143">
        <f t="shared" si="166"/>
        <v>0</v>
      </c>
      <c r="U298" s="151" t="e">
        <f>R298-#REF!</f>
        <v>#REF!</v>
      </c>
      <c r="V298" s="151">
        <f t="shared" si="167"/>
        <v>0</v>
      </c>
      <c r="W298" s="151">
        <f t="shared" si="168"/>
        <v>0</v>
      </c>
      <c r="X298" s="151" t="e">
        <f>O298-#REF!</f>
        <v>#REF!</v>
      </c>
      <c r="Y298" s="143">
        <f>'[65]2. подк.неподк.'!V286</f>
        <v>0</v>
      </c>
      <c r="Z298" s="143">
        <f>'[65]2. подк.неподк.'!W286</f>
        <v>0</v>
      </c>
      <c r="AA298" s="143">
        <f>'[65]2. подк.неподк.'!X286</f>
        <v>0</v>
      </c>
      <c r="AB298" s="143">
        <f t="shared" si="169"/>
        <v>0</v>
      </c>
      <c r="AC298" s="144">
        <f t="shared" si="170"/>
        <v>0</v>
      </c>
      <c r="AD298" s="143">
        <f t="shared" si="171"/>
        <v>0</v>
      </c>
      <c r="AE298" s="143"/>
      <c r="AF298" s="143">
        <f t="shared" si="172"/>
        <v>0</v>
      </c>
      <c r="AG298" s="143"/>
      <c r="AH298" s="143">
        <f t="shared" si="173"/>
        <v>0</v>
      </c>
      <c r="AI298" s="143"/>
    </row>
    <row r="299" spans="1:35" ht="33" customHeight="1" outlineLevel="1">
      <c r="A299" s="139" t="s">
        <v>1368</v>
      </c>
      <c r="B299" s="242" t="s">
        <v>1369</v>
      </c>
      <c r="C299" s="243" t="s">
        <v>1370</v>
      </c>
      <c r="D299" s="199" t="s">
        <v>1371</v>
      </c>
      <c r="E299" s="142"/>
      <c r="F299" s="178" t="s">
        <v>552</v>
      </c>
      <c r="G299" s="178">
        <v>0</v>
      </c>
      <c r="H299" s="178">
        <v>0</v>
      </c>
      <c r="I299" s="178">
        <v>0</v>
      </c>
      <c r="J299" s="143">
        <v>0</v>
      </c>
      <c r="K299" s="143">
        <v>11596.027900000001</v>
      </c>
      <c r="L299" s="143">
        <v>0</v>
      </c>
      <c r="M299" s="143">
        <v>0</v>
      </c>
      <c r="N299" s="143">
        <v>8303.9612300000008</v>
      </c>
      <c r="O299" s="143">
        <v>958.96831999999995</v>
      </c>
      <c r="P299" s="150">
        <v>0</v>
      </c>
      <c r="Q299" s="143">
        <v>0</v>
      </c>
      <c r="R299" s="143">
        <v>0</v>
      </c>
      <c r="S299" s="143">
        <f t="shared" si="165"/>
        <v>0</v>
      </c>
      <c r="T299" s="143">
        <f t="shared" si="166"/>
        <v>-958.96831999999995</v>
      </c>
      <c r="U299" s="151" t="e">
        <f>R299-#REF!</f>
        <v>#REF!</v>
      </c>
      <c r="V299" s="151">
        <f t="shared" si="167"/>
        <v>0</v>
      </c>
      <c r="W299" s="151">
        <f t="shared" si="168"/>
        <v>0</v>
      </c>
      <c r="X299" s="151" t="e">
        <f>O299-#REF!</f>
        <v>#REF!</v>
      </c>
      <c r="Y299" s="143">
        <f>'[65]2. подк.неподк.'!V287</f>
        <v>0</v>
      </c>
      <c r="Z299" s="143">
        <f>'[65]2. подк.неподк.'!W287</f>
        <v>0</v>
      </c>
      <c r="AA299" s="143">
        <f>'[65]2. подк.неподк.'!X287</f>
        <v>0</v>
      </c>
      <c r="AB299" s="143">
        <f t="shared" si="169"/>
        <v>0</v>
      </c>
      <c r="AC299" s="144">
        <f t="shared" si="170"/>
        <v>0</v>
      </c>
      <c r="AD299" s="143">
        <f t="shared" si="171"/>
        <v>0</v>
      </c>
      <c r="AE299" s="143"/>
      <c r="AF299" s="143">
        <f t="shared" si="172"/>
        <v>0</v>
      </c>
      <c r="AG299" s="143"/>
      <c r="AH299" s="143">
        <f t="shared" si="173"/>
        <v>0</v>
      </c>
      <c r="AI299" s="143"/>
    </row>
    <row r="300" spans="1:35" ht="33" customHeight="1" outlineLevel="1">
      <c r="A300" s="139" t="s">
        <v>1372</v>
      </c>
      <c r="B300" s="242" t="s">
        <v>1373</v>
      </c>
      <c r="C300" s="243" t="s">
        <v>1374</v>
      </c>
      <c r="D300" s="199" t="s">
        <v>1375</v>
      </c>
      <c r="E300" s="232" t="s">
        <v>1376</v>
      </c>
      <c r="F300" s="178" t="s">
        <v>552</v>
      </c>
      <c r="G300" s="178">
        <v>0</v>
      </c>
      <c r="H300" s="178">
        <v>0</v>
      </c>
      <c r="I300" s="178">
        <v>0</v>
      </c>
      <c r="J300" s="143">
        <v>0</v>
      </c>
      <c r="K300" s="143">
        <v>4314.96191</v>
      </c>
      <c r="L300" s="143">
        <v>0</v>
      </c>
      <c r="M300" s="143">
        <v>0</v>
      </c>
      <c r="N300" s="143">
        <v>5275.9599200000002</v>
      </c>
      <c r="O300" s="143">
        <v>2890.5173199999999</v>
      </c>
      <c r="P300" s="150">
        <v>0</v>
      </c>
      <c r="Q300" s="143">
        <v>0</v>
      </c>
      <c r="R300" s="143">
        <v>0</v>
      </c>
      <c r="S300" s="143">
        <f t="shared" si="165"/>
        <v>0</v>
      </c>
      <c r="T300" s="143">
        <f t="shared" si="166"/>
        <v>-2890.5173199999999</v>
      </c>
      <c r="U300" s="151" t="e">
        <f>R300-#REF!</f>
        <v>#REF!</v>
      </c>
      <c r="V300" s="151">
        <f t="shared" si="167"/>
        <v>0</v>
      </c>
      <c r="W300" s="151">
        <f t="shared" si="168"/>
        <v>0</v>
      </c>
      <c r="X300" s="151" t="e">
        <f>O300-#REF!</f>
        <v>#REF!</v>
      </c>
      <c r="Y300" s="143">
        <f>'[65]2. подк.неподк.'!V288</f>
        <v>0</v>
      </c>
      <c r="Z300" s="143">
        <f>'[65]2. подк.неподк.'!W288</f>
        <v>0</v>
      </c>
      <c r="AA300" s="143">
        <f>'[65]2. подк.неподк.'!X288</f>
        <v>5825.4</v>
      </c>
      <c r="AB300" s="143">
        <f t="shared" si="169"/>
        <v>0</v>
      </c>
      <c r="AC300" s="144">
        <f t="shared" si="170"/>
        <v>0</v>
      </c>
      <c r="AD300" s="143">
        <f t="shared" si="171"/>
        <v>0</v>
      </c>
      <c r="AE300" s="143"/>
      <c r="AF300" s="143">
        <f t="shared" si="172"/>
        <v>0</v>
      </c>
      <c r="AG300" s="143"/>
      <c r="AH300" s="143">
        <f t="shared" si="173"/>
        <v>-5825.4</v>
      </c>
      <c r="AI300" s="143">
        <f t="shared" si="174"/>
        <v>-100</v>
      </c>
    </row>
    <row r="301" spans="1:35" ht="33" customHeight="1" outlineLevel="1">
      <c r="A301" s="139" t="s">
        <v>1377</v>
      </c>
      <c r="B301" s="242" t="s">
        <v>1378</v>
      </c>
      <c r="C301" s="243" t="s">
        <v>1379</v>
      </c>
      <c r="D301" s="199" t="s">
        <v>1380</v>
      </c>
      <c r="E301" s="142"/>
      <c r="F301" s="178" t="s">
        <v>552</v>
      </c>
      <c r="G301" s="178">
        <v>0</v>
      </c>
      <c r="H301" s="178">
        <v>0</v>
      </c>
      <c r="I301" s="178">
        <v>0</v>
      </c>
      <c r="J301" s="143">
        <v>0</v>
      </c>
      <c r="K301" s="143">
        <v>2021.8932299999999</v>
      </c>
      <c r="L301" s="143">
        <v>0</v>
      </c>
      <c r="M301" s="143">
        <v>0</v>
      </c>
      <c r="N301" s="143">
        <v>1564.3558400000002</v>
      </c>
      <c r="O301" s="143">
        <v>1260.02998</v>
      </c>
      <c r="P301" s="150">
        <v>0</v>
      </c>
      <c r="Q301" s="143">
        <v>0</v>
      </c>
      <c r="R301" s="143">
        <v>0</v>
      </c>
      <c r="S301" s="143">
        <f t="shared" si="165"/>
        <v>0</v>
      </c>
      <c r="T301" s="143">
        <f t="shared" si="166"/>
        <v>-1260.02998</v>
      </c>
      <c r="U301" s="151" t="e">
        <f>R301-#REF!</f>
        <v>#REF!</v>
      </c>
      <c r="V301" s="151">
        <f t="shared" si="167"/>
        <v>0</v>
      </c>
      <c r="W301" s="151">
        <f t="shared" si="168"/>
        <v>0</v>
      </c>
      <c r="X301" s="151" t="e">
        <f>O301-#REF!</f>
        <v>#REF!</v>
      </c>
      <c r="Y301" s="143">
        <f>'[65]2. подк.неподк.'!V289</f>
        <v>0</v>
      </c>
      <c r="Z301" s="143">
        <f>'[65]2. подк.неподк.'!W289</f>
        <v>0</v>
      </c>
      <c r="AA301" s="143">
        <f>'[65]2. подк.неподк.'!X289</f>
        <v>1821.58</v>
      </c>
      <c r="AB301" s="143">
        <f t="shared" si="169"/>
        <v>0</v>
      </c>
      <c r="AC301" s="144">
        <f t="shared" si="170"/>
        <v>0</v>
      </c>
      <c r="AD301" s="143">
        <f t="shared" si="171"/>
        <v>0</v>
      </c>
      <c r="AE301" s="143"/>
      <c r="AF301" s="143">
        <f t="shared" si="172"/>
        <v>0</v>
      </c>
      <c r="AG301" s="143"/>
      <c r="AH301" s="143">
        <f t="shared" si="173"/>
        <v>-1821.58</v>
      </c>
      <c r="AI301" s="143">
        <f t="shared" si="174"/>
        <v>-100</v>
      </c>
    </row>
    <row r="302" spans="1:35" ht="33" customHeight="1" outlineLevel="1">
      <c r="A302" s="139" t="s">
        <v>1381</v>
      </c>
      <c r="B302" s="242" t="s">
        <v>1382</v>
      </c>
      <c r="C302" s="243" t="s">
        <v>1383</v>
      </c>
      <c r="D302" s="199" t="s">
        <v>1384</v>
      </c>
      <c r="E302" s="142"/>
      <c r="F302" s="178" t="s">
        <v>552</v>
      </c>
      <c r="G302" s="178">
        <v>0</v>
      </c>
      <c r="H302" s="178">
        <v>0</v>
      </c>
      <c r="I302" s="178">
        <v>0</v>
      </c>
      <c r="J302" s="143">
        <v>0</v>
      </c>
      <c r="K302" s="143">
        <v>946.94</v>
      </c>
      <c r="L302" s="143">
        <v>0</v>
      </c>
      <c r="M302" s="143">
        <v>0</v>
      </c>
      <c r="N302" s="143">
        <v>957.34492</v>
      </c>
      <c r="O302" s="143">
        <v>555.33811000000003</v>
      </c>
      <c r="P302" s="150">
        <v>0</v>
      </c>
      <c r="Q302" s="143">
        <v>0</v>
      </c>
      <c r="R302" s="143">
        <v>0</v>
      </c>
      <c r="S302" s="143">
        <f t="shared" si="165"/>
        <v>0</v>
      </c>
      <c r="T302" s="143">
        <f t="shared" si="166"/>
        <v>-555.33811000000003</v>
      </c>
      <c r="U302" s="151" t="e">
        <f>R302-#REF!</f>
        <v>#REF!</v>
      </c>
      <c r="V302" s="151">
        <f t="shared" si="167"/>
        <v>0</v>
      </c>
      <c r="W302" s="151">
        <f t="shared" si="168"/>
        <v>0</v>
      </c>
      <c r="X302" s="151" t="e">
        <f>O302-#REF!</f>
        <v>#REF!</v>
      </c>
      <c r="Y302" s="143">
        <f>'[65]2. подк.неподк.'!V290</f>
        <v>0</v>
      </c>
      <c r="Z302" s="143">
        <f>'[65]2. подк.неподк.'!W290</f>
        <v>0</v>
      </c>
      <c r="AA302" s="143">
        <f>'[65]2. подк.неподк.'!X290</f>
        <v>1061.49</v>
      </c>
      <c r="AB302" s="143">
        <f t="shared" si="169"/>
        <v>0</v>
      </c>
      <c r="AC302" s="144">
        <f t="shared" si="170"/>
        <v>0</v>
      </c>
      <c r="AD302" s="143">
        <f t="shared" si="171"/>
        <v>0</v>
      </c>
      <c r="AE302" s="143"/>
      <c r="AF302" s="143">
        <f t="shared" si="172"/>
        <v>0</v>
      </c>
      <c r="AG302" s="143"/>
      <c r="AH302" s="143">
        <f t="shared" si="173"/>
        <v>-1061.49</v>
      </c>
      <c r="AI302" s="143">
        <f t="shared" si="174"/>
        <v>-100</v>
      </c>
    </row>
    <row r="303" spans="1:35" ht="33" customHeight="1" outlineLevel="1">
      <c r="A303" s="139" t="s">
        <v>1385</v>
      </c>
      <c r="B303" s="242" t="s">
        <v>1386</v>
      </c>
      <c r="C303" s="243" t="s">
        <v>1387</v>
      </c>
      <c r="D303" s="199" t="s">
        <v>1388</v>
      </c>
      <c r="E303" s="232" t="s">
        <v>1389</v>
      </c>
      <c r="F303" s="178" t="s">
        <v>552</v>
      </c>
      <c r="G303" s="178">
        <v>0</v>
      </c>
      <c r="H303" s="178">
        <v>0</v>
      </c>
      <c r="I303" s="178">
        <v>0</v>
      </c>
      <c r="J303" s="143">
        <v>0</v>
      </c>
      <c r="K303" s="143">
        <v>3279.3604300000002</v>
      </c>
      <c r="L303" s="143">
        <v>0</v>
      </c>
      <c r="M303" s="143">
        <v>0</v>
      </c>
      <c r="N303" s="143">
        <v>3608.1098900000002</v>
      </c>
      <c r="O303" s="143">
        <v>1848.6675400000001</v>
      </c>
      <c r="P303" s="150">
        <v>1848.6675400000001</v>
      </c>
      <c r="Q303" s="143">
        <v>1848.6675400000001</v>
      </c>
      <c r="R303" s="143">
        <v>1848.6675400000001</v>
      </c>
      <c r="S303" s="143">
        <f t="shared" si="165"/>
        <v>1848.6675400000001</v>
      </c>
      <c r="T303" s="143">
        <f t="shared" si="166"/>
        <v>0</v>
      </c>
      <c r="U303" s="151" t="e">
        <f>R303-#REF!</f>
        <v>#REF!</v>
      </c>
      <c r="V303" s="151">
        <f t="shared" si="167"/>
        <v>1848.6675400000001</v>
      </c>
      <c r="W303" s="151">
        <f t="shared" si="168"/>
        <v>0</v>
      </c>
      <c r="X303" s="151" t="e">
        <f>O303-#REF!</f>
        <v>#REF!</v>
      </c>
      <c r="Y303" s="143">
        <f>'[65]2. подк.неподк.'!V291</f>
        <v>0</v>
      </c>
      <c r="Z303" s="143">
        <f>'[65]2. подк.неподк.'!W291</f>
        <v>0</v>
      </c>
      <c r="AA303" s="143">
        <f>'[65]2. подк.неподк.'!X291</f>
        <v>3983.35</v>
      </c>
      <c r="AB303" s="143">
        <f t="shared" si="169"/>
        <v>0</v>
      </c>
      <c r="AC303" s="144">
        <f t="shared" si="170"/>
        <v>0</v>
      </c>
      <c r="AD303" s="143">
        <f t="shared" si="171"/>
        <v>0</v>
      </c>
      <c r="AE303" s="143"/>
      <c r="AF303" s="143">
        <f t="shared" si="172"/>
        <v>0</v>
      </c>
      <c r="AG303" s="143"/>
      <c r="AH303" s="143">
        <f t="shared" si="173"/>
        <v>-3983.35</v>
      </c>
      <c r="AI303" s="143">
        <f t="shared" si="174"/>
        <v>-100</v>
      </c>
    </row>
    <row r="304" spans="1:35" ht="33" customHeight="1" outlineLevel="1">
      <c r="A304" s="139" t="s">
        <v>1390</v>
      </c>
      <c r="B304" s="242" t="s">
        <v>1391</v>
      </c>
      <c r="C304" s="243" t="s">
        <v>1392</v>
      </c>
      <c r="D304" s="199" t="s">
        <v>1393</v>
      </c>
      <c r="E304" s="142"/>
      <c r="F304" s="178" t="s">
        <v>552</v>
      </c>
      <c r="G304" s="178">
        <v>0</v>
      </c>
      <c r="H304" s="178">
        <v>0</v>
      </c>
      <c r="I304" s="178">
        <v>0</v>
      </c>
      <c r="J304" s="143">
        <v>0</v>
      </c>
      <c r="K304" s="143">
        <v>1865.1919399999999</v>
      </c>
      <c r="L304" s="143">
        <v>0</v>
      </c>
      <c r="M304" s="143">
        <v>0</v>
      </c>
      <c r="N304" s="143">
        <v>12479.986210000001</v>
      </c>
      <c r="O304" s="143">
        <v>5662.7112100000004</v>
      </c>
      <c r="P304" s="150">
        <v>0</v>
      </c>
      <c r="Q304" s="143">
        <v>0</v>
      </c>
      <c r="R304" s="143">
        <v>0</v>
      </c>
      <c r="S304" s="143">
        <f t="shared" si="165"/>
        <v>0</v>
      </c>
      <c r="T304" s="143">
        <f t="shared" si="166"/>
        <v>-5662.7112100000004</v>
      </c>
      <c r="U304" s="151" t="e">
        <f>R304-#REF!</f>
        <v>#REF!</v>
      </c>
      <c r="V304" s="151">
        <f t="shared" si="167"/>
        <v>0</v>
      </c>
      <c r="W304" s="151">
        <f t="shared" si="168"/>
        <v>0</v>
      </c>
      <c r="X304" s="151" t="e">
        <f>O304-#REF!</f>
        <v>#REF!</v>
      </c>
      <c r="Y304" s="143">
        <f>'[65]2. подк.неподк.'!V292</f>
        <v>0</v>
      </c>
      <c r="Z304" s="143">
        <f>'[65]2. подк.неподк.'!W292</f>
        <v>0</v>
      </c>
      <c r="AA304" s="143">
        <f>'[65]2. подк.неподк.'!X292</f>
        <v>13777.9</v>
      </c>
      <c r="AB304" s="143">
        <f t="shared" si="169"/>
        <v>0</v>
      </c>
      <c r="AC304" s="144">
        <f t="shared" si="170"/>
        <v>0</v>
      </c>
      <c r="AD304" s="143">
        <f t="shared" si="171"/>
        <v>0</v>
      </c>
      <c r="AE304" s="143"/>
      <c r="AF304" s="143">
        <f t="shared" si="172"/>
        <v>0</v>
      </c>
      <c r="AG304" s="143"/>
      <c r="AH304" s="143">
        <f t="shared" si="173"/>
        <v>-13777.9</v>
      </c>
      <c r="AI304" s="143">
        <f t="shared" si="174"/>
        <v>-100</v>
      </c>
    </row>
    <row r="305" spans="1:35" ht="33" customHeight="1" outlineLevel="1">
      <c r="A305" s="139" t="s">
        <v>1394</v>
      </c>
      <c r="B305" s="176" t="s">
        <v>1395</v>
      </c>
      <c r="C305" s="233" t="s">
        <v>1396</v>
      </c>
      <c r="D305" s="148" t="s">
        <v>1397</v>
      </c>
      <c r="E305" s="177"/>
      <c r="F305" s="178" t="s">
        <v>552</v>
      </c>
      <c r="G305" s="178">
        <v>0</v>
      </c>
      <c r="H305" s="178">
        <v>0</v>
      </c>
      <c r="I305" s="178">
        <v>0</v>
      </c>
      <c r="J305" s="143">
        <v>0</v>
      </c>
      <c r="K305" s="143">
        <v>0</v>
      </c>
      <c r="L305" s="143">
        <v>0</v>
      </c>
      <c r="M305" s="143">
        <v>0</v>
      </c>
      <c r="N305" s="143">
        <v>0</v>
      </c>
      <c r="O305" s="143">
        <v>0</v>
      </c>
      <c r="P305" s="150">
        <v>0</v>
      </c>
      <c r="Q305" s="143">
        <v>0</v>
      </c>
      <c r="R305" s="143">
        <v>0</v>
      </c>
      <c r="S305" s="143">
        <f t="shared" si="165"/>
        <v>0</v>
      </c>
      <c r="T305" s="143">
        <f t="shared" si="166"/>
        <v>0</v>
      </c>
      <c r="U305" s="151" t="e">
        <f>R305-#REF!</f>
        <v>#REF!</v>
      </c>
      <c r="V305" s="151">
        <f t="shared" si="167"/>
        <v>0</v>
      </c>
      <c r="W305" s="151">
        <f t="shared" si="168"/>
        <v>0</v>
      </c>
      <c r="X305" s="151" t="e">
        <f>O305-#REF!</f>
        <v>#REF!</v>
      </c>
      <c r="Y305" s="143">
        <f>'[65]2. подк.неподк.'!V293</f>
        <v>0</v>
      </c>
      <c r="Z305" s="143">
        <f>'[65]2. подк.неподк.'!W293</f>
        <v>0</v>
      </c>
      <c r="AA305" s="143">
        <f>'[65]2. подк.неподк.'!X293</f>
        <v>750</v>
      </c>
      <c r="AB305" s="143">
        <f t="shared" si="169"/>
        <v>0</v>
      </c>
      <c r="AC305" s="144">
        <f t="shared" si="170"/>
        <v>0</v>
      </c>
      <c r="AD305" s="143">
        <f t="shared" si="171"/>
        <v>0</v>
      </c>
      <c r="AE305" s="143"/>
      <c r="AF305" s="143">
        <f t="shared" si="172"/>
        <v>0</v>
      </c>
      <c r="AG305" s="143"/>
      <c r="AH305" s="143">
        <f t="shared" si="173"/>
        <v>-750</v>
      </c>
      <c r="AI305" s="143">
        <f t="shared" si="174"/>
        <v>-100</v>
      </c>
    </row>
    <row r="306" spans="1:35" ht="33" customHeight="1" outlineLevel="1">
      <c r="A306" s="139"/>
      <c r="B306" s="176" t="s">
        <v>1398</v>
      </c>
      <c r="C306" s="233"/>
      <c r="D306" s="148" t="s">
        <v>1399</v>
      </c>
      <c r="E306" s="177"/>
      <c r="F306" s="178"/>
      <c r="G306" s="178">
        <v>0</v>
      </c>
      <c r="H306" s="178">
        <v>0</v>
      </c>
      <c r="I306" s="178">
        <v>0</v>
      </c>
      <c r="J306" s="143"/>
      <c r="K306" s="143"/>
      <c r="L306" s="143"/>
      <c r="M306" s="143"/>
      <c r="N306" s="143">
        <v>5000</v>
      </c>
      <c r="O306" s="143"/>
      <c r="P306" s="150">
        <v>0</v>
      </c>
      <c r="Q306" s="143"/>
      <c r="R306" s="143"/>
      <c r="S306" s="143">
        <f t="shared" si="165"/>
        <v>0</v>
      </c>
      <c r="T306" s="143">
        <f t="shared" si="166"/>
        <v>0</v>
      </c>
      <c r="U306" s="151" t="e">
        <f>R306-#REF!</f>
        <v>#REF!</v>
      </c>
      <c r="V306" s="151">
        <f t="shared" si="167"/>
        <v>0</v>
      </c>
      <c r="W306" s="151">
        <f t="shared" si="168"/>
        <v>0</v>
      </c>
      <c r="X306" s="151" t="e">
        <f>O306-#REF!</f>
        <v>#REF!</v>
      </c>
      <c r="Y306" s="143">
        <v>0</v>
      </c>
      <c r="Z306" s="143">
        <v>0</v>
      </c>
      <c r="AA306" s="143">
        <v>0</v>
      </c>
      <c r="AB306" s="143">
        <f t="shared" si="169"/>
        <v>0</v>
      </c>
      <c r="AC306" s="144">
        <f t="shared" si="170"/>
        <v>0</v>
      </c>
      <c r="AD306" s="143">
        <f t="shared" si="171"/>
        <v>0</v>
      </c>
      <c r="AE306" s="143"/>
      <c r="AF306" s="143">
        <f t="shared" si="172"/>
        <v>0</v>
      </c>
      <c r="AG306" s="143"/>
      <c r="AH306" s="143">
        <f t="shared" si="173"/>
        <v>0</v>
      </c>
      <c r="AI306" s="143"/>
    </row>
    <row r="307" spans="1:35" ht="33" customHeight="1" outlineLevel="1">
      <c r="A307" s="139" t="s">
        <v>1400</v>
      </c>
      <c r="B307" s="176" t="s">
        <v>1401</v>
      </c>
      <c r="C307" s="233" t="s">
        <v>1402</v>
      </c>
      <c r="D307" s="148" t="s">
        <v>1403</v>
      </c>
      <c r="E307" s="177"/>
      <c r="F307" s="178" t="s">
        <v>552</v>
      </c>
      <c r="G307" s="178">
        <v>0</v>
      </c>
      <c r="H307" s="178">
        <v>0</v>
      </c>
      <c r="I307" s="178">
        <v>0</v>
      </c>
      <c r="J307" s="143">
        <v>0</v>
      </c>
      <c r="K307" s="143">
        <v>0</v>
      </c>
      <c r="L307" s="143">
        <v>0</v>
      </c>
      <c r="M307" s="143">
        <v>0</v>
      </c>
      <c r="N307" s="143">
        <v>0</v>
      </c>
      <c r="O307" s="143"/>
      <c r="P307" s="150">
        <v>0</v>
      </c>
      <c r="Q307" s="143">
        <v>0</v>
      </c>
      <c r="R307" s="143">
        <v>0</v>
      </c>
      <c r="S307" s="143">
        <f t="shared" si="165"/>
        <v>0</v>
      </c>
      <c r="T307" s="143">
        <f t="shared" si="166"/>
        <v>0</v>
      </c>
      <c r="U307" s="151" t="e">
        <f>R307-#REF!</f>
        <v>#REF!</v>
      </c>
      <c r="V307" s="151">
        <f t="shared" si="167"/>
        <v>0</v>
      </c>
      <c r="W307" s="151">
        <f t="shared" si="168"/>
        <v>0</v>
      </c>
      <c r="X307" s="151" t="e">
        <f>O307-#REF!</f>
        <v>#REF!</v>
      </c>
      <c r="Y307" s="143">
        <f>'[65]2. подк.неподк.'!V295</f>
        <v>0</v>
      </c>
      <c r="Z307" s="143">
        <f>'[65]2. подк.неподк.'!W295</f>
        <v>0</v>
      </c>
      <c r="AA307" s="143">
        <v>0</v>
      </c>
      <c r="AB307" s="143">
        <f t="shared" si="169"/>
        <v>0</v>
      </c>
      <c r="AC307" s="144">
        <f t="shared" si="170"/>
        <v>0</v>
      </c>
      <c r="AD307" s="143">
        <f t="shared" si="171"/>
        <v>0</v>
      </c>
      <c r="AE307" s="143"/>
      <c r="AF307" s="143">
        <f t="shared" si="172"/>
        <v>0</v>
      </c>
      <c r="AG307" s="143"/>
      <c r="AH307" s="143">
        <f t="shared" si="173"/>
        <v>0</v>
      </c>
      <c r="AI307" s="143"/>
    </row>
    <row r="308" spans="1:35" ht="33" customHeight="1" outlineLevel="1">
      <c r="A308" s="139" t="s">
        <v>1404</v>
      </c>
      <c r="B308" s="242" t="s">
        <v>1405</v>
      </c>
      <c r="C308" s="243" t="s">
        <v>1406</v>
      </c>
      <c r="D308" s="199" t="s">
        <v>1407</v>
      </c>
      <c r="E308" s="177"/>
      <c r="F308" s="178" t="s">
        <v>552</v>
      </c>
      <c r="G308" s="178">
        <v>0</v>
      </c>
      <c r="H308" s="178">
        <v>0</v>
      </c>
      <c r="I308" s="178">
        <v>0</v>
      </c>
      <c r="J308" s="143">
        <v>0</v>
      </c>
      <c r="K308" s="143">
        <v>616.96</v>
      </c>
      <c r="L308" s="143">
        <v>0</v>
      </c>
      <c r="M308" s="143">
        <v>0</v>
      </c>
      <c r="N308" s="143">
        <v>63.142710000000001</v>
      </c>
      <c r="O308" s="143">
        <v>60.339199999999998</v>
      </c>
      <c r="P308" s="150">
        <v>60.339199999999998</v>
      </c>
      <c r="Q308" s="143">
        <v>60.339199999999998</v>
      </c>
      <c r="R308" s="143">
        <v>60.339199999999998</v>
      </c>
      <c r="S308" s="143">
        <f t="shared" si="165"/>
        <v>60.339199999999998</v>
      </c>
      <c r="T308" s="143">
        <f t="shared" si="166"/>
        <v>0</v>
      </c>
      <c r="U308" s="151" t="e">
        <f>R308-#REF!</f>
        <v>#REF!</v>
      </c>
      <c r="V308" s="151">
        <f t="shared" si="167"/>
        <v>60.339199999999998</v>
      </c>
      <c r="W308" s="151">
        <f t="shared" si="168"/>
        <v>0</v>
      </c>
      <c r="X308" s="151" t="e">
        <f>O308-#REF!</f>
        <v>#REF!</v>
      </c>
      <c r="Y308" s="143">
        <f>'[65]2. подк.неподк.'!V296</f>
        <v>0</v>
      </c>
      <c r="Z308" s="143">
        <f>'[65]2. подк.неподк.'!W296</f>
        <v>0</v>
      </c>
      <c r="AA308" s="143">
        <v>0</v>
      </c>
      <c r="AB308" s="143">
        <f t="shared" si="169"/>
        <v>0</v>
      </c>
      <c r="AC308" s="144">
        <f t="shared" si="170"/>
        <v>0</v>
      </c>
      <c r="AD308" s="143">
        <f t="shared" si="171"/>
        <v>0</v>
      </c>
      <c r="AE308" s="143"/>
      <c r="AF308" s="143">
        <f t="shared" si="172"/>
        <v>0</v>
      </c>
      <c r="AG308" s="143"/>
      <c r="AH308" s="143">
        <f t="shared" si="173"/>
        <v>0</v>
      </c>
      <c r="AI308" s="143"/>
    </row>
    <row r="309" spans="1:35" ht="33" customHeight="1" outlineLevel="1">
      <c r="A309" s="139" t="s">
        <v>1408</v>
      </c>
      <c r="B309" s="242" t="s">
        <v>1409</v>
      </c>
      <c r="C309" s="243" t="s">
        <v>1410</v>
      </c>
      <c r="D309" s="199" t="s">
        <v>1411</v>
      </c>
      <c r="E309" s="177"/>
      <c r="F309" s="178" t="s">
        <v>552</v>
      </c>
      <c r="G309" s="178">
        <v>0</v>
      </c>
      <c r="H309" s="178">
        <v>0</v>
      </c>
      <c r="I309" s="178">
        <v>0</v>
      </c>
      <c r="J309" s="143">
        <v>0</v>
      </c>
      <c r="K309" s="143">
        <v>101.74</v>
      </c>
      <c r="L309" s="143">
        <v>0</v>
      </c>
      <c r="M309" s="143">
        <v>0</v>
      </c>
      <c r="N309" s="143">
        <v>0</v>
      </c>
      <c r="O309" s="143"/>
      <c r="P309" s="150">
        <v>0</v>
      </c>
      <c r="Q309" s="143">
        <v>0</v>
      </c>
      <c r="R309" s="143">
        <v>0</v>
      </c>
      <c r="S309" s="143">
        <f t="shared" si="165"/>
        <v>0</v>
      </c>
      <c r="T309" s="143">
        <f t="shared" si="166"/>
        <v>0</v>
      </c>
      <c r="U309" s="151" t="e">
        <f>R309-#REF!</f>
        <v>#REF!</v>
      </c>
      <c r="V309" s="151">
        <f t="shared" si="167"/>
        <v>0</v>
      </c>
      <c r="W309" s="151">
        <f t="shared" si="168"/>
        <v>0</v>
      </c>
      <c r="X309" s="151" t="e">
        <f>O309-#REF!</f>
        <v>#REF!</v>
      </c>
      <c r="Y309" s="143">
        <f>'[65]2. подк.неподк.'!V297</f>
        <v>0</v>
      </c>
      <c r="Z309" s="143">
        <f>'[65]2. подк.неподк.'!W297</f>
        <v>0</v>
      </c>
      <c r="AA309" s="143">
        <v>0</v>
      </c>
      <c r="AB309" s="143">
        <f t="shared" si="169"/>
        <v>0</v>
      </c>
      <c r="AC309" s="144">
        <f t="shared" si="170"/>
        <v>0</v>
      </c>
      <c r="AD309" s="143">
        <f t="shared" si="171"/>
        <v>0</v>
      </c>
      <c r="AE309" s="143"/>
      <c r="AF309" s="143">
        <f t="shared" si="172"/>
        <v>0</v>
      </c>
      <c r="AG309" s="143"/>
      <c r="AH309" s="143">
        <f t="shared" si="173"/>
        <v>0</v>
      </c>
      <c r="AI309" s="143"/>
    </row>
    <row r="310" spans="1:35" ht="33" customHeight="1" outlineLevel="1">
      <c r="A310" s="139" t="s">
        <v>1412</v>
      </c>
      <c r="B310" s="242" t="s">
        <v>1413</v>
      </c>
      <c r="C310" s="243" t="s">
        <v>1414</v>
      </c>
      <c r="D310" s="199" t="s">
        <v>1415</v>
      </c>
      <c r="E310" s="177"/>
      <c r="F310" s="178" t="s">
        <v>552</v>
      </c>
      <c r="G310" s="178">
        <v>0</v>
      </c>
      <c r="H310" s="178">
        <v>0</v>
      </c>
      <c r="I310" s="178">
        <v>0</v>
      </c>
      <c r="J310" s="143">
        <v>0</v>
      </c>
      <c r="K310" s="143">
        <v>3205.41</v>
      </c>
      <c r="L310" s="143">
        <v>0</v>
      </c>
      <c r="M310" s="143">
        <v>0</v>
      </c>
      <c r="N310" s="143">
        <v>6172.3715000000002</v>
      </c>
      <c r="O310" s="143">
        <v>6038.9030999999995</v>
      </c>
      <c r="P310" s="150">
        <v>6038.9030999999995</v>
      </c>
      <c r="Q310" s="143">
        <v>6038.9030999999995</v>
      </c>
      <c r="R310" s="143">
        <v>6038.9030999999995</v>
      </c>
      <c r="S310" s="143">
        <f t="shared" si="165"/>
        <v>6038.9030999999995</v>
      </c>
      <c r="T310" s="143">
        <f t="shared" si="166"/>
        <v>0</v>
      </c>
      <c r="U310" s="151" t="e">
        <f>R310-#REF!</f>
        <v>#REF!</v>
      </c>
      <c r="V310" s="151">
        <f t="shared" si="167"/>
        <v>6038.9030999999995</v>
      </c>
      <c r="W310" s="151">
        <f t="shared" si="168"/>
        <v>0</v>
      </c>
      <c r="X310" s="151" t="e">
        <f>O310-#REF!</f>
        <v>#REF!</v>
      </c>
      <c r="Y310" s="143">
        <f>'[65]2. подк.неподк.'!V298</f>
        <v>0</v>
      </c>
      <c r="Z310" s="143">
        <f>'[65]2. подк.неподк.'!W298</f>
        <v>0</v>
      </c>
      <c r="AA310" s="143">
        <f>'[65]2. подк.неподк.'!X298</f>
        <v>0</v>
      </c>
      <c r="AB310" s="143">
        <f t="shared" si="169"/>
        <v>0</v>
      </c>
      <c r="AC310" s="144">
        <f t="shared" si="170"/>
        <v>0</v>
      </c>
      <c r="AD310" s="143">
        <f t="shared" si="171"/>
        <v>0</v>
      </c>
      <c r="AE310" s="143"/>
      <c r="AF310" s="143">
        <f t="shared" si="172"/>
        <v>0</v>
      </c>
      <c r="AG310" s="143"/>
      <c r="AH310" s="143">
        <f t="shared" si="173"/>
        <v>0</v>
      </c>
      <c r="AI310" s="143"/>
    </row>
    <row r="311" spans="1:35" ht="33" customHeight="1" outlineLevel="1">
      <c r="A311" s="139" t="s">
        <v>1416</v>
      </c>
      <c r="B311" s="242" t="s">
        <v>1417</v>
      </c>
      <c r="C311" s="243" t="s">
        <v>1418</v>
      </c>
      <c r="D311" s="199" t="s">
        <v>1419</v>
      </c>
      <c r="E311" s="177"/>
      <c r="F311" s="178" t="s">
        <v>552</v>
      </c>
      <c r="G311" s="178">
        <v>0</v>
      </c>
      <c r="H311" s="178">
        <v>0</v>
      </c>
      <c r="I311" s="178">
        <v>0</v>
      </c>
      <c r="J311" s="143">
        <v>0</v>
      </c>
      <c r="K311" s="143">
        <v>1337.51</v>
      </c>
      <c r="L311" s="143">
        <v>0</v>
      </c>
      <c r="M311" s="143">
        <v>0</v>
      </c>
      <c r="N311" s="143">
        <v>1487.4</v>
      </c>
      <c r="O311" s="143">
        <v>1314.06493</v>
      </c>
      <c r="P311" s="150">
        <v>0</v>
      </c>
      <c r="Q311" s="143">
        <v>0</v>
      </c>
      <c r="R311" s="143">
        <v>0</v>
      </c>
      <c r="S311" s="143">
        <f t="shared" si="165"/>
        <v>0</v>
      </c>
      <c r="T311" s="143">
        <f t="shared" si="166"/>
        <v>-1314.06493</v>
      </c>
      <c r="U311" s="151" t="e">
        <f>R311-#REF!</f>
        <v>#REF!</v>
      </c>
      <c r="V311" s="151">
        <f t="shared" si="167"/>
        <v>0</v>
      </c>
      <c r="W311" s="151">
        <f t="shared" si="168"/>
        <v>0</v>
      </c>
      <c r="X311" s="151" t="e">
        <f>O311-#REF!</f>
        <v>#REF!</v>
      </c>
      <c r="Y311" s="143">
        <f>'[65]2. подк.неподк.'!V299</f>
        <v>0</v>
      </c>
      <c r="Z311" s="143">
        <f>'[65]2. подк.неподк.'!W299</f>
        <v>0</v>
      </c>
      <c r="AA311" s="143">
        <f>'[65]2. подк.неподк.'!X299</f>
        <v>4258.62</v>
      </c>
      <c r="AB311" s="143">
        <f t="shared" si="169"/>
        <v>0</v>
      </c>
      <c r="AC311" s="144">
        <f t="shared" si="170"/>
        <v>0</v>
      </c>
      <c r="AD311" s="143">
        <f t="shared" si="171"/>
        <v>0</v>
      </c>
      <c r="AE311" s="143"/>
      <c r="AF311" s="143">
        <f t="shared" si="172"/>
        <v>0</v>
      </c>
      <c r="AG311" s="143"/>
      <c r="AH311" s="143">
        <f t="shared" si="173"/>
        <v>-4258.62</v>
      </c>
      <c r="AI311" s="143">
        <f t="shared" si="174"/>
        <v>-100</v>
      </c>
    </row>
    <row r="312" spans="1:35" ht="33" customHeight="1" outlineLevel="1">
      <c r="A312" s="139" t="s">
        <v>1420</v>
      </c>
      <c r="B312" s="242" t="s">
        <v>1421</v>
      </c>
      <c r="C312" s="243" t="s">
        <v>1422</v>
      </c>
      <c r="D312" s="199" t="s">
        <v>1423</v>
      </c>
      <c r="E312" s="177"/>
      <c r="F312" s="178" t="s">
        <v>552</v>
      </c>
      <c r="G312" s="178">
        <v>0</v>
      </c>
      <c r="H312" s="178">
        <v>0</v>
      </c>
      <c r="I312" s="178">
        <v>0</v>
      </c>
      <c r="J312" s="143">
        <v>0</v>
      </c>
      <c r="K312" s="143">
        <v>78.524000000000001</v>
      </c>
      <c r="L312" s="143">
        <v>0</v>
      </c>
      <c r="M312" s="143">
        <v>0</v>
      </c>
      <c r="N312" s="143">
        <v>267.3</v>
      </c>
      <c r="O312" s="143">
        <v>233.21495000000002</v>
      </c>
      <c r="P312" s="150">
        <v>0</v>
      </c>
      <c r="Q312" s="143">
        <v>0</v>
      </c>
      <c r="R312" s="143">
        <v>0</v>
      </c>
      <c r="S312" s="143">
        <f t="shared" si="165"/>
        <v>0</v>
      </c>
      <c r="T312" s="143">
        <f t="shared" si="166"/>
        <v>-233.21495000000002</v>
      </c>
      <c r="U312" s="151" t="e">
        <f>R312-#REF!</f>
        <v>#REF!</v>
      </c>
      <c r="V312" s="151">
        <f t="shared" si="167"/>
        <v>0</v>
      </c>
      <c r="W312" s="151">
        <f t="shared" si="168"/>
        <v>0</v>
      </c>
      <c r="X312" s="151" t="e">
        <f>O312-#REF!</f>
        <v>#REF!</v>
      </c>
      <c r="Y312" s="143">
        <f>'[65]2. подк.неподк.'!V300</f>
        <v>0</v>
      </c>
      <c r="Z312" s="143">
        <f>'[65]2. подк.неподк.'!W300</f>
        <v>0</v>
      </c>
      <c r="AA312" s="143">
        <f>'[65]2. подк.неподк.'!X300</f>
        <v>225.49</v>
      </c>
      <c r="AB312" s="143">
        <f t="shared" si="169"/>
        <v>0</v>
      </c>
      <c r="AC312" s="144">
        <f t="shared" si="170"/>
        <v>0</v>
      </c>
      <c r="AD312" s="143">
        <f t="shared" si="171"/>
        <v>0</v>
      </c>
      <c r="AE312" s="143"/>
      <c r="AF312" s="143">
        <f t="shared" si="172"/>
        <v>0</v>
      </c>
      <c r="AG312" s="143"/>
      <c r="AH312" s="143">
        <f t="shared" si="173"/>
        <v>-225.49</v>
      </c>
      <c r="AI312" s="143">
        <f t="shared" si="174"/>
        <v>-100</v>
      </c>
    </row>
    <row r="313" spans="1:35" s="244" customFormat="1" ht="33" customHeight="1" outlineLevel="1">
      <c r="A313" s="139"/>
      <c r="B313" s="242" t="s">
        <v>1424</v>
      </c>
      <c r="C313" s="245" t="s">
        <v>1425</v>
      </c>
      <c r="D313" s="246" t="s">
        <v>1426</v>
      </c>
      <c r="E313" s="149" t="s">
        <v>1427</v>
      </c>
      <c r="F313" s="143" t="s">
        <v>121</v>
      </c>
      <c r="G313" s="178">
        <v>0</v>
      </c>
      <c r="H313" s="178">
        <v>0</v>
      </c>
      <c r="I313" s="178">
        <v>0</v>
      </c>
      <c r="J313" s="143">
        <v>0</v>
      </c>
      <c r="K313" s="143">
        <v>6601.37</v>
      </c>
      <c r="L313" s="143">
        <v>0</v>
      </c>
      <c r="M313" s="143">
        <v>0</v>
      </c>
      <c r="N313" s="143">
        <v>8490.477359999999</v>
      </c>
      <c r="O313" s="143">
        <v>8419.0388000000003</v>
      </c>
      <c r="P313" s="150">
        <v>0</v>
      </c>
      <c r="Q313" s="143">
        <v>0</v>
      </c>
      <c r="R313" s="143">
        <v>0</v>
      </c>
      <c r="S313" s="143">
        <f t="shared" si="165"/>
        <v>0</v>
      </c>
      <c r="T313" s="143">
        <f t="shared" si="166"/>
        <v>-8419.0388000000003</v>
      </c>
      <c r="U313" s="151" t="e">
        <f>R313-#REF!</f>
        <v>#REF!</v>
      </c>
      <c r="V313" s="151">
        <f t="shared" si="167"/>
        <v>0</v>
      </c>
      <c r="W313" s="151">
        <f t="shared" si="168"/>
        <v>0</v>
      </c>
      <c r="X313" s="151" t="e">
        <f>O313-#REF!</f>
        <v>#REF!</v>
      </c>
      <c r="Y313" s="143">
        <f>'[65]2. подк.неподк.'!V301</f>
        <v>0</v>
      </c>
      <c r="Z313" s="143">
        <f>'[65]2. подк.неподк.'!W301</f>
        <v>0</v>
      </c>
      <c r="AA313" s="143">
        <f>'[65]2. подк.неподк.'!X301</f>
        <v>0</v>
      </c>
      <c r="AB313" s="143">
        <f t="shared" si="169"/>
        <v>0</v>
      </c>
      <c r="AC313" s="144">
        <f t="shared" si="170"/>
        <v>0</v>
      </c>
      <c r="AD313" s="143">
        <f t="shared" si="171"/>
        <v>0</v>
      </c>
      <c r="AE313" s="143"/>
      <c r="AF313" s="143">
        <f t="shared" si="172"/>
        <v>0</v>
      </c>
      <c r="AG313" s="143"/>
      <c r="AH313" s="143">
        <f t="shared" si="173"/>
        <v>0</v>
      </c>
      <c r="AI313" s="143"/>
    </row>
    <row r="314" spans="1:35" ht="33" customHeight="1" outlineLevel="1">
      <c r="A314" s="139" t="s">
        <v>1428</v>
      </c>
      <c r="B314" s="242" t="s">
        <v>1429</v>
      </c>
      <c r="C314" s="247" t="s">
        <v>1430</v>
      </c>
      <c r="D314" s="199" t="s">
        <v>1431</v>
      </c>
      <c r="E314" s="232" t="s">
        <v>1432</v>
      </c>
      <c r="F314" s="178" t="s">
        <v>552</v>
      </c>
      <c r="G314" s="178">
        <v>0</v>
      </c>
      <c r="H314" s="178">
        <v>0</v>
      </c>
      <c r="I314" s="178">
        <v>0</v>
      </c>
      <c r="J314" s="143">
        <v>0</v>
      </c>
      <c r="K314" s="143">
        <v>0</v>
      </c>
      <c r="L314" s="143">
        <v>0</v>
      </c>
      <c r="M314" s="143">
        <v>0</v>
      </c>
      <c r="N314" s="143">
        <v>9325.6830600000012</v>
      </c>
      <c r="O314" s="143">
        <v>8989.5259000000005</v>
      </c>
      <c r="P314" s="150">
        <v>8989.5259000000005</v>
      </c>
      <c r="Q314" s="143">
        <v>8989.5259000000005</v>
      </c>
      <c r="R314" s="143">
        <v>0</v>
      </c>
      <c r="S314" s="143">
        <f t="shared" si="165"/>
        <v>0</v>
      </c>
      <c r="T314" s="143">
        <f t="shared" si="166"/>
        <v>-8989.5259000000005</v>
      </c>
      <c r="U314" s="151" t="e">
        <f>R314-#REF!</f>
        <v>#REF!</v>
      </c>
      <c r="V314" s="151">
        <f t="shared" si="167"/>
        <v>0</v>
      </c>
      <c r="W314" s="151">
        <f t="shared" si="168"/>
        <v>0</v>
      </c>
      <c r="X314" s="151" t="e">
        <f>O314-#REF!</f>
        <v>#REF!</v>
      </c>
      <c r="Y314" s="143">
        <f>'[65]2. подк.неподк.'!V302</f>
        <v>0</v>
      </c>
      <c r="Z314" s="143">
        <f>'[65]2. подк.неподк.'!W302</f>
        <v>0</v>
      </c>
      <c r="AA314" s="143">
        <f>'[65]2. подк.неподк.'!X302</f>
        <v>0</v>
      </c>
      <c r="AB314" s="143">
        <f t="shared" si="169"/>
        <v>0</v>
      </c>
      <c r="AC314" s="144">
        <f t="shared" si="170"/>
        <v>0</v>
      </c>
      <c r="AD314" s="143">
        <f t="shared" si="171"/>
        <v>0</v>
      </c>
      <c r="AE314" s="143"/>
      <c r="AF314" s="143">
        <f t="shared" si="172"/>
        <v>0</v>
      </c>
      <c r="AG314" s="143"/>
      <c r="AH314" s="143">
        <f t="shared" si="173"/>
        <v>0</v>
      </c>
      <c r="AI314" s="143"/>
    </row>
    <row r="315" spans="1:35" ht="33" customHeight="1" outlineLevel="1">
      <c r="A315" s="139" t="s">
        <v>1433</v>
      </c>
      <c r="B315" s="242" t="s">
        <v>1434</v>
      </c>
      <c r="C315" s="247" t="s">
        <v>1435</v>
      </c>
      <c r="D315" s="199" t="s">
        <v>1436</v>
      </c>
      <c r="E315" s="177"/>
      <c r="F315" s="178" t="s">
        <v>552</v>
      </c>
      <c r="G315" s="178">
        <v>0</v>
      </c>
      <c r="H315" s="178">
        <v>0</v>
      </c>
      <c r="I315" s="178">
        <v>0</v>
      </c>
      <c r="J315" s="143">
        <v>0</v>
      </c>
      <c r="K315" s="143">
        <v>0</v>
      </c>
      <c r="L315" s="143">
        <v>0</v>
      </c>
      <c r="M315" s="143">
        <v>0</v>
      </c>
      <c r="N315" s="143">
        <v>0</v>
      </c>
      <c r="O315" s="143"/>
      <c r="P315" s="150">
        <v>0</v>
      </c>
      <c r="Q315" s="143">
        <v>0</v>
      </c>
      <c r="R315" s="143">
        <v>0</v>
      </c>
      <c r="S315" s="143">
        <f t="shared" si="165"/>
        <v>0</v>
      </c>
      <c r="T315" s="143">
        <f t="shared" si="166"/>
        <v>0</v>
      </c>
      <c r="U315" s="151" t="e">
        <f>R315-#REF!</f>
        <v>#REF!</v>
      </c>
      <c r="V315" s="151">
        <f t="shared" si="167"/>
        <v>0</v>
      </c>
      <c r="W315" s="151">
        <f t="shared" si="168"/>
        <v>0</v>
      </c>
      <c r="X315" s="151" t="e">
        <f>O315-#REF!</f>
        <v>#REF!</v>
      </c>
      <c r="Y315" s="143">
        <f>'[65]2. подк.неподк.'!V303</f>
        <v>0</v>
      </c>
      <c r="Z315" s="143">
        <f>'[65]2. подк.неподк.'!W303</f>
        <v>0</v>
      </c>
      <c r="AA315" s="143">
        <v>0</v>
      </c>
      <c r="AB315" s="143">
        <f t="shared" si="169"/>
        <v>0</v>
      </c>
      <c r="AC315" s="144">
        <f t="shared" si="170"/>
        <v>0</v>
      </c>
      <c r="AD315" s="143">
        <f t="shared" si="171"/>
        <v>0</v>
      </c>
      <c r="AE315" s="143"/>
      <c r="AF315" s="143">
        <f t="shared" si="172"/>
        <v>0</v>
      </c>
      <c r="AG315" s="143"/>
      <c r="AH315" s="143">
        <f t="shared" si="173"/>
        <v>0</v>
      </c>
      <c r="AI315" s="143"/>
    </row>
    <row r="316" spans="1:35" ht="33" customHeight="1" outlineLevel="1">
      <c r="A316" s="139"/>
      <c r="B316" s="242" t="s">
        <v>1437</v>
      </c>
      <c r="C316" s="247"/>
      <c r="D316" s="199" t="s">
        <v>1438</v>
      </c>
      <c r="E316" s="177"/>
      <c r="F316" s="178" t="s">
        <v>552</v>
      </c>
      <c r="G316" s="178">
        <v>0</v>
      </c>
      <c r="H316" s="178">
        <v>0</v>
      </c>
      <c r="I316" s="178">
        <v>0</v>
      </c>
      <c r="J316" s="143"/>
      <c r="K316" s="143"/>
      <c r="L316" s="143"/>
      <c r="M316" s="143"/>
      <c r="N316" s="143">
        <v>276.44400000000002</v>
      </c>
      <c r="O316" s="143">
        <v>263.07453000000004</v>
      </c>
      <c r="P316" s="150">
        <v>0</v>
      </c>
      <c r="Q316" s="143"/>
      <c r="R316" s="143"/>
      <c r="S316" s="143">
        <f t="shared" si="165"/>
        <v>0</v>
      </c>
      <c r="T316" s="143">
        <f t="shared" si="166"/>
        <v>-263.07453000000004</v>
      </c>
      <c r="U316" s="151" t="e">
        <f>R316-#REF!</f>
        <v>#REF!</v>
      </c>
      <c r="V316" s="151">
        <f t="shared" si="167"/>
        <v>0</v>
      </c>
      <c r="W316" s="151">
        <f t="shared" si="168"/>
        <v>0</v>
      </c>
      <c r="X316" s="151" t="e">
        <f>O316-#REF!</f>
        <v>#REF!</v>
      </c>
      <c r="Y316" s="143">
        <f>'[65]2. подк.неподк.'!V304</f>
        <v>0</v>
      </c>
      <c r="Z316" s="143">
        <f>'[65]2. подк.неподк.'!W304</f>
        <v>0</v>
      </c>
      <c r="AA316" s="143">
        <f>'[65]2. подк.неподк.'!X304</f>
        <v>211.19417600000003</v>
      </c>
      <c r="AB316" s="143">
        <f t="shared" si="169"/>
        <v>0</v>
      </c>
      <c r="AC316" s="144">
        <f t="shared" si="170"/>
        <v>0</v>
      </c>
      <c r="AD316" s="143">
        <f t="shared" si="171"/>
        <v>0</v>
      </c>
      <c r="AE316" s="143"/>
      <c r="AF316" s="143">
        <f t="shared" si="172"/>
        <v>0</v>
      </c>
      <c r="AG316" s="143"/>
      <c r="AH316" s="143">
        <f t="shared" si="173"/>
        <v>-211.19417600000003</v>
      </c>
      <c r="AI316" s="143">
        <f t="shared" si="174"/>
        <v>-100</v>
      </c>
    </row>
    <row r="317" spans="1:35" ht="33" customHeight="1" outlineLevel="1">
      <c r="A317" s="139"/>
      <c r="B317" s="242" t="s">
        <v>1439</v>
      </c>
      <c r="C317" s="247"/>
      <c r="D317" s="199" t="s">
        <v>1440</v>
      </c>
      <c r="E317" s="177"/>
      <c r="F317" s="178" t="s">
        <v>552</v>
      </c>
      <c r="G317" s="178">
        <v>0</v>
      </c>
      <c r="H317" s="178">
        <v>0</v>
      </c>
      <c r="I317" s="178">
        <v>0</v>
      </c>
      <c r="J317" s="143"/>
      <c r="K317" s="143"/>
      <c r="L317" s="143"/>
      <c r="M317" s="143"/>
      <c r="N317" s="143">
        <v>224.57900000000001</v>
      </c>
      <c r="O317" s="143">
        <v>178.12549999999999</v>
      </c>
      <c r="P317" s="150">
        <v>0</v>
      </c>
      <c r="Q317" s="143">
        <v>0</v>
      </c>
      <c r="R317" s="143">
        <v>0</v>
      </c>
      <c r="S317" s="143">
        <f t="shared" si="165"/>
        <v>0</v>
      </c>
      <c r="T317" s="143">
        <f t="shared" si="166"/>
        <v>-178.12549999999999</v>
      </c>
      <c r="U317" s="151" t="e">
        <f>R317-#REF!</f>
        <v>#REF!</v>
      </c>
      <c r="V317" s="151">
        <f t="shared" si="167"/>
        <v>0</v>
      </c>
      <c r="W317" s="151">
        <f t="shared" si="168"/>
        <v>0</v>
      </c>
      <c r="X317" s="151" t="e">
        <f>O317-#REF!</f>
        <v>#REF!</v>
      </c>
      <c r="Y317" s="143">
        <f>'[65]2. подк.неподк.'!V305</f>
        <v>0</v>
      </c>
      <c r="Z317" s="143">
        <f>'[65]2. подк.неподк.'!W305</f>
        <v>0</v>
      </c>
      <c r="AA317" s="143">
        <f>'[65]2. подк.неподк.'!X305</f>
        <v>50.954250000000002</v>
      </c>
      <c r="AB317" s="143">
        <f t="shared" si="169"/>
        <v>0</v>
      </c>
      <c r="AC317" s="144">
        <f t="shared" si="170"/>
        <v>0</v>
      </c>
      <c r="AD317" s="143">
        <f t="shared" si="171"/>
        <v>0</v>
      </c>
      <c r="AE317" s="143"/>
      <c r="AF317" s="143">
        <f t="shared" si="172"/>
        <v>0</v>
      </c>
      <c r="AG317" s="143"/>
      <c r="AH317" s="143">
        <f t="shared" si="173"/>
        <v>-50.954250000000002</v>
      </c>
      <c r="AI317" s="143">
        <f t="shared" si="174"/>
        <v>-100</v>
      </c>
    </row>
    <row r="318" spans="1:35" ht="33" customHeight="1" outlineLevel="1">
      <c r="A318" s="139"/>
      <c r="B318" s="242" t="s">
        <v>1441</v>
      </c>
      <c r="C318" s="247"/>
      <c r="D318" s="199" t="s">
        <v>1442</v>
      </c>
      <c r="E318" s="177"/>
      <c r="F318" s="178" t="s">
        <v>552</v>
      </c>
      <c r="G318" s="178">
        <v>0</v>
      </c>
      <c r="H318" s="178">
        <v>0</v>
      </c>
      <c r="I318" s="178">
        <v>0</v>
      </c>
      <c r="J318" s="143"/>
      <c r="K318" s="143"/>
      <c r="L318" s="143"/>
      <c r="M318" s="143"/>
      <c r="N318" s="143">
        <v>213.35977</v>
      </c>
      <c r="O318" s="143">
        <v>191.37690000000001</v>
      </c>
      <c r="P318" s="150">
        <v>0</v>
      </c>
      <c r="Q318" s="143"/>
      <c r="R318" s="143"/>
      <c r="S318" s="143">
        <f t="shared" si="165"/>
        <v>0</v>
      </c>
      <c r="T318" s="143">
        <f t="shared" si="166"/>
        <v>-191.37690000000001</v>
      </c>
      <c r="U318" s="151" t="e">
        <f>R318-#REF!</f>
        <v>#REF!</v>
      </c>
      <c r="V318" s="151">
        <f t="shared" si="167"/>
        <v>0</v>
      </c>
      <c r="W318" s="151">
        <f t="shared" si="168"/>
        <v>0</v>
      </c>
      <c r="X318" s="151" t="e">
        <f>O318-#REF!</f>
        <v>#REF!</v>
      </c>
      <c r="Y318" s="143">
        <v>0</v>
      </c>
      <c r="Z318" s="143">
        <v>0</v>
      </c>
      <c r="AA318" s="143">
        <f>'[65]2. подк.неподк.'!X306</f>
        <v>224.24</v>
      </c>
      <c r="AB318" s="143">
        <f t="shared" si="169"/>
        <v>0</v>
      </c>
      <c r="AC318" s="144">
        <f t="shared" si="170"/>
        <v>0</v>
      </c>
      <c r="AD318" s="143">
        <f t="shared" si="171"/>
        <v>0</v>
      </c>
      <c r="AE318" s="143"/>
      <c r="AF318" s="143">
        <f t="shared" si="172"/>
        <v>0</v>
      </c>
      <c r="AG318" s="143"/>
      <c r="AH318" s="143">
        <f t="shared" si="173"/>
        <v>-224.24</v>
      </c>
      <c r="AI318" s="143">
        <f t="shared" si="174"/>
        <v>-100</v>
      </c>
    </row>
    <row r="319" spans="1:35" ht="33" customHeight="1" outlineLevel="1">
      <c r="A319" s="139"/>
      <c r="B319" s="176" t="s">
        <v>1443</v>
      </c>
      <c r="C319" s="248"/>
      <c r="D319" s="148" t="s">
        <v>1444</v>
      </c>
      <c r="E319" s="177"/>
      <c r="F319" s="178" t="s">
        <v>552</v>
      </c>
      <c r="G319" s="178">
        <v>0</v>
      </c>
      <c r="H319" s="178">
        <v>0</v>
      </c>
      <c r="I319" s="178">
        <v>0</v>
      </c>
      <c r="J319" s="143"/>
      <c r="K319" s="143"/>
      <c r="L319" s="143"/>
      <c r="M319" s="143"/>
      <c r="N319" s="143">
        <v>0</v>
      </c>
      <c r="O319" s="143">
        <v>0</v>
      </c>
      <c r="P319" s="150">
        <v>0</v>
      </c>
      <c r="Q319" s="143"/>
      <c r="R319" s="143"/>
      <c r="S319" s="143">
        <f t="shared" si="165"/>
        <v>0</v>
      </c>
      <c r="T319" s="143">
        <f t="shared" si="166"/>
        <v>0</v>
      </c>
      <c r="U319" s="151" t="e">
        <f>R319-#REF!</f>
        <v>#REF!</v>
      </c>
      <c r="V319" s="151">
        <f t="shared" si="167"/>
        <v>0</v>
      </c>
      <c r="W319" s="151">
        <f t="shared" si="168"/>
        <v>0</v>
      </c>
      <c r="X319" s="151" t="e">
        <f>O319-#REF!</f>
        <v>#REF!</v>
      </c>
      <c r="Y319" s="143">
        <v>0</v>
      </c>
      <c r="Z319" s="143">
        <v>0</v>
      </c>
      <c r="AA319" s="143">
        <f>'[65]2. подк.неподк.'!X307</f>
        <v>1731.91</v>
      </c>
      <c r="AB319" s="143">
        <f t="shared" si="169"/>
        <v>0</v>
      </c>
      <c r="AC319" s="144">
        <f t="shared" si="170"/>
        <v>0</v>
      </c>
      <c r="AD319" s="143">
        <f t="shared" si="171"/>
        <v>0</v>
      </c>
      <c r="AE319" s="143"/>
      <c r="AF319" s="143">
        <f t="shared" si="172"/>
        <v>0</v>
      </c>
      <c r="AG319" s="143"/>
      <c r="AH319" s="143">
        <f t="shared" si="173"/>
        <v>-1731.91</v>
      </c>
      <c r="AI319" s="143">
        <f t="shared" si="174"/>
        <v>-100</v>
      </c>
    </row>
    <row r="320" spans="1:35" ht="33" customHeight="1" outlineLevel="1">
      <c r="A320" s="139"/>
      <c r="B320" s="176" t="s">
        <v>1445</v>
      </c>
      <c r="C320" s="248"/>
      <c r="D320" s="148" t="s">
        <v>1446</v>
      </c>
      <c r="E320" s="177"/>
      <c r="F320" s="178" t="s">
        <v>552</v>
      </c>
      <c r="G320" s="178">
        <v>0</v>
      </c>
      <c r="H320" s="178">
        <v>0</v>
      </c>
      <c r="I320" s="178">
        <v>0</v>
      </c>
      <c r="J320" s="143"/>
      <c r="K320" s="143"/>
      <c r="L320" s="143"/>
      <c r="M320" s="143"/>
      <c r="N320" s="143">
        <v>0</v>
      </c>
      <c r="O320" s="143">
        <v>0</v>
      </c>
      <c r="P320" s="150">
        <v>0</v>
      </c>
      <c r="Q320" s="143"/>
      <c r="R320" s="143"/>
      <c r="S320" s="143">
        <f t="shared" si="165"/>
        <v>0</v>
      </c>
      <c r="T320" s="143">
        <f t="shared" si="166"/>
        <v>0</v>
      </c>
      <c r="U320" s="151" t="e">
        <f>R320-#REF!</f>
        <v>#REF!</v>
      </c>
      <c r="V320" s="151">
        <f t="shared" si="167"/>
        <v>0</v>
      </c>
      <c r="W320" s="151">
        <f t="shared" si="168"/>
        <v>0</v>
      </c>
      <c r="X320" s="151" t="e">
        <f>O320-#REF!</f>
        <v>#REF!</v>
      </c>
      <c r="Y320" s="143">
        <v>0</v>
      </c>
      <c r="Z320" s="143">
        <v>0</v>
      </c>
      <c r="AA320" s="143">
        <f>'[65]2. подк.неподк.'!X308</f>
        <v>0</v>
      </c>
      <c r="AB320" s="143">
        <f t="shared" si="169"/>
        <v>0</v>
      </c>
      <c r="AC320" s="144">
        <f t="shared" si="170"/>
        <v>0</v>
      </c>
      <c r="AD320" s="143">
        <f t="shared" si="171"/>
        <v>0</v>
      </c>
      <c r="AE320" s="143"/>
      <c r="AF320" s="143">
        <f t="shared" si="172"/>
        <v>0</v>
      </c>
      <c r="AG320" s="143"/>
      <c r="AH320" s="143">
        <f t="shared" si="173"/>
        <v>0</v>
      </c>
      <c r="AI320" s="143"/>
    </row>
    <row r="321" spans="1:36" s="214" customFormat="1" ht="33" customHeight="1">
      <c r="A321" s="211"/>
      <c r="B321" s="166"/>
      <c r="C321" s="249"/>
      <c r="D321" s="213" t="s">
        <v>1447</v>
      </c>
      <c r="E321" s="213" t="s">
        <v>1447</v>
      </c>
      <c r="F321" s="213" t="s">
        <v>552</v>
      </c>
      <c r="G321" s="168">
        <f>G247+G248+G249+G262+G268+G275+G276+G277+G279+G280+G285</f>
        <v>2945351.2263561506</v>
      </c>
      <c r="H321" s="168">
        <f t="shared" ref="H321:I321" si="175">H247+H248+H249+H262+H268+H275+H276+H277+H279+H280+H285</f>
        <v>2580854.4138399996</v>
      </c>
      <c r="I321" s="168">
        <f t="shared" si="175"/>
        <v>2242609.5387999997</v>
      </c>
      <c r="J321" s="168">
        <f>J247+J248+J249+J262+J268+J275+J276+J277+J279+J280+J286</f>
        <v>2761719.6303011812</v>
      </c>
      <c r="K321" s="168">
        <f>K247+K248+K249+K262+K267+K275+K276+K277+K279+K280+K285</f>
        <v>2493597.7122860127</v>
      </c>
      <c r="L321" s="168">
        <f>L247+L248+L249+L262+L267+L275+L276+L277+L279+L280+L285</f>
        <v>2200297.8274325002</v>
      </c>
      <c r="M321" s="168">
        <f>M247+M248+M249+M262+M267+M275+M276+M277+M279+M280+M285</f>
        <v>2340309.8319822834</v>
      </c>
      <c r="N321" s="168">
        <f t="shared" ref="N321:AA321" si="176">N247+N248+N249+N262+N267+N275+N276+N277+N279+N280+N285</f>
        <v>2915134.4478400019</v>
      </c>
      <c r="O321" s="168">
        <f t="shared" si="176"/>
        <v>2523889.875380001</v>
      </c>
      <c r="P321" s="168">
        <f t="shared" si="176"/>
        <v>2113073.2317275</v>
      </c>
      <c r="Q321" s="168">
        <f t="shared" si="176"/>
        <v>2113073.2335075</v>
      </c>
      <c r="R321" s="168">
        <f t="shared" si="176"/>
        <v>2102502.8009100002</v>
      </c>
      <c r="S321" s="168">
        <f t="shared" si="165"/>
        <v>-237807.03107228316</v>
      </c>
      <c r="T321" s="168">
        <f t="shared" si="166"/>
        <v>-421387.07447000081</v>
      </c>
      <c r="U321" s="146" t="e">
        <f>R321-#REF!</f>
        <v>#REF!</v>
      </c>
      <c r="V321" s="146">
        <f t="shared" si="167"/>
        <v>-237807.03107228316</v>
      </c>
      <c r="W321" s="146">
        <f t="shared" si="168"/>
        <v>1.7800000496208668E-3</v>
      </c>
      <c r="X321" s="146" t="e">
        <f>O321-#REF!</f>
        <v>#REF!</v>
      </c>
      <c r="Y321" s="168">
        <f>Y247+Y248+Y249+Y262+Y267+Y275+Y276+Y277+Y279+Y280+Y285</f>
        <v>2720345.5316451848</v>
      </c>
      <c r="Z321" s="168">
        <f t="shared" ref="Z321" si="177">Z247+Z248+Z249+Z262+Z267+Z275+Z276+Z277+Z279+Z280+Z285</f>
        <v>2842761.0806218632</v>
      </c>
      <c r="AA321" s="168">
        <f t="shared" si="176"/>
        <v>9646815.7612376474</v>
      </c>
      <c r="AB321" s="168">
        <f>AB247+AB248+AB249+AB262+AB267+AB275+AB276+AB277+AB279+AB280+AB285</f>
        <v>2866818.756551126</v>
      </c>
      <c r="AC321" s="168">
        <f>AC247+AC248+AC249+AC262+AC267+AC275+AC276+AC277+AC279+AC280+AC285</f>
        <v>2902024.7413641238</v>
      </c>
      <c r="AD321" s="168">
        <f t="shared" si="171"/>
        <v>146473.22490594117</v>
      </c>
      <c r="AE321" s="168">
        <f t="shared" ref="AE321:AE342" si="178">AB321/Y321*100-100</f>
        <v>5.3843610380391027</v>
      </c>
      <c r="AF321" s="168">
        <f t="shared" si="172"/>
        <v>24057.675929262768</v>
      </c>
      <c r="AG321" s="168">
        <f t="shared" ref="AG321:AG342" si="179">AB321/Z321*100-100</f>
        <v>0.84627850343301247</v>
      </c>
      <c r="AH321" s="168">
        <f t="shared" si="173"/>
        <v>-6779997.0046865214</v>
      </c>
      <c r="AI321" s="168">
        <f t="shared" si="174"/>
        <v>-70.282227550458316</v>
      </c>
    </row>
    <row r="322" spans="1:36" ht="33" customHeight="1" outlineLevel="1">
      <c r="A322" s="139"/>
      <c r="B322" s="143"/>
      <c r="C322" s="177"/>
      <c r="D322" s="196" t="s">
        <v>1448</v>
      </c>
      <c r="E322" s="196" t="s">
        <v>1448</v>
      </c>
      <c r="F322" s="178" t="s">
        <v>552</v>
      </c>
      <c r="G322" s="178"/>
      <c r="H322" s="178"/>
      <c r="I322" s="178"/>
      <c r="J322" s="177"/>
      <c r="K322" s="177"/>
      <c r="L322" s="177"/>
      <c r="M322" s="177"/>
      <c r="N322" s="177"/>
      <c r="O322" s="177"/>
      <c r="P322" s="250"/>
      <c r="Q322" s="177"/>
      <c r="R322" s="143"/>
      <c r="S322" s="141"/>
      <c r="T322" s="141"/>
      <c r="U322" s="251"/>
      <c r="V322" s="251"/>
      <c r="W322" s="251"/>
      <c r="X322" s="251"/>
      <c r="Y322" s="177"/>
      <c r="Z322" s="177"/>
      <c r="AA322" s="177"/>
      <c r="AB322" s="177"/>
      <c r="AC322" s="177"/>
      <c r="AD322" s="177"/>
      <c r="AE322" s="177"/>
      <c r="AF322" s="177"/>
      <c r="AG322" s="177"/>
      <c r="AH322" s="177"/>
      <c r="AI322" s="177"/>
      <c r="AJ322" s="214"/>
    </row>
    <row r="323" spans="1:36" ht="15" customHeight="1">
      <c r="A323" s="139"/>
      <c r="B323" s="143"/>
      <c r="C323" s="177"/>
      <c r="D323" s="177"/>
      <c r="E323" s="177"/>
      <c r="F323" s="177"/>
      <c r="G323" s="177"/>
      <c r="H323" s="177"/>
      <c r="I323" s="177"/>
      <c r="J323" s="177"/>
      <c r="K323" s="177"/>
      <c r="L323" s="177"/>
      <c r="M323" s="177"/>
      <c r="N323" s="177"/>
      <c r="O323" s="177"/>
      <c r="P323" s="177"/>
      <c r="Q323" s="177"/>
      <c r="R323" s="177"/>
      <c r="S323" s="177"/>
      <c r="T323" s="177"/>
      <c r="U323" s="251"/>
      <c r="V323" s="251"/>
      <c r="W323" s="251"/>
      <c r="X323" s="251"/>
      <c r="Y323" s="177"/>
      <c r="Z323" s="177"/>
      <c r="AA323" s="177"/>
      <c r="AB323" s="177"/>
      <c r="AC323" s="177"/>
      <c r="AD323" s="177"/>
      <c r="AE323" s="177"/>
      <c r="AF323" s="177"/>
      <c r="AG323" s="177"/>
      <c r="AH323" s="177"/>
      <c r="AI323" s="177"/>
      <c r="AJ323" s="214"/>
    </row>
    <row r="324" spans="1:36" s="256" customFormat="1" ht="55.5" customHeight="1">
      <c r="A324" s="252"/>
      <c r="B324" s="146"/>
      <c r="C324" s="253"/>
      <c r="D324" s="254" t="s">
        <v>1449</v>
      </c>
      <c r="E324" s="254" t="s">
        <v>1449</v>
      </c>
      <c r="F324" s="255" t="s">
        <v>552</v>
      </c>
      <c r="G324" s="146">
        <f>G321-G275</f>
        <v>2728024.6363561507</v>
      </c>
      <c r="H324" s="146">
        <f t="shared" ref="H324:I324" si="180">H321-H275</f>
        <v>2580854.4138399996</v>
      </c>
      <c r="I324" s="146">
        <f t="shared" si="180"/>
        <v>2244113.3387999996</v>
      </c>
      <c r="J324" s="146">
        <f>J321-J275</f>
        <v>2311575.7303011813</v>
      </c>
      <c r="K324" s="146">
        <f>K321-K275</f>
        <v>2493597.7122860127</v>
      </c>
      <c r="L324" s="146">
        <f>L321-L275</f>
        <v>2200297.8274325002</v>
      </c>
      <c r="M324" s="146">
        <f>M321-M275</f>
        <v>1998369.579214415</v>
      </c>
      <c r="N324" s="146">
        <f t="shared" ref="N324:AA324" si="181">N321-N275</f>
        <v>2915134.4478400019</v>
      </c>
      <c r="O324" s="146">
        <f t="shared" si="181"/>
        <v>2523889.875380001</v>
      </c>
      <c r="P324" s="146">
        <f t="shared" si="181"/>
        <v>2113073.2317275</v>
      </c>
      <c r="Q324" s="146">
        <f t="shared" si="181"/>
        <v>2113073.2335075</v>
      </c>
      <c r="R324" s="146">
        <f t="shared" si="181"/>
        <v>2102502.8009100002</v>
      </c>
      <c r="S324" s="146">
        <f t="shared" ref="S324:S327" si="182">R324-M324</f>
        <v>104133.22169558518</v>
      </c>
      <c r="T324" s="146">
        <f t="shared" si="166"/>
        <v>-421387.07447000081</v>
      </c>
      <c r="U324" s="146" t="e">
        <f>R324-#REF!</f>
        <v>#REF!</v>
      </c>
      <c r="V324" s="146">
        <f t="shared" ref="V324:V327" si="183">R324-M324</f>
        <v>104133.22169558518</v>
      </c>
      <c r="W324" s="146">
        <f t="shared" ref="W324:W327" si="184">Q324-P324</f>
        <v>1.7800000496208668E-3</v>
      </c>
      <c r="X324" s="146" t="e">
        <f>O324-#REF!</f>
        <v>#REF!</v>
      </c>
      <c r="Y324" s="146">
        <f>Y321-Y275</f>
        <v>2375205.2338735852</v>
      </c>
      <c r="Z324" s="146">
        <f>Z321-Z275</f>
        <v>2509307.8811655412</v>
      </c>
      <c r="AA324" s="146">
        <f t="shared" si="181"/>
        <v>4305328.111237647</v>
      </c>
      <c r="AB324" s="146">
        <f>AB321-AB275</f>
        <v>2498445.6471153144</v>
      </c>
      <c r="AC324" s="146">
        <f>AC321-AC275</f>
        <v>2533651.6319283121</v>
      </c>
      <c r="AD324" s="146">
        <f t="shared" si="171"/>
        <v>123240.41324172914</v>
      </c>
      <c r="AE324" s="146">
        <f t="shared" si="178"/>
        <v>5.1886216603162154</v>
      </c>
      <c r="AF324" s="146">
        <f t="shared" si="172"/>
        <v>-10862.234050226863</v>
      </c>
      <c r="AG324" s="146">
        <f t="shared" si="179"/>
        <v>-0.43287769236118834</v>
      </c>
      <c r="AH324" s="146">
        <f t="shared" si="173"/>
        <v>-1806882.4641223326</v>
      </c>
      <c r="AI324" s="146">
        <f t="shared" si="174"/>
        <v>-41.968519412168817</v>
      </c>
      <c r="AJ324" s="214"/>
    </row>
    <row r="325" spans="1:36" s="214" customFormat="1" ht="33" customHeight="1">
      <c r="A325" s="211"/>
      <c r="B325" s="168" t="s">
        <v>16</v>
      </c>
      <c r="C325" s="249"/>
      <c r="D325" s="257" t="s">
        <v>1450</v>
      </c>
      <c r="E325" s="257" t="s">
        <v>1450</v>
      </c>
      <c r="F325" s="213" t="s">
        <v>1451</v>
      </c>
      <c r="G325" s="168">
        <f t="shared" ref="G325:I325" si="185">SUM(G326:G327)</f>
        <v>4557522.1366777197</v>
      </c>
      <c r="H325" s="168">
        <f t="shared" si="185"/>
        <v>4524715.3847899996</v>
      </c>
      <c r="I325" s="168">
        <f t="shared" si="185"/>
        <v>3845429.766817715</v>
      </c>
      <c r="J325" s="168">
        <f>SUM(J326:J327)</f>
        <v>4530576.7733762488</v>
      </c>
      <c r="K325" s="168">
        <f t="shared" ref="K325:M325" si="186">SUM(K326:K327)</f>
        <v>4552809.5886550127</v>
      </c>
      <c r="L325" s="168">
        <f t="shared" si="186"/>
        <v>3949467.0261025</v>
      </c>
      <c r="M325" s="168">
        <f t="shared" si="186"/>
        <v>3995767.2468746058</v>
      </c>
      <c r="N325" s="168">
        <f>SUM(N326:N327)</f>
        <v>5167898.7823200021</v>
      </c>
      <c r="O325" s="168">
        <f t="shared" ref="O325:AB325" si="187">SUM(O326:O327)</f>
        <v>4685555.3686300013</v>
      </c>
      <c r="P325" s="168">
        <f t="shared" si="187"/>
        <v>4230752.0730500324</v>
      </c>
      <c r="Q325" s="168">
        <f t="shared" si="187"/>
        <v>4233888.3025800325</v>
      </c>
      <c r="R325" s="168">
        <f t="shared" si="187"/>
        <v>4119204.6253925329</v>
      </c>
      <c r="S325" s="168">
        <f t="shared" si="182"/>
        <v>123437.37851792714</v>
      </c>
      <c r="T325" s="168">
        <f t="shared" si="166"/>
        <v>-566350.74323746841</v>
      </c>
      <c r="U325" s="146" t="e">
        <f>R325-#REF!</f>
        <v>#REF!</v>
      </c>
      <c r="V325" s="146">
        <f t="shared" si="183"/>
        <v>123437.37851792714</v>
      </c>
      <c r="W325" s="146">
        <f t="shared" si="184"/>
        <v>3136.2295300001279</v>
      </c>
      <c r="X325" s="146" t="e">
        <f>O325-#REF!</f>
        <v>#REF!</v>
      </c>
      <c r="Y325" s="168">
        <f>SUM(Y326:Y327)-0.01</f>
        <v>4508690.1358521767</v>
      </c>
      <c r="Z325" s="168">
        <f>SUM(Z326:Z327)</f>
        <v>4711581.2005449543</v>
      </c>
      <c r="AA325" s="168">
        <f t="shared" si="187"/>
        <v>13960814.676683201</v>
      </c>
      <c r="AB325" s="168">
        <f t="shared" si="187"/>
        <v>4721067.0160570312</v>
      </c>
      <c r="AC325" s="168">
        <f t="shared" ref="AC325" si="188">SUM(AC326:AC327)</f>
        <v>4756273.0008700285</v>
      </c>
      <c r="AD325" s="168">
        <f t="shared" si="171"/>
        <v>212376.88020485453</v>
      </c>
      <c r="AE325" s="168">
        <f t="shared" si="178"/>
        <v>4.7103897984932956</v>
      </c>
      <c r="AF325" s="168">
        <f t="shared" si="172"/>
        <v>9485.8155120769516</v>
      </c>
      <c r="AG325" s="168">
        <f t="shared" si="179"/>
        <v>0.20132976825230742</v>
      </c>
      <c r="AH325" s="168">
        <f t="shared" si="173"/>
        <v>-9239747.6606261693</v>
      </c>
      <c r="AI325" s="168">
        <f t="shared" si="174"/>
        <v>-66.183441830640646</v>
      </c>
    </row>
    <row r="326" spans="1:36" ht="30" customHeight="1">
      <c r="A326" s="139"/>
      <c r="B326" s="144"/>
      <c r="C326" s="177"/>
      <c r="D326" s="140" t="s">
        <v>1452</v>
      </c>
      <c r="E326" s="140" t="s">
        <v>1452</v>
      </c>
      <c r="F326" s="217" t="s">
        <v>1451</v>
      </c>
      <c r="G326" s="144">
        <f t="shared" ref="G326:I326" si="189">G246</f>
        <v>1612170.9103215688</v>
      </c>
      <c r="H326" s="144">
        <f t="shared" si="189"/>
        <v>1943860.97095</v>
      </c>
      <c r="I326" s="144">
        <f t="shared" si="189"/>
        <v>1602820.2280177155</v>
      </c>
      <c r="J326" s="144">
        <f>J246</f>
        <v>1768857.1430750673</v>
      </c>
      <c r="K326" s="144">
        <f>K246</f>
        <v>2059211.8763689999</v>
      </c>
      <c r="L326" s="144">
        <f>L246</f>
        <v>1749169.1986700001</v>
      </c>
      <c r="M326" s="144">
        <f>M246</f>
        <v>1655457.4148923224</v>
      </c>
      <c r="N326" s="144">
        <f t="shared" ref="N326:AC326" si="190">N246</f>
        <v>2252764.3344800002</v>
      </c>
      <c r="O326" s="144">
        <f t="shared" si="190"/>
        <v>2161665.4932500003</v>
      </c>
      <c r="P326" s="144">
        <f t="shared" si="190"/>
        <v>2117678.8413225324</v>
      </c>
      <c r="Q326" s="144">
        <f t="shared" si="190"/>
        <v>2120815.0690725325</v>
      </c>
      <c r="R326" s="144">
        <f t="shared" si="190"/>
        <v>2016701.8244825325</v>
      </c>
      <c r="S326" s="144">
        <f t="shared" si="182"/>
        <v>361244.40959021007</v>
      </c>
      <c r="T326" s="144">
        <f t="shared" si="166"/>
        <v>-144963.66876746784</v>
      </c>
      <c r="U326" s="146" t="e">
        <f>R326-#REF!</f>
        <v>#REF!</v>
      </c>
      <c r="V326" s="146">
        <f t="shared" si="183"/>
        <v>361244.40959021007</v>
      </c>
      <c r="W326" s="146">
        <f t="shared" si="184"/>
        <v>3136.2277500000782</v>
      </c>
      <c r="X326" s="146" t="e">
        <f>O326-#REF!</f>
        <v>#REF!</v>
      </c>
      <c r="Y326" s="144">
        <f t="shared" si="190"/>
        <v>1788344.6142069914</v>
      </c>
      <c r="Z326" s="144">
        <f t="shared" si="190"/>
        <v>1868820.1199230908</v>
      </c>
      <c r="AA326" s="144">
        <f t="shared" si="190"/>
        <v>4313998.9154455531</v>
      </c>
      <c r="AB326" s="144">
        <f t="shared" si="190"/>
        <v>1854248.2595059047</v>
      </c>
      <c r="AC326" s="144">
        <f t="shared" si="190"/>
        <v>1854248.2595059047</v>
      </c>
      <c r="AD326" s="144">
        <f t="shared" si="171"/>
        <v>65903.645298913354</v>
      </c>
      <c r="AE326" s="144">
        <f t="shared" si="178"/>
        <v>3.6851759317169979</v>
      </c>
      <c r="AF326" s="144">
        <f t="shared" si="172"/>
        <v>-14571.86041718605</v>
      </c>
      <c r="AG326" s="144">
        <f t="shared" si="179"/>
        <v>-0.77973584840181331</v>
      </c>
      <c r="AH326" s="144">
        <f t="shared" si="173"/>
        <v>-2459750.6559396484</v>
      </c>
      <c r="AI326" s="144">
        <f t="shared" si="174"/>
        <v>-57.017878403560132</v>
      </c>
      <c r="AJ326" s="214"/>
    </row>
    <row r="327" spans="1:36" ht="25.95" customHeight="1">
      <c r="A327" s="139"/>
      <c r="B327" s="144"/>
      <c r="C327" s="177"/>
      <c r="D327" s="140" t="s">
        <v>1453</v>
      </c>
      <c r="E327" s="140" t="s">
        <v>1453</v>
      </c>
      <c r="F327" s="217" t="s">
        <v>1451</v>
      </c>
      <c r="G327" s="144">
        <f t="shared" ref="G327:AC327" si="191">G321</f>
        <v>2945351.2263561506</v>
      </c>
      <c r="H327" s="144">
        <f t="shared" si="191"/>
        <v>2580854.4138399996</v>
      </c>
      <c r="I327" s="144">
        <f t="shared" si="191"/>
        <v>2242609.5387999997</v>
      </c>
      <c r="J327" s="144">
        <f t="shared" si="191"/>
        <v>2761719.6303011812</v>
      </c>
      <c r="K327" s="144">
        <f t="shared" si="191"/>
        <v>2493597.7122860127</v>
      </c>
      <c r="L327" s="144">
        <f t="shared" si="191"/>
        <v>2200297.8274325002</v>
      </c>
      <c r="M327" s="144">
        <f t="shared" si="191"/>
        <v>2340309.8319822834</v>
      </c>
      <c r="N327" s="144">
        <f t="shared" si="191"/>
        <v>2915134.4478400019</v>
      </c>
      <c r="O327" s="144">
        <f t="shared" si="191"/>
        <v>2523889.875380001</v>
      </c>
      <c r="P327" s="144">
        <f t="shared" si="191"/>
        <v>2113073.2317275</v>
      </c>
      <c r="Q327" s="144">
        <f t="shared" si="191"/>
        <v>2113073.2335075</v>
      </c>
      <c r="R327" s="144">
        <f t="shared" si="191"/>
        <v>2102502.8009100002</v>
      </c>
      <c r="S327" s="144">
        <f t="shared" si="182"/>
        <v>-237807.03107228316</v>
      </c>
      <c r="T327" s="144">
        <f t="shared" si="166"/>
        <v>-421387.07447000081</v>
      </c>
      <c r="U327" s="146" t="e">
        <f>R327-#REF!</f>
        <v>#REF!</v>
      </c>
      <c r="V327" s="146">
        <f t="shared" si="183"/>
        <v>-237807.03107228316</v>
      </c>
      <c r="W327" s="146">
        <f t="shared" si="184"/>
        <v>1.7800000496208668E-3</v>
      </c>
      <c r="X327" s="146" t="e">
        <f>O327-#REF!</f>
        <v>#REF!</v>
      </c>
      <c r="Y327" s="144">
        <f t="shared" si="191"/>
        <v>2720345.5316451848</v>
      </c>
      <c r="Z327" s="144">
        <f t="shared" si="191"/>
        <v>2842761.0806218632</v>
      </c>
      <c r="AA327" s="144">
        <f t="shared" si="191"/>
        <v>9646815.7612376474</v>
      </c>
      <c r="AB327" s="144">
        <f t="shared" si="191"/>
        <v>2866818.756551126</v>
      </c>
      <c r="AC327" s="144">
        <f t="shared" si="191"/>
        <v>2902024.7413641238</v>
      </c>
      <c r="AD327" s="144">
        <f t="shared" si="171"/>
        <v>146473.22490594117</v>
      </c>
      <c r="AE327" s="144">
        <f t="shared" si="178"/>
        <v>5.3843610380391027</v>
      </c>
      <c r="AF327" s="144">
        <f t="shared" si="172"/>
        <v>24057.675929262768</v>
      </c>
      <c r="AG327" s="144">
        <f t="shared" si="179"/>
        <v>0.84627850343301247</v>
      </c>
      <c r="AH327" s="144">
        <f t="shared" si="173"/>
        <v>-6779997.0046865214</v>
      </c>
      <c r="AI327" s="144">
        <f t="shared" si="174"/>
        <v>-70.282227550458316</v>
      </c>
      <c r="AJ327" s="214"/>
    </row>
    <row r="328" spans="1:36" ht="25.95" customHeight="1">
      <c r="A328" s="258"/>
      <c r="B328" s="259"/>
      <c r="C328" s="260"/>
      <c r="D328" s="261"/>
      <c r="E328" s="140"/>
      <c r="F328" s="217"/>
      <c r="G328" s="144"/>
      <c r="H328" s="144"/>
      <c r="I328" s="144"/>
      <c r="J328" s="144"/>
      <c r="K328" s="144"/>
      <c r="L328" s="144"/>
      <c r="M328" s="144"/>
      <c r="N328" s="144"/>
      <c r="O328" s="144"/>
      <c r="P328" s="144"/>
      <c r="Q328" s="144"/>
      <c r="R328" s="144"/>
      <c r="S328" s="144"/>
      <c r="T328" s="144"/>
      <c r="U328" s="146"/>
      <c r="V328" s="146"/>
      <c r="W328" s="146"/>
      <c r="X328" s="146"/>
      <c r="Y328" s="144"/>
      <c r="Z328" s="144"/>
      <c r="AA328" s="144"/>
      <c r="AB328" s="144"/>
      <c r="AC328" s="144"/>
      <c r="AD328" s="144"/>
      <c r="AE328" s="144"/>
      <c r="AF328" s="144"/>
      <c r="AG328" s="144"/>
      <c r="AH328" s="144"/>
      <c r="AI328" s="144"/>
      <c r="AJ328" s="214"/>
    </row>
    <row r="329" spans="1:36" ht="25.95" customHeight="1">
      <c r="A329" s="258"/>
      <c r="B329" s="259"/>
      <c r="C329" s="260"/>
      <c r="D329" s="261" t="s">
        <v>1454</v>
      </c>
      <c r="E329" s="140"/>
      <c r="F329" s="217" t="s">
        <v>1451</v>
      </c>
      <c r="G329" s="144"/>
      <c r="H329" s="144"/>
      <c r="I329" s="144"/>
      <c r="J329" s="144"/>
      <c r="K329" s="144"/>
      <c r="L329" s="144"/>
      <c r="M329" s="144"/>
      <c r="N329" s="144"/>
      <c r="O329" s="144"/>
      <c r="P329" s="144"/>
      <c r="Q329" s="144"/>
      <c r="R329" s="144"/>
      <c r="S329" s="144"/>
      <c r="T329" s="144"/>
      <c r="U329" s="146"/>
      <c r="V329" s="146"/>
      <c r="W329" s="146"/>
      <c r="X329" s="146"/>
      <c r="Y329" s="144"/>
      <c r="Z329" s="144"/>
      <c r="AA329" s="144"/>
      <c r="AB329" s="144"/>
      <c r="AC329" s="144">
        <f>AC330+AC331</f>
        <v>5731.1727849999988</v>
      </c>
      <c r="AD329" s="144"/>
      <c r="AE329" s="144"/>
      <c r="AF329" s="144"/>
      <c r="AG329" s="144"/>
      <c r="AH329" s="144"/>
      <c r="AI329" s="144"/>
      <c r="AJ329" s="214"/>
    </row>
    <row r="330" spans="1:36" ht="25.95" customHeight="1">
      <c r="A330" s="258"/>
      <c r="B330" s="259"/>
      <c r="C330" s="260"/>
      <c r="D330" s="261" t="s">
        <v>1455</v>
      </c>
      <c r="E330" s="140"/>
      <c r="F330" s="217" t="s">
        <v>1451</v>
      </c>
      <c r="G330" s="144"/>
      <c r="H330" s="144"/>
      <c r="I330" s="144"/>
      <c r="J330" s="144"/>
      <c r="K330" s="144"/>
      <c r="L330" s="144"/>
      <c r="M330" s="144"/>
      <c r="N330" s="144"/>
      <c r="O330" s="144"/>
      <c r="P330" s="144"/>
      <c r="Q330" s="144"/>
      <c r="R330" s="144"/>
      <c r="S330" s="144"/>
      <c r="T330" s="144"/>
      <c r="U330" s="146"/>
      <c r="V330" s="146"/>
      <c r="W330" s="146"/>
      <c r="X330" s="146"/>
      <c r="Y330" s="144"/>
      <c r="Z330" s="144"/>
      <c r="AA330" s="144"/>
      <c r="AB330" s="144"/>
      <c r="AC330" s="144">
        <f>'[64]1. инд. тарифы'!T91</f>
        <v>4460.0326499999992</v>
      </c>
      <c r="AD330" s="144"/>
      <c r="AE330" s="144"/>
      <c r="AF330" s="144"/>
      <c r="AG330" s="144"/>
      <c r="AH330" s="144"/>
      <c r="AI330" s="144"/>
      <c r="AJ330" s="214"/>
    </row>
    <row r="331" spans="1:36" ht="25.95" customHeight="1">
      <c r="A331" s="258"/>
      <c r="B331" s="259"/>
      <c r="C331" s="260"/>
      <c r="D331" s="261" t="s">
        <v>1456</v>
      </c>
      <c r="E331" s="140"/>
      <c r="F331" s="217" t="s">
        <v>1451</v>
      </c>
      <c r="G331" s="144"/>
      <c r="H331" s="144"/>
      <c r="I331" s="144"/>
      <c r="J331" s="144"/>
      <c r="K331" s="144"/>
      <c r="L331" s="144"/>
      <c r="M331" s="144"/>
      <c r="N331" s="144"/>
      <c r="O331" s="144"/>
      <c r="P331" s="144"/>
      <c r="Q331" s="144"/>
      <c r="R331" s="144"/>
      <c r="S331" s="144"/>
      <c r="T331" s="144"/>
      <c r="U331" s="146"/>
      <c r="V331" s="146"/>
      <c r="W331" s="146"/>
      <c r="X331" s="146"/>
      <c r="Y331" s="144"/>
      <c r="Z331" s="144"/>
      <c r="AA331" s="144"/>
      <c r="AB331" s="144"/>
      <c r="AC331" s="144">
        <f>'[64]1. инд. тарифы'!T94</f>
        <v>1271.1401349999999</v>
      </c>
      <c r="AD331" s="144"/>
      <c r="AE331" s="144"/>
      <c r="AF331" s="144"/>
      <c r="AG331" s="144"/>
      <c r="AH331" s="144"/>
      <c r="AI331" s="144"/>
      <c r="AJ331" s="214"/>
    </row>
    <row r="332" spans="1:36" ht="25.95" customHeight="1">
      <c r="A332" s="258"/>
      <c r="B332" s="259"/>
      <c r="C332" s="260"/>
      <c r="D332" s="261"/>
      <c r="E332" s="140"/>
      <c r="F332" s="217"/>
      <c r="G332" s="144"/>
      <c r="H332" s="144"/>
      <c r="I332" s="144"/>
      <c r="J332" s="144"/>
      <c r="K332" s="144"/>
      <c r="L332" s="144"/>
      <c r="M332" s="144"/>
      <c r="N332" s="144"/>
      <c r="O332" s="144"/>
      <c r="P332" s="144"/>
      <c r="Q332" s="144"/>
      <c r="R332" s="144"/>
      <c r="S332" s="144"/>
      <c r="T332" s="144"/>
      <c r="U332" s="146"/>
      <c r="V332" s="146"/>
      <c r="W332" s="146"/>
      <c r="X332" s="146"/>
      <c r="Y332" s="144"/>
      <c r="Z332" s="144"/>
      <c r="AA332" s="144"/>
      <c r="AB332" s="144"/>
      <c r="AC332" s="144"/>
      <c r="AD332" s="144"/>
      <c r="AE332" s="144"/>
      <c r="AF332" s="144"/>
      <c r="AG332" s="144"/>
      <c r="AH332" s="144"/>
      <c r="AI332" s="144"/>
      <c r="AJ332" s="214"/>
    </row>
    <row r="333" spans="1:36" s="270" customFormat="1" ht="25.95" customHeight="1">
      <c r="A333" s="262"/>
      <c r="B333" s="263" t="s">
        <v>16</v>
      </c>
      <c r="C333" s="264"/>
      <c r="D333" s="265" t="s">
        <v>1450</v>
      </c>
      <c r="E333" s="266" t="s">
        <v>1450</v>
      </c>
      <c r="F333" s="267" t="s">
        <v>1451</v>
      </c>
      <c r="G333" s="268">
        <v>4557522.1366777197</v>
      </c>
      <c r="H333" s="268">
        <v>4524715.3847899996</v>
      </c>
      <c r="I333" s="268">
        <v>3845429.766817715</v>
      </c>
      <c r="J333" s="268">
        <v>4530576.7733762488</v>
      </c>
      <c r="K333" s="268">
        <v>4552809.5886550127</v>
      </c>
      <c r="L333" s="268">
        <v>3949467.0261025</v>
      </c>
      <c r="M333" s="268"/>
      <c r="N333" s="268"/>
      <c r="O333" s="268"/>
      <c r="P333" s="268"/>
      <c r="Q333" s="268"/>
      <c r="R333" s="268"/>
      <c r="S333" s="268"/>
      <c r="T333" s="268"/>
      <c r="U333" s="268"/>
      <c r="V333" s="268"/>
      <c r="W333" s="268"/>
      <c r="X333" s="268"/>
      <c r="Y333" s="268"/>
      <c r="Z333" s="268"/>
      <c r="AA333" s="268"/>
      <c r="AB333" s="268"/>
      <c r="AC333" s="269">
        <f>AC325+AC329</f>
        <v>4762004.1736550285</v>
      </c>
      <c r="AD333" s="268"/>
      <c r="AE333" s="268"/>
      <c r="AF333" s="268"/>
      <c r="AG333" s="268"/>
      <c r="AH333" s="268"/>
      <c r="AI333" s="268"/>
    </row>
    <row r="334" spans="1:36" ht="25.95" customHeight="1">
      <c r="A334" s="258"/>
      <c r="B334" s="259"/>
      <c r="C334" s="260"/>
      <c r="D334" s="261"/>
      <c r="E334" s="140"/>
      <c r="F334" s="217"/>
      <c r="G334" s="144"/>
      <c r="H334" s="144"/>
      <c r="I334" s="144"/>
      <c r="J334" s="144"/>
      <c r="K334" s="144"/>
      <c r="L334" s="144"/>
      <c r="M334" s="144"/>
      <c r="N334" s="144"/>
      <c r="O334" s="144"/>
      <c r="P334" s="144"/>
      <c r="Q334" s="144"/>
      <c r="R334" s="144"/>
      <c r="S334" s="144"/>
      <c r="T334" s="144"/>
      <c r="U334" s="146"/>
      <c r="V334" s="146"/>
      <c r="W334" s="146"/>
      <c r="X334" s="146"/>
      <c r="Y334" s="144"/>
      <c r="Z334" s="144"/>
      <c r="AA334" s="144"/>
      <c r="AB334" s="144"/>
      <c r="AC334" s="144"/>
      <c r="AD334" s="144"/>
      <c r="AE334" s="144"/>
      <c r="AF334" s="144"/>
      <c r="AG334" s="144"/>
      <c r="AH334" s="144"/>
      <c r="AI334" s="144"/>
      <c r="AJ334" s="214"/>
    </row>
    <row r="335" spans="1:36" ht="12.75" customHeight="1">
      <c r="B335" s="1324" t="s">
        <v>1457</v>
      </c>
      <c r="C335" s="1325"/>
      <c r="D335" s="1326"/>
      <c r="E335" s="271"/>
      <c r="F335" s="271"/>
      <c r="G335" s="271"/>
      <c r="H335" s="271"/>
      <c r="I335" s="271"/>
      <c r="J335" s="271"/>
      <c r="K335" s="271"/>
      <c r="L335" s="272"/>
      <c r="M335" s="272"/>
      <c r="N335" s="272"/>
      <c r="O335" s="272"/>
      <c r="P335" s="273"/>
      <c r="Q335" s="272"/>
      <c r="R335" s="274"/>
      <c r="S335" s="274"/>
      <c r="T335" s="274"/>
      <c r="U335" s="275">
        <f>Q335-P335</f>
        <v>0</v>
      </c>
      <c r="V335" s="275" t="e">
        <f>#REF!-P335</f>
        <v>#REF!</v>
      </c>
      <c r="W335" s="275">
        <f t="shared" ref="W335" si="192">R335-P335</f>
        <v>0</v>
      </c>
      <c r="X335" s="275"/>
      <c r="Y335" s="272"/>
      <c r="Z335" s="272"/>
      <c r="AA335" s="272"/>
      <c r="AB335" s="272"/>
      <c r="AC335" s="272"/>
      <c r="AD335" s="272"/>
      <c r="AE335" s="272"/>
      <c r="AF335" s="272"/>
      <c r="AG335" s="272"/>
      <c r="AH335" s="272"/>
      <c r="AI335" s="272"/>
      <c r="AJ335" s="214"/>
    </row>
    <row r="336" spans="1:36" ht="24.75" customHeight="1" outlineLevel="1">
      <c r="B336" s="276"/>
      <c r="C336" s="277"/>
      <c r="D336" s="278"/>
      <c r="E336" s="278"/>
      <c r="F336" s="279"/>
      <c r="G336" s="279"/>
      <c r="H336" s="279"/>
      <c r="I336" s="279"/>
      <c r="J336" s="280"/>
      <c r="K336" s="281"/>
      <c r="L336" s="281"/>
      <c r="M336" s="281"/>
      <c r="N336" s="281"/>
      <c r="O336" s="281"/>
      <c r="P336" s="281"/>
      <c r="Q336" s="281"/>
      <c r="R336" s="281"/>
      <c r="S336" s="281"/>
      <c r="T336" s="281"/>
      <c r="U336" s="282"/>
      <c r="V336" s="282"/>
      <c r="W336" s="282"/>
      <c r="X336" s="282"/>
      <c r="Y336" s="283"/>
      <c r="Z336" s="283"/>
      <c r="AA336" s="283"/>
      <c r="AB336" s="283"/>
      <c r="AC336" s="283"/>
      <c r="AD336" s="283"/>
      <c r="AE336" s="283"/>
      <c r="AF336" s="283"/>
      <c r="AG336" s="283"/>
      <c r="AH336" s="283"/>
      <c r="AI336" s="283"/>
      <c r="AJ336" s="214"/>
    </row>
    <row r="337" spans="1:36" s="214" customFormat="1" ht="43.95" customHeight="1">
      <c r="A337" s="211"/>
      <c r="B337" s="168" t="s">
        <v>33</v>
      </c>
      <c r="C337" s="249"/>
      <c r="D337" s="284" t="s">
        <v>1458</v>
      </c>
      <c r="E337" s="284" t="s">
        <v>1458</v>
      </c>
      <c r="F337" s="213" t="s">
        <v>1451</v>
      </c>
      <c r="G337" s="168">
        <f t="shared" ref="G337:AA337" si="193">G338+G339</f>
        <v>4340195.5466777198</v>
      </c>
      <c r="H337" s="168">
        <f t="shared" si="193"/>
        <v>4524715.3847899996</v>
      </c>
      <c r="I337" s="168">
        <f t="shared" si="193"/>
        <v>3846933.5668177148</v>
      </c>
      <c r="J337" s="168">
        <f t="shared" si="193"/>
        <v>4080432.8733762484</v>
      </c>
      <c r="K337" s="168">
        <f t="shared" si="193"/>
        <v>4552809.5886550127</v>
      </c>
      <c r="L337" s="168">
        <f t="shared" si="193"/>
        <v>3949467.0261025</v>
      </c>
      <c r="M337" s="168">
        <f t="shared" si="193"/>
        <v>3653826.9941067374</v>
      </c>
      <c r="N337" s="168">
        <f t="shared" si="193"/>
        <v>5167898.7823200021</v>
      </c>
      <c r="O337" s="168">
        <f t="shared" si="193"/>
        <v>4685555.3686300013</v>
      </c>
      <c r="P337" s="168">
        <f t="shared" si="193"/>
        <v>4230752.0730500324</v>
      </c>
      <c r="Q337" s="168">
        <f t="shared" si="193"/>
        <v>4233888.3025800325</v>
      </c>
      <c r="R337" s="168">
        <f t="shared" si="193"/>
        <v>4119204.6253925329</v>
      </c>
      <c r="S337" s="168">
        <f>R337-M337</f>
        <v>465377.63128579548</v>
      </c>
      <c r="T337" s="168">
        <f t="shared" si="166"/>
        <v>-566350.74323746841</v>
      </c>
      <c r="U337" s="146" t="e">
        <f>R337-#REF!</f>
        <v>#REF!</v>
      </c>
      <c r="V337" s="146">
        <f t="shared" ref="V337:V342" si="194">R337-M337</f>
        <v>465377.63128579548</v>
      </c>
      <c r="W337" s="146">
        <f t="shared" ref="W337:W342" si="195">Q337-P337</f>
        <v>3136.2295300001279</v>
      </c>
      <c r="X337" s="146" t="e">
        <f>O337-#REF!</f>
        <v>#REF!</v>
      </c>
      <c r="Y337" s="168">
        <f t="shared" si="193"/>
        <v>4163549.8480805764</v>
      </c>
      <c r="Z337" s="168">
        <f t="shared" si="193"/>
        <v>4378128.0010886323</v>
      </c>
      <c r="AA337" s="168">
        <f t="shared" si="193"/>
        <v>8619327.0266832002</v>
      </c>
      <c r="AB337" s="168">
        <f>AB338+AB339</f>
        <v>4352693.9066212196</v>
      </c>
      <c r="AC337" s="168">
        <f>AC338+AC339</f>
        <v>4387899.8914342169</v>
      </c>
      <c r="AD337" s="168">
        <f t="shared" si="171"/>
        <v>189144.05854064319</v>
      </c>
      <c r="AE337" s="168">
        <f t="shared" si="178"/>
        <v>4.5428556266196694</v>
      </c>
      <c r="AF337" s="168">
        <f t="shared" si="172"/>
        <v>-25434.09446741268</v>
      </c>
      <c r="AG337" s="168">
        <f t="shared" si="179"/>
        <v>-0.58093537834180609</v>
      </c>
      <c r="AH337" s="168">
        <f t="shared" si="173"/>
        <v>-4266633.1200619806</v>
      </c>
      <c r="AI337" s="168">
        <f t="shared" si="174"/>
        <v>-49.50076852698119</v>
      </c>
    </row>
    <row r="338" spans="1:36" ht="25.95" customHeight="1">
      <c r="A338" s="139"/>
      <c r="B338" s="143"/>
      <c r="C338" s="177"/>
      <c r="D338" s="140" t="s">
        <v>1452</v>
      </c>
      <c r="E338" s="140" t="s">
        <v>1452</v>
      </c>
      <c r="F338" s="217" t="s">
        <v>1451</v>
      </c>
      <c r="G338" s="144">
        <f t="shared" ref="G338:I338" si="196">G246</f>
        <v>1612170.9103215688</v>
      </c>
      <c r="H338" s="144">
        <f t="shared" si="196"/>
        <v>1943860.97095</v>
      </c>
      <c r="I338" s="144">
        <f t="shared" si="196"/>
        <v>1602820.2280177155</v>
      </c>
      <c r="J338" s="144">
        <f>J246</f>
        <v>1768857.1430750673</v>
      </c>
      <c r="K338" s="144">
        <f>K246</f>
        <v>2059211.8763689999</v>
      </c>
      <c r="L338" s="144">
        <f>L246</f>
        <v>1749169.1986700001</v>
      </c>
      <c r="M338" s="144">
        <f>M246</f>
        <v>1655457.4148923224</v>
      </c>
      <c r="N338" s="144">
        <f t="shared" ref="N338:AC338" si="197">N246</f>
        <v>2252764.3344800002</v>
      </c>
      <c r="O338" s="144">
        <f t="shared" si="197"/>
        <v>2161665.4932500003</v>
      </c>
      <c r="P338" s="144">
        <f t="shared" si="197"/>
        <v>2117678.8413225324</v>
      </c>
      <c r="Q338" s="144">
        <f t="shared" si="197"/>
        <v>2120815.0690725325</v>
      </c>
      <c r="R338" s="144">
        <f t="shared" si="197"/>
        <v>2016701.8244825325</v>
      </c>
      <c r="S338" s="144">
        <f t="shared" ref="S338:S342" si="198">R338-M338</f>
        <v>361244.40959021007</v>
      </c>
      <c r="T338" s="144">
        <f t="shared" si="166"/>
        <v>-144963.66876746784</v>
      </c>
      <c r="U338" s="146" t="e">
        <f>R338-#REF!</f>
        <v>#REF!</v>
      </c>
      <c r="V338" s="146">
        <f t="shared" si="194"/>
        <v>361244.40959021007</v>
      </c>
      <c r="W338" s="146">
        <f t="shared" si="195"/>
        <v>3136.2277500000782</v>
      </c>
      <c r="X338" s="146" t="e">
        <f>O338-#REF!</f>
        <v>#REF!</v>
      </c>
      <c r="Y338" s="144">
        <f t="shared" si="197"/>
        <v>1788344.6142069914</v>
      </c>
      <c r="Z338" s="144">
        <f t="shared" si="197"/>
        <v>1868820.1199230908</v>
      </c>
      <c r="AA338" s="144">
        <f t="shared" si="197"/>
        <v>4313998.9154455531</v>
      </c>
      <c r="AB338" s="144">
        <f t="shared" si="197"/>
        <v>1854248.2595059047</v>
      </c>
      <c r="AC338" s="144">
        <f t="shared" si="197"/>
        <v>1854248.2595059047</v>
      </c>
      <c r="AD338" s="144">
        <f t="shared" si="171"/>
        <v>65903.645298913354</v>
      </c>
      <c r="AE338" s="144">
        <f t="shared" si="178"/>
        <v>3.6851759317169979</v>
      </c>
      <c r="AF338" s="144">
        <f t="shared" si="172"/>
        <v>-14571.86041718605</v>
      </c>
      <c r="AG338" s="144">
        <f t="shared" si="179"/>
        <v>-0.77973584840181331</v>
      </c>
      <c r="AH338" s="144">
        <f t="shared" si="173"/>
        <v>-2459750.6559396484</v>
      </c>
      <c r="AI338" s="144">
        <f t="shared" si="174"/>
        <v>-57.017878403560132</v>
      </c>
      <c r="AJ338" s="214"/>
    </row>
    <row r="339" spans="1:36" ht="21" customHeight="1">
      <c r="A339" s="139"/>
      <c r="B339" s="143"/>
      <c r="C339" s="177"/>
      <c r="D339" s="140" t="s">
        <v>1453</v>
      </c>
      <c r="E339" s="140" t="s">
        <v>1453</v>
      </c>
      <c r="F339" s="217" t="s">
        <v>1451</v>
      </c>
      <c r="G339" s="144">
        <f>G324</f>
        <v>2728024.6363561507</v>
      </c>
      <c r="H339" s="144">
        <f t="shared" ref="H339:I339" si="199">H324</f>
        <v>2580854.4138399996</v>
      </c>
      <c r="I339" s="144">
        <f t="shared" si="199"/>
        <v>2244113.3387999996</v>
      </c>
      <c r="J339" s="144">
        <f>J324</f>
        <v>2311575.7303011813</v>
      </c>
      <c r="K339" s="144">
        <f>K324</f>
        <v>2493597.7122860127</v>
      </c>
      <c r="L339" s="144">
        <f>L324</f>
        <v>2200297.8274325002</v>
      </c>
      <c r="M339" s="144">
        <f>M324</f>
        <v>1998369.579214415</v>
      </c>
      <c r="N339" s="144">
        <f t="shared" ref="N339:AA339" si="200">N324</f>
        <v>2915134.4478400019</v>
      </c>
      <c r="O339" s="144">
        <f t="shared" si="200"/>
        <v>2523889.875380001</v>
      </c>
      <c r="P339" s="144">
        <f t="shared" si="200"/>
        <v>2113073.2317275</v>
      </c>
      <c r="Q339" s="144">
        <f t="shared" si="200"/>
        <v>2113073.2335075</v>
      </c>
      <c r="R339" s="144">
        <f t="shared" si="200"/>
        <v>2102502.8009100002</v>
      </c>
      <c r="S339" s="144">
        <f t="shared" si="198"/>
        <v>104133.22169558518</v>
      </c>
      <c r="T339" s="144">
        <f t="shared" si="166"/>
        <v>-421387.07447000081</v>
      </c>
      <c r="U339" s="146" t="e">
        <f>R339-#REF!</f>
        <v>#REF!</v>
      </c>
      <c r="V339" s="146">
        <f t="shared" si="194"/>
        <v>104133.22169558518</v>
      </c>
      <c r="W339" s="146">
        <f t="shared" si="195"/>
        <v>1.7800000496208668E-3</v>
      </c>
      <c r="X339" s="146" t="e">
        <f>O339-#REF!</f>
        <v>#REF!</v>
      </c>
      <c r="Y339" s="144">
        <f t="shared" si="200"/>
        <v>2375205.2338735852</v>
      </c>
      <c r="Z339" s="144">
        <f t="shared" si="200"/>
        <v>2509307.8811655412</v>
      </c>
      <c r="AA339" s="144">
        <f t="shared" si="200"/>
        <v>4305328.111237647</v>
      </c>
      <c r="AB339" s="144">
        <f>AB324</f>
        <v>2498445.6471153144</v>
      </c>
      <c r="AC339" s="144">
        <f>AC324</f>
        <v>2533651.6319283121</v>
      </c>
      <c r="AD339" s="144">
        <f t="shared" si="171"/>
        <v>123240.41324172914</v>
      </c>
      <c r="AE339" s="144">
        <f t="shared" si="178"/>
        <v>5.1886216603162154</v>
      </c>
      <c r="AF339" s="144">
        <f t="shared" si="172"/>
        <v>-10862.234050226863</v>
      </c>
      <c r="AG339" s="144">
        <f t="shared" si="179"/>
        <v>-0.43287769236118834</v>
      </c>
      <c r="AH339" s="144">
        <f t="shared" si="173"/>
        <v>-1806882.4641223326</v>
      </c>
      <c r="AI339" s="144">
        <f t="shared" si="174"/>
        <v>-41.968519412168817</v>
      </c>
      <c r="AJ339" s="214"/>
    </row>
    <row r="340" spans="1:36" s="214" customFormat="1" ht="66.75" customHeight="1" collapsed="1">
      <c r="A340" s="211"/>
      <c r="B340" s="168" t="s">
        <v>52</v>
      </c>
      <c r="C340" s="249"/>
      <c r="D340" s="284" t="s">
        <v>1459</v>
      </c>
      <c r="E340" s="284" t="s">
        <v>1459</v>
      </c>
      <c r="F340" s="213" t="s">
        <v>1451</v>
      </c>
      <c r="G340" s="168">
        <f t="shared" ref="G340" si="201">G341+G342</f>
        <v>4013366.0766777201</v>
      </c>
      <c r="H340" s="168">
        <f>H341+H342</f>
        <v>4430224.3847899996</v>
      </c>
      <c r="I340" s="168">
        <f t="shared" ref="I340" si="202">I341+I342</f>
        <v>3846933.5668177148</v>
      </c>
      <c r="J340" s="168">
        <f>J341+J342</f>
        <v>3665802.9541833797</v>
      </c>
      <c r="K340" s="168">
        <f>K341+K342</f>
        <v>4471289.658655012</v>
      </c>
      <c r="L340" s="168">
        <f t="shared" ref="L340:AC340" si="203">L341+L342</f>
        <v>3949467.0261025</v>
      </c>
      <c r="M340" s="168">
        <f t="shared" si="203"/>
        <v>3589630.2141067376</v>
      </c>
      <c r="N340" s="168">
        <f t="shared" si="203"/>
        <v>4905585.5022900002</v>
      </c>
      <c r="O340" s="168">
        <f t="shared" si="203"/>
        <v>4583818.5855</v>
      </c>
      <c r="P340" s="168">
        <f t="shared" si="203"/>
        <v>4166555.2930500321</v>
      </c>
      <c r="Q340" s="168">
        <f t="shared" si="203"/>
        <v>4169691.5225800322</v>
      </c>
      <c r="R340" s="168">
        <f t="shared" si="203"/>
        <v>4055007.8453925326</v>
      </c>
      <c r="S340" s="168">
        <f t="shared" si="198"/>
        <v>465377.63128579501</v>
      </c>
      <c r="T340" s="168">
        <f t="shared" si="166"/>
        <v>-528810.7401074674</v>
      </c>
      <c r="U340" s="146" t="e">
        <f>R340-#REF!</f>
        <v>#REF!</v>
      </c>
      <c r="V340" s="146">
        <f t="shared" si="194"/>
        <v>465377.63128579501</v>
      </c>
      <c r="W340" s="146">
        <f t="shared" si="195"/>
        <v>3136.2295300001279</v>
      </c>
      <c r="X340" s="146" t="e">
        <f>O340-#REF!</f>
        <v>#REF!</v>
      </c>
      <c r="Y340" s="168">
        <f t="shared" si="203"/>
        <v>3826951.2123611686</v>
      </c>
      <c r="Z340" s="168">
        <f t="shared" si="203"/>
        <v>4023542.2446277346</v>
      </c>
      <c r="AA340" s="168">
        <f t="shared" si="203"/>
        <v>7843570.7885442283</v>
      </c>
      <c r="AB340" s="168">
        <f t="shared" si="203"/>
        <v>3996712.6912652203</v>
      </c>
      <c r="AC340" s="168">
        <f t="shared" si="203"/>
        <v>4028324.9924379536</v>
      </c>
      <c r="AD340" s="168">
        <f t="shared" si="171"/>
        <v>169761.47890405171</v>
      </c>
      <c r="AE340" s="168">
        <f t="shared" si="178"/>
        <v>4.4359457302647769</v>
      </c>
      <c r="AF340" s="168">
        <f t="shared" si="172"/>
        <v>-26829.553362514358</v>
      </c>
      <c r="AG340" s="168">
        <f t="shared" si="179"/>
        <v>-0.66681425796727467</v>
      </c>
      <c r="AH340" s="168">
        <f t="shared" si="173"/>
        <v>-3846858.097279008</v>
      </c>
      <c r="AI340" s="168">
        <f t="shared" si="174"/>
        <v>-49.044729766415315</v>
      </c>
    </row>
    <row r="341" spans="1:36" ht="25.95" customHeight="1">
      <c r="A341" s="139"/>
      <c r="B341" s="143"/>
      <c r="C341" s="177"/>
      <c r="D341" s="140" t="s">
        <v>1452</v>
      </c>
      <c r="E341" s="140" t="s">
        <v>1452</v>
      </c>
      <c r="F341" s="217" t="s">
        <v>1451</v>
      </c>
      <c r="G341" s="144">
        <f t="shared" ref="G341:I341" si="204">G246</f>
        <v>1612170.9103215688</v>
      </c>
      <c r="H341" s="144">
        <f t="shared" si="204"/>
        <v>1943860.97095</v>
      </c>
      <c r="I341" s="144">
        <f t="shared" si="204"/>
        <v>1602820.2280177155</v>
      </c>
      <c r="J341" s="144">
        <f>J246</f>
        <v>1768857.1430750673</v>
      </c>
      <c r="K341" s="144">
        <f>K246</f>
        <v>2059211.8763689999</v>
      </c>
      <c r="L341" s="144">
        <f>L246</f>
        <v>1749169.1986700001</v>
      </c>
      <c r="M341" s="144">
        <f>M246</f>
        <v>1655457.4148923224</v>
      </c>
      <c r="N341" s="144">
        <f t="shared" ref="N341:AC341" si="205">N246</f>
        <v>2252764.3344800002</v>
      </c>
      <c r="O341" s="144">
        <f t="shared" si="205"/>
        <v>2161665.4932500003</v>
      </c>
      <c r="P341" s="144">
        <f t="shared" si="205"/>
        <v>2117678.8413225324</v>
      </c>
      <c r="Q341" s="144">
        <f t="shared" si="205"/>
        <v>2120815.0690725325</v>
      </c>
      <c r="R341" s="144">
        <f t="shared" si="205"/>
        <v>2016701.8244825325</v>
      </c>
      <c r="S341" s="144">
        <f t="shared" si="198"/>
        <v>361244.40959021007</v>
      </c>
      <c r="T341" s="144">
        <f t="shared" si="166"/>
        <v>-144963.66876746784</v>
      </c>
      <c r="U341" s="146" t="e">
        <f>R341-#REF!</f>
        <v>#REF!</v>
      </c>
      <c r="V341" s="146">
        <f t="shared" si="194"/>
        <v>361244.40959021007</v>
      </c>
      <c r="W341" s="146">
        <f t="shared" si="195"/>
        <v>3136.2277500000782</v>
      </c>
      <c r="X341" s="146" t="e">
        <f>O341-#REF!</f>
        <v>#REF!</v>
      </c>
      <c r="Y341" s="144">
        <f t="shared" si="205"/>
        <v>1788344.6142069914</v>
      </c>
      <c r="Z341" s="144">
        <f t="shared" si="205"/>
        <v>1868820.1199230908</v>
      </c>
      <c r="AA341" s="144">
        <f t="shared" si="205"/>
        <v>4313998.9154455531</v>
      </c>
      <c r="AB341" s="144">
        <f t="shared" si="205"/>
        <v>1854248.2595059047</v>
      </c>
      <c r="AC341" s="144">
        <f t="shared" si="205"/>
        <v>1854248.2595059047</v>
      </c>
      <c r="AD341" s="144">
        <f t="shared" si="171"/>
        <v>65903.645298913354</v>
      </c>
      <c r="AE341" s="144">
        <f t="shared" si="178"/>
        <v>3.6851759317169979</v>
      </c>
      <c r="AF341" s="144">
        <f t="shared" si="172"/>
        <v>-14571.86041718605</v>
      </c>
      <c r="AG341" s="144">
        <f t="shared" si="179"/>
        <v>-0.77973584840181331</v>
      </c>
      <c r="AH341" s="144">
        <f t="shared" si="173"/>
        <v>-2459750.6559396484</v>
      </c>
      <c r="AI341" s="144">
        <f t="shared" si="174"/>
        <v>-57.017878403560132</v>
      </c>
      <c r="AJ341" s="214"/>
    </row>
    <row r="342" spans="1:36" ht="22.95" customHeight="1">
      <c r="A342" s="139"/>
      <c r="B342" s="143"/>
      <c r="C342" s="177"/>
      <c r="D342" s="140" t="s">
        <v>1453</v>
      </c>
      <c r="E342" s="140" t="s">
        <v>1453</v>
      </c>
      <c r="F342" s="217" t="s">
        <v>1451</v>
      </c>
      <c r="G342" s="144">
        <f t="shared" ref="G342" si="206">G321-G275-G276</f>
        <v>2401195.166356151</v>
      </c>
      <c r="H342" s="144">
        <f>H321-H275-H276</f>
        <v>2486363.4138399996</v>
      </c>
      <c r="I342" s="144">
        <f t="shared" ref="I342" si="207">I321-I275-I276</f>
        <v>2244113.3387999996</v>
      </c>
      <c r="J342" s="144">
        <f>J321-J275-J276</f>
        <v>1896945.8111083123</v>
      </c>
      <c r="K342" s="144">
        <f>K321-K275-K276</f>
        <v>2412077.7822860125</v>
      </c>
      <c r="L342" s="144">
        <f>L321-L275-L276</f>
        <v>2200297.8274325002</v>
      </c>
      <c r="M342" s="144">
        <f>M321-M275-M276</f>
        <v>1934172.799214415</v>
      </c>
      <c r="N342" s="144">
        <f t="shared" ref="N342:AC342" si="208">N321-N275-N276</f>
        <v>2652821.16781</v>
      </c>
      <c r="O342" s="144">
        <f t="shared" si="208"/>
        <v>2422153.0922500002</v>
      </c>
      <c r="P342" s="144">
        <f t="shared" si="208"/>
        <v>2048876.4517275</v>
      </c>
      <c r="Q342" s="144">
        <f t="shared" si="208"/>
        <v>2048876.4535075</v>
      </c>
      <c r="R342" s="144">
        <f t="shared" si="208"/>
        <v>2038306.0209100002</v>
      </c>
      <c r="S342" s="144">
        <f t="shared" si="198"/>
        <v>104133.22169558518</v>
      </c>
      <c r="T342" s="144">
        <f t="shared" si="166"/>
        <v>-383847.07134000002</v>
      </c>
      <c r="U342" s="146" t="e">
        <f>R342-#REF!</f>
        <v>#REF!</v>
      </c>
      <c r="V342" s="146">
        <f t="shared" si="194"/>
        <v>104133.22169558518</v>
      </c>
      <c r="W342" s="146">
        <f t="shared" si="195"/>
        <v>1.7800000496208668E-3</v>
      </c>
      <c r="X342" s="146" t="e">
        <f>O342-#REF!</f>
        <v>#REF!</v>
      </c>
      <c r="Y342" s="144">
        <f t="shared" si="208"/>
        <v>2038606.5981541772</v>
      </c>
      <c r="Z342" s="144">
        <f t="shared" si="208"/>
        <v>2154722.1247046441</v>
      </c>
      <c r="AA342" s="144">
        <f t="shared" si="208"/>
        <v>3529571.8730986752</v>
      </c>
      <c r="AB342" s="144">
        <f t="shared" si="208"/>
        <v>2142464.4317593155</v>
      </c>
      <c r="AC342" s="144">
        <f t="shared" si="208"/>
        <v>2174076.7329320488</v>
      </c>
      <c r="AD342" s="144">
        <f t="shared" si="171"/>
        <v>103857.83360513835</v>
      </c>
      <c r="AE342" s="144">
        <f t="shared" si="178"/>
        <v>5.0945500568464013</v>
      </c>
      <c r="AF342" s="144">
        <f t="shared" si="172"/>
        <v>-12257.692945328541</v>
      </c>
      <c r="AG342" s="144">
        <f t="shared" si="179"/>
        <v>-0.56887581023974576</v>
      </c>
      <c r="AH342" s="144">
        <f t="shared" si="173"/>
        <v>-1387107.4413393596</v>
      </c>
      <c r="AI342" s="144">
        <f t="shared" si="174"/>
        <v>-39.299594716046762</v>
      </c>
      <c r="AJ342" s="214"/>
    </row>
    <row r="343" spans="1:36" ht="33" customHeight="1" outlineLevel="1">
      <c r="A343" s="285"/>
      <c r="B343" s="286"/>
      <c r="C343" s="287"/>
      <c r="D343" s="287" t="s">
        <v>1460</v>
      </c>
      <c r="E343" s="288"/>
      <c r="F343" s="289"/>
      <c r="G343" s="290">
        <f t="shared" ref="G343:L343" si="209">G29+G95+G113+G129-G201-G202-G203-G204+G245+G247+G248+G249+G262+G278+G279</f>
        <v>3750327.9354799693</v>
      </c>
      <c r="H343" s="290">
        <f t="shared" si="209"/>
        <v>3729222.3847899996</v>
      </c>
      <c r="I343" s="290">
        <f t="shared" si="209"/>
        <v>3622202.3768177154</v>
      </c>
      <c r="J343" s="290">
        <f t="shared" si="209"/>
        <v>3360270.9382638289</v>
      </c>
      <c r="K343" s="290">
        <f t="shared" si="209"/>
        <v>3828852.9561360129</v>
      </c>
      <c r="L343" s="290">
        <f t="shared" si="209"/>
        <v>3756427.1488900003</v>
      </c>
      <c r="M343" s="290">
        <f>M29+M95+M113+M129-M201-M202-M203-M204+M245+M247+M248+M249+M262+M278+M279</f>
        <v>3366322.6399237332</v>
      </c>
      <c r="N343" s="290">
        <f t="shared" ref="N343:R343" si="210">N29+N95+N113+N129-N201-N202-N203-N204+N245+N247+N248+N249+N262+N278+N279</f>
        <v>3793847.75538</v>
      </c>
      <c r="O343" s="290">
        <f t="shared" si="210"/>
        <v>3690864.4627100006</v>
      </c>
      <c r="P343" s="290">
        <f t="shared" si="210"/>
        <v>3646820.4260425325</v>
      </c>
      <c r="Q343" s="290">
        <f t="shared" si="210"/>
        <v>3649956.6555725327</v>
      </c>
      <c r="R343" s="290">
        <f t="shared" si="210"/>
        <v>3630700.3747625328</v>
      </c>
      <c r="S343" s="290"/>
      <c r="T343" s="290"/>
      <c r="U343" s="290"/>
      <c r="V343" s="290"/>
      <c r="W343" s="290"/>
      <c r="X343" s="290"/>
      <c r="Y343" s="290">
        <f t="shared" ref="Y343:AC343" si="211">Y29+Y95+Y113+Y129-Y201-Y202-Y203-Y204+Y245+Y247+Y248+Y249+Y262+Y278+Y279</f>
        <v>3538623.1463313159</v>
      </c>
      <c r="Z343" s="290">
        <f t="shared" si="211"/>
        <v>3721529.3700930108</v>
      </c>
      <c r="AA343" s="290">
        <f t="shared" si="211"/>
        <v>6393937.4363019876</v>
      </c>
      <c r="AB343" s="290">
        <f t="shared" si="211"/>
        <v>3696014.6468100087</v>
      </c>
      <c r="AC343" s="290">
        <f t="shared" si="211"/>
        <v>3726728.527072676</v>
      </c>
      <c r="AD343" s="290"/>
    </row>
    <row r="344" spans="1:36" ht="33" customHeight="1" outlineLevel="1">
      <c r="A344" s="285"/>
      <c r="B344" s="286"/>
      <c r="C344" s="287"/>
      <c r="D344" s="287"/>
      <c r="E344" s="288"/>
      <c r="F344" s="289"/>
      <c r="G344" s="290"/>
      <c r="H344" s="290"/>
      <c r="I344" s="290"/>
      <c r="J344" s="290"/>
      <c r="K344" s="290"/>
      <c r="L344" s="290"/>
      <c r="M344" s="290">
        <f>'[66]3. НВВ '!M234</f>
        <v>3366322.6399237323</v>
      </c>
      <c r="N344" s="290">
        <f>'[66]3. НВВ '!N234</f>
        <v>3793845.75538</v>
      </c>
      <c r="O344" s="290">
        <f>'[66]3. НВВ '!O234</f>
        <v>3690864.4627100006</v>
      </c>
      <c r="P344" s="290">
        <f>'[66]3. НВВ '!P234</f>
        <v>3646820.4260425325</v>
      </c>
      <c r="Q344" s="290">
        <f>'[66]3. НВВ '!Q234</f>
        <v>3649956.6555725327</v>
      </c>
      <c r="R344" s="290">
        <f>'[66]3. НВВ '!R234</f>
        <v>3630700.3747625328</v>
      </c>
      <c r="S344" s="290"/>
      <c r="T344" s="290"/>
      <c r="U344" s="290" t="e">
        <f>'[66]3. НВВ '!U234</f>
        <v>#REF!</v>
      </c>
      <c r="V344" s="290" t="e">
        <f>'[66]3. НВВ '!V234</f>
        <v>#REF!</v>
      </c>
      <c r="W344" s="290" t="e">
        <f>'[66]3. НВВ '!W234</f>
        <v>#REF!</v>
      </c>
      <c r="X344" s="290" t="e">
        <f>'[66]3. НВВ '!X234</f>
        <v>#REF!</v>
      </c>
      <c r="Y344" s="290"/>
      <c r="Z344" s="290"/>
      <c r="AA344" s="290"/>
    </row>
    <row r="345" spans="1:36" ht="29.25" customHeight="1" thickBot="1">
      <c r="A345" s="285"/>
      <c r="B345" s="1309" t="s">
        <v>1461</v>
      </c>
      <c r="C345" s="1309"/>
      <c r="D345" s="1309"/>
      <c r="E345" s="1309"/>
      <c r="F345" s="1309"/>
      <c r="G345" s="1309"/>
      <c r="H345" s="1309"/>
      <c r="I345" s="1309"/>
      <c r="J345" s="1309"/>
      <c r="K345" s="1309"/>
      <c r="L345" s="1309"/>
      <c r="M345" s="1309"/>
      <c r="N345" s="1309"/>
      <c r="O345" s="1309"/>
      <c r="P345" s="1309"/>
      <c r="Q345" s="1309"/>
      <c r="R345" s="1309"/>
      <c r="S345" s="1309"/>
      <c r="T345" s="1309"/>
      <c r="U345" s="1309"/>
      <c r="V345" s="1309"/>
      <c r="W345" s="1309"/>
      <c r="X345" s="1309"/>
      <c r="Y345" s="1309"/>
      <c r="Z345" s="1309"/>
      <c r="AA345" s="1309"/>
      <c r="AB345" s="1309"/>
      <c r="AC345" s="291"/>
    </row>
    <row r="346" spans="1:36" ht="33" customHeight="1">
      <c r="A346" s="258"/>
      <c r="B346" s="292" t="s">
        <v>1</v>
      </c>
      <c r="C346" s="293"/>
      <c r="D346" s="294" t="s">
        <v>1462</v>
      </c>
      <c r="E346" s="294" t="s">
        <v>1462</v>
      </c>
      <c r="F346" s="295" t="s">
        <v>1451</v>
      </c>
      <c r="G346" s="295"/>
      <c r="H346" s="295"/>
      <c r="I346" s="295"/>
      <c r="J346" s="296">
        <f>J247</f>
        <v>266480.56591900397</v>
      </c>
      <c r="K346" s="296">
        <f>K247</f>
        <v>252116.268376013</v>
      </c>
      <c r="L346" s="296">
        <f>L247</f>
        <v>252116.27</v>
      </c>
      <c r="M346" s="296">
        <f>M248</f>
        <v>206057.33</v>
      </c>
      <c r="N346" s="296">
        <f t="shared" ref="N346:AC346" si="212">N248</f>
        <v>321828.63365999999</v>
      </c>
      <c r="O346" s="296">
        <f t="shared" si="212"/>
        <v>320542.03473999997</v>
      </c>
      <c r="P346" s="296">
        <f t="shared" si="212"/>
        <v>320484.65000000002</v>
      </c>
      <c r="Q346" s="296">
        <f t="shared" si="212"/>
        <v>320484.65000000002</v>
      </c>
      <c r="R346" s="296">
        <f t="shared" si="212"/>
        <v>320484.65000000002</v>
      </c>
      <c r="S346" s="296">
        <f t="shared" si="212"/>
        <v>114427.32000000004</v>
      </c>
      <c r="T346" s="296">
        <f t="shared" si="212"/>
        <v>-57.384739999950398</v>
      </c>
      <c r="U346" s="296" t="e">
        <f t="shared" si="212"/>
        <v>#REF!</v>
      </c>
      <c r="V346" s="296">
        <f t="shared" si="212"/>
        <v>114427.32000000004</v>
      </c>
      <c r="W346" s="296">
        <f t="shared" si="212"/>
        <v>0</v>
      </c>
      <c r="X346" s="296" t="e">
        <f t="shared" si="212"/>
        <v>#REF!</v>
      </c>
      <c r="Y346" s="296">
        <f t="shared" si="212"/>
        <v>297196.02</v>
      </c>
      <c r="Z346" s="296">
        <f t="shared" si="212"/>
        <v>334238.02499999997</v>
      </c>
      <c r="AA346" s="296">
        <f t="shared" si="212"/>
        <v>973491.73</v>
      </c>
      <c r="AB346" s="296">
        <f t="shared" si="212"/>
        <v>356306</v>
      </c>
      <c r="AC346" s="296">
        <f t="shared" si="212"/>
        <v>356306</v>
      </c>
      <c r="AD346" s="296">
        <f t="shared" ref="AD346:AD350" si="213">AB346-Y346</f>
        <v>59109.979999999981</v>
      </c>
      <c r="AE346" s="296">
        <f t="shared" ref="AE346:AE350" si="214">AB346/Y346*100-100</f>
        <v>19.889223280984709</v>
      </c>
      <c r="AF346" s="296">
        <f t="shared" ref="AF346:AF350" si="215">AB346-Z346</f>
        <v>22067.975000000035</v>
      </c>
      <c r="AG346" s="296">
        <f t="shared" ref="AG346:AG350" si="216">AB346/Z346*100-100</f>
        <v>6.6024728933819148</v>
      </c>
      <c r="AH346" s="296">
        <f t="shared" ref="AH346:AH350" si="217">AB346-AA346</f>
        <v>-617185.73</v>
      </c>
      <c r="AI346" s="296">
        <f t="shared" ref="AI346:AI350" si="218">AB346/AA346*100-100</f>
        <v>-63.399175460894774</v>
      </c>
    </row>
    <row r="347" spans="1:36" ht="33" customHeight="1">
      <c r="A347" s="258"/>
      <c r="B347" s="297" t="s">
        <v>6</v>
      </c>
      <c r="C347" s="177"/>
      <c r="D347" s="232" t="s">
        <v>1463</v>
      </c>
      <c r="E347" s="232" t="s">
        <v>1463</v>
      </c>
      <c r="F347" s="178" t="s">
        <v>1451</v>
      </c>
      <c r="G347" s="178"/>
      <c r="H347" s="178"/>
      <c r="I347" s="178"/>
      <c r="J347" s="143">
        <f t="shared" ref="J347:L347" si="219">J275</f>
        <v>450143.9</v>
      </c>
      <c r="K347" s="143">
        <f t="shared" si="219"/>
        <v>0</v>
      </c>
      <c r="L347" s="143">
        <f t="shared" si="219"/>
        <v>0</v>
      </c>
      <c r="M347" s="143">
        <f>M276</f>
        <v>64196.78</v>
      </c>
      <c r="N347" s="143">
        <f t="shared" ref="N347:AC347" si="220">N276</f>
        <v>262313.280030002</v>
      </c>
      <c r="O347" s="143">
        <f t="shared" si="220"/>
        <v>101736.78313000068</v>
      </c>
      <c r="P347" s="143">
        <f t="shared" si="220"/>
        <v>64196.78</v>
      </c>
      <c r="Q347" s="143">
        <f t="shared" si="220"/>
        <v>64196.78</v>
      </c>
      <c r="R347" s="143">
        <f t="shared" si="220"/>
        <v>64196.78</v>
      </c>
      <c r="S347" s="143">
        <f t="shared" si="220"/>
        <v>0</v>
      </c>
      <c r="T347" s="143">
        <f t="shared" si="220"/>
        <v>-37540.003130000681</v>
      </c>
      <c r="U347" s="143" t="e">
        <f t="shared" si="220"/>
        <v>#REF!</v>
      </c>
      <c r="V347" s="143">
        <f t="shared" si="220"/>
        <v>0</v>
      </c>
      <c r="W347" s="143">
        <f t="shared" si="220"/>
        <v>0</v>
      </c>
      <c r="X347" s="143" t="e">
        <f t="shared" si="220"/>
        <v>#REF!</v>
      </c>
      <c r="Y347" s="143">
        <f t="shared" si="220"/>
        <v>336598.63571940805</v>
      </c>
      <c r="Z347" s="143">
        <f t="shared" si="220"/>
        <v>354585.75646089728</v>
      </c>
      <c r="AA347" s="143">
        <f t="shared" si="220"/>
        <v>775756.23813897197</v>
      </c>
      <c r="AB347" s="143">
        <f t="shared" si="220"/>
        <v>355981.21535599872</v>
      </c>
      <c r="AC347" s="143">
        <f t="shared" si="220"/>
        <v>359574.89899626304</v>
      </c>
      <c r="AD347" s="143">
        <f t="shared" si="213"/>
        <v>19382.579636590672</v>
      </c>
      <c r="AE347" s="143">
        <f t="shared" si="214"/>
        <v>5.7583654773776942</v>
      </c>
      <c r="AF347" s="143">
        <f t="shared" si="215"/>
        <v>1395.4588951014448</v>
      </c>
      <c r="AG347" s="143">
        <f t="shared" si="216"/>
        <v>0.3935462351983432</v>
      </c>
      <c r="AH347" s="143">
        <f t="shared" si="217"/>
        <v>-419775.02278297325</v>
      </c>
      <c r="AI347" s="143">
        <f t="shared" si="218"/>
        <v>-54.111717334043938</v>
      </c>
    </row>
    <row r="348" spans="1:36">
      <c r="A348" s="258"/>
      <c r="B348" s="297"/>
      <c r="C348" s="177"/>
      <c r="D348" s="298" t="s">
        <v>1464</v>
      </c>
      <c r="E348" s="142" t="s">
        <v>1464</v>
      </c>
      <c r="F348" s="217" t="s">
        <v>1451</v>
      </c>
      <c r="G348" s="217"/>
      <c r="H348" s="217"/>
      <c r="I348" s="217"/>
      <c r="J348" s="144">
        <f>J346+J347</f>
        <v>716624.46591900405</v>
      </c>
      <c r="K348" s="144">
        <f t="shared" ref="K348:R349" si="221">K346+K347</f>
        <v>252116.268376013</v>
      </c>
      <c r="L348" s="144">
        <f t="shared" si="221"/>
        <v>252116.27</v>
      </c>
      <c r="M348" s="144">
        <f t="shared" si="221"/>
        <v>270254.11</v>
      </c>
      <c r="N348" s="144">
        <f t="shared" si="221"/>
        <v>584141.91369000194</v>
      </c>
      <c r="O348" s="144">
        <f t="shared" si="221"/>
        <v>422278.81787000067</v>
      </c>
      <c r="P348" s="144">
        <f t="shared" si="221"/>
        <v>384681.43000000005</v>
      </c>
      <c r="Q348" s="144">
        <f t="shared" si="221"/>
        <v>384681.43000000005</v>
      </c>
      <c r="R348" s="144">
        <f t="shared" si="221"/>
        <v>384681.43000000005</v>
      </c>
      <c r="S348" s="144">
        <f t="shared" ref="S348" si="222">R348-M348</f>
        <v>114427.32000000007</v>
      </c>
      <c r="T348" s="144">
        <f t="shared" ref="T348" si="223">R348-O348</f>
        <v>-37597.387870000617</v>
      </c>
      <c r="U348" s="144" t="e">
        <f>R348-#REF!</f>
        <v>#REF!</v>
      </c>
      <c r="V348" s="144">
        <f t="shared" ref="V348" si="224">Q348-P348</f>
        <v>0</v>
      </c>
      <c r="W348" s="144">
        <f t="shared" ref="W348" si="225">Q348-P348</f>
        <v>0</v>
      </c>
      <c r="X348" s="144" t="e">
        <f>O348-#REF!</f>
        <v>#REF!</v>
      </c>
      <c r="Y348" s="144">
        <f t="shared" ref="Y348:AC348" si="226">Y346+Y347</f>
        <v>633794.65571940807</v>
      </c>
      <c r="Z348" s="144">
        <f t="shared" si="226"/>
        <v>688823.7814608973</v>
      </c>
      <c r="AA348" s="144">
        <f t="shared" si="226"/>
        <v>1749247.9681389718</v>
      </c>
      <c r="AB348" s="299">
        <f t="shared" si="226"/>
        <v>712287.21535599872</v>
      </c>
      <c r="AC348" s="299">
        <f t="shared" si="226"/>
        <v>715880.89899626304</v>
      </c>
      <c r="AD348" s="299">
        <f t="shared" si="213"/>
        <v>78492.559636590653</v>
      </c>
      <c r="AE348" s="299">
        <f t="shared" si="214"/>
        <v>12.384541101485809</v>
      </c>
      <c r="AF348" s="299">
        <f t="shared" si="215"/>
        <v>23463.433895101422</v>
      </c>
      <c r="AG348" s="299">
        <f t="shared" si="216"/>
        <v>3.4063042720939194</v>
      </c>
      <c r="AH348" s="299">
        <f t="shared" si="217"/>
        <v>-1036960.7527829731</v>
      </c>
      <c r="AI348" s="299">
        <f t="shared" si="218"/>
        <v>-59.280374862244237</v>
      </c>
    </row>
    <row r="349" spans="1:36" ht="33" customHeight="1">
      <c r="A349" s="258"/>
      <c r="B349" s="297" t="s">
        <v>16</v>
      </c>
      <c r="C349" s="177"/>
      <c r="D349" s="232" t="s">
        <v>65</v>
      </c>
      <c r="E349" s="142" t="s">
        <v>1464</v>
      </c>
      <c r="F349" s="178" t="s">
        <v>1451</v>
      </c>
      <c r="G349" s="178"/>
      <c r="H349" s="178"/>
      <c r="I349" s="178"/>
      <c r="J349" s="143">
        <f>J347+J348</f>
        <v>1166768.3659190042</v>
      </c>
      <c r="K349" s="143">
        <f t="shared" si="221"/>
        <v>252116.268376013</v>
      </c>
      <c r="L349" s="143">
        <f t="shared" si="221"/>
        <v>252116.27</v>
      </c>
      <c r="M349" s="143">
        <f>M250+M251+M252+M253</f>
        <v>982478.72407</v>
      </c>
      <c r="N349" s="143">
        <f t="shared" ref="N349:AC349" si="227">N250+N251+N252+N253</f>
        <v>997525.12860000005</v>
      </c>
      <c r="O349" s="143">
        <f t="shared" si="227"/>
        <v>997511.13563999999</v>
      </c>
      <c r="P349" s="143">
        <f t="shared" si="227"/>
        <v>997511.13563999999</v>
      </c>
      <c r="Q349" s="143">
        <f t="shared" si="227"/>
        <v>997511.13563999999</v>
      </c>
      <c r="R349" s="143">
        <f t="shared" si="227"/>
        <v>997511.13563999999</v>
      </c>
      <c r="S349" s="143">
        <f t="shared" si="227"/>
        <v>15032.41157000004</v>
      </c>
      <c r="T349" s="143">
        <f t="shared" si="227"/>
        <v>0</v>
      </c>
      <c r="U349" s="143" t="e">
        <f t="shared" si="227"/>
        <v>#REF!</v>
      </c>
      <c r="V349" s="143">
        <f t="shared" si="227"/>
        <v>15032.41157000004</v>
      </c>
      <c r="W349" s="143">
        <f t="shared" si="227"/>
        <v>0</v>
      </c>
      <c r="X349" s="143" t="e">
        <f t="shared" si="227"/>
        <v>#REF!</v>
      </c>
      <c r="Y349" s="143">
        <f t="shared" si="227"/>
        <v>854597.19026000006</v>
      </c>
      <c r="Z349" s="143">
        <f t="shared" si="227"/>
        <v>893054.06382169994</v>
      </c>
      <c r="AA349" s="143">
        <f t="shared" si="227"/>
        <v>1062456.3841432203</v>
      </c>
      <c r="AB349" s="143">
        <f t="shared" si="227"/>
        <v>855691.4</v>
      </c>
      <c r="AC349" s="143">
        <f t="shared" si="227"/>
        <v>855691.4</v>
      </c>
      <c r="AD349" s="143">
        <f t="shared" si="213"/>
        <v>1094.209739999962</v>
      </c>
      <c r="AE349" s="143">
        <f t="shared" si="214"/>
        <v>0.12803806898394043</v>
      </c>
      <c r="AF349" s="143">
        <f t="shared" si="215"/>
        <v>-37362.663821699913</v>
      </c>
      <c r="AG349" s="143">
        <f t="shared" si="216"/>
        <v>-4.1836956277665536</v>
      </c>
      <c r="AH349" s="143">
        <f t="shared" si="217"/>
        <v>-206764.98414322024</v>
      </c>
      <c r="AI349" s="143">
        <f t="shared" si="218"/>
        <v>-19.461032681351753</v>
      </c>
    </row>
    <row r="350" spans="1:36" ht="17.25" customHeight="1" collapsed="1" thickBot="1">
      <c r="B350" s="297"/>
      <c r="C350" s="177"/>
      <c r="D350" s="298" t="s">
        <v>1465</v>
      </c>
      <c r="E350" s="300"/>
      <c r="F350" s="217" t="s">
        <v>1451</v>
      </c>
      <c r="G350" s="217"/>
      <c r="H350" s="217"/>
      <c r="I350" s="217"/>
      <c r="J350" s="144"/>
      <c r="K350" s="144"/>
      <c r="L350" s="144"/>
      <c r="M350" s="144">
        <f>M348+M349</f>
        <v>1252732.8340699999</v>
      </c>
      <c r="N350" s="144">
        <f t="shared" ref="N350:AC350" si="228">N348+N349</f>
        <v>1581667.0422900021</v>
      </c>
      <c r="O350" s="144">
        <f t="shared" si="228"/>
        <v>1419789.9535100006</v>
      </c>
      <c r="P350" s="144">
        <f t="shared" si="228"/>
        <v>1382192.5656400002</v>
      </c>
      <c r="Q350" s="144">
        <f t="shared" si="228"/>
        <v>1382192.5656400002</v>
      </c>
      <c r="R350" s="144">
        <f t="shared" si="228"/>
        <v>1382192.5656400002</v>
      </c>
      <c r="S350" s="144">
        <f t="shared" si="228"/>
        <v>129459.73157000011</v>
      </c>
      <c r="T350" s="144">
        <f t="shared" si="228"/>
        <v>-37597.387870000617</v>
      </c>
      <c r="U350" s="144" t="e">
        <f t="shared" si="228"/>
        <v>#REF!</v>
      </c>
      <c r="V350" s="144">
        <f t="shared" si="228"/>
        <v>15032.41157000004</v>
      </c>
      <c r="W350" s="144">
        <f t="shared" si="228"/>
        <v>0</v>
      </c>
      <c r="X350" s="144" t="e">
        <f t="shared" si="228"/>
        <v>#REF!</v>
      </c>
      <c r="Y350" s="144">
        <f t="shared" si="228"/>
        <v>1488391.8459794081</v>
      </c>
      <c r="Z350" s="144">
        <f t="shared" si="228"/>
        <v>1581877.8452825972</v>
      </c>
      <c r="AA350" s="144">
        <f t="shared" si="228"/>
        <v>2811704.3522821921</v>
      </c>
      <c r="AB350" s="144">
        <f t="shared" si="228"/>
        <v>1567978.6153559987</v>
      </c>
      <c r="AC350" s="144">
        <f t="shared" si="228"/>
        <v>1571572.2989962632</v>
      </c>
      <c r="AD350" s="144">
        <f t="shared" si="213"/>
        <v>79586.769376590615</v>
      </c>
      <c r="AE350" s="144">
        <f t="shared" si="214"/>
        <v>5.3471651024949125</v>
      </c>
      <c r="AF350" s="144">
        <f t="shared" si="215"/>
        <v>-13899.229926598491</v>
      </c>
      <c r="AG350" s="144">
        <f t="shared" si="216"/>
        <v>-0.87865380807046733</v>
      </c>
      <c r="AH350" s="144">
        <f t="shared" si="217"/>
        <v>-1243725.7369261933</v>
      </c>
      <c r="AI350" s="144">
        <f t="shared" si="218"/>
        <v>-44.233873163680649</v>
      </c>
    </row>
    <row r="351" spans="1:36" s="305" customFormat="1" ht="42.75" hidden="1" customHeight="1">
      <c r="A351" s="301"/>
      <c r="B351" s="1310" t="s">
        <v>110</v>
      </c>
      <c r="C351" s="1312" t="s">
        <v>1466</v>
      </c>
      <c r="D351" s="1313"/>
      <c r="E351" s="1314"/>
      <c r="F351" s="1310" t="s">
        <v>255</v>
      </c>
      <c r="G351" s="302"/>
      <c r="H351" s="302"/>
      <c r="I351" s="302"/>
      <c r="J351" s="1318">
        <v>2014</v>
      </c>
      <c r="K351" s="1320" t="s">
        <v>1467</v>
      </c>
      <c r="L351" s="1316"/>
      <c r="M351" s="1316"/>
      <c r="N351" s="1316"/>
      <c r="O351" s="1316"/>
      <c r="P351" s="1316"/>
      <c r="Q351" s="1316"/>
      <c r="R351" s="1316"/>
      <c r="S351" s="1316"/>
      <c r="T351" s="1316"/>
      <c r="U351" s="1316"/>
      <c r="V351" s="1316"/>
      <c r="W351" s="1316"/>
      <c r="X351" s="1316"/>
      <c r="Y351" s="1316"/>
      <c r="Z351" s="303"/>
      <c r="AA351" s="304"/>
      <c r="AB351" s="304"/>
      <c r="AC351" s="304"/>
      <c r="AD351" s="304"/>
      <c r="AE351" s="52"/>
      <c r="AF351" s="52"/>
    </row>
    <row r="352" spans="1:36" ht="17.25" hidden="1" customHeight="1">
      <c r="B352" s="1310"/>
      <c r="C352" s="1312"/>
      <c r="D352" s="1313"/>
      <c r="E352" s="1314"/>
      <c r="F352" s="1310"/>
      <c r="G352" s="302"/>
      <c r="H352" s="302"/>
      <c r="I352" s="302"/>
      <c r="J352" s="1318"/>
      <c r="K352" s="1321">
        <v>2015</v>
      </c>
      <c r="L352" s="1323"/>
      <c r="M352" s="306"/>
      <c r="N352" s="306"/>
      <c r="O352" s="306"/>
      <c r="P352" s="306"/>
      <c r="Q352" s="306"/>
      <c r="R352" s="306"/>
      <c r="S352" s="306"/>
      <c r="T352" s="306"/>
      <c r="U352" s="306"/>
      <c r="V352" s="306"/>
      <c r="W352" s="306"/>
      <c r="X352" s="306"/>
      <c r="Y352" s="307"/>
      <c r="Z352" s="307"/>
      <c r="AA352" s="307"/>
      <c r="AB352" s="307"/>
      <c r="AC352" s="308"/>
      <c r="AD352" s="308"/>
    </row>
    <row r="353" spans="1:32" ht="17.25" hidden="1" customHeight="1">
      <c r="B353" s="1310"/>
      <c r="C353" s="1312"/>
      <c r="D353" s="1313"/>
      <c r="E353" s="1314"/>
      <c r="F353" s="1310"/>
      <c r="G353" s="302"/>
      <c r="H353" s="302"/>
      <c r="I353" s="302"/>
      <c r="J353" s="1318"/>
      <c r="K353" s="1322"/>
      <c r="L353" s="1316"/>
      <c r="M353" s="309"/>
      <c r="N353" s="309"/>
      <c r="O353" s="309"/>
      <c r="P353" s="309"/>
      <c r="Q353" s="309"/>
      <c r="R353" s="309"/>
      <c r="S353" s="309"/>
      <c r="T353" s="309"/>
      <c r="U353" s="309"/>
      <c r="V353" s="309"/>
      <c r="W353" s="309"/>
      <c r="X353" s="309"/>
      <c r="Y353" s="309"/>
      <c r="Z353" s="309"/>
      <c r="AA353" s="309"/>
      <c r="AB353" s="309"/>
      <c r="AC353" s="303"/>
      <c r="AD353" s="303"/>
    </row>
    <row r="354" spans="1:32" ht="17.25" hidden="1" customHeight="1">
      <c r="B354" s="1311"/>
      <c r="C354" s="1315"/>
      <c r="D354" s="1316"/>
      <c r="E354" s="1317"/>
      <c r="F354" s="1311"/>
      <c r="G354" s="310"/>
      <c r="H354" s="310"/>
      <c r="I354" s="310"/>
      <c r="J354" s="1319"/>
      <c r="K354" s="1311"/>
      <c r="L354" s="311"/>
      <c r="M354" s="312"/>
      <c r="N354" s="312"/>
      <c r="O354" s="312"/>
      <c r="P354" s="312"/>
      <c r="Q354" s="313"/>
      <c r="R354" s="313"/>
      <c r="S354" s="313"/>
      <c r="T354" s="313"/>
      <c r="U354" s="313"/>
      <c r="V354" s="313"/>
      <c r="W354" s="313"/>
      <c r="X354" s="313"/>
      <c r="Y354" s="314"/>
      <c r="Z354" s="314"/>
      <c r="AA354" s="314"/>
      <c r="AB354" s="314"/>
      <c r="AC354" s="303"/>
      <c r="AD354" s="303"/>
    </row>
    <row r="355" spans="1:32" ht="17.25" hidden="1" customHeight="1">
      <c r="B355" s="315" t="s">
        <v>1468</v>
      </c>
      <c r="C355" s="1302" t="s">
        <v>244</v>
      </c>
      <c r="D355" s="1303"/>
      <c r="E355" s="1304"/>
      <c r="F355" s="315" t="s">
        <v>202</v>
      </c>
      <c r="G355" s="315"/>
      <c r="H355" s="315"/>
      <c r="I355" s="315"/>
      <c r="J355" s="316"/>
      <c r="K355" s="315">
        <v>106.7</v>
      </c>
      <c r="L355" s="315"/>
      <c r="M355" s="315"/>
      <c r="N355" s="315"/>
      <c r="O355" s="315"/>
      <c r="P355" s="315"/>
      <c r="Q355" s="315"/>
      <c r="R355" s="315"/>
      <c r="S355" s="315"/>
      <c r="T355" s="315"/>
      <c r="U355" s="315"/>
      <c r="V355" s="315"/>
      <c r="W355" s="315"/>
      <c r="X355" s="315"/>
      <c r="Y355" s="317"/>
      <c r="Z355" s="317"/>
      <c r="AA355" s="317"/>
      <c r="AB355" s="317"/>
      <c r="AC355" s="318"/>
      <c r="AD355" s="318"/>
    </row>
    <row r="356" spans="1:32" hidden="1">
      <c r="B356" s="315" t="s">
        <v>6</v>
      </c>
      <c r="C356" s="1302" t="s">
        <v>245</v>
      </c>
      <c r="D356" s="1303"/>
      <c r="E356" s="1304"/>
      <c r="F356" s="315" t="s">
        <v>202</v>
      </c>
      <c r="G356" s="315"/>
      <c r="H356" s="315"/>
      <c r="I356" s="315"/>
      <c r="J356" s="316"/>
      <c r="K356" s="319">
        <v>75</v>
      </c>
      <c r="L356" s="319"/>
      <c r="M356" s="319"/>
      <c r="N356" s="319"/>
      <c r="O356" s="319"/>
      <c r="P356" s="319"/>
      <c r="Q356" s="319"/>
      <c r="R356" s="319"/>
      <c r="S356" s="319"/>
      <c r="T356" s="319"/>
      <c r="U356" s="319"/>
      <c r="V356" s="319"/>
      <c r="W356" s="319"/>
      <c r="X356" s="319"/>
      <c r="Y356" s="319"/>
      <c r="Z356" s="319"/>
      <c r="AA356" s="319"/>
      <c r="AB356" s="319"/>
      <c r="AC356" s="308"/>
      <c r="AD356" s="308"/>
    </row>
    <row r="357" spans="1:32" s="111" customFormat="1" hidden="1">
      <c r="A357" s="108"/>
      <c r="B357" s="315" t="s">
        <v>16</v>
      </c>
      <c r="C357" s="1302" t="s">
        <v>246</v>
      </c>
      <c r="D357" s="1303"/>
      <c r="E357" s="1304"/>
      <c r="F357" s="315" t="s">
        <v>43</v>
      </c>
      <c r="G357" s="315"/>
      <c r="H357" s="315"/>
      <c r="I357" s="315"/>
      <c r="J357" s="320">
        <f>K380</f>
        <v>0</v>
      </c>
      <c r="K357" s="320">
        <v>98255.76</v>
      </c>
      <c r="L357" s="320"/>
      <c r="M357" s="320"/>
      <c r="N357" s="320"/>
      <c r="O357" s="320"/>
      <c r="P357" s="320"/>
      <c r="Q357" s="320"/>
      <c r="R357" s="320"/>
      <c r="S357" s="320"/>
      <c r="T357" s="320"/>
      <c r="U357" s="320"/>
      <c r="V357" s="320"/>
      <c r="W357" s="320"/>
      <c r="X357" s="320"/>
      <c r="Y357" s="320"/>
      <c r="Z357" s="320"/>
      <c r="AA357" s="320"/>
      <c r="AB357" s="320"/>
      <c r="AC357" s="321"/>
      <c r="AD357" s="321"/>
      <c r="AE357" s="52"/>
      <c r="AF357" s="52"/>
    </row>
    <row r="358" spans="1:32" s="111" customFormat="1" hidden="1">
      <c r="A358" s="108"/>
      <c r="B358" s="315" t="s">
        <v>33</v>
      </c>
      <c r="C358" s="1302" t="s">
        <v>247</v>
      </c>
      <c r="D358" s="1303"/>
      <c r="E358" s="1304"/>
      <c r="F358" s="315" t="s">
        <v>202</v>
      </c>
      <c r="G358" s="315"/>
      <c r="H358" s="315"/>
      <c r="I358" s="315"/>
      <c r="J358" s="316"/>
      <c r="K358" s="322"/>
      <c r="L358" s="322"/>
      <c r="M358" s="322"/>
      <c r="N358" s="322"/>
      <c r="O358" s="322"/>
      <c r="P358" s="322"/>
      <c r="Q358" s="322"/>
      <c r="R358" s="322"/>
      <c r="S358" s="322"/>
      <c r="T358" s="322"/>
      <c r="U358" s="322"/>
      <c r="V358" s="322"/>
      <c r="W358" s="322"/>
      <c r="X358" s="322"/>
      <c r="Y358" s="322"/>
      <c r="Z358" s="322"/>
      <c r="AA358" s="322"/>
      <c r="AB358" s="322"/>
      <c r="AC358" s="323"/>
      <c r="AD358" s="323"/>
      <c r="AE358" s="52"/>
      <c r="AF358" s="52"/>
    </row>
    <row r="359" spans="1:32" s="111" customFormat="1" hidden="1">
      <c r="A359" s="108"/>
      <c r="B359" s="319" t="s">
        <v>1469</v>
      </c>
      <c r="C359" s="1302" t="s">
        <v>248</v>
      </c>
      <c r="D359" s="1305"/>
      <c r="E359" s="1306"/>
      <c r="F359" s="319" t="s">
        <v>202</v>
      </c>
      <c r="G359" s="319"/>
      <c r="H359" s="319"/>
      <c r="I359" s="319"/>
      <c r="J359" s="316"/>
      <c r="K359" s="317">
        <v>1.5</v>
      </c>
      <c r="L359" s="317"/>
      <c r="M359" s="317"/>
      <c r="N359" s="317"/>
      <c r="O359" s="317"/>
      <c r="P359" s="317"/>
      <c r="Q359" s="317"/>
      <c r="R359" s="317"/>
      <c r="S359" s="317"/>
      <c r="T359" s="317"/>
      <c r="U359" s="317"/>
      <c r="V359" s="317"/>
      <c r="W359" s="317"/>
      <c r="X359" s="317"/>
      <c r="Y359" s="317"/>
      <c r="Z359" s="317"/>
      <c r="AA359" s="317"/>
      <c r="AB359" s="317"/>
      <c r="AC359" s="318"/>
      <c r="AD359" s="318"/>
      <c r="AE359" s="52"/>
      <c r="AF359" s="52"/>
    </row>
    <row r="360" spans="1:32" ht="30.75" hidden="1" customHeight="1" thickBot="1">
      <c r="B360" s="319" t="s">
        <v>1470</v>
      </c>
      <c r="C360" s="1302" t="s">
        <v>1471</v>
      </c>
      <c r="D360" s="1305"/>
      <c r="E360" s="1306"/>
      <c r="F360" s="319" t="s">
        <v>202</v>
      </c>
      <c r="G360" s="319"/>
      <c r="H360" s="319"/>
      <c r="I360" s="319"/>
      <c r="J360" s="316"/>
      <c r="K360" s="322"/>
      <c r="L360" s="322"/>
      <c r="M360" s="324"/>
      <c r="N360" s="324"/>
      <c r="O360" s="324"/>
      <c r="P360" s="324"/>
      <c r="Q360" s="324"/>
      <c r="R360" s="324"/>
      <c r="S360" s="324"/>
      <c r="T360" s="324"/>
      <c r="U360" s="324"/>
      <c r="V360" s="324"/>
      <c r="W360" s="324"/>
      <c r="X360" s="324"/>
      <c r="Y360" s="325"/>
      <c r="Z360" s="325"/>
      <c r="AA360" s="325"/>
      <c r="AB360" s="325"/>
      <c r="AC360" s="326"/>
      <c r="AD360" s="326"/>
    </row>
    <row r="361" spans="1:32" ht="33" hidden="1" customHeight="1" thickBot="1">
      <c r="A361" s="258"/>
      <c r="B361" s="327" t="s">
        <v>16</v>
      </c>
      <c r="C361" s="328"/>
      <c r="D361" s="329" t="s">
        <v>1472</v>
      </c>
      <c r="E361" s="329" t="s">
        <v>1472</v>
      </c>
      <c r="F361" s="330" t="s">
        <v>1451</v>
      </c>
      <c r="G361" s="331"/>
      <c r="H361" s="331"/>
      <c r="I361" s="331"/>
      <c r="J361" s="327">
        <f>J250+J251+J252+J253</f>
        <v>631833.28319762496</v>
      </c>
      <c r="K361" s="332">
        <f>K250+K251+K252+K253</f>
        <v>1243250.0829</v>
      </c>
      <c r="L361" s="332">
        <f>L250+L251+L252+L253</f>
        <v>1243250.07299</v>
      </c>
      <c r="M361" s="333">
        <f>M250+M251+M252+M253</f>
        <v>982478.72407</v>
      </c>
      <c r="N361" s="334">
        <f t="shared" ref="N361:R361" si="229">N250+N251+N252+N253</f>
        <v>997525.12860000005</v>
      </c>
      <c r="O361" s="334">
        <f t="shared" si="229"/>
        <v>997511.13563999999</v>
      </c>
      <c r="P361" s="335">
        <f t="shared" si="229"/>
        <v>997511.13563999999</v>
      </c>
      <c r="Q361" s="335">
        <f t="shared" si="229"/>
        <v>997511.13563999999</v>
      </c>
      <c r="R361" s="335">
        <f t="shared" si="229"/>
        <v>997511.13563999999</v>
      </c>
      <c r="S361" s="335">
        <f t="shared" ref="S361:S362" si="230">R361-M361</f>
        <v>15032.411569999997</v>
      </c>
      <c r="T361" s="335">
        <f t="shared" ref="T361:T362" si="231">R361-O361</f>
        <v>0</v>
      </c>
      <c r="U361" s="335" t="e">
        <f>R361-#REF!</f>
        <v>#REF!</v>
      </c>
      <c r="V361" s="335">
        <f t="shared" ref="V361:V362" si="232">Q361-P361</f>
        <v>0</v>
      </c>
      <c r="W361" s="335">
        <f t="shared" ref="W361:W362" si="233">Q361-P361</f>
        <v>0</v>
      </c>
      <c r="X361" s="336" t="e">
        <f>O361-#REF!</f>
        <v>#REF!</v>
      </c>
      <c r="Y361" s="337">
        <f>Y250+Y251+Y252+Y253</f>
        <v>854597.19026000006</v>
      </c>
      <c r="Z361" s="337">
        <f>Z250+Z251+Z252+Z253</f>
        <v>893054.06382169994</v>
      </c>
      <c r="AA361" s="332">
        <f>AA250+AA251+AA252+AA253</f>
        <v>1062456.3841432203</v>
      </c>
      <c r="AB361" s="332">
        <f>AB250+AB251+AB252+AB253</f>
        <v>855691.4</v>
      </c>
      <c r="AC361" s="336"/>
      <c r="AD361" s="336"/>
    </row>
    <row r="362" spans="1:32" ht="33" hidden="1" customHeight="1" thickBot="1">
      <c r="A362" s="258"/>
      <c r="B362" s="327"/>
      <c r="C362" s="328"/>
      <c r="D362" s="338" t="s">
        <v>1473</v>
      </c>
      <c r="E362" s="338" t="s">
        <v>1473</v>
      </c>
      <c r="F362" s="330" t="s">
        <v>1451</v>
      </c>
      <c r="G362" s="331"/>
      <c r="H362" s="331"/>
      <c r="I362" s="331"/>
      <c r="J362" s="339">
        <f>J349+J361</f>
        <v>1798601.6491166293</v>
      </c>
      <c r="K362" s="340">
        <f t="shared" ref="K362:AB362" si="234">K349+K361</f>
        <v>1495366.3512760131</v>
      </c>
      <c r="L362" s="340">
        <f t="shared" si="234"/>
        <v>1495366.34299</v>
      </c>
      <c r="M362" s="341">
        <f t="shared" si="234"/>
        <v>1964957.44814</v>
      </c>
      <c r="N362" s="342">
        <f t="shared" si="234"/>
        <v>1995050.2572000001</v>
      </c>
      <c r="O362" s="342">
        <f t="shared" si="234"/>
        <v>1995022.27128</v>
      </c>
      <c r="P362" s="343">
        <f t="shared" si="234"/>
        <v>1995022.27128</v>
      </c>
      <c r="Q362" s="343">
        <f t="shared" si="234"/>
        <v>1995022.27128</v>
      </c>
      <c r="R362" s="343">
        <f t="shared" si="234"/>
        <v>1995022.27128</v>
      </c>
      <c r="S362" s="343">
        <f t="shared" si="230"/>
        <v>30064.823139999993</v>
      </c>
      <c r="T362" s="343">
        <f t="shared" si="231"/>
        <v>0</v>
      </c>
      <c r="U362" s="343" t="e">
        <f>R362-#REF!</f>
        <v>#REF!</v>
      </c>
      <c r="V362" s="343">
        <f t="shared" si="232"/>
        <v>0</v>
      </c>
      <c r="W362" s="344">
        <f t="shared" si="233"/>
        <v>0</v>
      </c>
      <c r="X362" s="345" t="e">
        <f>O362-#REF!</f>
        <v>#REF!</v>
      </c>
      <c r="Y362" s="346">
        <f t="shared" si="234"/>
        <v>1709194.3805200001</v>
      </c>
      <c r="Z362" s="346">
        <f t="shared" si="234"/>
        <v>1786108.1276433999</v>
      </c>
      <c r="AA362" s="340">
        <f t="shared" si="234"/>
        <v>2124912.7682864405</v>
      </c>
      <c r="AB362" s="340">
        <f t="shared" si="234"/>
        <v>1711382.8</v>
      </c>
      <c r="AC362" s="347"/>
      <c r="AD362" s="347"/>
    </row>
    <row r="363" spans="1:32" ht="33" hidden="1" customHeight="1" thickBot="1">
      <c r="A363" s="258"/>
      <c r="B363" s="327"/>
      <c r="C363" s="328"/>
      <c r="D363" s="328" t="s">
        <v>1474</v>
      </c>
      <c r="E363" s="348"/>
      <c r="F363" s="330"/>
      <c r="G363" s="331"/>
      <c r="H363" s="331"/>
      <c r="I363" s="331"/>
      <c r="J363" s="339"/>
      <c r="K363" s="340"/>
      <c r="L363" s="349"/>
      <c r="M363" s="350">
        <f>M325-M337</f>
        <v>341940.25276786834</v>
      </c>
      <c r="N363" s="350">
        <f t="shared" ref="N363:S363" si="235">N325-N337</f>
        <v>0</v>
      </c>
      <c r="O363" s="350">
        <f t="shared" si="235"/>
        <v>0</v>
      </c>
      <c r="P363" s="350">
        <f t="shared" si="235"/>
        <v>0</v>
      </c>
      <c r="Q363" s="350">
        <f t="shared" si="235"/>
        <v>0</v>
      </c>
      <c r="R363" s="350">
        <f t="shared" si="235"/>
        <v>0</v>
      </c>
      <c r="S363" s="350">
        <f t="shared" si="235"/>
        <v>-341940.25276786834</v>
      </c>
      <c r="T363" s="345"/>
      <c r="U363" s="345"/>
      <c r="V363" s="345"/>
      <c r="W363" s="345"/>
      <c r="X363" s="345"/>
      <c r="Y363" s="351"/>
      <c r="Z363" s="351"/>
      <c r="AA363" s="351"/>
      <c r="AB363" s="351"/>
      <c r="AC363" s="352"/>
      <c r="AD363" s="352"/>
    </row>
    <row r="364" spans="1:32" hidden="1"/>
    <row r="365" spans="1:32" hidden="1">
      <c r="N365" s="103" t="s">
        <v>1475</v>
      </c>
      <c r="P365" s="52">
        <f>P325-P275-P276-P267-P254-P253-P252-P251-P250</f>
        <v>3076291.3482825328</v>
      </c>
    </row>
    <row r="366" spans="1:32" hidden="1">
      <c r="P366" s="52">
        <v>3076348.7330225334</v>
      </c>
    </row>
    <row r="367" spans="1:32" ht="100.8" hidden="1">
      <c r="N367" s="353" t="s">
        <v>1476</v>
      </c>
      <c r="P367" s="52">
        <f>P366*0.12</f>
        <v>369161.84796270396</v>
      </c>
    </row>
    <row r="368" spans="1:32" hidden="1">
      <c r="B368" s="354"/>
      <c r="C368" s="355"/>
      <c r="D368" s="356"/>
      <c r="E368" s="74" t="s">
        <v>1477</v>
      </c>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67"/>
      <c r="AD368" s="67"/>
    </row>
    <row r="369" spans="2:30" hidden="1">
      <c r="B369" s="354"/>
      <c r="C369" s="355"/>
      <c r="D369" s="356"/>
      <c r="E369" s="74" t="s">
        <v>1478</v>
      </c>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67"/>
      <c r="AD369" s="67"/>
    </row>
    <row r="370" spans="2:30" ht="33.6" hidden="1">
      <c r="B370" s="354"/>
      <c r="C370" s="355"/>
      <c r="D370" s="356"/>
      <c r="E370" s="357" t="s">
        <v>1479</v>
      </c>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67"/>
      <c r="AD370" s="67"/>
    </row>
    <row r="371" spans="2:30" ht="33.6" hidden="1">
      <c r="B371" s="354"/>
      <c r="C371" s="355"/>
      <c r="D371" s="356"/>
      <c r="E371" s="357" t="s">
        <v>1480</v>
      </c>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67"/>
      <c r="AD371" s="67"/>
    </row>
    <row r="372" spans="2:30" ht="36" customHeight="1" thickBot="1">
      <c r="B372" s="354"/>
      <c r="C372" s="355"/>
      <c r="D372" s="356"/>
      <c r="E372" s="74" t="s">
        <v>1481</v>
      </c>
      <c r="F372" s="74"/>
      <c r="G372" s="74"/>
      <c r="H372" s="74"/>
      <c r="I372" s="74"/>
      <c r="J372" s="74"/>
      <c r="K372" s="74"/>
      <c r="L372" s="74"/>
      <c r="M372" s="1297" t="s">
        <v>1482</v>
      </c>
      <c r="N372" s="1298"/>
      <c r="O372" s="1298"/>
      <c r="P372" s="1298"/>
      <c r="Q372" s="1298"/>
      <c r="R372" s="1298"/>
      <c r="S372" s="1298"/>
      <c r="T372" s="1298"/>
      <c r="U372" s="1298"/>
      <c r="V372" s="1298"/>
      <c r="W372" s="1298"/>
      <c r="X372" s="1298"/>
      <c r="Y372" s="1298"/>
      <c r="Z372" s="1298"/>
      <c r="AA372" s="1299"/>
    </row>
    <row r="373" spans="2:30" ht="19.5" customHeight="1">
      <c r="B373" s="354"/>
      <c r="C373" s="355"/>
      <c r="D373" s="356"/>
      <c r="E373" s="357" t="s">
        <v>1483</v>
      </c>
      <c r="F373" s="74"/>
      <c r="G373" s="74"/>
      <c r="H373" s="74"/>
      <c r="I373" s="74"/>
      <c r="J373" s="74"/>
      <c r="K373" s="74"/>
      <c r="L373" s="74"/>
      <c r="M373" s="358" t="s">
        <v>1484</v>
      </c>
      <c r="N373" s="359">
        <f>N325</f>
        <v>5167898.7823200021</v>
      </c>
      <c r="O373" s="360">
        <f t="shared" ref="O373:R373" si="236">O325</f>
        <v>4685555.3686300013</v>
      </c>
      <c r="P373" s="360">
        <f t="shared" si="236"/>
        <v>4230752.0730500324</v>
      </c>
      <c r="Q373" s="360">
        <f t="shared" si="236"/>
        <v>4233888.3025800325</v>
      </c>
      <c r="R373" s="361">
        <f t="shared" si="236"/>
        <v>4119204.6253925329</v>
      </c>
      <c r="S373" s="1300"/>
      <c r="T373" s="1301"/>
      <c r="U373" s="362"/>
      <c r="V373" s="74"/>
      <c r="W373" s="74"/>
      <c r="X373" s="363"/>
      <c r="Y373" s="364">
        <f t="shared" ref="Y373:AB373" si="237">Y325</f>
        <v>4508690.1358521767</v>
      </c>
      <c r="Z373" s="361">
        <f t="shared" si="237"/>
        <v>4711581.2005449543</v>
      </c>
      <c r="AA373" s="361">
        <f t="shared" si="237"/>
        <v>13960814.676683201</v>
      </c>
      <c r="AB373" s="361">
        <f t="shared" si="237"/>
        <v>4721067.0160570312</v>
      </c>
      <c r="AC373" s="361">
        <f>AC325</f>
        <v>4756273.0008700285</v>
      </c>
      <c r="AD373" s="365"/>
    </row>
    <row r="374" spans="2:30">
      <c r="B374" s="354"/>
      <c r="C374" s="355"/>
      <c r="D374" s="356"/>
      <c r="E374" s="74"/>
      <c r="F374" s="74"/>
      <c r="G374" s="74"/>
      <c r="H374" s="74"/>
      <c r="I374" s="74"/>
      <c r="J374" s="74"/>
      <c r="K374" s="74"/>
      <c r="L374" s="74"/>
      <c r="M374" s="366" t="s">
        <v>1485</v>
      </c>
      <c r="N374" s="367">
        <f>N373-N375-N376-N377-N378-N379</f>
        <v>3831602.9837900004</v>
      </c>
      <c r="O374" s="368">
        <f>O373-O375-O376-O377-O378-O379</f>
        <v>3557299.0599600007</v>
      </c>
      <c r="P374" s="368">
        <f>P373-P375-P376-P377-P378-P379</f>
        <v>3076291.3482825328</v>
      </c>
      <c r="Q374" s="368">
        <f>Q373-Q375-Q376-Q377-Q378-Q379</f>
        <v>3079427.5778125329</v>
      </c>
      <c r="R374" s="369">
        <f>R373-R375-R376-R377-R378-R379</f>
        <v>2966324.8073225333</v>
      </c>
      <c r="S374" s="1300"/>
      <c r="T374" s="1301"/>
      <c r="U374" s="362"/>
      <c r="V374" s="74"/>
      <c r="W374" s="74"/>
      <c r="X374" s="363"/>
      <c r="Y374" s="370">
        <f t="shared" ref="Y374:AA374" si="238">Y373-Y375-Y376-Y377-Y378-Y379</f>
        <v>2804988.6231713165</v>
      </c>
      <c r="Z374" s="369">
        <f t="shared" si="238"/>
        <v>2954881.3038408109</v>
      </c>
      <c r="AA374" s="369">
        <f t="shared" si="238"/>
        <v>6464635.317824766</v>
      </c>
      <c r="AB374" s="369">
        <f>AB373-AB375-AB376-AB377-AB378-AB379</f>
        <v>2965743.6113728588</v>
      </c>
      <c r="AC374" s="369">
        <f>AC373-AC375-AC376-AC377-AC378-AC379</f>
        <v>2996457.4916355261</v>
      </c>
      <c r="AD374" s="371"/>
    </row>
    <row r="375" spans="2:30">
      <c r="B375" s="354"/>
      <c r="C375" s="355"/>
      <c r="D375" s="356"/>
      <c r="E375" s="74"/>
      <c r="F375" s="74"/>
      <c r="G375" s="74"/>
      <c r="H375" s="74"/>
      <c r="I375" s="74"/>
      <c r="J375" s="74"/>
      <c r="K375" s="74"/>
      <c r="L375" s="74"/>
      <c r="M375" s="372" t="s">
        <v>1486</v>
      </c>
      <c r="N375" s="367">
        <f>N250+N251+N252+N253</f>
        <v>997525.12860000005</v>
      </c>
      <c r="O375" s="368">
        <f>O250+O251+O252+O253</f>
        <v>997511.13563999999</v>
      </c>
      <c r="P375" s="368">
        <f>P250+P251+P252+P253</f>
        <v>997511.13563999999</v>
      </c>
      <c r="Q375" s="368">
        <f>Q250+Q251+Q252+Q253</f>
        <v>997511.13563999999</v>
      </c>
      <c r="R375" s="369">
        <f>R250+R251+R252+R253</f>
        <v>997511.13563999999</v>
      </c>
      <c r="S375" s="1300"/>
      <c r="T375" s="1301"/>
      <c r="U375" s="362"/>
      <c r="V375" s="74"/>
      <c r="W375" s="74"/>
      <c r="X375" s="363"/>
      <c r="Y375" s="370">
        <f t="shared" ref="Y375:AC375" si="239">Y250+Y251+Y252+Y253</f>
        <v>854597.19026000006</v>
      </c>
      <c r="Z375" s="369">
        <f t="shared" si="239"/>
        <v>893054.06382169994</v>
      </c>
      <c r="AA375" s="369">
        <f t="shared" si="239"/>
        <v>1062456.3841432203</v>
      </c>
      <c r="AB375" s="369">
        <f t="shared" si="239"/>
        <v>855691.4</v>
      </c>
      <c r="AC375" s="369">
        <f t="shared" si="239"/>
        <v>855691.4</v>
      </c>
      <c r="AD375" s="371"/>
    </row>
    <row r="376" spans="2:30" ht="50.4">
      <c r="B376" s="354"/>
      <c r="C376" s="355"/>
      <c r="D376" s="356"/>
      <c r="E376" s="74"/>
      <c r="F376" s="74"/>
      <c r="G376" s="74"/>
      <c r="H376" s="74"/>
      <c r="I376" s="74"/>
      <c r="J376" s="74"/>
      <c r="K376" s="74"/>
      <c r="L376" s="74"/>
      <c r="M376" s="373" t="s">
        <v>1487</v>
      </c>
      <c r="N376" s="367">
        <f>N254</f>
        <v>62154.389900000002</v>
      </c>
      <c r="O376" s="368">
        <f t="shared" ref="O376:R376" si="240">O254</f>
        <v>62154.389900000002</v>
      </c>
      <c r="P376" s="368">
        <f t="shared" si="240"/>
        <v>62154.389900000002</v>
      </c>
      <c r="Q376" s="368">
        <f t="shared" si="240"/>
        <v>62154.389900000002</v>
      </c>
      <c r="R376" s="369">
        <f t="shared" si="240"/>
        <v>62154.389900000002</v>
      </c>
      <c r="S376" s="1300"/>
      <c r="T376" s="1301"/>
      <c r="U376" s="362"/>
      <c r="V376" s="74"/>
      <c r="W376" s="74"/>
      <c r="X376" s="363"/>
      <c r="Y376" s="370">
        <f t="shared" ref="Y376:AC376" si="241">Y254</f>
        <v>72470.539999999994</v>
      </c>
      <c r="Z376" s="369">
        <f t="shared" si="241"/>
        <v>75731.714299999992</v>
      </c>
      <c r="AA376" s="369">
        <f t="shared" si="241"/>
        <v>75731.714299999992</v>
      </c>
      <c r="AB376" s="369">
        <f t="shared" si="241"/>
        <v>75141.206897665339</v>
      </c>
      <c r="AC376" s="369">
        <f t="shared" si="241"/>
        <v>75141.206897665339</v>
      </c>
      <c r="AD376" s="371"/>
    </row>
    <row r="377" spans="2:30" ht="84">
      <c r="B377" s="354"/>
      <c r="C377" s="355"/>
      <c r="D377" s="356"/>
      <c r="E377" s="74"/>
      <c r="F377" s="74"/>
      <c r="G377" s="74"/>
      <c r="H377" s="74"/>
      <c r="I377" s="74"/>
      <c r="J377" s="74"/>
      <c r="K377" s="74"/>
      <c r="L377" s="74"/>
      <c r="M377" s="373" t="s">
        <v>1488</v>
      </c>
      <c r="N377" s="367">
        <f>N276</f>
        <v>262313.280030002</v>
      </c>
      <c r="O377" s="368">
        <f t="shared" ref="O377:R377" si="242">O276</f>
        <v>101736.78313000068</v>
      </c>
      <c r="P377" s="368">
        <f t="shared" si="242"/>
        <v>64196.78</v>
      </c>
      <c r="Q377" s="368">
        <f t="shared" si="242"/>
        <v>64196.78</v>
      </c>
      <c r="R377" s="369">
        <f t="shared" si="242"/>
        <v>64196.78</v>
      </c>
      <c r="S377" s="1300"/>
      <c r="T377" s="1301"/>
      <c r="U377" s="362"/>
      <c r="V377" s="74"/>
      <c r="W377" s="74"/>
      <c r="X377" s="363"/>
      <c r="Y377" s="370">
        <f t="shared" ref="Y377:AB377" si="243">Y276</f>
        <v>336598.63571940805</v>
      </c>
      <c r="Z377" s="369">
        <f t="shared" si="243"/>
        <v>354585.75646089728</v>
      </c>
      <c r="AA377" s="369">
        <f t="shared" si="243"/>
        <v>775756.23813897197</v>
      </c>
      <c r="AB377" s="369">
        <f t="shared" si="243"/>
        <v>355981.21535599872</v>
      </c>
      <c r="AC377" s="369">
        <f>AC276</f>
        <v>359574.89899626304</v>
      </c>
      <c r="AD377" s="371"/>
    </row>
    <row r="378" spans="2:30" ht="33.6">
      <c r="B378" s="354"/>
      <c r="C378" s="355"/>
      <c r="D378" s="356"/>
      <c r="E378" s="74"/>
      <c r="F378" s="74"/>
      <c r="G378" s="74"/>
      <c r="H378" s="74"/>
      <c r="I378" s="74"/>
      <c r="J378" s="74"/>
      <c r="K378" s="74"/>
      <c r="L378" s="74"/>
      <c r="M378" s="373" t="s">
        <v>1489</v>
      </c>
      <c r="N378" s="367">
        <f>N275</f>
        <v>0</v>
      </c>
      <c r="O378" s="368">
        <f t="shared" ref="O378:R378" si="244">O275</f>
        <v>0</v>
      </c>
      <c r="P378" s="368">
        <f t="shared" si="244"/>
        <v>0</v>
      </c>
      <c r="Q378" s="368">
        <f t="shared" si="244"/>
        <v>0</v>
      </c>
      <c r="R378" s="369">
        <f t="shared" si="244"/>
        <v>0</v>
      </c>
      <c r="S378" s="1300"/>
      <c r="T378" s="1301"/>
      <c r="U378" s="362"/>
      <c r="V378" s="74"/>
      <c r="W378" s="74"/>
      <c r="X378" s="363"/>
      <c r="Y378" s="370">
        <f t="shared" ref="Y378:AA378" si="245">Y275</f>
        <v>345140.29777159984</v>
      </c>
      <c r="Z378" s="369">
        <f t="shared" si="245"/>
        <v>333453.19945632201</v>
      </c>
      <c r="AA378" s="369">
        <f t="shared" si="245"/>
        <v>5341487.6500000004</v>
      </c>
      <c r="AB378" s="369">
        <f>AB275</f>
        <v>368373.10943581146</v>
      </c>
      <c r="AC378" s="369">
        <f>AC275</f>
        <v>368373.10943581146</v>
      </c>
      <c r="AD378" s="371"/>
    </row>
    <row r="379" spans="2:30">
      <c r="B379" s="354"/>
      <c r="C379" s="355"/>
      <c r="D379" s="356"/>
      <c r="E379" s="74"/>
      <c r="F379" s="74"/>
      <c r="G379" s="74"/>
      <c r="H379" s="74"/>
      <c r="I379" s="74"/>
      <c r="J379" s="74"/>
      <c r="K379" s="74"/>
      <c r="L379" s="74"/>
      <c r="M379" s="373" t="s">
        <v>66</v>
      </c>
      <c r="N379" s="367">
        <f>N267</f>
        <v>14303.000000000005</v>
      </c>
      <c r="O379" s="368">
        <f t="shared" ref="O379:R379" si="246">O267</f>
        <v>-33146</v>
      </c>
      <c r="P379" s="368">
        <f t="shared" si="246"/>
        <v>30598.419227500006</v>
      </c>
      <c r="Q379" s="368">
        <f t="shared" si="246"/>
        <v>30598.419227500006</v>
      </c>
      <c r="R379" s="369">
        <f t="shared" si="246"/>
        <v>29017.512530000004</v>
      </c>
      <c r="S379" s="1300"/>
      <c r="T379" s="1301"/>
      <c r="U379" s="362"/>
      <c r="V379" s="74"/>
      <c r="W379" s="74"/>
      <c r="X379" s="363"/>
      <c r="Y379" s="370">
        <f t="shared" ref="Y379:AB379" si="247">Y267</f>
        <v>94894.848929852014</v>
      </c>
      <c r="Z379" s="369">
        <f t="shared" si="247"/>
        <v>99875.162665224314</v>
      </c>
      <c r="AA379" s="369">
        <f t="shared" si="247"/>
        <v>240747.37227624294</v>
      </c>
      <c r="AB379" s="369">
        <f t="shared" si="247"/>
        <v>100136.47299469695</v>
      </c>
      <c r="AC379" s="369">
        <f>AC267</f>
        <v>101034.89390476303</v>
      </c>
      <c r="AD379" s="371"/>
    </row>
    <row r="380" spans="2:30">
      <c r="B380" s="354"/>
      <c r="C380" s="355"/>
      <c r="D380" s="356"/>
      <c r="E380" s="74"/>
      <c r="F380" s="74"/>
      <c r="G380" s="74"/>
      <c r="H380" s="74"/>
      <c r="I380" s="74"/>
      <c r="J380" s="74"/>
      <c r="K380" s="74"/>
      <c r="L380" s="74"/>
      <c r="M380" s="374"/>
      <c r="N380" s="375"/>
      <c r="O380" s="74"/>
      <c r="P380" s="74"/>
      <c r="Q380" s="74"/>
      <c r="R380" s="376"/>
      <c r="S380" s="1300"/>
      <c r="T380" s="1301"/>
      <c r="U380" s="362"/>
      <c r="V380" s="74"/>
      <c r="W380" s="74"/>
      <c r="X380" s="363"/>
      <c r="Y380" s="377"/>
      <c r="Z380" s="376"/>
      <c r="AA380" s="376"/>
      <c r="AB380" s="376"/>
      <c r="AC380" s="376"/>
      <c r="AD380" s="67"/>
    </row>
    <row r="381" spans="2:30" ht="135" thickBot="1">
      <c r="B381" s="354"/>
      <c r="C381" s="355"/>
      <c r="D381" s="356"/>
      <c r="E381" s="74"/>
      <c r="F381" s="74"/>
      <c r="G381" s="74"/>
      <c r="H381" s="74"/>
      <c r="I381" s="74"/>
      <c r="J381" s="74"/>
      <c r="K381" s="74"/>
      <c r="L381" s="74"/>
      <c r="M381" s="378" t="s">
        <v>1490</v>
      </c>
      <c r="N381" s="379">
        <f>(N96+N276+N293+N201+N286+N300+N301+N302+N303+N204+N304+N305+N307+N310+N311+N312+N202+N203+N295)/0.8</f>
        <v>445294.02626250248</v>
      </c>
      <c r="O381" s="380">
        <f>(O96+O276+O293+O201+O286+O300+O301+O302+O303+O204+O304+O305+O307+O310+O311+O312+O202+O203+O295)/0.8</f>
        <v>216404.54152500085</v>
      </c>
      <c r="P381" s="380">
        <f>(P96+P276+P293+P201+P286+P300+P301+P302+P303+P204+P304+P305+P307+P310+P311+P312+P202+P203+P295)/0.8</f>
        <v>152992.09613749999</v>
      </c>
      <c r="Q381" s="380">
        <f>(Q96+Q276+Q293+Q201+Q286+Q300+Q301+Q302+Q303+Q204+Q304+Q305+Q307+Q310+Q311+Q312+Q202+Q203+Q295)/0.8</f>
        <v>152992.09613749999</v>
      </c>
      <c r="R381" s="381">
        <f>(R96+R276+R293+R201+R286+R300+R301+R302+R303+R204+R304+R305+R307+R310+R311+R312+R202+R203+R295)/0.8</f>
        <v>145087.56265000001</v>
      </c>
      <c r="S381" s="1300"/>
      <c r="T381" s="1301"/>
      <c r="U381" s="362"/>
      <c r="V381" s="74"/>
      <c r="W381" s="74"/>
      <c r="X381" s="363"/>
      <c r="Y381" s="379">
        <f t="shared" ref="Y381:AB381" si="248">(Y96+Y276+Y293+Y201+Y286+Y300+Y301+Y302+Y303+Y204+Y304+Y305+Y307+Y310+Y311+Y312+Y202+Y203+Y295)/0.8</f>
        <v>474474.24464926007</v>
      </c>
      <c r="Z381" s="380">
        <f t="shared" si="248"/>
        <v>499375.81332612154</v>
      </c>
      <c r="AA381" s="381">
        <f t="shared" si="248"/>
        <v>1200963.9883487148</v>
      </c>
      <c r="AB381" s="381">
        <f t="shared" si="248"/>
        <v>500682.36497348471</v>
      </c>
      <c r="AC381" s="381">
        <f>(AC96+AC276+AC293+AC201+AC286+AC300+AC301+AC302+AC303+AC204+AC304+AC305+AC307+AC310+AC311+AC312+AC202+AC203+AC295)/0.8</f>
        <v>505174.46952381509</v>
      </c>
      <c r="AD381" s="382"/>
    </row>
    <row r="382" spans="2:30" ht="27" customHeight="1" thickBot="1">
      <c r="M382" s="383" t="s">
        <v>1491</v>
      </c>
      <c r="N382" s="384">
        <f>N381*0.2</f>
        <v>89058.805252500504</v>
      </c>
      <c r="O382" s="385">
        <f t="shared" ref="O382:Q382" si="249">O381*0.2</f>
        <v>43280.908305000172</v>
      </c>
      <c r="P382" s="385">
        <f t="shared" si="249"/>
        <v>30598.419227499999</v>
      </c>
      <c r="Q382" s="385">
        <f t="shared" si="249"/>
        <v>30598.419227499999</v>
      </c>
      <c r="R382" s="386">
        <f>R381*0.2</f>
        <v>29017.512530000004</v>
      </c>
      <c r="S382" s="1300"/>
      <c r="T382" s="1301"/>
      <c r="Y382" s="387">
        <f t="shared" ref="Y382:AB382" si="250">Y381*0.2</f>
        <v>94894.848929852014</v>
      </c>
      <c r="Z382" s="386">
        <f t="shared" si="250"/>
        <v>99875.162665224314</v>
      </c>
      <c r="AA382" s="386">
        <f t="shared" si="250"/>
        <v>240192.79766974295</v>
      </c>
      <c r="AB382" s="386">
        <f t="shared" si="250"/>
        <v>100136.47299469695</v>
      </c>
      <c r="AC382" s="386">
        <f>AC381*0.2</f>
        <v>101034.89390476303</v>
      </c>
      <c r="AD382" s="382"/>
    </row>
    <row r="383" spans="2:30" ht="17.399999999999999" thickBot="1">
      <c r="S383" s="1301"/>
      <c r="T383" s="1301"/>
    </row>
    <row r="384" spans="2:30" ht="135" thickBot="1">
      <c r="M384" s="388" t="s">
        <v>1492</v>
      </c>
      <c r="N384" s="389">
        <f>N374*12%</f>
        <v>459792.35805480002</v>
      </c>
      <c r="O384" s="390">
        <f>O374*12%</f>
        <v>426875.88719520008</v>
      </c>
      <c r="P384" s="390">
        <f>P374*12%</f>
        <v>369154.9617939039</v>
      </c>
      <c r="Q384" s="390">
        <f>Q374*12%</f>
        <v>369531.30933750392</v>
      </c>
      <c r="R384" s="391">
        <f>R374*12%</f>
        <v>355958.97687870398</v>
      </c>
      <c r="S384" s="1300"/>
      <c r="T384" s="1301"/>
      <c r="Y384" s="392">
        <f t="shared" ref="Y384:AA384" si="251">Y374*12%</f>
        <v>336598.63478055794</v>
      </c>
      <c r="Z384" s="391">
        <f t="shared" si="251"/>
        <v>354585.75646089728</v>
      </c>
      <c r="AA384" s="391">
        <f t="shared" si="251"/>
        <v>775756.23813897185</v>
      </c>
      <c r="AB384" s="391">
        <f>AB374*12%</f>
        <v>355889.23336474306</v>
      </c>
      <c r="AC384" s="391">
        <f>AC374*12%</f>
        <v>359574.8989962631</v>
      </c>
      <c r="AD384" s="67"/>
    </row>
  </sheetData>
  <autoFilter ref="A27:AA322"/>
  <mergeCells count="91">
    <mergeCell ref="O2:AA2"/>
    <mergeCell ref="G3:G4"/>
    <mergeCell ref="H3:H4"/>
    <mergeCell ref="I3:I4"/>
    <mergeCell ref="J3:J4"/>
    <mergeCell ref="K3:K4"/>
    <mergeCell ref="L3:M3"/>
    <mergeCell ref="N3:N4"/>
    <mergeCell ref="O3:O4"/>
    <mergeCell ref="P3:P4"/>
    <mergeCell ref="AE3:AE4"/>
    <mergeCell ref="AF3:AF4"/>
    <mergeCell ref="E23:F23"/>
    <mergeCell ref="B24:AA24"/>
    <mergeCell ref="A25:A27"/>
    <mergeCell ref="B25:B27"/>
    <mergeCell ref="C25:C27"/>
    <mergeCell ref="D25:D27"/>
    <mergeCell ref="E25:E27"/>
    <mergeCell ref="F25:F27"/>
    <mergeCell ref="Q3:Q4"/>
    <mergeCell ref="R3:R4"/>
    <mergeCell ref="S3:S4"/>
    <mergeCell ref="T3:Y3"/>
    <mergeCell ref="Z3:Z4"/>
    <mergeCell ref="AA3:AA4"/>
    <mergeCell ref="G25:I25"/>
    <mergeCell ref="J25:L25"/>
    <mergeCell ref="M25:W25"/>
    <mergeCell ref="Z25:AI25"/>
    <mergeCell ref="M26:M27"/>
    <mergeCell ref="N26:N27"/>
    <mergeCell ref="O26:O27"/>
    <mergeCell ref="R26:R27"/>
    <mergeCell ref="S26:S27"/>
    <mergeCell ref="T26:T27"/>
    <mergeCell ref="AH26:AI26"/>
    <mergeCell ref="Y26:Y27"/>
    <mergeCell ref="Z26:Z27"/>
    <mergeCell ref="AA26:AA27"/>
    <mergeCell ref="AB26:AB27"/>
    <mergeCell ref="AC26:AC27"/>
    <mergeCell ref="F59:F60"/>
    <mergeCell ref="E116:E117"/>
    <mergeCell ref="F116:F117"/>
    <mergeCell ref="A144:A145"/>
    <mergeCell ref="C144:C145"/>
    <mergeCell ref="E146:E147"/>
    <mergeCell ref="F146:F147"/>
    <mergeCell ref="J146:J147"/>
    <mergeCell ref="E170:E171"/>
    <mergeCell ref="F170:F171"/>
    <mergeCell ref="J170:J171"/>
    <mergeCell ref="E207:E209"/>
    <mergeCell ref="E217:E218"/>
    <mergeCell ref="F217:F218"/>
    <mergeCell ref="A243:A244"/>
    <mergeCell ref="B243:B244"/>
    <mergeCell ref="E243:E244"/>
    <mergeCell ref="F243:F244"/>
    <mergeCell ref="AG243:AG244"/>
    <mergeCell ref="AD26:AE26"/>
    <mergeCell ref="AH243:AH244"/>
    <mergeCell ref="AB243:AB244"/>
    <mergeCell ref="AD243:AD244"/>
    <mergeCell ref="AF26:AG26"/>
    <mergeCell ref="AI243:AI244"/>
    <mergeCell ref="B345:AB345"/>
    <mergeCell ref="B351:B354"/>
    <mergeCell ref="C351:E354"/>
    <mergeCell ref="F351:F354"/>
    <mergeCell ref="J351:J354"/>
    <mergeCell ref="K351:Y351"/>
    <mergeCell ref="K352:K354"/>
    <mergeCell ref="L352:L353"/>
    <mergeCell ref="B335:D335"/>
    <mergeCell ref="G243:G244"/>
    <mergeCell ref="J243:J244"/>
    <mergeCell ref="Y243:Y244"/>
    <mergeCell ref="Z243:Z244"/>
    <mergeCell ref="AE243:AE244"/>
    <mergeCell ref="AF243:AF244"/>
    <mergeCell ref="M372:AA372"/>
    <mergeCell ref="S373:S384"/>
    <mergeCell ref="T373:T384"/>
    <mergeCell ref="C355:E355"/>
    <mergeCell ref="C356:E356"/>
    <mergeCell ref="C357:E357"/>
    <mergeCell ref="C358:E358"/>
    <mergeCell ref="C359:E359"/>
    <mergeCell ref="C360:E360"/>
  </mergeCells>
  <dataValidations count="1">
    <dataValidation type="decimal" allowBlank="1" showInputMessage="1" showErrorMessage="1" error="Ввведеное значение неверно" sqref="R6:T6 J6:N6 Y6:AF6">
      <formula1>-1000000000000000</formula1>
      <formula2>1000000000000000</formula2>
    </dataValidation>
  </dataValidations>
  <printOptions horizontalCentered="1"/>
  <pageMargins left="0" right="0" top="0.39370078740157483" bottom="0" header="0" footer="0"/>
  <pageSetup paperSize="8" fitToHeight="0" orientation="landscape" cellComments="asDisplayed"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94"/>
  <sheetViews>
    <sheetView topLeftCell="A9" zoomScale="140" zoomScaleNormal="140" zoomScaleSheetLayoutView="100" workbookViewId="0">
      <pane ySplit="11" topLeftCell="A26" activePane="bottomLeft" state="frozen"/>
      <selection activeCell="G25" sqref="G25"/>
      <selection pane="bottomLeft" activeCell="A25" sqref="A25:AM25"/>
    </sheetView>
  </sheetViews>
  <sheetFormatPr defaultColWidth="0.88671875" defaultRowHeight="13.2"/>
  <cols>
    <col min="1" max="73" width="0.88671875" style="432"/>
    <col min="74" max="74" width="1" style="432" customWidth="1"/>
    <col min="75" max="115" width="0.88671875" style="432"/>
    <col min="116" max="116" width="0.88671875" style="432" customWidth="1"/>
    <col min="117" max="329" width="0.88671875" style="432"/>
    <col min="330" max="330" width="1" style="432" customWidth="1"/>
    <col min="331" max="371" width="0.88671875" style="432"/>
    <col min="372" max="372" width="0.88671875" style="432" customWidth="1"/>
    <col min="373" max="585" width="0.88671875" style="432"/>
    <col min="586" max="586" width="1" style="432" customWidth="1"/>
    <col min="587" max="627" width="0.88671875" style="432"/>
    <col min="628" max="628" width="0.88671875" style="432" customWidth="1"/>
    <col min="629" max="841" width="0.88671875" style="432"/>
    <col min="842" max="842" width="1" style="432" customWidth="1"/>
    <col min="843" max="883" width="0.88671875" style="432"/>
    <col min="884" max="884" width="0.88671875" style="432" customWidth="1"/>
    <col min="885" max="1097" width="0.88671875" style="432"/>
    <col min="1098" max="1098" width="1" style="432" customWidth="1"/>
    <col min="1099" max="1139" width="0.88671875" style="432"/>
    <col min="1140" max="1140" width="0.88671875" style="432" customWidth="1"/>
    <col min="1141" max="1353" width="0.88671875" style="432"/>
    <col min="1354" max="1354" width="1" style="432" customWidth="1"/>
    <col min="1355" max="1395" width="0.88671875" style="432"/>
    <col min="1396" max="1396" width="0.88671875" style="432" customWidth="1"/>
    <col min="1397" max="1609" width="0.88671875" style="432"/>
    <col min="1610" max="1610" width="1" style="432" customWidth="1"/>
    <col min="1611" max="1651" width="0.88671875" style="432"/>
    <col min="1652" max="1652" width="0.88671875" style="432" customWidth="1"/>
    <col min="1653" max="1865" width="0.88671875" style="432"/>
    <col min="1866" max="1866" width="1" style="432" customWidth="1"/>
    <col min="1867" max="1907" width="0.88671875" style="432"/>
    <col min="1908" max="1908" width="0.88671875" style="432" customWidth="1"/>
    <col min="1909" max="2121" width="0.88671875" style="432"/>
    <col min="2122" max="2122" width="1" style="432" customWidth="1"/>
    <col min="2123" max="2163" width="0.88671875" style="432"/>
    <col min="2164" max="2164" width="0.88671875" style="432" customWidth="1"/>
    <col min="2165" max="2377" width="0.88671875" style="432"/>
    <col min="2378" max="2378" width="1" style="432" customWidth="1"/>
    <col min="2379" max="2419" width="0.88671875" style="432"/>
    <col min="2420" max="2420" width="0.88671875" style="432" customWidth="1"/>
    <col min="2421" max="2633" width="0.88671875" style="432"/>
    <col min="2634" max="2634" width="1" style="432" customWidth="1"/>
    <col min="2635" max="2675" width="0.88671875" style="432"/>
    <col min="2676" max="2676" width="0.88671875" style="432" customWidth="1"/>
    <col min="2677" max="2889" width="0.88671875" style="432"/>
    <col min="2890" max="2890" width="1" style="432" customWidth="1"/>
    <col min="2891" max="2931" width="0.88671875" style="432"/>
    <col min="2932" max="2932" width="0.88671875" style="432" customWidth="1"/>
    <col min="2933" max="3145" width="0.88671875" style="432"/>
    <col min="3146" max="3146" width="1" style="432" customWidth="1"/>
    <col min="3147" max="3187" width="0.88671875" style="432"/>
    <col min="3188" max="3188" width="0.88671875" style="432" customWidth="1"/>
    <col min="3189" max="3401" width="0.88671875" style="432"/>
    <col min="3402" max="3402" width="1" style="432" customWidth="1"/>
    <col min="3403" max="3443" width="0.88671875" style="432"/>
    <col min="3444" max="3444" width="0.88671875" style="432" customWidth="1"/>
    <col min="3445" max="3657" width="0.88671875" style="432"/>
    <col min="3658" max="3658" width="1" style="432" customWidth="1"/>
    <col min="3659" max="3699" width="0.88671875" style="432"/>
    <col min="3700" max="3700" width="0.88671875" style="432" customWidth="1"/>
    <col min="3701" max="3913" width="0.88671875" style="432"/>
    <col min="3914" max="3914" width="1" style="432" customWidth="1"/>
    <col min="3915" max="3955" width="0.88671875" style="432"/>
    <col min="3956" max="3956" width="0.88671875" style="432" customWidth="1"/>
    <col min="3957" max="4169" width="0.88671875" style="432"/>
    <col min="4170" max="4170" width="1" style="432" customWidth="1"/>
    <col min="4171" max="4211" width="0.88671875" style="432"/>
    <col min="4212" max="4212" width="0.88671875" style="432" customWidth="1"/>
    <col min="4213" max="4425" width="0.88671875" style="432"/>
    <col min="4426" max="4426" width="1" style="432" customWidth="1"/>
    <col min="4427" max="4467" width="0.88671875" style="432"/>
    <col min="4468" max="4468" width="0.88671875" style="432" customWidth="1"/>
    <col min="4469" max="4681" width="0.88671875" style="432"/>
    <col min="4682" max="4682" width="1" style="432" customWidth="1"/>
    <col min="4683" max="4723" width="0.88671875" style="432"/>
    <col min="4724" max="4724" width="0.88671875" style="432" customWidth="1"/>
    <col min="4725" max="4937" width="0.88671875" style="432"/>
    <col min="4938" max="4938" width="1" style="432" customWidth="1"/>
    <col min="4939" max="4979" width="0.88671875" style="432"/>
    <col min="4980" max="4980" width="0.88671875" style="432" customWidth="1"/>
    <col min="4981" max="5193" width="0.88671875" style="432"/>
    <col min="5194" max="5194" width="1" style="432" customWidth="1"/>
    <col min="5195" max="5235" width="0.88671875" style="432"/>
    <col min="5236" max="5236" width="0.88671875" style="432" customWidth="1"/>
    <col min="5237" max="5449" width="0.88671875" style="432"/>
    <col min="5450" max="5450" width="1" style="432" customWidth="1"/>
    <col min="5451" max="5491" width="0.88671875" style="432"/>
    <col min="5492" max="5492" width="0.88671875" style="432" customWidth="1"/>
    <col min="5493" max="5705" width="0.88671875" style="432"/>
    <col min="5706" max="5706" width="1" style="432" customWidth="1"/>
    <col min="5707" max="5747" width="0.88671875" style="432"/>
    <col min="5748" max="5748" width="0.88671875" style="432" customWidth="1"/>
    <col min="5749" max="5961" width="0.88671875" style="432"/>
    <col min="5962" max="5962" width="1" style="432" customWidth="1"/>
    <col min="5963" max="6003" width="0.88671875" style="432"/>
    <col min="6004" max="6004" width="0.88671875" style="432" customWidth="1"/>
    <col min="6005" max="6217" width="0.88671875" style="432"/>
    <col min="6218" max="6218" width="1" style="432" customWidth="1"/>
    <col min="6219" max="6259" width="0.88671875" style="432"/>
    <col min="6260" max="6260" width="0.88671875" style="432" customWidth="1"/>
    <col min="6261" max="6473" width="0.88671875" style="432"/>
    <col min="6474" max="6474" width="1" style="432" customWidth="1"/>
    <col min="6475" max="6515" width="0.88671875" style="432"/>
    <col min="6516" max="6516" width="0.88671875" style="432" customWidth="1"/>
    <col min="6517" max="6729" width="0.88671875" style="432"/>
    <col min="6730" max="6730" width="1" style="432" customWidth="1"/>
    <col min="6731" max="6771" width="0.88671875" style="432"/>
    <col min="6772" max="6772" width="0.88671875" style="432" customWidth="1"/>
    <col min="6773" max="6985" width="0.88671875" style="432"/>
    <col min="6986" max="6986" width="1" style="432" customWidth="1"/>
    <col min="6987" max="7027" width="0.88671875" style="432"/>
    <col min="7028" max="7028" width="0.88671875" style="432" customWidth="1"/>
    <col min="7029" max="7241" width="0.88671875" style="432"/>
    <col min="7242" max="7242" width="1" style="432" customWidth="1"/>
    <col min="7243" max="7283" width="0.88671875" style="432"/>
    <col min="7284" max="7284" width="0.88671875" style="432" customWidth="1"/>
    <col min="7285" max="7497" width="0.88671875" style="432"/>
    <col min="7498" max="7498" width="1" style="432" customWidth="1"/>
    <col min="7499" max="7539" width="0.88671875" style="432"/>
    <col min="7540" max="7540" width="0.88671875" style="432" customWidth="1"/>
    <col min="7541" max="7753" width="0.88671875" style="432"/>
    <col min="7754" max="7754" width="1" style="432" customWidth="1"/>
    <col min="7755" max="7795" width="0.88671875" style="432"/>
    <col min="7796" max="7796" width="0.88671875" style="432" customWidth="1"/>
    <col min="7797" max="8009" width="0.88671875" style="432"/>
    <col min="8010" max="8010" width="1" style="432" customWidth="1"/>
    <col min="8011" max="8051" width="0.88671875" style="432"/>
    <col min="8052" max="8052" width="0.88671875" style="432" customWidth="1"/>
    <col min="8053" max="8265" width="0.88671875" style="432"/>
    <col min="8266" max="8266" width="1" style="432" customWidth="1"/>
    <col min="8267" max="8307" width="0.88671875" style="432"/>
    <col min="8308" max="8308" width="0.88671875" style="432" customWidth="1"/>
    <col min="8309" max="8521" width="0.88671875" style="432"/>
    <col min="8522" max="8522" width="1" style="432" customWidth="1"/>
    <col min="8523" max="8563" width="0.88671875" style="432"/>
    <col min="8564" max="8564" width="0.88671875" style="432" customWidth="1"/>
    <col min="8565" max="8777" width="0.88671875" style="432"/>
    <col min="8778" max="8778" width="1" style="432" customWidth="1"/>
    <col min="8779" max="8819" width="0.88671875" style="432"/>
    <col min="8820" max="8820" width="0.88671875" style="432" customWidth="1"/>
    <col min="8821" max="9033" width="0.88671875" style="432"/>
    <col min="9034" max="9034" width="1" style="432" customWidth="1"/>
    <col min="9035" max="9075" width="0.88671875" style="432"/>
    <col min="9076" max="9076" width="0.88671875" style="432" customWidth="1"/>
    <col min="9077" max="9289" width="0.88671875" style="432"/>
    <col min="9290" max="9290" width="1" style="432" customWidth="1"/>
    <col min="9291" max="9331" width="0.88671875" style="432"/>
    <col min="9332" max="9332" width="0.88671875" style="432" customWidth="1"/>
    <col min="9333" max="9545" width="0.88671875" style="432"/>
    <col min="9546" max="9546" width="1" style="432" customWidth="1"/>
    <col min="9547" max="9587" width="0.88671875" style="432"/>
    <col min="9588" max="9588" width="0.88671875" style="432" customWidth="1"/>
    <col min="9589" max="9801" width="0.88671875" style="432"/>
    <col min="9802" max="9802" width="1" style="432" customWidth="1"/>
    <col min="9803" max="9843" width="0.88671875" style="432"/>
    <col min="9844" max="9844" width="0.88671875" style="432" customWidth="1"/>
    <col min="9845" max="10057" width="0.88671875" style="432"/>
    <col min="10058" max="10058" width="1" style="432" customWidth="1"/>
    <col min="10059" max="10099" width="0.88671875" style="432"/>
    <col min="10100" max="10100" width="0.88671875" style="432" customWidth="1"/>
    <col min="10101" max="10313" width="0.88671875" style="432"/>
    <col min="10314" max="10314" width="1" style="432" customWidth="1"/>
    <col min="10315" max="10355" width="0.88671875" style="432"/>
    <col min="10356" max="10356" width="0.88671875" style="432" customWidth="1"/>
    <col min="10357" max="10569" width="0.88671875" style="432"/>
    <col min="10570" max="10570" width="1" style="432" customWidth="1"/>
    <col min="10571" max="10611" width="0.88671875" style="432"/>
    <col min="10612" max="10612" width="0.88671875" style="432" customWidth="1"/>
    <col min="10613" max="10825" width="0.88671875" style="432"/>
    <col min="10826" max="10826" width="1" style="432" customWidth="1"/>
    <col min="10827" max="10867" width="0.88671875" style="432"/>
    <col min="10868" max="10868" width="0.88671875" style="432" customWidth="1"/>
    <col min="10869" max="11081" width="0.88671875" style="432"/>
    <col min="11082" max="11082" width="1" style="432" customWidth="1"/>
    <col min="11083" max="11123" width="0.88671875" style="432"/>
    <col min="11124" max="11124" width="0.88671875" style="432" customWidth="1"/>
    <col min="11125" max="11337" width="0.88671875" style="432"/>
    <col min="11338" max="11338" width="1" style="432" customWidth="1"/>
    <col min="11339" max="11379" width="0.88671875" style="432"/>
    <col min="11380" max="11380" width="0.88671875" style="432" customWidth="1"/>
    <col min="11381" max="11593" width="0.88671875" style="432"/>
    <col min="11594" max="11594" width="1" style="432" customWidth="1"/>
    <col min="11595" max="11635" width="0.88671875" style="432"/>
    <col min="11636" max="11636" width="0.88671875" style="432" customWidth="1"/>
    <col min="11637" max="11849" width="0.88671875" style="432"/>
    <col min="11850" max="11850" width="1" style="432" customWidth="1"/>
    <col min="11851" max="11891" width="0.88671875" style="432"/>
    <col min="11892" max="11892" width="0.88671875" style="432" customWidth="1"/>
    <col min="11893" max="12105" width="0.88671875" style="432"/>
    <col min="12106" max="12106" width="1" style="432" customWidth="1"/>
    <col min="12107" max="12147" width="0.88671875" style="432"/>
    <col min="12148" max="12148" width="0.88671875" style="432" customWidth="1"/>
    <col min="12149" max="12361" width="0.88671875" style="432"/>
    <col min="12362" max="12362" width="1" style="432" customWidth="1"/>
    <col min="12363" max="12403" width="0.88671875" style="432"/>
    <col min="12404" max="12404" width="0.88671875" style="432" customWidth="1"/>
    <col min="12405" max="12617" width="0.88671875" style="432"/>
    <col min="12618" max="12618" width="1" style="432" customWidth="1"/>
    <col min="12619" max="12659" width="0.88671875" style="432"/>
    <col min="12660" max="12660" width="0.88671875" style="432" customWidth="1"/>
    <col min="12661" max="12873" width="0.88671875" style="432"/>
    <col min="12874" max="12874" width="1" style="432" customWidth="1"/>
    <col min="12875" max="12915" width="0.88671875" style="432"/>
    <col min="12916" max="12916" width="0.88671875" style="432" customWidth="1"/>
    <col min="12917" max="13129" width="0.88671875" style="432"/>
    <col min="13130" max="13130" width="1" style="432" customWidth="1"/>
    <col min="13131" max="13171" width="0.88671875" style="432"/>
    <col min="13172" max="13172" width="0.88671875" style="432" customWidth="1"/>
    <col min="13173" max="13385" width="0.88671875" style="432"/>
    <col min="13386" max="13386" width="1" style="432" customWidth="1"/>
    <col min="13387" max="13427" width="0.88671875" style="432"/>
    <col min="13428" max="13428" width="0.88671875" style="432" customWidth="1"/>
    <col min="13429" max="13641" width="0.88671875" style="432"/>
    <col min="13642" max="13642" width="1" style="432" customWidth="1"/>
    <col min="13643" max="13683" width="0.88671875" style="432"/>
    <col min="13684" max="13684" width="0.88671875" style="432" customWidth="1"/>
    <col min="13685" max="13897" width="0.88671875" style="432"/>
    <col min="13898" max="13898" width="1" style="432" customWidth="1"/>
    <col min="13899" max="13939" width="0.88671875" style="432"/>
    <col min="13940" max="13940" width="0.88671875" style="432" customWidth="1"/>
    <col min="13941" max="14153" width="0.88671875" style="432"/>
    <col min="14154" max="14154" width="1" style="432" customWidth="1"/>
    <col min="14155" max="14195" width="0.88671875" style="432"/>
    <col min="14196" max="14196" width="0.88671875" style="432" customWidth="1"/>
    <col min="14197" max="14409" width="0.88671875" style="432"/>
    <col min="14410" max="14410" width="1" style="432" customWidth="1"/>
    <col min="14411" max="14451" width="0.88671875" style="432"/>
    <col min="14452" max="14452" width="0.88671875" style="432" customWidth="1"/>
    <col min="14453" max="14665" width="0.88671875" style="432"/>
    <col min="14666" max="14666" width="1" style="432" customWidth="1"/>
    <col min="14667" max="14707" width="0.88671875" style="432"/>
    <col min="14708" max="14708" width="0.88671875" style="432" customWidth="1"/>
    <col min="14709" max="14921" width="0.88671875" style="432"/>
    <col min="14922" max="14922" width="1" style="432" customWidth="1"/>
    <col min="14923" max="14963" width="0.88671875" style="432"/>
    <col min="14964" max="14964" width="0.88671875" style="432" customWidth="1"/>
    <col min="14965" max="15177" width="0.88671875" style="432"/>
    <col min="15178" max="15178" width="1" style="432" customWidth="1"/>
    <col min="15179" max="15219" width="0.88671875" style="432"/>
    <col min="15220" max="15220" width="0.88671875" style="432" customWidth="1"/>
    <col min="15221" max="15433" width="0.88671875" style="432"/>
    <col min="15434" max="15434" width="1" style="432" customWidth="1"/>
    <col min="15435" max="15475" width="0.88671875" style="432"/>
    <col min="15476" max="15476" width="0.88671875" style="432" customWidth="1"/>
    <col min="15477" max="15689" width="0.88671875" style="432"/>
    <col min="15690" max="15690" width="1" style="432" customWidth="1"/>
    <col min="15691" max="15731" width="0.88671875" style="432"/>
    <col min="15732" max="15732" width="0.88671875" style="432" customWidth="1"/>
    <col min="15733" max="15945" width="0.88671875" style="432"/>
    <col min="15946" max="15946" width="1" style="432" customWidth="1"/>
    <col min="15947" max="15987" width="0.88671875" style="432"/>
    <col min="15988" max="15988" width="0.88671875" style="432" customWidth="1"/>
    <col min="15989" max="16201" width="0.88671875" style="432"/>
    <col min="16202" max="16202" width="1" style="432" customWidth="1"/>
    <col min="16203" max="16243" width="0.88671875" style="432"/>
    <col min="16244" max="16244" width="0.88671875" style="432" customWidth="1"/>
    <col min="16245" max="16384" width="0.88671875" style="432"/>
  </cols>
  <sheetData>
    <row r="1" spans="1:155" s="421" customFormat="1" ht="7.8">
      <c r="EY1" s="422" t="s">
        <v>1536</v>
      </c>
    </row>
    <row r="2" spans="1:155" s="423" customFormat="1" ht="3.9" customHeight="1"/>
    <row r="3" spans="1:155" s="424" customFormat="1" ht="9.6">
      <c r="A3" s="1379" t="s">
        <v>1537</v>
      </c>
      <c r="B3" s="1379"/>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79"/>
      <c r="CJ3" s="1379"/>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1379"/>
      <c r="DG3" s="1379"/>
      <c r="DH3" s="1379"/>
      <c r="DI3" s="1379"/>
      <c r="DJ3" s="1379"/>
      <c r="DK3" s="1379"/>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79"/>
      <c r="EW3" s="1379"/>
      <c r="EX3" s="1379"/>
      <c r="EY3" s="1379"/>
    </row>
    <row r="4" spans="1:155" s="424" customFormat="1" ht="9.6">
      <c r="A4" s="1379" t="s">
        <v>1538</v>
      </c>
      <c r="B4" s="1379"/>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A4" s="1379"/>
      <c r="CB4" s="1379"/>
      <c r="CC4" s="1379"/>
      <c r="CD4" s="1379"/>
      <c r="CE4" s="1379"/>
      <c r="CF4" s="1379"/>
      <c r="CG4" s="1379"/>
      <c r="CH4" s="1379"/>
      <c r="CI4" s="1379"/>
      <c r="CJ4" s="1379"/>
      <c r="CK4" s="1379"/>
      <c r="CL4" s="1379"/>
      <c r="CM4" s="1379"/>
      <c r="CN4" s="1379"/>
      <c r="CO4" s="1379"/>
      <c r="CP4" s="1379"/>
      <c r="CQ4" s="1379"/>
      <c r="CR4" s="1379"/>
      <c r="CS4" s="1379"/>
      <c r="CT4" s="1379"/>
      <c r="CU4" s="1379"/>
      <c r="CV4" s="1379"/>
      <c r="CW4" s="1379"/>
      <c r="CX4" s="1379"/>
      <c r="CY4" s="1379"/>
      <c r="CZ4" s="1379"/>
      <c r="DA4" s="1379"/>
      <c r="DB4" s="1379"/>
      <c r="DC4" s="1379"/>
      <c r="DD4" s="1379"/>
      <c r="DE4" s="1379"/>
      <c r="DF4" s="1379"/>
      <c r="DG4" s="1379"/>
      <c r="DH4" s="1379"/>
      <c r="DI4" s="1379"/>
      <c r="DJ4" s="1379"/>
      <c r="DK4" s="1379"/>
      <c r="DL4" s="1379"/>
      <c r="DM4" s="1379"/>
      <c r="DN4" s="1379"/>
      <c r="DO4" s="1379"/>
      <c r="DP4" s="1379"/>
      <c r="DQ4" s="1379"/>
      <c r="DR4" s="1379"/>
      <c r="DS4" s="1379"/>
      <c r="DT4" s="1379"/>
      <c r="DU4" s="1379"/>
      <c r="DV4" s="1379"/>
      <c r="DW4" s="1379"/>
      <c r="DX4" s="1379"/>
      <c r="DY4" s="1379"/>
      <c r="DZ4" s="1379"/>
      <c r="EA4" s="1379"/>
      <c r="EB4" s="1379"/>
      <c r="EC4" s="1379"/>
      <c r="ED4" s="1379"/>
      <c r="EE4" s="1379"/>
      <c r="EF4" s="1379"/>
      <c r="EG4" s="1379"/>
      <c r="EH4" s="1379"/>
      <c r="EI4" s="1379"/>
      <c r="EJ4" s="1379"/>
      <c r="EK4" s="1379"/>
      <c r="EL4" s="1379"/>
      <c r="EM4" s="1379"/>
      <c r="EN4" s="1379"/>
      <c r="EO4" s="1379"/>
      <c r="EP4" s="1379"/>
      <c r="EQ4" s="1379"/>
      <c r="ER4" s="1379"/>
      <c r="ES4" s="1379"/>
      <c r="ET4" s="1379"/>
      <c r="EU4" s="1379"/>
      <c r="EV4" s="1379"/>
      <c r="EW4" s="1379"/>
      <c r="EX4" s="1379"/>
      <c r="EY4" s="1379"/>
    </row>
    <row r="5" spans="1:155" s="423" customFormat="1" ht="6" customHeight="1"/>
    <row r="6" spans="1:155" s="425" customFormat="1" ht="7.8">
      <c r="A6" s="425" t="s">
        <v>1539</v>
      </c>
      <c r="AN6" s="425" t="s">
        <v>1540</v>
      </c>
    </row>
    <row r="7" spans="1:155" s="425" customFormat="1" ht="7.8">
      <c r="AN7" s="425" t="s">
        <v>1538</v>
      </c>
    </row>
    <row r="8" spans="1:155" s="425" customFormat="1" ht="7.8">
      <c r="A8" s="425" t="s">
        <v>1541</v>
      </c>
      <c r="AN8" s="425" t="s">
        <v>1542</v>
      </c>
    </row>
    <row r="9" spans="1:155" s="425" customFormat="1" ht="7.8">
      <c r="A9" s="425" t="s">
        <v>1543</v>
      </c>
      <c r="AN9" s="425" t="s">
        <v>1544</v>
      </c>
      <c r="EI9" s="426"/>
      <c r="EJ9" s="426"/>
      <c r="EK9" s="426"/>
      <c r="EL9" s="426"/>
      <c r="EM9" s="426"/>
      <c r="EN9" s="426"/>
      <c r="EO9" s="426"/>
      <c r="EP9" s="426"/>
      <c r="EQ9" s="426"/>
      <c r="ER9" s="426"/>
      <c r="ES9" s="426"/>
      <c r="ET9" s="426"/>
      <c r="EU9" s="426"/>
      <c r="EV9" s="426"/>
      <c r="EW9" s="426"/>
      <c r="EX9" s="426"/>
      <c r="EY9" s="426"/>
    </row>
    <row r="10" spans="1:155" s="424" customFormat="1" ht="4.5" customHeight="1">
      <c r="EI10" s="427"/>
      <c r="EJ10" s="427"/>
      <c r="EK10" s="427"/>
      <c r="EL10" s="427"/>
      <c r="EM10" s="427"/>
      <c r="EN10" s="427"/>
      <c r="EO10" s="427"/>
      <c r="EP10" s="427"/>
      <c r="EQ10" s="427"/>
      <c r="ER10" s="427"/>
      <c r="ES10" s="427"/>
      <c r="ET10" s="427"/>
      <c r="EU10" s="427"/>
      <c r="EV10" s="427"/>
      <c r="EW10" s="427"/>
      <c r="EX10" s="427"/>
      <c r="EY10" s="427"/>
    </row>
    <row r="11" spans="1:155" s="425" customFormat="1" ht="7.8">
      <c r="A11" s="425" t="s">
        <v>1545</v>
      </c>
      <c r="DN11" s="1380" t="s">
        <v>1546</v>
      </c>
      <c r="DO11" s="1380"/>
      <c r="DP11" s="1380"/>
      <c r="DQ11" s="1380"/>
      <c r="DR11" s="1380"/>
      <c r="DS11" s="1380"/>
      <c r="DT11" s="1380"/>
      <c r="DU11" s="1380"/>
      <c r="DV11" s="1380"/>
      <c r="DW11" s="1380"/>
      <c r="DX11" s="1380"/>
      <c r="DY11" s="1380"/>
      <c r="DZ11" s="1380"/>
      <c r="EA11" s="1380"/>
      <c r="EB11" s="1380"/>
      <c r="EC11" s="1380"/>
      <c r="ED11" s="1380"/>
      <c r="EE11" s="1380"/>
      <c r="EF11" s="1380"/>
      <c r="EG11" s="1380"/>
      <c r="EH11" s="1380"/>
      <c r="EI11" s="1380"/>
      <c r="EJ11" s="1380"/>
      <c r="EK11" s="1380"/>
      <c r="EL11" s="1380"/>
      <c r="EM11" s="1380"/>
      <c r="EN11" s="1380"/>
      <c r="EO11" s="1380"/>
      <c r="EP11" s="1380"/>
      <c r="EQ11" s="1380"/>
      <c r="ER11" s="1380"/>
      <c r="ES11" s="1380"/>
      <c r="ET11" s="1380"/>
      <c r="EU11" s="1380"/>
      <c r="EV11" s="1380"/>
      <c r="EW11" s="1380"/>
      <c r="EX11" s="1380"/>
      <c r="EY11" s="1380"/>
    </row>
    <row r="12" spans="1:155" s="425" customFormat="1" ht="7.8">
      <c r="A12" s="425" t="s">
        <v>1547</v>
      </c>
      <c r="DN12" s="1381" t="s">
        <v>224</v>
      </c>
      <c r="DO12" s="1381"/>
      <c r="DP12" s="1381"/>
      <c r="DQ12" s="1381"/>
      <c r="DR12" s="1381"/>
      <c r="DS12" s="1381"/>
      <c r="DT12" s="1381"/>
      <c r="DU12" s="1381"/>
      <c r="DV12" s="1381"/>
      <c r="DW12" s="1381"/>
      <c r="DX12" s="1381"/>
      <c r="DY12" s="1381"/>
      <c r="DZ12" s="1381"/>
      <c r="EA12" s="1381"/>
      <c r="EB12" s="1381"/>
      <c r="EC12" s="1381"/>
      <c r="ED12" s="1381"/>
      <c r="EE12" s="1381"/>
      <c r="EF12" s="1381"/>
      <c r="EG12" s="1381"/>
      <c r="EH12" s="1381"/>
      <c r="EI12" s="1381"/>
      <c r="EJ12" s="1381"/>
      <c r="EK12" s="1381"/>
      <c r="EL12" s="1381"/>
      <c r="EM12" s="1381"/>
      <c r="EN12" s="1381"/>
      <c r="EO12" s="1381"/>
      <c r="EP12" s="1381"/>
      <c r="EQ12" s="1381"/>
      <c r="ER12" s="1381"/>
      <c r="ES12" s="1381"/>
      <c r="ET12" s="1381"/>
      <c r="EU12" s="1381"/>
      <c r="EV12" s="1381"/>
      <c r="EW12" s="1381"/>
      <c r="EX12" s="1381"/>
      <c r="EY12" s="1381"/>
    </row>
    <row r="13" spans="1:155" s="425" customFormat="1" ht="7.8">
      <c r="A13" s="425" t="s">
        <v>1548</v>
      </c>
      <c r="DN13" s="1381" t="s">
        <v>1549</v>
      </c>
      <c r="DO13" s="1381"/>
      <c r="DP13" s="1381"/>
      <c r="DQ13" s="1381"/>
      <c r="DR13" s="1381"/>
      <c r="DS13" s="1381"/>
      <c r="DT13" s="1381"/>
      <c r="DU13" s="1381"/>
      <c r="DV13" s="1381"/>
      <c r="DW13" s="1381"/>
      <c r="DX13" s="1381"/>
      <c r="DY13" s="1381"/>
      <c r="DZ13" s="1381"/>
      <c r="EA13" s="1381"/>
      <c r="EB13" s="1381"/>
      <c r="EC13" s="1381"/>
      <c r="ED13" s="1381"/>
      <c r="EE13" s="1381"/>
      <c r="EF13" s="1381"/>
      <c r="EG13" s="1381"/>
      <c r="EH13" s="1381"/>
      <c r="EI13" s="1381"/>
      <c r="EJ13" s="1381"/>
      <c r="EK13" s="1381"/>
      <c r="EL13" s="1381"/>
      <c r="EM13" s="1381"/>
      <c r="EN13" s="1381"/>
      <c r="EO13" s="1381"/>
      <c r="EP13" s="1381"/>
      <c r="EQ13" s="1381"/>
      <c r="ER13" s="1381"/>
      <c r="ES13" s="1381"/>
      <c r="ET13" s="1381"/>
      <c r="EU13" s="1381"/>
      <c r="EV13" s="1381"/>
      <c r="EW13" s="1381"/>
      <c r="EX13" s="1381"/>
      <c r="EY13" s="1381"/>
    </row>
    <row r="14" spans="1:155" s="425" customFormat="1" ht="7.8">
      <c r="A14" s="425" t="s">
        <v>1550</v>
      </c>
      <c r="DN14" s="1381" t="s">
        <v>1551</v>
      </c>
      <c r="DO14" s="1381"/>
      <c r="DP14" s="1381"/>
      <c r="DQ14" s="1381"/>
      <c r="DR14" s="1381"/>
      <c r="DS14" s="1381"/>
      <c r="DT14" s="1381"/>
      <c r="DU14" s="1381"/>
      <c r="DV14" s="1381"/>
      <c r="DW14" s="1381"/>
      <c r="DX14" s="1381"/>
      <c r="DY14" s="1381"/>
      <c r="DZ14" s="1381"/>
      <c r="EA14" s="1381"/>
      <c r="EB14" s="1381"/>
      <c r="EC14" s="1381"/>
      <c r="ED14" s="1381"/>
      <c r="EE14" s="1381"/>
      <c r="EF14" s="1381"/>
      <c r="EG14" s="1381"/>
      <c r="EH14" s="1381"/>
      <c r="EI14" s="1381"/>
      <c r="EJ14" s="1381"/>
      <c r="EK14" s="1381"/>
      <c r="EL14" s="1381"/>
      <c r="EM14" s="1381"/>
      <c r="EN14" s="1381"/>
      <c r="EO14" s="1381"/>
      <c r="EP14" s="1381"/>
      <c r="EQ14" s="1381"/>
      <c r="ER14" s="1381"/>
      <c r="ES14" s="1381"/>
      <c r="ET14" s="1381"/>
      <c r="EU14" s="1381"/>
      <c r="EV14" s="1381"/>
      <c r="EW14" s="1381"/>
      <c r="EX14" s="1381"/>
      <c r="EY14" s="1381"/>
    </row>
    <row r="15" spans="1:155" s="425" customFormat="1" ht="7.8">
      <c r="A15" s="425" t="s">
        <v>1552</v>
      </c>
      <c r="DN15" s="1381" t="s">
        <v>1553</v>
      </c>
      <c r="DO15" s="1381"/>
      <c r="DP15" s="1381"/>
      <c r="DQ15" s="1381"/>
      <c r="DR15" s="1381"/>
      <c r="DS15" s="1381"/>
      <c r="DT15" s="1381"/>
      <c r="DU15" s="1381"/>
      <c r="DV15" s="1381"/>
      <c r="DW15" s="1381"/>
      <c r="DX15" s="1381"/>
      <c r="DY15" s="1381"/>
      <c r="DZ15" s="1381"/>
      <c r="EA15" s="1381"/>
      <c r="EB15" s="1381"/>
      <c r="EC15" s="1381"/>
      <c r="ED15" s="1381"/>
      <c r="EE15" s="1381"/>
      <c r="EF15" s="1381"/>
      <c r="EG15" s="1381"/>
      <c r="EH15" s="1381"/>
      <c r="EI15" s="1381"/>
      <c r="EJ15" s="1381"/>
      <c r="EK15" s="1381"/>
      <c r="EL15" s="1381"/>
      <c r="EM15" s="1381"/>
      <c r="EN15" s="1381"/>
      <c r="EO15" s="1381"/>
      <c r="EP15" s="1381"/>
      <c r="EQ15" s="1381"/>
      <c r="ER15" s="1381"/>
      <c r="ES15" s="1381"/>
      <c r="ET15" s="1381"/>
      <c r="EU15" s="1381"/>
      <c r="EV15" s="1381"/>
      <c r="EW15" s="1381"/>
      <c r="EX15" s="1381"/>
      <c r="EY15" s="1381"/>
    </row>
    <row r="16" spans="1:155" s="425" customFormat="1" ht="7.8">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row>
    <row r="17" spans="1:155" s="425" customFormat="1" ht="8.1" customHeight="1"/>
    <row r="18" spans="1:155" s="428" customFormat="1" ht="9" customHeight="1">
      <c r="A18" s="1382" t="s">
        <v>111</v>
      </c>
      <c r="B18" s="1383"/>
      <c r="C18" s="1383"/>
      <c r="D18" s="1383"/>
      <c r="E18" s="1383"/>
      <c r="F18" s="1383"/>
      <c r="G18" s="1383"/>
      <c r="H18" s="1383"/>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c r="AL18" s="1383"/>
      <c r="AM18" s="1384"/>
      <c r="AN18" s="1382" t="s">
        <v>0</v>
      </c>
      <c r="AO18" s="1383"/>
      <c r="AP18" s="1383"/>
      <c r="AQ18" s="1383"/>
      <c r="AR18" s="1383"/>
      <c r="AS18" s="1383"/>
      <c r="AT18" s="1383"/>
      <c r="AU18" s="1384"/>
      <c r="AV18" s="1382" t="s">
        <v>1554</v>
      </c>
      <c r="AW18" s="1383"/>
      <c r="AX18" s="1383"/>
      <c r="AY18" s="1383"/>
      <c r="AZ18" s="1383"/>
      <c r="BA18" s="1384"/>
      <c r="BB18" s="1382" t="s">
        <v>1555</v>
      </c>
      <c r="BC18" s="1383"/>
      <c r="BD18" s="1383"/>
      <c r="BE18" s="1383"/>
      <c r="BF18" s="1383"/>
      <c r="BG18" s="1383"/>
      <c r="BH18" s="1383"/>
      <c r="BI18" s="1383"/>
      <c r="BJ18" s="1384"/>
      <c r="BK18" s="1388" t="s">
        <v>1556</v>
      </c>
      <c r="BL18" s="1388"/>
      <c r="BM18" s="1388"/>
      <c r="BN18" s="1388"/>
      <c r="BO18" s="1388"/>
      <c r="BP18" s="1388"/>
      <c r="BQ18" s="1388"/>
      <c r="BR18" s="1388"/>
      <c r="BS18" s="1388"/>
      <c r="BT18" s="1388" t="s">
        <v>1557</v>
      </c>
      <c r="BU18" s="1388"/>
      <c r="BV18" s="1388"/>
      <c r="BW18" s="1388"/>
      <c r="BX18" s="1388"/>
      <c r="BY18" s="1388"/>
      <c r="BZ18" s="1388"/>
      <c r="CA18" s="1388"/>
      <c r="CB18" s="1388"/>
      <c r="CC18" s="1388"/>
      <c r="CD18" s="1388"/>
      <c r="CE18" s="1388"/>
      <c r="CF18" s="1388"/>
      <c r="CG18" s="1388"/>
      <c r="CH18" s="1388"/>
      <c r="CI18" s="1388"/>
      <c r="CJ18" s="1388"/>
      <c r="CK18" s="1388"/>
      <c r="CL18" s="1388"/>
      <c r="CM18" s="1388"/>
      <c r="CN18" s="1388"/>
      <c r="CO18" s="1388"/>
      <c r="CP18" s="1388"/>
      <c r="CQ18" s="1388"/>
      <c r="CR18" s="1388"/>
      <c r="CS18" s="1388"/>
      <c r="CT18" s="1388"/>
      <c r="CU18" s="1388"/>
      <c r="CV18" s="1388" t="s">
        <v>1558</v>
      </c>
      <c r="CW18" s="1388"/>
      <c r="CX18" s="1388"/>
      <c r="CY18" s="1388"/>
      <c r="CZ18" s="1388"/>
      <c r="DA18" s="1388"/>
      <c r="DB18" s="1388"/>
      <c r="DC18" s="1388"/>
      <c r="DD18" s="1388"/>
      <c r="DE18" s="1388" t="s">
        <v>1559</v>
      </c>
      <c r="DF18" s="1388"/>
      <c r="DG18" s="1388"/>
      <c r="DH18" s="1388"/>
      <c r="DI18" s="1388"/>
      <c r="DJ18" s="1388"/>
      <c r="DK18" s="1388"/>
      <c r="DL18" s="1388"/>
      <c r="DM18" s="1388"/>
      <c r="DN18" s="1388" t="s">
        <v>1560</v>
      </c>
      <c r="DO18" s="1388"/>
      <c r="DP18" s="1388"/>
      <c r="DQ18" s="1388"/>
      <c r="DR18" s="1388"/>
      <c r="DS18" s="1388"/>
      <c r="DT18" s="1388"/>
      <c r="DU18" s="1388"/>
      <c r="DV18" s="1388"/>
      <c r="DW18" s="1388"/>
      <c r="DX18" s="1388"/>
      <c r="DY18" s="1388"/>
      <c r="DZ18" s="1388"/>
      <c r="EA18" s="1388"/>
      <c r="EB18" s="1388"/>
      <c r="EC18" s="1388"/>
      <c r="ED18" s="1388"/>
      <c r="EE18" s="1388"/>
      <c r="EF18" s="1388"/>
      <c r="EG18" s="1388"/>
      <c r="EH18" s="1388"/>
      <c r="EI18" s="1388"/>
      <c r="EJ18" s="1388"/>
      <c r="EK18" s="1388"/>
      <c r="EL18" s="1388"/>
      <c r="EM18" s="1388"/>
      <c r="EN18" s="1388"/>
      <c r="EO18" s="1388"/>
      <c r="EP18" s="1382" t="s">
        <v>1561</v>
      </c>
      <c r="EQ18" s="1383"/>
      <c r="ER18" s="1383"/>
      <c r="ES18" s="1383"/>
      <c r="ET18" s="1383"/>
      <c r="EU18" s="1383"/>
      <c r="EV18" s="1383"/>
      <c r="EW18" s="1383"/>
      <c r="EX18" s="1383"/>
      <c r="EY18" s="1384"/>
    </row>
    <row r="19" spans="1:155" s="428" customFormat="1" ht="66.75" customHeight="1">
      <c r="A19" s="1385"/>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c r="AL19" s="1386"/>
      <c r="AM19" s="1387"/>
      <c r="AN19" s="1385"/>
      <c r="AO19" s="1386"/>
      <c r="AP19" s="1386"/>
      <c r="AQ19" s="1386"/>
      <c r="AR19" s="1386"/>
      <c r="AS19" s="1386"/>
      <c r="AT19" s="1386"/>
      <c r="AU19" s="1387"/>
      <c r="AV19" s="1385"/>
      <c r="AW19" s="1386"/>
      <c r="AX19" s="1386"/>
      <c r="AY19" s="1386"/>
      <c r="AZ19" s="1386"/>
      <c r="BA19" s="1387"/>
      <c r="BB19" s="1385"/>
      <c r="BC19" s="1386"/>
      <c r="BD19" s="1386"/>
      <c r="BE19" s="1386"/>
      <c r="BF19" s="1386"/>
      <c r="BG19" s="1386"/>
      <c r="BH19" s="1386"/>
      <c r="BI19" s="1386"/>
      <c r="BJ19" s="1387"/>
      <c r="BK19" s="1388"/>
      <c r="BL19" s="1388"/>
      <c r="BM19" s="1388"/>
      <c r="BN19" s="1388"/>
      <c r="BO19" s="1388"/>
      <c r="BP19" s="1388"/>
      <c r="BQ19" s="1388"/>
      <c r="BR19" s="1388"/>
      <c r="BS19" s="1388"/>
      <c r="BT19" s="1388" t="s">
        <v>1562</v>
      </c>
      <c r="BU19" s="1388"/>
      <c r="BV19" s="1388"/>
      <c r="BW19" s="1388"/>
      <c r="BX19" s="1388"/>
      <c r="BY19" s="1388"/>
      <c r="BZ19" s="1388"/>
      <c r="CA19" s="1388" t="s">
        <v>1563</v>
      </c>
      <c r="CB19" s="1388"/>
      <c r="CC19" s="1388"/>
      <c r="CD19" s="1388"/>
      <c r="CE19" s="1388"/>
      <c r="CF19" s="1388"/>
      <c r="CG19" s="1388"/>
      <c r="CH19" s="1388" t="s">
        <v>1564</v>
      </c>
      <c r="CI19" s="1388"/>
      <c r="CJ19" s="1388"/>
      <c r="CK19" s="1388"/>
      <c r="CL19" s="1388"/>
      <c r="CM19" s="1388"/>
      <c r="CN19" s="1388"/>
      <c r="CO19" s="1388" t="s">
        <v>1565</v>
      </c>
      <c r="CP19" s="1388"/>
      <c r="CQ19" s="1388"/>
      <c r="CR19" s="1388"/>
      <c r="CS19" s="1388"/>
      <c r="CT19" s="1388"/>
      <c r="CU19" s="1388"/>
      <c r="CV19" s="1388"/>
      <c r="CW19" s="1388"/>
      <c r="CX19" s="1388"/>
      <c r="CY19" s="1388"/>
      <c r="CZ19" s="1388"/>
      <c r="DA19" s="1388"/>
      <c r="DB19" s="1388"/>
      <c r="DC19" s="1388"/>
      <c r="DD19" s="1388"/>
      <c r="DE19" s="1388"/>
      <c r="DF19" s="1388"/>
      <c r="DG19" s="1388"/>
      <c r="DH19" s="1388"/>
      <c r="DI19" s="1388"/>
      <c r="DJ19" s="1388"/>
      <c r="DK19" s="1388"/>
      <c r="DL19" s="1388"/>
      <c r="DM19" s="1388"/>
      <c r="DN19" s="1388" t="s">
        <v>1562</v>
      </c>
      <c r="DO19" s="1388"/>
      <c r="DP19" s="1388"/>
      <c r="DQ19" s="1388"/>
      <c r="DR19" s="1388"/>
      <c r="DS19" s="1388"/>
      <c r="DT19" s="1388"/>
      <c r="DU19" s="1388" t="s">
        <v>1563</v>
      </c>
      <c r="DV19" s="1388"/>
      <c r="DW19" s="1388"/>
      <c r="DX19" s="1388"/>
      <c r="DY19" s="1388"/>
      <c r="DZ19" s="1388"/>
      <c r="EA19" s="1388"/>
      <c r="EB19" s="1388" t="s">
        <v>1564</v>
      </c>
      <c r="EC19" s="1388"/>
      <c r="ED19" s="1388"/>
      <c r="EE19" s="1388"/>
      <c r="EF19" s="1388"/>
      <c r="EG19" s="1388"/>
      <c r="EH19" s="1388"/>
      <c r="EI19" s="1388" t="s">
        <v>1565</v>
      </c>
      <c r="EJ19" s="1388"/>
      <c r="EK19" s="1388"/>
      <c r="EL19" s="1388"/>
      <c r="EM19" s="1388"/>
      <c r="EN19" s="1388"/>
      <c r="EO19" s="1388"/>
      <c r="EP19" s="1385"/>
      <c r="EQ19" s="1386"/>
      <c r="ER19" s="1386"/>
      <c r="ES19" s="1386"/>
      <c r="ET19" s="1386"/>
      <c r="EU19" s="1386"/>
      <c r="EV19" s="1386"/>
      <c r="EW19" s="1386"/>
      <c r="EX19" s="1386"/>
      <c r="EY19" s="1387"/>
    </row>
    <row r="20" spans="1:155" s="429" customFormat="1" ht="18.75" customHeight="1">
      <c r="A20" s="1393">
        <v>1</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c r="AM20" s="1395"/>
      <c r="AN20" s="1389">
        <v>2</v>
      </c>
      <c r="AO20" s="1389"/>
      <c r="AP20" s="1389"/>
      <c r="AQ20" s="1389"/>
      <c r="AR20" s="1389"/>
      <c r="AS20" s="1389"/>
      <c r="AT20" s="1389"/>
      <c r="AU20" s="1389"/>
      <c r="AV20" s="1389">
        <v>3</v>
      </c>
      <c r="AW20" s="1389"/>
      <c r="AX20" s="1389"/>
      <c r="AY20" s="1389"/>
      <c r="AZ20" s="1389"/>
      <c r="BA20" s="1389"/>
      <c r="BB20" s="1389">
        <v>4</v>
      </c>
      <c r="BC20" s="1389"/>
      <c r="BD20" s="1389"/>
      <c r="BE20" s="1389"/>
      <c r="BF20" s="1389"/>
      <c r="BG20" s="1389"/>
      <c r="BH20" s="1389"/>
      <c r="BI20" s="1389"/>
      <c r="BJ20" s="1389"/>
      <c r="BK20" s="1389">
        <v>5</v>
      </c>
      <c r="BL20" s="1389"/>
      <c r="BM20" s="1389"/>
      <c r="BN20" s="1389"/>
      <c r="BO20" s="1389"/>
      <c r="BP20" s="1389"/>
      <c r="BQ20" s="1389"/>
      <c r="BR20" s="1389"/>
      <c r="BS20" s="1389"/>
      <c r="BT20" s="1389">
        <v>6</v>
      </c>
      <c r="BU20" s="1389"/>
      <c r="BV20" s="1389"/>
      <c r="BW20" s="1389"/>
      <c r="BX20" s="1389"/>
      <c r="BY20" s="1389"/>
      <c r="BZ20" s="1389"/>
      <c r="CA20" s="1389">
        <v>7</v>
      </c>
      <c r="CB20" s="1389"/>
      <c r="CC20" s="1389"/>
      <c r="CD20" s="1389"/>
      <c r="CE20" s="1389"/>
      <c r="CF20" s="1389"/>
      <c r="CG20" s="1389"/>
      <c r="CH20" s="1390" t="s">
        <v>1566</v>
      </c>
      <c r="CI20" s="1391"/>
      <c r="CJ20" s="1391"/>
      <c r="CK20" s="1391"/>
      <c r="CL20" s="1391"/>
      <c r="CM20" s="1391"/>
      <c r="CN20" s="1392"/>
      <c r="CO20" s="1389">
        <v>9</v>
      </c>
      <c r="CP20" s="1389"/>
      <c r="CQ20" s="1389"/>
      <c r="CR20" s="1389"/>
      <c r="CS20" s="1389"/>
      <c r="CT20" s="1389"/>
      <c r="CU20" s="1389"/>
      <c r="CV20" s="1389">
        <v>10</v>
      </c>
      <c r="CW20" s="1389"/>
      <c r="CX20" s="1389"/>
      <c r="CY20" s="1389"/>
      <c r="CZ20" s="1389"/>
      <c r="DA20" s="1389"/>
      <c r="DB20" s="1389"/>
      <c r="DC20" s="1389"/>
      <c r="DD20" s="1389"/>
      <c r="DE20" s="1389">
        <v>11</v>
      </c>
      <c r="DF20" s="1389"/>
      <c r="DG20" s="1389"/>
      <c r="DH20" s="1389"/>
      <c r="DI20" s="1389"/>
      <c r="DJ20" s="1389"/>
      <c r="DK20" s="1389"/>
      <c r="DL20" s="1389"/>
      <c r="DM20" s="1389"/>
      <c r="DN20" s="1389">
        <v>12</v>
      </c>
      <c r="DO20" s="1389"/>
      <c r="DP20" s="1389"/>
      <c r="DQ20" s="1389"/>
      <c r="DR20" s="1389"/>
      <c r="DS20" s="1389"/>
      <c r="DT20" s="1389"/>
      <c r="DU20" s="1389">
        <v>13</v>
      </c>
      <c r="DV20" s="1389"/>
      <c r="DW20" s="1389"/>
      <c r="DX20" s="1389"/>
      <c r="DY20" s="1389"/>
      <c r="DZ20" s="1389"/>
      <c r="EA20" s="1389"/>
      <c r="EB20" s="1390" t="s">
        <v>1567</v>
      </c>
      <c r="EC20" s="1391"/>
      <c r="ED20" s="1391"/>
      <c r="EE20" s="1391"/>
      <c r="EF20" s="1391"/>
      <c r="EG20" s="1391"/>
      <c r="EH20" s="1392"/>
      <c r="EI20" s="1393">
        <v>15</v>
      </c>
      <c r="EJ20" s="1394"/>
      <c r="EK20" s="1394"/>
      <c r="EL20" s="1394"/>
      <c r="EM20" s="1394"/>
      <c r="EN20" s="1394"/>
      <c r="EO20" s="1395"/>
      <c r="EP20" s="1389">
        <v>16</v>
      </c>
      <c r="EQ20" s="1389"/>
      <c r="ER20" s="1389"/>
      <c r="ES20" s="1389"/>
      <c r="ET20" s="1389"/>
      <c r="EU20" s="1389"/>
      <c r="EV20" s="1389"/>
      <c r="EW20" s="1389"/>
      <c r="EX20" s="1389"/>
      <c r="EY20" s="1389"/>
    </row>
    <row r="21" spans="1:155" s="430" customFormat="1" ht="16.5" customHeight="1">
      <c r="A21" s="1396" t="s">
        <v>1568</v>
      </c>
      <c r="B21" s="1397"/>
      <c r="C21" s="1397"/>
      <c r="D21" s="1397"/>
      <c r="E21" s="1397"/>
      <c r="F21" s="1397"/>
      <c r="G21" s="1397"/>
      <c r="H21" s="1397"/>
      <c r="I21" s="1397"/>
      <c r="J21" s="1397"/>
      <c r="K21" s="1397"/>
      <c r="L21" s="1397"/>
      <c r="M21" s="1397"/>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c r="AL21" s="1397"/>
      <c r="AM21" s="1398"/>
      <c r="AN21" s="1399" t="s">
        <v>121</v>
      </c>
      <c r="AO21" s="1400"/>
      <c r="AP21" s="1400"/>
      <c r="AQ21" s="1400"/>
      <c r="AR21" s="1400"/>
      <c r="AS21" s="1400"/>
      <c r="AT21" s="1400"/>
      <c r="AU21" s="1401"/>
      <c r="AV21" s="1402" t="s">
        <v>844</v>
      </c>
      <c r="AW21" s="1403"/>
      <c r="AX21" s="1403"/>
      <c r="AY21" s="1403"/>
      <c r="AZ21" s="1403"/>
      <c r="BA21" s="1404"/>
      <c r="BB21" s="1405">
        <f>CH21+CO21</f>
        <v>8510818</v>
      </c>
      <c r="BC21" s="1406"/>
      <c r="BD21" s="1406"/>
      <c r="BE21" s="1406"/>
      <c r="BF21" s="1406"/>
      <c r="BG21" s="1406"/>
      <c r="BH21" s="1406"/>
      <c r="BI21" s="1406"/>
      <c r="BJ21" s="1407"/>
      <c r="BK21" s="1405">
        <f t="shared" ref="BK21:BK38" si="0">BB21</f>
        <v>8510818</v>
      </c>
      <c r="BL21" s="1406"/>
      <c r="BM21" s="1406"/>
      <c r="BN21" s="1406"/>
      <c r="BO21" s="1406"/>
      <c r="BP21" s="1406"/>
      <c r="BQ21" s="1406"/>
      <c r="BR21" s="1406"/>
      <c r="BS21" s="1407"/>
      <c r="BT21" s="1405">
        <v>8304686</v>
      </c>
      <c r="BU21" s="1406"/>
      <c r="BV21" s="1406"/>
      <c r="BW21" s="1406"/>
      <c r="BX21" s="1406"/>
      <c r="BY21" s="1406"/>
      <c r="BZ21" s="1407"/>
      <c r="CA21" s="1405">
        <v>142554</v>
      </c>
      <c r="CB21" s="1406"/>
      <c r="CC21" s="1406"/>
      <c r="CD21" s="1406"/>
      <c r="CE21" s="1406"/>
      <c r="CF21" s="1406"/>
      <c r="CG21" s="1407"/>
      <c r="CH21" s="1411">
        <f>BT21+CA21</f>
        <v>8447240</v>
      </c>
      <c r="CI21" s="1412"/>
      <c r="CJ21" s="1412"/>
      <c r="CK21" s="1412"/>
      <c r="CL21" s="1412"/>
      <c r="CM21" s="1412"/>
      <c r="CN21" s="1413"/>
      <c r="CO21" s="1405">
        <v>63578</v>
      </c>
      <c r="CP21" s="1406"/>
      <c r="CQ21" s="1406"/>
      <c r="CR21" s="1406"/>
      <c r="CS21" s="1406"/>
      <c r="CT21" s="1406"/>
      <c r="CU21" s="1407"/>
      <c r="CV21" s="1405">
        <v>7436105</v>
      </c>
      <c r="CW21" s="1406"/>
      <c r="CX21" s="1406"/>
      <c r="CY21" s="1406"/>
      <c r="CZ21" s="1406"/>
      <c r="DA21" s="1406"/>
      <c r="DB21" s="1406"/>
      <c r="DC21" s="1406"/>
      <c r="DD21" s="1407"/>
      <c r="DE21" s="1405">
        <v>7436105</v>
      </c>
      <c r="DF21" s="1406"/>
      <c r="DG21" s="1406"/>
      <c r="DH21" s="1406"/>
      <c r="DI21" s="1406"/>
      <c r="DJ21" s="1406"/>
      <c r="DK21" s="1406"/>
      <c r="DL21" s="1406"/>
      <c r="DM21" s="1407"/>
      <c r="DN21" s="1405">
        <v>7161787</v>
      </c>
      <c r="DO21" s="1406"/>
      <c r="DP21" s="1406"/>
      <c r="DQ21" s="1406"/>
      <c r="DR21" s="1406"/>
      <c r="DS21" s="1406"/>
      <c r="DT21" s="1407"/>
      <c r="DU21" s="1405">
        <v>112442</v>
      </c>
      <c r="DV21" s="1406"/>
      <c r="DW21" s="1406"/>
      <c r="DX21" s="1406"/>
      <c r="DY21" s="1406"/>
      <c r="DZ21" s="1406"/>
      <c r="EA21" s="1407"/>
      <c r="EB21" s="1405">
        <v>7274229</v>
      </c>
      <c r="EC21" s="1406"/>
      <c r="ED21" s="1406"/>
      <c r="EE21" s="1406"/>
      <c r="EF21" s="1406"/>
      <c r="EG21" s="1406"/>
      <c r="EH21" s="1407"/>
      <c r="EI21" s="1405">
        <v>161876</v>
      </c>
      <c r="EJ21" s="1406"/>
      <c r="EK21" s="1406"/>
      <c r="EL21" s="1406"/>
      <c r="EM21" s="1406"/>
      <c r="EN21" s="1406"/>
      <c r="EO21" s="1407"/>
      <c r="EP21" s="1405"/>
      <c r="EQ21" s="1406"/>
      <c r="ER21" s="1406"/>
      <c r="ES21" s="1406"/>
      <c r="ET21" s="1406"/>
      <c r="EU21" s="1406"/>
      <c r="EV21" s="1406"/>
      <c r="EW21" s="1406"/>
      <c r="EX21" s="1406"/>
      <c r="EY21" s="1407"/>
    </row>
    <row r="22" spans="1:155" s="430" customFormat="1" ht="7.8">
      <c r="A22" s="1408" t="s">
        <v>1569</v>
      </c>
      <c r="B22" s="1409"/>
      <c r="C22" s="1409"/>
      <c r="D22" s="1409"/>
      <c r="E22" s="1409"/>
      <c r="F22" s="1409"/>
      <c r="G22" s="1409"/>
      <c r="H22" s="1409"/>
      <c r="I22" s="1409"/>
      <c r="J22" s="1409"/>
      <c r="K22" s="1409"/>
      <c r="L22" s="1409"/>
      <c r="M22" s="1409"/>
      <c r="N22" s="1409"/>
      <c r="O22" s="1409"/>
      <c r="P22" s="1409"/>
      <c r="Q22" s="1409"/>
      <c r="R22" s="1409"/>
      <c r="S22" s="1409"/>
      <c r="T22" s="1409"/>
      <c r="U22" s="1409"/>
      <c r="V22" s="1409"/>
      <c r="W22" s="1409"/>
      <c r="X22" s="1409"/>
      <c r="Y22" s="1409"/>
      <c r="Z22" s="1409"/>
      <c r="AA22" s="1409"/>
      <c r="AB22" s="1409"/>
      <c r="AC22" s="1409"/>
      <c r="AD22" s="1409"/>
      <c r="AE22" s="1409"/>
      <c r="AF22" s="1409"/>
      <c r="AG22" s="1409"/>
      <c r="AH22" s="1409"/>
      <c r="AI22" s="1409"/>
      <c r="AJ22" s="1409"/>
      <c r="AK22" s="1409"/>
      <c r="AL22" s="1409"/>
      <c r="AM22" s="1410"/>
      <c r="AN22" s="1399" t="s">
        <v>121</v>
      </c>
      <c r="AO22" s="1400"/>
      <c r="AP22" s="1400"/>
      <c r="AQ22" s="1400"/>
      <c r="AR22" s="1400"/>
      <c r="AS22" s="1400"/>
      <c r="AT22" s="1400"/>
      <c r="AU22" s="1401"/>
      <c r="AV22" s="1402" t="s">
        <v>895</v>
      </c>
      <c r="AW22" s="1403"/>
      <c r="AX22" s="1403"/>
      <c r="AY22" s="1403"/>
      <c r="AZ22" s="1403"/>
      <c r="BA22" s="1404"/>
      <c r="BB22" s="1405">
        <f>CH22+CO22</f>
        <v>3541203</v>
      </c>
      <c r="BC22" s="1406"/>
      <c r="BD22" s="1406"/>
      <c r="BE22" s="1406"/>
      <c r="BF22" s="1406"/>
      <c r="BG22" s="1406"/>
      <c r="BH22" s="1406"/>
      <c r="BI22" s="1406"/>
      <c r="BJ22" s="1407"/>
      <c r="BK22" s="1405">
        <f t="shared" si="0"/>
        <v>3541203</v>
      </c>
      <c r="BL22" s="1406"/>
      <c r="BM22" s="1406"/>
      <c r="BN22" s="1406"/>
      <c r="BO22" s="1406"/>
      <c r="BP22" s="1406"/>
      <c r="BQ22" s="1406"/>
      <c r="BR22" s="1406"/>
      <c r="BS22" s="1407"/>
      <c r="BT22" s="1405">
        <f>BT23+BT24+BT29</f>
        <v>3531363</v>
      </c>
      <c r="BU22" s="1406"/>
      <c r="BV22" s="1406"/>
      <c r="BW22" s="1406"/>
      <c r="BX22" s="1406"/>
      <c r="BY22" s="1406"/>
      <c r="BZ22" s="1407"/>
      <c r="CA22" s="1405">
        <f>CA23+CA24+CA29</f>
        <v>4297</v>
      </c>
      <c r="CB22" s="1406"/>
      <c r="CC22" s="1406"/>
      <c r="CD22" s="1406"/>
      <c r="CE22" s="1406"/>
      <c r="CF22" s="1406"/>
      <c r="CG22" s="1407"/>
      <c r="CH22" s="1411">
        <f t="shared" ref="CH22:CH57" si="1">BT22+CA22</f>
        <v>3535660</v>
      </c>
      <c r="CI22" s="1412"/>
      <c r="CJ22" s="1412"/>
      <c r="CK22" s="1412"/>
      <c r="CL22" s="1412"/>
      <c r="CM22" s="1412"/>
      <c r="CN22" s="1413"/>
      <c r="CO22" s="1405">
        <f>CO23+CO24+CO29</f>
        <v>5543</v>
      </c>
      <c r="CP22" s="1406"/>
      <c r="CQ22" s="1406"/>
      <c r="CR22" s="1406"/>
      <c r="CS22" s="1406"/>
      <c r="CT22" s="1406"/>
      <c r="CU22" s="1407"/>
      <c r="CV22" s="1405">
        <v>2881703</v>
      </c>
      <c r="CW22" s="1406"/>
      <c r="CX22" s="1406"/>
      <c r="CY22" s="1406"/>
      <c r="CZ22" s="1406"/>
      <c r="DA22" s="1406"/>
      <c r="DB22" s="1406"/>
      <c r="DC22" s="1406"/>
      <c r="DD22" s="1407"/>
      <c r="DE22" s="1405">
        <v>2881703</v>
      </c>
      <c r="DF22" s="1406"/>
      <c r="DG22" s="1406"/>
      <c r="DH22" s="1406"/>
      <c r="DI22" s="1406"/>
      <c r="DJ22" s="1406"/>
      <c r="DK22" s="1406"/>
      <c r="DL22" s="1406"/>
      <c r="DM22" s="1407"/>
      <c r="DN22" s="1405">
        <v>2874270</v>
      </c>
      <c r="DO22" s="1406"/>
      <c r="DP22" s="1406"/>
      <c r="DQ22" s="1406"/>
      <c r="DR22" s="1406"/>
      <c r="DS22" s="1406"/>
      <c r="DT22" s="1407"/>
      <c r="DU22" s="1405">
        <v>3913</v>
      </c>
      <c r="DV22" s="1406"/>
      <c r="DW22" s="1406"/>
      <c r="DX22" s="1406"/>
      <c r="DY22" s="1406"/>
      <c r="DZ22" s="1406"/>
      <c r="EA22" s="1407"/>
      <c r="EB22" s="1405">
        <v>2878183</v>
      </c>
      <c r="EC22" s="1406"/>
      <c r="ED22" s="1406"/>
      <c r="EE22" s="1406"/>
      <c r="EF22" s="1406"/>
      <c r="EG22" s="1406"/>
      <c r="EH22" s="1407"/>
      <c r="EI22" s="1405">
        <v>3520</v>
      </c>
      <c r="EJ22" s="1406"/>
      <c r="EK22" s="1406"/>
      <c r="EL22" s="1406"/>
      <c r="EM22" s="1406"/>
      <c r="EN22" s="1406"/>
      <c r="EO22" s="1407"/>
      <c r="EP22" s="1405"/>
      <c r="EQ22" s="1406"/>
      <c r="ER22" s="1406"/>
      <c r="ES22" s="1406"/>
      <c r="ET22" s="1406"/>
      <c r="EU22" s="1406"/>
      <c r="EV22" s="1406"/>
      <c r="EW22" s="1406"/>
      <c r="EX22" s="1406"/>
      <c r="EY22" s="1407"/>
    </row>
    <row r="23" spans="1:155" s="430" customFormat="1" ht="7.8">
      <c r="A23" s="1414" t="s">
        <v>1570</v>
      </c>
      <c r="B23" s="1415"/>
      <c r="C23" s="1415"/>
      <c r="D23" s="1415"/>
      <c r="E23" s="1415"/>
      <c r="F23" s="1415"/>
      <c r="G23" s="1415"/>
      <c r="H23" s="1415"/>
      <c r="I23" s="1415"/>
      <c r="J23" s="1415"/>
      <c r="K23" s="1415"/>
      <c r="L23" s="1415"/>
      <c r="M23" s="1415"/>
      <c r="N23" s="1415"/>
      <c r="O23" s="1415"/>
      <c r="P23" s="1415"/>
      <c r="Q23" s="1415"/>
      <c r="R23" s="1415"/>
      <c r="S23" s="1415"/>
      <c r="T23" s="1415"/>
      <c r="U23" s="1415"/>
      <c r="V23" s="1415"/>
      <c r="W23" s="1415"/>
      <c r="X23" s="1415"/>
      <c r="Y23" s="1415"/>
      <c r="Z23" s="1415"/>
      <c r="AA23" s="1415"/>
      <c r="AB23" s="1415"/>
      <c r="AC23" s="1415"/>
      <c r="AD23" s="1415"/>
      <c r="AE23" s="1415"/>
      <c r="AF23" s="1415"/>
      <c r="AG23" s="1415"/>
      <c r="AH23" s="1415"/>
      <c r="AI23" s="1415"/>
      <c r="AJ23" s="1415"/>
      <c r="AK23" s="1415"/>
      <c r="AL23" s="1415"/>
      <c r="AM23" s="1416"/>
      <c r="AN23" s="1399" t="s">
        <v>121</v>
      </c>
      <c r="AO23" s="1400"/>
      <c r="AP23" s="1400"/>
      <c r="AQ23" s="1400"/>
      <c r="AR23" s="1400"/>
      <c r="AS23" s="1400"/>
      <c r="AT23" s="1400"/>
      <c r="AU23" s="1401"/>
      <c r="AV23" s="1402" t="s">
        <v>900</v>
      </c>
      <c r="AW23" s="1403"/>
      <c r="AX23" s="1403"/>
      <c r="AY23" s="1403"/>
      <c r="AZ23" s="1403"/>
      <c r="BA23" s="1404"/>
      <c r="BB23" s="1405">
        <f>CH23+CO23</f>
        <v>315397</v>
      </c>
      <c r="BC23" s="1406"/>
      <c r="BD23" s="1406"/>
      <c r="BE23" s="1406"/>
      <c r="BF23" s="1406"/>
      <c r="BG23" s="1406"/>
      <c r="BH23" s="1406"/>
      <c r="BI23" s="1406"/>
      <c r="BJ23" s="1407"/>
      <c r="BK23" s="1405">
        <f t="shared" si="0"/>
        <v>315397</v>
      </c>
      <c r="BL23" s="1406"/>
      <c r="BM23" s="1406"/>
      <c r="BN23" s="1406"/>
      <c r="BO23" s="1406"/>
      <c r="BP23" s="1406"/>
      <c r="BQ23" s="1406"/>
      <c r="BR23" s="1406"/>
      <c r="BS23" s="1407"/>
      <c r="BT23" s="1405">
        <f>223179+82483</f>
        <v>305662</v>
      </c>
      <c r="BU23" s="1406"/>
      <c r="BV23" s="1406"/>
      <c r="BW23" s="1406"/>
      <c r="BX23" s="1406"/>
      <c r="BY23" s="1406"/>
      <c r="BZ23" s="1407"/>
      <c r="CA23" s="1405">
        <f>3709+497</f>
        <v>4206</v>
      </c>
      <c r="CB23" s="1406"/>
      <c r="CC23" s="1406"/>
      <c r="CD23" s="1406"/>
      <c r="CE23" s="1406"/>
      <c r="CF23" s="1406"/>
      <c r="CG23" s="1407"/>
      <c r="CH23" s="1411">
        <f t="shared" si="1"/>
        <v>309868</v>
      </c>
      <c r="CI23" s="1412"/>
      <c r="CJ23" s="1412"/>
      <c r="CK23" s="1412"/>
      <c r="CL23" s="1412"/>
      <c r="CM23" s="1412"/>
      <c r="CN23" s="1413"/>
      <c r="CO23" s="1405">
        <f>4165+1364</f>
        <v>5529</v>
      </c>
      <c r="CP23" s="1406"/>
      <c r="CQ23" s="1406"/>
      <c r="CR23" s="1406"/>
      <c r="CS23" s="1406"/>
      <c r="CT23" s="1406"/>
      <c r="CU23" s="1407"/>
      <c r="CV23" s="1405">
        <v>305116</v>
      </c>
      <c r="CW23" s="1406"/>
      <c r="CX23" s="1406"/>
      <c r="CY23" s="1406"/>
      <c r="CZ23" s="1406"/>
      <c r="DA23" s="1406"/>
      <c r="DB23" s="1406"/>
      <c r="DC23" s="1406"/>
      <c r="DD23" s="1407"/>
      <c r="DE23" s="1405">
        <v>305116</v>
      </c>
      <c r="DF23" s="1406"/>
      <c r="DG23" s="1406"/>
      <c r="DH23" s="1406"/>
      <c r="DI23" s="1406"/>
      <c r="DJ23" s="1406"/>
      <c r="DK23" s="1406"/>
      <c r="DL23" s="1406"/>
      <c r="DM23" s="1407"/>
      <c r="DN23" s="1405">
        <v>297782</v>
      </c>
      <c r="DO23" s="1406"/>
      <c r="DP23" s="1406"/>
      <c r="DQ23" s="1406"/>
      <c r="DR23" s="1406"/>
      <c r="DS23" s="1406"/>
      <c r="DT23" s="1407"/>
      <c r="DU23" s="1405">
        <v>3826</v>
      </c>
      <c r="DV23" s="1406"/>
      <c r="DW23" s="1406"/>
      <c r="DX23" s="1406"/>
      <c r="DY23" s="1406"/>
      <c r="DZ23" s="1406"/>
      <c r="EA23" s="1407"/>
      <c r="EB23" s="1405">
        <v>301608</v>
      </c>
      <c r="EC23" s="1406"/>
      <c r="ED23" s="1406"/>
      <c r="EE23" s="1406"/>
      <c r="EF23" s="1406"/>
      <c r="EG23" s="1406"/>
      <c r="EH23" s="1407"/>
      <c r="EI23" s="1405">
        <v>3508</v>
      </c>
      <c r="EJ23" s="1406"/>
      <c r="EK23" s="1406"/>
      <c r="EL23" s="1406"/>
      <c r="EM23" s="1406"/>
      <c r="EN23" s="1406"/>
      <c r="EO23" s="1407"/>
      <c r="EP23" s="1405"/>
      <c r="EQ23" s="1406"/>
      <c r="ER23" s="1406"/>
      <c r="ES23" s="1406"/>
      <c r="ET23" s="1406"/>
      <c r="EU23" s="1406"/>
      <c r="EV23" s="1406"/>
      <c r="EW23" s="1406"/>
      <c r="EX23" s="1406"/>
      <c r="EY23" s="1407"/>
    </row>
    <row r="24" spans="1:155" s="430" customFormat="1" ht="33.75" customHeight="1">
      <c r="A24" s="1414" t="s">
        <v>1571</v>
      </c>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5"/>
      <c r="AL24" s="1415"/>
      <c r="AM24" s="1416"/>
      <c r="AN24" s="1399" t="s">
        <v>121</v>
      </c>
      <c r="AO24" s="1400"/>
      <c r="AP24" s="1400"/>
      <c r="AQ24" s="1400"/>
      <c r="AR24" s="1400"/>
      <c r="AS24" s="1400"/>
      <c r="AT24" s="1400"/>
      <c r="AU24" s="1401"/>
      <c r="AV24" s="1402" t="s">
        <v>905</v>
      </c>
      <c r="AW24" s="1403"/>
      <c r="AX24" s="1403"/>
      <c r="AY24" s="1403"/>
      <c r="AZ24" s="1403"/>
      <c r="BA24" s="1404"/>
      <c r="BB24" s="1405">
        <f>CH24+CO24</f>
        <v>3193462</v>
      </c>
      <c r="BC24" s="1406"/>
      <c r="BD24" s="1406"/>
      <c r="BE24" s="1406"/>
      <c r="BF24" s="1406"/>
      <c r="BG24" s="1406"/>
      <c r="BH24" s="1406"/>
      <c r="BI24" s="1406"/>
      <c r="BJ24" s="1407"/>
      <c r="BK24" s="1405">
        <f t="shared" si="0"/>
        <v>3193462</v>
      </c>
      <c r="BL24" s="1406"/>
      <c r="BM24" s="1406"/>
      <c r="BN24" s="1406"/>
      <c r="BO24" s="1406"/>
      <c r="BP24" s="1406"/>
      <c r="BQ24" s="1406"/>
      <c r="BR24" s="1406"/>
      <c r="BS24" s="1407"/>
      <c r="BT24" s="1405">
        <v>3193462</v>
      </c>
      <c r="BU24" s="1406"/>
      <c r="BV24" s="1406"/>
      <c r="BW24" s="1406"/>
      <c r="BX24" s="1406"/>
      <c r="BY24" s="1406"/>
      <c r="BZ24" s="1407"/>
      <c r="CA24" s="1405">
        <v>0</v>
      </c>
      <c r="CB24" s="1406"/>
      <c r="CC24" s="1406"/>
      <c r="CD24" s="1406"/>
      <c r="CE24" s="1406"/>
      <c r="CF24" s="1406"/>
      <c r="CG24" s="1407"/>
      <c r="CH24" s="1411">
        <f t="shared" si="1"/>
        <v>3193462</v>
      </c>
      <c r="CI24" s="1412"/>
      <c r="CJ24" s="1412"/>
      <c r="CK24" s="1412"/>
      <c r="CL24" s="1412"/>
      <c r="CM24" s="1412"/>
      <c r="CN24" s="1413"/>
      <c r="CO24" s="1405">
        <v>0</v>
      </c>
      <c r="CP24" s="1406"/>
      <c r="CQ24" s="1406"/>
      <c r="CR24" s="1406"/>
      <c r="CS24" s="1406"/>
      <c r="CT24" s="1406"/>
      <c r="CU24" s="1407"/>
      <c r="CV24" s="1405">
        <v>2547993</v>
      </c>
      <c r="CW24" s="1406"/>
      <c r="CX24" s="1406"/>
      <c r="CY24" s="1406"/>
      <c r="CZ24" s="1406"/>
      <c r="DA24" s="1406"/>
      <c r="DB24" s="1406"/>
      <c r="DC24" s="1406"/>
      <c r="DD24" s="1407"/>
      <c r="DE24" s="1405">
        <v>2547993</v>
      </c>
      <c r="DF24" s="1406"/>
      <c r="DG24" s="1406"/>
      <c r="DH24" s="1406"/>
      <c r="DI24" s="1406"/>
      <c r="DJ24" s="1406"/>
      <c r="DK24" s="1406"/>
      <c r="DL24" s="1406"/>
      <c r="DM24" s="1407"/>
      <c r="DN24" s="1405">
        <v>2547993</v>
      </c>
      <c r="DO24" s="1406"/>
      <c r="DP24" s="1406"/>
      <c r="DQ24" s="1406"/>
      <c r="DR24" s="1406"/>
      <c r="DS24" s="1406"/>
      <c r="DT24" s="1407"/>
      <c r="DU24" s="1405">
        <v>0</v>
      </c>
      <c r="DV24" s="1406"/>
      <c r="DW24" s="1406"/>
      <c r="DX24" s="1406"/>
      <c r="DY24" s="1406"/>
      <c r="DZ24" s="1406"/>
      <c r="EA24" s="1407"/>
      <c r="EB24" s="1405">
        <v>2547993</v>
      </c>
      <c r="EC24" s="1406"/>
      <c r="ED24" s="1406"/>
      <c r="EE24" s="1406"/>
      <c r="EF24" s="1406"/>
      <c r="EG24" s="1406"/>
      <c r="EH24" s="1407"/>
      <c r="EI24" s="1405">
        <v>0</v>
      </c>
      <c r="EJ24" s="1406"/>
      <c r="EK24" s="1406"/>
      <c r="EL24" s="1406"/>
      <c r="EM24" s="1406"/>
      <c r="EN24" s="1406"/>
      <c r="EO24" s="1407"/>
      <c r="EP24" s="1405"/>
      <c r="EQ24" s="1406"/>
      <c r="ER24" s="1406"/>
      <c r="ES24" s="1406"/>
      <c r="ET24" s="1406"/>
      <c r="EU24" s="1406"/>
      <c r="EV24" s="1406"/>
      <c r="EW24" s="1406"/>
      <c r="EX24" s="1406"/>
      <c r="EY24" s="1407"/>
    </row>
    <row r="25" spans="1:155" s="430" customFormat="1" ht="7.8">
      <c r="A25" s="1417" t="s">
        <v>1572</v>
      </c>
      <c r="B25" s="1418"/>
      <c r="C25" s="1418"/>
      <c r="D25" s="1418"/>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1418"/>
      <c r="AE25" s="1418"/>
      <c r="AF25" s="1418"/>
      <c r="AG25" s="1418"/>
      <c r="AH25" s="1418"/>
      <c r="AI25" s="1418"/>
      <c r="AJ25" s="1418"/>
      <c r="AK25" s="1418"/>
      <c r="AL25" s="1418"/>
      <c r="AM25" s="1419"/>
      <c r="AN25" s="1399" t="s">
        <v>121</v>
      </c>
      <c r="AO25" s="1400"/>
      <c r="AP25" s="1400"/>
      <c r="AQ25" s="1400"/>
      <c r="AR25" s="1400"/>
      <c r="AS25" s="1400"/>
      <c r="AT25" s="1400"/>
      <c r="AU25" s="1401"/>
      <c r="AV25" s="1402"/>
      <c r="AW25" s="1403"/>
      <c r="AX25" s="1403"/>
      <c r="AY25" s="1403"/>
      <c r="AZ25" s="1403"/>
      <c r="BA25" s="1404"/>
      <c r="BB25" s="1405"/>
      <c r="BC25" s="1406"/>
      <c r="BD25" s="1406"/>
      <c r="BE25" s="1406"/>
      <c r="BF25" s="1406"/>
      <c r="BG25" s="1406"/>
      <c r="BH25" s="1406"/>
      <c r="BI25" s="1406"/>
      <c r="BJ25" s="1407"/>
      <c r="BK25" s="1405">
        <f t="shared" si="0"/>
        <v>0</v>
      </c>
      <c r="BL25" s="1406"/>
      <c r="BM25" s="1406"/>
      <c r="BN25" s="1406"/>
      <c r="BO25" s="1406"/>
      <c r="BP25" s="1406"/>
      <c r="BQ25" s="1406"/>
      <c r="BR25" s="1406"/>
      <c r="BS25" s="1407"/>
      <c r="BT25" s="1405"/>
      <c r="BU25" s="1406"/>
      <c r="BV25" s="1406"/>
      <c r="BW25" s="1406"/>
      <c r="BX25" s="1406"/>
      <c r="BY25" s="1406"/>
      <c r="BZ25" s="1407"/>
      <c r="CA25" s="1405"/>
      <c r="CB25" s="1406"/>
      <c r="CC25" s="1406"/>
      <c r="CD25" s="1406"/>
      <c r="CE25" s="1406"/>
      <c r="CF25" s="1406"/>
      <c r="CG25" s="1407"/>
      <c r="CH25" s="1411">
        <f t="shared" si="1"/>
        <v>0</v>
      </c>
      <c r="CI25" s="1412"/>
      <c r="CJ25" s="1412"/>
      <c r="CK25" s="1412"/>
      <c r="CL25" s="1412"/>
      <c r="CM25" s="1412"/>
      <c r="CN25" s="1413"/>
      <c r="CO25" s="1405"/>
      <c r="CP25" s="1406"/>
      <c r="CQ25" s="1406"/>
      <c r="CR25" s="1406"/>
      <c r="CS25" s="1406"/>
      <c r="CT25" s="1406"/>
      <c r="CU25" s="1407"/>
      <c r="CV25" s="1405"/>
      <c r="CW25" s="1406"/>
      <c r="CX25" s="1406"/>
      <c r="CY25" s="1406"/>
      <c r="CZ25" s="1406"/>
      <c r="DA25" s="1406"/>
      <c r="DB25" s="1406"/>
      <c r="DC25" s="1406"/>
      <c r="DD25" s="1407"/>
      <c r="DE25" s="1405">
        <v>0</v>
      </c>
      <c r="DF25" s="1406"/>
      <c r="DG25" s="1406"/>
      <c r="DH25" s="1406"/>
      <c r="DI25" s="1406"/>
      <c r="DJ25" s="1406"/>
      <c r="DK25" s="1406"/>
      <c r="DL25" s="1406"/>
      <c r="DM25" s="1407"/>
      <c r="DN25" s="1405"/>
      <c r="DO25" s="1406"/>
      <c r="DP25" s="1406"/>
      <c r="DQ25" s="1406"/>
      <c r="DR25" s="1406"/>
      <c r="DS25" s="1406"/>
      <c r="DT25" s="1407"/>
      <c r="DU25" s="1405"/>
      <c r="DV25" s="1406"/>
      <c r="DW25" s="1406"/>
      <c r="DX25" s="1406"/>
      <c r="DY25" s="1406"/>
      <c r="DZ25" s="1406"/>
      <c r="EA25" s="1407"/>
      <c r="EB25" s="1405">
        <v>0</v>
      </c>
      <c r="EC25" s="1406"/>
      <c r="ED25" s="1406"/>
      <c r="EE25" s="1406"/>
      <c r="EF25" s="1406"/>
      <c r="EG25" s="1406"/>
      <c r="EH25" s="1407"/>
      <c r="EI25" s="1405"/>
      <c r="EJ25" s="1406"/>
      <c r="EK25" s="1406"/>
      <c r="EL25" s="1406"/>
      <c r="EM25" s="1406"/>
      <c r="EN25" s="1406"/>
      <c r="EO25" s="1407"/>
      <c r="EP25" s="1405"/>
      <c r="EQ25" s="1406"/>
      <c r="ER25" s="1406"/>
      <c r="ES25" s="1406"/>
      <c r="ET25" s="1406"/>
      <c r="EU25" s="1406"/>
      <c r="EV25" s="1406"/>
      <c r="EW25" s="1406"/>
      <c r="EX25" s="1406"/>
      <c r="EY25" s="1407"/>
    </row>
    <row r="26" spans="1:155" s="430" customFormat="1" ht="7.8">
      <c r="A26" s="1417" t="s">
        <v>1573</v>
      </c>
      <c r="B26" s="1418"/>
      <c r="C26" s="1418"/>
      <c r="D26" s="1418"/>
      <c r="E26" s="1418"/>
      <c r="F26" s="1418"/>
      <c r="G26" s="1418"/>
      <c r="H26" s="1418"/>
      <c r="I26" s="1418"/>
      <c r="J26" s="1418"/>
      <c r="K26" s="1418"/>
      <c r="L26" s="1418"/>
      <c r="M26" s="1418"/>
      <c r="N26" s="1418"/>
      <c r="O26" s="1418"/>
      <c r="P26" s="1418"/>
      <c r="Q26" s="1418"/>
      <c r="R26" s="1418"/>
      <c r="S26" s="1418"/>
      <c r="T26" s="1418"/>
      <c r="U26" s="1418"/>
      <c r="V26" s="1418"/>
      <c r="W26" s="1418"/>
      <c r="X26" s="1418"/>
      <c r="Y26" s="1418"/>
      <c r="Z26" s="1418"/>
      <c r="AA26" s="1418"/>
      <c r="AB26" s="1418"/>
      <c r="AC26" s="1418"/>
      <c r="AD26" s="1418"/>
      <c r="AE26" s="1418"/>
      <c r="AF26" s="1418"/>
      <c r="AG26" s="1418"/>
      <c r="AH26" s="1418"/>
      <c r="AI26" s="1418"/>
      <c r="AJ26" s="1418"/>
      <c r="AK26" s="1418"/>
      <c r="AL26" s="1418"/>
      <c r="AM26" s="1419"/>
      <c r="AN26" s="1399" t="s">
        <v>121</v>
      </c>
      <c r="AO26" s="1400"/>
      <c r="AP26" s="1400"/>
      <c r="AQ26" s="1400"/>
      <c r="AR26" s="1400"/>
      <c r="AS26" s="1400"/>
      <c r="AT26" s="1400"/>
      <c r="AU26" s="1401"/>
      <c r="AV26" s="1402"/>
      <c r="AW26" s="1403"/>
      <c r="AX26" s="1403"/>
      <c r="AY26" s="1403"/>
      <c r="AZ26" s="1403"/>
      <c r="BA26" s="1404"/>
      <c r="BB26" s="1405"/>
      <c r="BC26" s="1406"/>
      <c r="BD26" s="1406"/>
      <c r="BE26" s="1406"/>
      <c r="BF26" s="1406"/>
      <c r="BG26" s="1406"/>
      <c r="BH26" s="1406"/>
      <c r="BI26" s="1406"/>
      <c r="BJ26" s="1407"/>
      <c r="BK26" s="1405">
        <f t="shared" si="0"/>
        <v>0</v>
      </c>
      <c r="BL26" s="1406"/>
      <c r="BM26" s="1406"/>
      <c r="BN26" s="1406"/>
      <c r="BO26" s="1406"/>
      <c r="BP26" s="1406"/>
      <c r="BQ26" s="1406"/>
      <c r="BR26" s="1406"/>
      <c r="BS26" s="1407"/>
      <c r="BT26" s="1405"/>
      <c r="BU26" s="1406"/>
      <c r="BV26" s="1406"/>
      <c r="BW26" s="1406"/>
      <c r="BX26" s="1406"/>
      <c r="BY26" s="1406"/>
      <c r="BZ26" s="1407"/>
      <c r="CA26" s="1405"/>
      <c r="CB26" s="1406"/>
      <c r="CC26" s="1406"/>
      <c r="CD26" s="1406"/>
      <c r="CE26" s="1406"/>
      <c r="CF26" s="1406"/>
      <c r="CG26" s="1407"/>
      <c r="CH26" s="1411">
        <f t="shared" si="1"/>
        <v>0</v>
      </c>
      <c r="CI26" s="1412"/>
      <c r="CJ26" s="1412"/>
      <c r="CK26" s="1412"/>
      <c r="CL26" s="1412"/>
      <c r="CM26" s="1412"/>
      <c r="CN26" s="1413"/>
      <c r="CO26" s="1405"/>
      <c r="CP26" s="1406"/>
      <c r="CQ26" s="1406"/>
      <c r="CR26" s="1406"/>
      <c r="CS26" s="1406"/>
      <c r="CT26" s="1406"/>
      <c r="CU26" s="1407"/>
      <c r="CV26" s="1405"/>
      <c r="CW26" s="1406"/>
      <c r="CX26" s="1406"/>
      <c r="CY26" s="1406"/>
      <c r="CZ26" s="1406"/>
      <c r="DA26" s="1406"/>
      <c r="DB26" s="1406"/>
      <c r="DC26" s="1406"/>
      <c r="DD26" s="1407"/>
      <c r="DE26" s="1405">
        <v>0</v>
      </c>
      <c r="DF26" s="1406"/>
      <c r="DG26" s="1406"/>
      <c r="DH26" s="1406"/>
      <c r="DI26" s="1406"/>
      <c r="DJ26" s="1406"/>
      <c r="DK26" s="1406"/>
      <c r="DL26" s="1406"/>
      <c r="DM26" s="1407"/>
      <c r="DN26" s="1405"/>
      <c r="DO26" s="1406"/>
      <c r="DP26" s="1406"/>
      <c r="DQ26" s="1406"/>
      <c r="DR26" s="1406"/>
      <c r="DS26" s="1406"/>
      <c r="DT26" s="1407"/>
      <c r="DU26" s="1405"/>
      <c r="DV26" s="1406"/>
      <c r="DW26" s="1406"/>
      <c r="DX26" s="1406"/>
      <c r="DY26" s="1406"/>
      <c r="DZ26" s="1406"/>
      <c r="EA26" s="1407"/>
      <c r="EB26" s="1405">
        <v>0</v>
      </c>
      <c r="EC26" s="1406"/>
      <c r="ED26" s="1406"/>
      <c r="EE26" s="1406"/>
      <c r="EF26" s="1406"/>
      <c r="EG26" s="1406"/>
      <c r="EH26" s="1407"/>
      <c r="EI26" s="1405"/>
      <c r="EJ26" s="1406"/>
      <c r="EK26" s="1406"/>
      <c r="EL26" s="1406"/>
      <c r="EM26" s="1406"/>
      <c r="EN26" s="1406"/>
      <c r="EO26" s="1407"/>
      <c r="EP26" s="1405"/>
      <c r="EQ26" s="1406"/>
      <c r="ER26" s="1406"/>
      <c r="ES26" s="1406"/>
      <c r="ET26" s="1406"/>
      <c r="EU26" s="1406"/>
      <c r="EV26" s="1406"/>
      <c r="EW26" s="1406"/>
      <c r="EX26" s="1406"/>
      <c r="EY26" s="1407"/>
    </row>
    <row r="27" spans="1:155" s="430" customFormat="1" ht="7.8">
      <c r="A27" s="1417" t="s">
        <v>1574</v>
      </c>
      <c r="B27" s="1418"/>
      <c r="C27" s="1418"/>
      <c r="D27" s="1418"/>
      <c r="E27" s="1418"/>
      <c r="F27" s="1418"/>
      <c r="G27" s="1418"/>
      <c r="H27" s="1418"/>
      <c r="I27" s="1418"/>
      <c r="J27" s="1418"/>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9"/>
      <c r="AN27" s="1399" t="s">
        <v>121</v>
      </c>
      <c r="AO27" s="1400"/>
      <c r="AP27" s="1400"/>
      <c r="AQ27" s="1400"/>
      <c r="AR27" s="1400"/>
      <c r="AS27" s="1400"/>
      <c r="AT27" s="1400"/>
      <c r="AU27" s="1401"/>
      <c r="AV27" s="1402"/>
      <c r="AW27" s="1403"/>
      <c r="AX27" s="1403"/>
      <c r="AY27" s="1403"/>
      <c r="AZ27" s="1403"/>
      <c r="BA27" s="1404"/>
      <c r="BB27" s="1405"/>
      <c r="BC27" s="1406"/>
      <c r="BD27" s="1406"/>
      <c r="BE27" s="1406"/>
      <c r="BF27" s="1406"/>
      <c r="BG27" s="1406"/>
      <c r="BH27" s="1406"/>
      <c r="BI27" s="1406"/>
      <c r="BJ27" s="1407"/>
      <c r="BK27" s="1405">
        <f t="shared" si="0"/>
        <v>0</v>
      </c>
      <c r="BL27" s="1406"/>
      <c r="BM27" s="1406"/>
      <c r="BN27" s="1406"/>
      <c r="BO27" s="1406"/>
      <c r="BP27" s="1406"/>
      <c r="BQ27" s="1406"/>
      <c r="BR27" s="1406"/>
      <c r="BS27" s="1407"/>
      <c r="BT27" s="1405"/>
      <c r="BU27" s="1406"/>
      <c r="BV27" s="1406"/>
      <c r="BW27" s="1406"/>
      <c r="BX27" s="1406"/>
      <c r="BY27" s="1406"/>
      <c r="BZ27" s="1407"/>
      <c r="CA27" s="1405"/>
      <c r="CB27" s="1406"/>
      <c r="CC27" s="1406"/>
      <c r="CD27" s="1406"/>
      <c r="CE27" s="1406"/>
      <c r="CF27" s="1406"/>
      <c r="CG27" s="1407"/>
      <c r="CH27" s="1411">
        <f t="shared" si="1"/>
        <v>0</v>
      </c>
      <c r="CI27" s="1412"/>
      <c r="CJ27" s="1412"/>
      <c r="CK27" s="1412"/>
      <c r="CL27" s="1412"/>
      <c r="CM27" s="1412"/>
      <c r="CN27" s="1413"/>
      <c r="CO27" s="1405"/>
      <c r="CP27" s="1406"/>
      <c r="CQ27" s="1406"/>
      <c r="CR27" s="1406"/>
      <c r="CS27" s="1406"/>
      <c r="CT27" s="1406"/>
      <c r="CU27" s="1407"/>
      <c r="CV27" s="1405"/>
      <c r="CW27" s="1406"/>
      <c r="CX27" s="1406"/>
      <c r="CY27" s="1406"/>
      <c r="CZ27" s="1406"/>
      <c r="DA27" s="1406"/>
      <c r="DB27" s="1406"/>
      <c r="DC27" s="1406"/>
      <c r="DD27" s="1407"/>
      <c r="DE27" s="1405">
        <v>0</v>
      </c>
      <c r="DF27" s="1406"/>
      <c r="DG27" s="1406"/>
      <c r="DH27" s="1406"/>
      <c r="DI27" s="1406"/>
      <c r="DJ27" s="1406"/>
      <c r="DK27" s="1406"/>
      <c r="DL27" s="1406"/>
      <c r="DM27" s="1407"/>
      <c r="DN27" s="1405"/>
      <c r="DO27" s="1406"/>
      <c r="DP27" s="1406"/>
      <c r="DQ27" s="1406"/>
      <c r="DR27" s="1406"/>
      <c r="DS27" s="1406"/>
      <c r="DT27" s="1407"/>
      <c r="DU27" s="1405"/>
      <c r="DV27" s="1406"/>
      <c r="DW27" s="1406"/>
      <c r="DX27" s="1406"/>
      <c r="DY27" s="1406"/>
      <c r="DZ27" s="1406"/>
      <c r="EA27" s="1407"/>
      <c r="EB27" s="1405">
        <v>0</v>
      </c>
      <c r="EC27" s="1406"/>
      <c r="ED27" s="1406"/>
      <c r="EE27" s="1406"/>
      <c r="EF27" s="1406"/>
      <c r="EG27" s="1406"/>
      <c r="EH27" s="1407"/>
      <c r="EI27" s="1405"/>
      <c r="EJ27" s="1406"/>
      <c r="EK27" s="1406"/>
      <c r="EL27" s="1406"/>
      <c r="EM27" s="1406"/>
      <c r="EN27" s="1406"/>
      <c r="EO27" s="1407"/>
      <c r="EP27" s="1405"/>
      <c r="EQ27" s="1406"/>
      <c r="ER27" s="1406"/>
      <c r="ES27" s="1406"/>
      <c r="ET27" s="1406"/>
      <c r="EU27" s="1406"/>
      <c r="EV27" s="1406"/>
      <c r="EW27" s="1406"/>
      <c r="EX27" s="1406"/>
      <c r="EY27" s="1407"/>
    </row>
    <row r="28" spans="1:155" s="430" customFormat="1" ht="7.8">
      <c r="A28" s="1417" t="s">
        <v>1575</v>
      </c>
      <c r="B28" s="1418"/>
      <c r="C28" s="1418"/>
      <c r="D28" s="1418"/>
      <c r="E28" s="1418"/>
      <c r="F28" s="1418"/>
      <c r="G28" s="1418"/>
      <c r="H28" s="1418"/>
      <c r="I28" s="1418"/>
      <c r="J28" s="1418"/>
      <c r="K28" s="1418"/>
      <c r="L28" s="1418"/>
      <c r="M28" s="1418"/>
      <c r="N28" s="1418"/>
      <c r="O28" s="1418"/>
      <c r="P28" s="1418"/>
      <c r="Q28" s="1418"/>
      <c r="R28" s="1418"/>
      <c r="S28" s="1418"/>
      <c r="T28" s="1418"/>
      <c r="U28" s="1418"/>
      <c r="V28" s="1418"/>
      <c r="W28" s="1418"/>
      <c r="X28" s="1418"/>
      <c r="Y28" s="1418"/>
      <c r="Z28" s="1418"/>
      <c r="AA28" s="1418"/>
      <c r="AB28" s="1418"/>
      <c r="AC28" s="1418"/>
      <c r="AD28" s="1418"/>
      <c r="AE28" s="1418"/>
      <c r="AF28" s="1418"/>
      <c r="AG28" s="1418"/>
      <c r="AH28" s="1418"/>
      <c r="AI28" s="1418"/>
      <c r="AJ28" s="1418"/>
      <c r="AK28" s="1418"/>
      <c r="AL28" s="1418"/>
      <c r="AM28" s="1419"/>
      <c r="AN28" s="1399" t="s">
        <v>121</v>
      </c>
      <c r="AO28" s="1400"/>
      <c r="AP28" s="1400"/>
      <c r="AQ28" s="1400"/>
      <c r="AR28" s="1400"/>
      <c r="AS28" s="1400"/>
      <c r="AT28" s="1400"/>
      <c r="AU28" s="1401"/>
      <c r="AV28" s="1402"/>
      <c r="AW28" s="1403"/>
      <c r="AX28" s="1403"/>
      <c r="AY28" s="1403"/>
      <c r="AZ28" s="1403"/>
      <c r="BA28" s="1404"/>
      <c r="BB28" s="1405"/>
      <c r="BC28" s="1406"/>
      <c r="BD28" s="1406"/>
      <c r="BE28" s="1406"/>
      <c r="BF28" s="1406"/>
      <c r="BG28" s="1406"/>
      <c r="BH28" s="1406"/>
      <c r="BI28" s="1406"/>
      <c r="BJ28" s="1407"/>
      <c r="BK28" s="1405">
        <f t="shared" si="0"/>
        <v>0</v>
      </c>
      <c r="BL28" s="1406"/>
      <c r="BM28" s="1406"/>
      <c r="BN28" s="1406"/>
      <c r="BO28" s="1406"/>
      <c r="BP28" s="1406"/>
      <c r="BQ28" s="1406"/>
      <c r="BR28" s="1406"/>
      <c r="BS28" s="1407"/>
      <c r="BT28" s="1405"/>
      <c r="BU28" s="1406"/>
      <c r="BV28" s="1406"/>
      <c r="BW28" s="1406"/>
      <c r="BX28" s="1406"/>
      <c r="BY28" s="1406"/>
      <c r="BZ28" s="1407"/>
      <c r="CA28" s="1405"/>
      <c r="CB28" s="1406"/>
      <c r="CC28" s="1406"/>
      <c r="CD28" s="1406"/>
      <c r="CE28" s="1406"/>
      <c r="CF28" s="1406"/>
      <c r="CG28" s="1407"/>
      <c r="CH28" s="1411">
        <f t="shared" si="1"/>
        <v>0</v>
      </c>
      <c r="CI28" s="1412"/>
      <c r="CJ28" s="1412"/>
      <c r="CK28" s="1412"/>
      <c r="CL28" s="1412"/>
      <c r="CM28" s="1412"/>
      <c r="CN28" s="1413"/>
      <c r="CO28" s="1405"/>
      <c r="CP28" s="1406"/>
      <c r="CQ28" s="1406"/>
      <c r="CR28" s="1406"/>
      <c r="CS28" s="1406"/>
      <c r="CT28" s="1406"/>
      <c r="CU28" s="1407"/>
      <c r="CV28" s="1405"/>
      <c r="CW28" s="1406"/>
      <c r="CX28" s="1406"/>
      <c r="CY28" s="1406"/>
      <c r="CZ28" s="1406"/>
      <c r="DA28" s="1406"/>
      <c r="DB28" s="1406"/>
      <c r="DC28" s="1406"/>
      <c r="DD28" s="1407"/>
      <c r="DE28" s="1405">
        <v>0</v>
      </c>
      <c r="DF28" s="1406"/>
      <c r="DG28" s="1406"/>
      <c r="DH28" s="1406"/>
      <c r="DI28" s="1406"/>
      <c r="DJ28" s="1406"/>
      <c r="DK28" s="1406"/>
      <c r="DL28" s="1406"/>
      <c r="DM28" s="1407"/>
      <c r="DN28" s="1405"/>
      <c r="DO28" s="1406"/>
      <c r="DP28" s="1406"/>
      <c r="DQ28" s="1406"/>
      <c r="DR28" s="1406"/>
      <c r="DS28" s="1406"/>
      <c r="DT28" s="1407"/>
      <c r="DU28" s="1405"/>
      <c r="DV28" s="1406"/>
      <c r="DW28" s="1406"/>
      <c r="DX28" s="1406"/>
      <c r="DY28" s="1406"/>
      <c r="DZ28" s="1406"/>
      <c r="EA28" s="1407"/>
      <c r="EB28" s="1405">
        <v>0</v>
      </c>
      <c r="EC28" s="1406"/>
      <c r="ED28" s="1406"/>
      <c r="EE28" s="1406"/>
      <c r="EF28" s="1406"/>
      <c r="EG28" s="1406"/>
      <c r="EH28" s="1407"/>
      <c r="EI28" s="1405"/>
      <c r="EJ28" s="1406"/>
      <c r="EK28" s="1406"/>
      <c r="EL28" s="1406"/>
      <c r="EM28" s="1406"/>
      <c r="EN28" s="1406"/>
      <c r="EO28" s="1407"/>
      <c r="EP28" s="1405"/>
      <c r="EQ28" s="1406"/>
      <c r="ER28" s="1406"/>
      <c r="ES28" s="1406"/>
      <c r="ET28" s="1406"/>
      <c r="EU28" s="1406"/>
      <c r="EV28" s="1406"/>
      <c r="EW28" s="1406"/>
      <c r="EX28" s="1406"/>
      <c r="EY28" s="1407"/>
    </row>
    <row r="29" spans="1:155" s="430" customFormat="1" ht="16.5" customHeight="1">
      <c r="A29" s="1414" t="s">
        <v>1576</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6"/>
      <c r="AN29" s="1399" t="s">
        <v>121</v>
      </c>
      <c r="AO29" s="1400"/>
      <c r="AP29" s="1400"/>
      <c r="AQ29" s="1400"/>
      <c r="AR29" s="1400"/>
      <c r="AS29" s="1400"/>
      <c r="AT29" s="1400"/>
      <c r="AU29" s="1401"/>
      <c r="AV29" s="1402" t="s">
        <v>910</v>
      </c>
      <c r="AW29" s="1403"/>
      <c r="AX29" s="1403"/>
      <c r="AY29" s="1403"/>
      <c r="AZ29" s="1403"/>
      <c r="BA29" s="1404"/>
      <c r="BB29" s="1405">
        <f>CH29+CO29</f>
        <v>32344</v>
      </c>
      <c r="BC29" s="1406"/>
      <c r="BD29" s="1406"/>
      <c r="BE29" s="1406"/>
      <c r="BF29" s="1406"/>
      <c r="BG29" s="1406"/>
      <c r="BH29" s="1406"/>
      <c r="BI29" s="1406"/>
      <c r="BJ29" s="1407"/>
      <c r="BK29" s="1405">
        <f t="shared" si="0"/>
        <v>32344</v>
      </c>
      <c r="BL29" s="1406"/>
      <c r="BM29" s="1406"/>
      <c r="BN29" s="1406"/>
      <c r="BO29" s="1406"/>
      <c r="BP29" s="1406"/>
      <c r="BQ29" s="1406"/>
      <c r="BR29" s="1406"/>
      <c r="BS29" s="1407"/>
      <c r="BT29" s="1405">
        <f>32239</f>
        <v>32239</v>
      </c>
      <c r="BU29" s="1406"/>
      <c r="BV29" s="1406"/>
      <c r="BW29" s="1406"/>
      <c r="BX29" s="1406"/>
      <c r="BY29" s="1406"/>
      <c r="BZ29" s="1407"/>
      <c r="CA29" s="1405">
        <f>91</f>
        <v>91</v>
      </c>
      <c r="CB29" s="1406"/>
      <c r="CC29" s="1406"/>
      <c r="CD29" s="1406"/>
      <c r="CE29" s="1406"/>
      <c r="CF29" s="1406"/>
      <c r="CG29" s="1407"/>
      <c r="CH29" s="1411">
        <f t="shared" si="1"/>
        <v>32330</v>
      </c>
      <c r="CI29" s="1412"/>
      <c r="CJ29" s="1412"/>
      <c r="CK29" s="1412"/>
      <c r="CL29" s="1412"/>
      <c r="CM29" s="1412"/>
      <c r="CN29" s="1413"/>
      <c r="CO29" s="1405">
        <f>14</f>
        <v>14</v>
      </c>
      <c r="CP29" s="1406"/>
      <c r="CQ29" s="1406"/>
      <c r="CR29" s="1406"/>
      <c r="CS29" s="1406"/>
      <c r="CT29" s="1406"/>
      <c r="CU29" s="1407"/>
      <c r="CV29" s="1405">
        <v>28594</v>
      </c>
      <c r="CW29" s="1406"/>
      <c r="CX29" s="1406"/>
      <c r="CY29" s="1406"/>
      <c r="CZ29" s="1406"/>
      <c r="DA29" s="1406"/>
      <c r="DB29" s="1406"/>
      <c r="DC29" s="1406"/>
      <c r="DD29" s="1407"/>
      <c r="DE29" s="1405">
        <v>28594</v>
      </c>
      <c r="DF29" s="1406"/>
      <c r="DG29" s="1406"/>
      <c r="DH29" s="1406"/>
      <c r="DI29" s="1406"/>
      <c r="DJ29" s="1406"/>
      <c r="DK29" s="1406"/>
      <c r="DL29" s="1406"/>
      <c r="DM29" s="1407"/>
      <c r="DN29" s="1405">
        <v>28495</v>
      </c>
      <c r="DO29" s="1406"/>
      <c r="DP29" s="1406"/>
      <c r="DQ29" s="1406"/>
      <c r="DR29" s="1406"/>
      <c r="DS29" s="1406"/>
      <c r="DT29" s="1407"/>
      <c r="DU29" s="1405">
        <v>87</v>
      </c>
      <c r="DV29" s="1406"/>
      <c r="DW29" s="1406"/>
      <c r="DX29" s="1406"/>
      <c r="DY29" s="1406"/>
      <c r="DZ29" s="1406"/>
      <c r="EA29" s="1407"/>
      <c r="EB29" s="1405">
        <v>28582</v>
      </c>
      <c r="EC29" s="1406"/>
      <c r="ED29" s="1406"/>
      <c r="EE29" s="1406"/>
      <c r="EF29" s="1406"/>
      <c r="EG29" s="1406"/>
      <c r="EH29" s="1407"/>
      <c r="EI29" s="1405">
        <v>12</v>
      </c>
      <c r="EJ29" s="1406"/>
      <c r="EK29" s="1406"/>
      <c r="EL29" s="1406"/>
      <c r="EM29" s="1406"/>
      <c r="EN29" s="1406"/>
      <c r="EO29" s="1407"/>
      <c r="EP29" s="1405"/>
      <c r="EQ29" s="1406"/>
      <c r="ER29" s="1406"/>
      <c r="ES29" s="1406"/>
      <c r="ET29" s="1406"/>
      <c r="EU29" s="1406"/>
      <c r="EV29" s="1406"/>
      <c r="EW29" s="1406"/>
      <c r="EX29" s="1406"/>
      <c r="EY29" s="1407"/>
    </row>
    <row r="30" spans="1:155" s="430" customFormat="1" ht="16.5" customHeight="1">
      <c r="A30" s="1408" t="s">
        <v>1577</v>
      </c>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c r="AA30" s="1409"/>
      <c r="AB30" s="1409"/>
      <c r="AC30" s="1409"/>
      <c r="AD30" s="1409"/>
      <c r="AE30" s="1409"/>
      <c r="AF30" s="1409"/>
      <c r="AG30" s="1409"/>
      <c r="AH30" s="1409"/>
      <c r="AI30" s="1409"/>
      <c r="AJ30" s="1409"/>
      <c r="AK30" s="1409"/>
      <c r="AL30" s="1409"/>
      <c r="AM30" s="1410"/>
      <c r="AN30" s="1399" t="s">
        <v>121</v>
      </c>
      <c r="AO30" s="1400"/>
      <c r="AP30" s="1400"/>
      <c r="AQ30" s="1400"/>
      <c r="AR30" s="1400"/>
      <c r="AS30" s="1400"/>
      <c r="AT30" s="1400"/>
      <c r="AU30" s="1401"/>
      <c r="AV30" s="1402" t="s">
        <v>940</v>
      </c>
      <c r="AW30" s="1403"/>
      <c r="AX30" s="1403"/>
      <c r="AY30" s="1403"/>
      <c r="AZ30" s="1403"/>
      <c r="BA30" s="1404"/>
      <c r="BB30" s="1405">
        <f>CH30+CO30</f>
        <v>159269</v>
      </c>
      <c r="BC30" s="1406"/>
      <c r="BD30" s="1406"/>
      <c r="BE30" s="1406"/>
      <c r="BF30" s="1406"/>
      <c r="BG30" s="1406"/>
      <c r="BH30" s="1406"/>
      <c r="BI30" s="1406"/>
      <c r="BJ30" s="1407"/>
      <c r="BK30" s="1405">
        <f t="shared" si="0"/>
        <v>159269</v>
      </c>
      <c r="BL30" s="1406"/>
      <c r="BM30" s="1406"/>
      <c r="BN30" s="1406"/>
      <c r="BO30" s="1406"/>
      <c r="BP30" s="1406"/>
      <c r="BQ30" s="1406"/>
      <c r="BR30" s="1406"/>
      <c r="BS30" s="1407"/>
      <c r="BT30" s="1405">
        <f>BT31+BT34</f>
        <v>158423</v>
      </c>
      <c r="BU30" s="1406"/>
      <c r="BV30" s="1406"/>
      <c r="BW30" s="1406"/>
      <c r="BX30" s="1406"/>
      <c r="BY30" s="1406"/>
      <c r="BZ30" s="1407"/>
      <c r="CA30" s="1405">
        <f>CA31+CA34</f>
        <v>679</v>
      </c>
      <c r="CB30" s="1406"/>
      <c r="CC30" s="1406"/>
      <c r="CD30" s="1406"/>
      <c r="CE30" s="1406"/>
      <c r="CF30" s="1406"/>
      <c r="CG30" s="1407"/>
      <c r="CH30" s="1411">
        <f t="shared" si="1"/>
        <v>159102</v>
      </c>
      <c r="CI30" s="1412"/>
      <c r="CJ30" s="1412"/>
      <c r="CK30" s="1412"/>
      <c r="CL30" s="1412"/>
      <c r="CM30" s="1412"/>
      <c r="CN30" s="1413"/>
      <c r="CO30" s="1405">
        <f>CO31+CO34</f>
        <v>167</v>
      </c>
      <c r="CP30" s="1406"/>
      <c r="CQ30" s="1406"/>
      <c r="CR30" s="1406"/>
      <c r="CS30" s="1406"/>
      <c r="CT30" s="1406"/>
      <c r="CU30" s="1407"/>
      <c r="CV30" s="1405">
        <v>136668</v>
      </c>
      <c r="CW30" s="1406"/>
      <c r="CX30" s="1406"/>
      <c r="CY30" s="1406"/>
      <c r="CZ30" s="1406"/>
      <c r="DA30" s="1406"/>
      <c r="DB30" s="1406"/>
      <c r="DC30" s="1406"/>
      <c r="DD30" s="1407"/>
      <c r="DE30" s="1405">
        <v>136668</v>
      </c>
      <c r="DF30" s="1406"/>
      <c r="DG30" s="1406"/>
      <c r="DH30" s="1406"/>
      <c r="DI30" s="1406"/>
      <c r="DJ30" s="1406"/>
      <c r="DK30" s="1406"/>
      <c r="DL30" s="1406"/>
      <c r="DM30" s="1407"/>
      <c r="DN30" s="1405">
        <v>134414</v>
      </c>
      <c r="DO30" s="1406"/>
      <c r="DP30" s="1406"/>
      <c r="DQ30" s="1406"/>
      <c r="DR30" s="1406"/>
      <c r="DS30" s="1406"/>
      <c r="DT30" s="1407"/>
      <c r="DU30" s="1405">
        <v>1970</v>
      </c>
      <c r="DV30" s="1406"/>
      <c r="DW30" s="1406"/>
      <c r="DX30" s="1406"/>
      <c r="DY30" s="1406"/>
      <c r="DZ30" s="1406"/>
      <c r="EA30" s="1407"/>
      <c r="EB30" s="1405">
        <v>136384</v>
      </c>
      <c r="EC30" s="1406"/>
      <c r="ED30" s="1406"/>
      <c r="EE30" s="1406"/>
      <c r="EF30" s="1406"/>
      <c r="EG30" s="1406"/>
      <c r="EH30" s="1407"/>
      <c r="EI30" s="1405">
        <v>284</v>
      </c>
      <c r="EJ30" s="1406"/>
      <c r="EK30" s="1406"/>
      <c r="EL30" s="1406"/>
      <c r="EM30" s="1406"/>
      <c r="EN30" s="1406"/>
      <c r="EO30" s="1407"/>
      <c r="EP30" s="1405"/>
      <c r="EQ30" s="1406"/>
      <c r="ER30" s="1406"/>
      <c r="ES30" s="1406"/>
      <c r="ET30" s="1406"/>
      <c r="EU30" s="1406"/>
      <c r="EV30" s="1406"/>
      <c r="EW30" s="1406"/>
      <c r="EX30" s="1406"/>
      <c r="EY30" s="1407"/>
    </row>
    <row r="31" spans="1:155" s="430" customFormat="1" ht="7.8">
      <c r="A31" s="1414" t="s">
        <v>1034</v>
      </c>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6"/>
      <c r="AN31" s="1399" t="s">
        <v>121</v>
      </c>
      <c r="AO31" s="1400"/>
      <c r="AP31" s="1400"/>
      <c r="AQ31" s="1400"/>
      <c r="AR31" s="1400"/>
      <c r="AS31" s="1400"/>
      <c r="AT31" s="1400"/>
      <c r="AU31" s="1401"/>
      <c r="AV31" s="1402" t="s">
        <v>945</v>
      </c>
      <c r="AW31" s="1403"/>
      <c r="AX31" s="1403"/>
      <c r="AY31" s="1403"/>
      <c r="AZ31" s="1403"/>
      <c r="BA31" s="1404"/>
      <c r="BB31" s="1405">
        <f>CH31+CO31</f>
        <v>5017</v>
      </c>
      <c r="BC31" s="1406"/>
      <c r="BD31" s="1406"/>
      <c r="BE31" s="1406"/>
      <c r="BF31" s="1406"/>
      <c r="BG31" s="1406"/>
      <c r="BH31" s="1406"/>
      <c r="BI31" s="1406"/>
      <c r="BJ31" s="1407"/>
      <c r="BK31" s="1405">
        <f t="shared" si="0"/>
        <v>5017</v>
      </c>
      <c r="BL31" s="1406"/>
      <c r="BM31" s="1406"/>
      <c r="BN31" s="1406"/>
      <c r="BO31" s="1406"/>
      <c r="BP31" s="1406"/>
      <c r="BQ31" s="1406"/>
      <c r="BR31" s="1406"/>
      <c r="BS31" s="1407"/>
      <c r="BT31" s="1405">
        <f>1995+3014</f>
        <v>5009</v>
      </c>
      <c r="BU31" s="1406"/>
      <c r="BV31" s="1406"/>
      <c r="BW31" s="1406"/>
      <c r="BX31" s="1406"/>
      <c r="BY31" s="1406"/>
      <c r="BZ31" s="1407"/>
      <c r="CA31" s="1405">
        <f>7</f>
        <v>7</v>
      </c>
      <c r="CB31" s="1406"/>
      <c r="CC31" s="1406"/>
      <c r="CD31" s="1406"/>
      <c r="CE31" s="1406"/>
      <c r="CF31" s="1406"/>
      <c r="CG31" s="1407"/>
      <c r="CH31" s="1411">
        <f t="shared" si="1"/>
        <v>5016</v>
      </c>
      <c r="CI31" s="1412"/>
      <c r="CJ31" s="1412"/>
      <c r="CK31" s="1412"/>
      <c r="CL31" s="1412"/>
      <c r="CM31" s="1412"/>
      <c r="CN31" s="1413"/>
      <c r="CO31" s="1405">
        <f>1</f>
        <v>1</v>
      </c>
      <c r="CP31" s="1406"/>
      <c r="CQ31" s="1406"/>
      <c r="CR31" s="1406"/>
      <c r="CS31" s="1406"/>
      <c r="CT31" s="1406"/>
      <c r="CU31" s="1407"/>
      <c r="CV31" s="1405">
        <v>5332</v>
      </c>
      <c r="CW31" s="1406"/>
      <c r="CX31" s="1406"/>
      <c r="CY31" s="1406"/>
      <c r="CZ31" s="1406"/>
      <c r="DA31" s="1406"/>
      <c r="DB31" s="1406"/>
      <c r="DC31" s="1406"/>
      <c r="DD31" s="1407"/>
      <c r="DE31" s="1405">
        <v>5332</v>
      </c>
      <c r="DF31" s="1406"/>
      <c r="DG31" s="1406"/>
      <c r="DH31" s="1406"/>
      <c r="DI31" s="1406"/>
      <c r="DJ31" s="1406"/>
      <c r="DK31" s="1406"/>
      <c r="DL31" s="1406"/>
      <c r="DM31" s="1407"/>
      <c r="DN31" s="1405">
        <v>5325</v>
      </c>
      <c r="DO31" s="1406"/>
      <c r="DP31" s="1406"/>
      <c r="DQ31" s="1406"/>
      <c r="DR31" s="1406"/>
      <c r="DS31" s="1406"/>
      <c r="DT31" s="1407"/>
      <c r="DU31" s="1405">
        <v>6</v>
      </c>
      <c r="DV31" s="1406"/>
      <c r="DW31" s="1406"/>
      <c r="DX31" s="1406"/>
      <c r="DY31" s="1406"/>
      <c r="DZ31" s="1406"/>
      <c r="EA31" s="1407"/>
      <c r="EB31" s="1405">
        <v>5331</v>
      </c>
      <c r="EC31" s="1406"/>
      <c r="ED31" s="1406"/>
      <c r="EE31" s="1406"/>
      <c r="EF31" s="1406"/>
      <c r="EG31" s="1406"/>
      <c r="EH31" s="1407"/>
      <c r="EI31" s="1405">
        <v>1</v>
      </c>
      <c r="EJ31" s="1406"/>
      <c r="EK31" s="1406"/>
      <c r="EL31" s="1406"/>
      <c r="EM31" s="1406"/>
      <c r="EN31" s="1406"/>
      <c r="EO31" s="1407"/>
      <c r="EP31" s="1405"/>
      <c r="EQ31" s="1406"/>
      <c r="ER31" s="1406"/>
      <c r="ES31" s="1406"/>
      <c r="ET31" s="1406"/>
      <c r="EU31" s="1406"/>
      <c r="EV31" s="1406"/>
      <c r="EW31" s="1406"/>
      <c r="EX31" s="1406"/>
      <c r="EY31" s="1407"/>
    </row>
    <row r="32" spans="1:155" s="430" customFormat="1" ht="7.8">
      <c r="A32" s="1414" t="s">
        <v>1578</v>
      </c>
      <c r="B32" s="1415"/>
      <c r="C32" s="1415"/>
      <c r="D32" s="1415"/>
      <c r="E32" s="1415"/>
      <c r="F32" s="1415"/>
      <c r="G32" s="1415"/>
      <c r="H32" s="1415"/>
      <c r="I32" s="1415"/>
      <c r="J32" s="1415"/>
      <c r="K32" s="1415"/>
      <c r="L32" s="1415"/>
      <c r="M32" s="1415"/>
      <c r="N32" s="1415"/>
      <c r="O32" s="1415"/>
      <c r="P32" s="1415"/>
      <c r="Q32" s="1415"/>
      <c r="R32" s="1415"/>
      <c r="S32" s="1415"/>
      <c r="T32" s="1415"/>
      <c r="U32" s="1415"/>
      <c r="V32" s="1415"/>
      <c r="W32" s="1415"/>
      <c r="X32" s="1415"/>
      <c r="Y32" s="1415"/>
      <c r="Z32" s="1415"/>
      <c r="AA32" s="1415"/>
      <c r="AB32" s="1415"/>
      <c r="AC32" s="1415"/>
      <c r="AD32" s="1415"/>
      <c r="AE32" s="1415"/>
      <c r="AF32" s="1415"/>
      <c r="AG32" s="1415"/>
      <c r="AH32" s="1415"/>
      <c r="AI32" s="1415"/>
      <c r="AJ32" s="1415"/>
      <c r="AK32" s="1415"/>
      <c r="AL32" s="1415"/>
      <c r="AM32" s="1416"/>
      <c r="AN32" s="1399" t="s">
        <v>121</v>
      </c>
      <c r="AO32" s="1400"/>
      <c r="AP32" s="1400"/>
      <c r="AQ32" s="1400"/>
      <c r="AR32" s="1400"/>
      <c r="AS32" s="1400"/>
      <c r="AT32" s="1400"/>
      <c r="AU32" s="1401"/>
      <c r="AV32" s="1402" t="s">
        <v>949</v>
      </c>
      <c r="AW32" s="1403"/>
      <c r="AX32" s="1403"/>
      <c r="AY32" s="1403"/>
      <c r="AZ32" s="1403"/>
      <c r="BA32" s="1404"/>
      <c r="BB32" s="1405"/>
      <c r="BC32" s="1406"/>
      <c r="BD32" s="1406"/>
      <c r="BE32" s="1406"/>
      <c r="BF32" s="1406"/>
      <c r="BG32" s="1406"/>
      <c r="BH32" s="1406"/>
      <c r="BI32" s="1406"/>
      <c r="BJ32" s="1407"/>
      <c r="BK32" s="1405">
        <f t="shared" si="0"/>
        <v>0</v>
      </c>
      <c r="BL32" s="1406"/>
      <c r="BM32" s="1406"/>
      <c r="BN32" s="1406"/>
      <c r="BO32" s="1406"/>
      <c r="BP32" s="1406"/>
      <c r="BQ32" s="1406"/>
      <c r="BR32" s="1406"/>
      <c r="BS32" s="1407"/>
      <c r="BT32" s="1405"/>
      <c r="BU32" s="1406"/>
      <c r="BV32" s="1406"/>
      <c r="BW32" s="1406"/>
      <c r="BX32" s="1406"/>
      <c r="BY32" s="1406"/>
      <c r="BZ32" s="1407"/>
      <c r="CA32" s="1405"/>
      <c r="CB32" s="1406"/>
      <c r="CC32" s="1406"/>
      <c r="CD32" s="1406"/>
      <c r="CE32" s="1406"/>
      <c r="CF32" s="1406"/>
      <c r="CG32" s="1407"/>
      <c r="CH32" s="1411">
        <f t="shared" si="1"/>
        <v>0</v>
      </c>
      <c r="CI32" s="1412"/>
      <c r="CJ32" s="1412"/>
      <c r="CK32" s="1412"/>
      <c r="CL32" s="1412"/>
      <c r="CM32" s="1412"/>
      <c r="CN32" s="1413"/>
      <c r="CO32" s="1405"/>
      <c r="CP32" s="1406"/>
      <c r="CQ32" s="1406"/>
      <c r="CR32" s="1406"/>
      <c r="CS32" s="1406"/>
      <c r="CT32" s="1406"/>
      <c r="CU32" s="1407"/>
      <c r="CV32" s="1405"/>
      <c r="CW32" s="1406"/>
      <c r="CX32" s="1406"/>
      <c r="CY32" s="1406"/>
      <c r="CZ32" s="1406"/>
      <c r="DA32" s="1406"/>
      <c r="DB32" s="1406"/>
      <c r="DC32" s="1406"/>
      <c r="DD32" s="1407"/>
      <c r="DE32" s="1405">
        <v>0</v>
      </c>
      <c r="DF32" s="1406"/>
      <c r="DG32" s="1406"/>
      <c r="DH32" s="1406"/>
      <c r="DI32" s="1406"/>
      <c r="DJ32" s="1406"/>
      <c r="DK32" s="1406"/>
      <c r="DL32" s="1406"/>
      <c r="DM32" s="1407"/>
      <c r="DN32" s="1405"/>
      <c r="DO32" s="1406"/>
      <c r="DP32" s="1406"/>
      <c r="DQ32" s="1406"/>
      <c r="DR32" s="1406"/>
      <c r="DS32" s="1406"/>
      <c r="DT32" s="1407"/>
      <c r="DU32" s="1405"/>
      <c r="DV32" s="1406"/>
      <c r="DW32" s="1406"/>
      <c r="DX32" s="1406"/>
      <c r="DY32" s="1406"/>
      <c r="DZ32" s="1406"/>
      <c r="EA32" s="1407"/>
      <c r="EB32" s="1405">
        <v>0</v>
      </c>
      <c r="EC32" s="1406"/>
      <c r="ED32" s="1406"/>
      <c r="EE32" s="1406"/>
      <c r="EF32" s="1406"/>
      <c r="EG32" s="1406"/>
      <c r="EH32" s="1407"/>
      <c r="EI32" s="1405"/>
      <c r="EJ32" s="1406"/>
      <c r="EK32" s="1406"/>
      <c r="EL32" s="1406"/>
      <c r="EM32" s="1406"/>
      <c r="EN32" s="1406"/>
      <c r="EO32" s="1407"/>
      <c r="EP32" s="1405"/>
      <c r="EQ32" s="1406"/>
      <c r="ER32" s="1406"/>
      <c r="ES32" s="1406"/>
      <c r="ET32" s="1406"/>
      <c r="EU32" s="1406"/>
      <c r="EV32" s="1406"/>
      <c r="EW32" s="1406"/>
      <c r="EX32" s="1406"/>
      <c r="EY32" s="1407"/>
    </row>
    <row r="33" spans="1:155" s="430" customFormat="1" ht="16.5" customHeight="1">
      <c r="A33" s="1414" t="s">
        <v>1579</v>
      </c>
      <c r="B33" s="1415"/>
      <c r="C33" s="1415"/>
      <c r="D33" s="1415"/>
      <c r="E33" s="1415"/>
      <c r="F33" s="1415"/>
      <c r="G33" s="1415"/>
      <c r="H33" s="1415"/>
      <c r="I33" s="1415"/>
      <c r="J33" s="1415"/>
      <c r="K33" s="1415"/>
      <c r="L33" s="1415"/>
      <c r="M33" s="1415"/>
      <c r="N33" s="1415"/>
      <c r="O33" s="1415"/>
      <c r="P33" s="1415"/>
      <c r="Q33" s="1415"/>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6"/>
      <c r="AN33" s="1399" t="s">
        <v>121</v>
      </c>
      <c r="AO33" s="1400"/>
      <c r="AP33" s="1400"/>
      <c r="AQ33" s="1400"/>
      <c r="AR33" s="1400"/>
      <c r="AS33" s="1400"/>
      <c r="AT33" s="1400"/>
      <c r="AU33" s="1401"/>
      <c r="AV33" s="1402" t="s">
        <v>953</v>
      </c>
      <c r="AW33" s="1403"/>
      <c r="AX33" s="1403"/>
      <c r="AY33" s="1403"/>
      <c r="AZ33" s="1403"/>
      <c r="BA33" s="1404"/>
      <c r="BB33" s="1405"/>
      <c r="BC33" s="1406"/>
      <c r="BD33" s="1406"/>
      <c r="BE33" s="1406"/>
      <c r="BF33" s="1406"/>
      <c r="BG33" s="1406"/>
      <c r="BH33" s="1406"/>
      <c r="BI33" s="1406"/>
      <c r="BJ33" s="1407"/>
      <c r="BK33" s="1405">
        <f t="shared" si="0"/>
        <v>0</v>
      </c>
      <c r="BL33" s="1406"/>
      <c r="BM33" s="1406"/>
      <c r="BN33" s="1406"/>
      <c r="BO33" s="1406"/>
      <c r="BP33" s="1406"/>
      <c r="BQ33" s="1406"/>
      <c r="BR33" s="1406"/>
      <c r="BS33" s="1407"/>
      <c r="BT33" s="1405"/>
      <c r="BU33" s="1406"/>
      <c r="BV33" s="1406"/>
      <c r="BW33" s="1406"/>
      <c r="BX33" s="1406"/>
      <c r="BY33" s="1406"/>
      <c r="BZ33" s="1407"/>
      <c r="CA33" s="1405"/>
      <c r="CB33" s="1406"/>
      <c r="CC33" s="1406"/>
      <c r="CD33" s="1406"/>
      <c r="CE33" s="1406"/>
      <c r="CF33" s="1406"/>
      <c r="CG33" s="1407"/>
      <c r="CH33" s="1411">
        <f t="shared" si="1"/>
        <v>0</v>
      </c>
      <c r="CI33" s="1412"/>
      <c r="CJ33" s="1412"/>
      <c r="CK33" s="1412"/>
      <c r="CL33" s="1412"/>
      <c r="CM33" s="1412"/>
      <c r="CN33" s="1413"/>
      <c r="CO33" s="1405"/>
      <c r="CP33" s="1406"/>
      <c r="CQ33" s="1406"/>
      <c r="CR33" s="1406"/>
      <c r="CS33" s="1406"/>
      <c r="CT33" s="1406"/>
      <c r="CU33" s="1407"/>
      <c r="CV33" s="1405"/>
      <c r="CW33" s="1406"/>
      <c r="CX33" s="1406"/>
      <c r="CY33" s="1406"/>
      <c r="CZ33" s="1406"/>
      <c r="DA33" s="1406"/>
      <c r="DB33" s="1406"/>
      <c r="DC33" s="1406"/>
      <c r="DD33" s="1407"/>
      <c r="DE33" s="1405">
        <v>0</v>
      </c>
      <c r="DF33" s="1406"/>
      <c r="DG33" s="1406"/>
      <c r="DH33" s="1406"/>
      <c r="DI33" s="1406"/>
      <c r="DJ33" s="1406"/>
      <c r="DK33" s="1406"/>
      <c r="DL33" s="1406"/>
      <c r="DM33" s="1407"/>
      <c r="DN33" s="1405"/>
      <c r="DO33" s="1406"/>
      <c r="DP33" s="1406"/>
      <c r="DQ33" s="1406"/>
      <c r="DR33" s="1406"/>
      <c r="DS33" s="1406"/>
      <c r="DT33" s="1407"/>
      <c r="DU33" s="1405"/>
      <c r="DV33" s="1406"/>
      <c r="DW33" s="1406"/>
      <c r="DX33" s="1406"/>
      <c r="DY33" s="1406"/>
      <c r="DZ33" s="1406"/>
      <c r="EA33" s="1407"/>
      <c r="EB33" s="1405">
        <v>0</v>
      </c>
      <c r="EC33" s="1406"/>
      <c r="ED33" s="1406"/>
      <c r="EE33" s="1406"/>
      <c r="EF33" s="1406"/>
      <c r="EG33" s="1406"/>
      <c r="EH33" s="1407"/>
      <c r="EI33" s="1405"/>
      <c r="EJ33" s="1406"/>
      <c r="EK33" s="1406"/>
      <c r="EL33" s="1406"/>
      <c r="EM33" s="1406"/>
      <c r="EN33" s="1406"/>
      <c r="EO33" s="1407"/>
      <c r="EP33" s="1405"/>
      <c r="EQ33" s="1406"/>
      <c r="ER33" s="1406"/>
      <c r="ES33" s="1406"/>
      <c r="ET33" s="1406"/>
      <c r="EU33" s="1406"/>
      <c r="EV33" s="1406"/>
      <c r="EW33" s="1406"/>
      <c r="EX33" s="1406"/>
      <c r="EY33" s="1407"/>
    </row>
    <row r="34" spans="1:155" s="430" customFormat="1" ht="16.5" customHeight="1">
      <c r="A34" s="1414" t="s">
        <v>1580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6"/>
      <c r="AN34" s="1399" t="s">
        <v>121</v>
      </c>
      <c r="AO34" s="1400"/>
      <c r="AP34" s="1400"/>
      <c r="AQ34" s="1400"/>
      <c r="AR34" s="1400"/>
      <c r="AS34" s="1400"/>
      <c r="AT34" s="1400"/>
      <c r="AU34" s="1401"/>
      <c r="AV34" s="1402" t="s">
        <v>958</v>
      </c>
      <c r="AW34" s="1403"/>
      <c r="AX34" s="1403"/>
      <c r="AY34" s="1403"/>
      <c r="AZ34" s="1403"/>
      <c r="BA34" s="1404"/>
      <c r="BB34" s="1405">
        <f>CH34+CO34</f>
        <v>154252</v>
      </c>
      <c r="BC34" s="1406"/>
      <c r="BD34" s="1406"/>
      <c r="BE34" s="1406"/>
      <c r="BF34" s="1406"/>
      <c r="BG34" s="1406"/>
      <c r="BH34" s="1406"/>
      <c r="BI34" s="1406"/>
      <c r="BJ34" s="1407"/>
      <c r="BK34" s="1405">
        <f t="shared" si="0"/>
        <v>154252</v>
      </c>
      <c r="BL34" s="1406"/>
      <c r="BM34" s="1406"/>
      <c r="BN34" s="1406"/>
      <c r="BO34" s="1406"/>
      <c r="BP34" s="1406"/>
      <c r="BQ34" s="1406"/>
      <c r="BR34" s="1406"/>
      <c r="BS34" s="1407"/>
      <c r="BT34" s="1405">
        <f>139159+14255</f>
        <v>153414</v>
      </c>
      <c r="BU34" s="1406"/>
      <c r="BV34" s="1406"/>
      <c r="BW34" s="1406"/>
      <c r="BX34" s="1406"/>
      <c r="BY34" s="1406"/>
      <c r="BZ34" s="1407"/>
      <c r="CA34" s="1405">
        <f>672</f>
        <v>672</v>
      </c>
      <c r="CB34" s="1406"/>
      <c r="CC34" s="1406"/>
      <c r="CD34" s="1406"/>
      <c r="CE34" s="1406"/>
      <c r="CF34" s="1406"/>
      <c r="CG34" s="1407"/>
      <c r="CH34" s="1411">
        <f t="shared" si="1"/>
        <v>154086</v>
      </c>
      <c r="CI34" s="1412"/>
      <c r="CJ34" s="1412"/>
      <c r="CK34" s="1412"/>
      <c r="CL34" s="1412"/>
      <c r="CM34" s="1412"/>
      <c r="CN34" s="1413"/>
      <c r="CO34" s="1405">
        <f>166</f>
        <v>166</v>
      </c>
      <c r="CP34" s="1406"/>
      <c r="CQ34" s="1406"/>
      <c r="CR34" s="1406"/>
      <c r="CS34" s="1406"/>
      <c r="CT34" s="1406"/>
      <c r="CU34" s="1407"/>
      <c r="CV34" s="1405">
        <v>131336</v>
      </c>
      <c r="CW34" s="1406"/>
      <c r="CX34" s="1406"/>
      <c r="CY34" s="1406"/>
      <c r="CZ34" s="1406"/>
      <c r="DA34" s="1406"/>
      <c r="DB34" s="1406"/>
      <c r="DC34" s="1406"/>
      <c r="DD34" s="1407"/>
      <c r="DE34" s="1405">
        <v>131336</v>
      </c>
      <c r="DF34" s="1406"/>
      <c r="DG34" s="1406"/>
      <c r="DH34" s="1406"/>
      <c r="DI34" s="1406"/>
      <c r="DJ34" s="1406"/>
      <c r="DK34" s="1406"/>
      <c r="DL34" s="1406"/>
      <c r="DM34" s="1407"/>
      <c r="DN34" s="1405">
        <v>129089</v>
      </c>
      <c r="DO34" s="1406"/>
      <c r="DP34" s="1406"/>
      <c r="DQ34" s="1406"/>
      <c r="DR34" s="1406"/>
      <c r="DS34" s="1406"/>
      <c r="DT34" s="1407"/>
      <c r="DU34" s="1405">
        <v>1964</v>
      </c>
      <c r="DV34" s="1406"/>
      <c r="DW34" s="1406"/>
      <c r="DX34" s="1406"/>
      <c r="DY34" s="1406"/>
      <c r="DZ34" s="1406"/>
      <c r="EA34" s="1407"/>
      <c r="EB34" s="1405">
        <v>131053</v>
      </c>
      <c r="EC34" s="1406"/>
      <c r="ED34" s="1406"/>
      <c r="EE34" s="1406"/>
      <c r="EF34" s="1406"/>
      <c r="EG34" s="1406"/>
      <c r="EH34" s="1407"/>
      <c r="EI34" s="1405">
        <v>283</v>
      </c>
      <c r="EJ34" s="1406"/>
      <c r="EK34" s="1406"/>
      <c r="EL34" s="1406"/>
      <c r="EM34" s="1406"/>
      <c r="EN34" s="1406"/>
      <c r="EO34" s="1407"/>
      <c r="EP34" s="1405"/>
      <c r="EQ34" s="1406"/>
      <c r="ER34" s="1406"/>
      <c r="ES34" s="1406"/>
      <c r="ET34" s="1406"/>
      <c r="EU34" s="1406"/>
      <c r="EV34" s="1406"/>
      <c r="EW34" s="1406"/>
      <c r="EX34" s="1406"/>
      <c r="EY34" s="1407"/>
    </row>
    <row r="35" spans="1:155" s="430" customFormat="1" ht="7.8">
      <c r="A35" s="1408" t="s">
        <v>544</v>
      </c>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409"/>
      <c r="AL35" s="1409"/>
      <c r="AM35" s="1410"/>
      <c r="AN35" s="1399" t="s">
        <v>121</v>
      </c>
      <c r="AO35" s="1400"/>
      <c r="AP35" s="1400"/>
      <c r="AQ35" s="1400"/>
      <c r="AR35" s="1400"/>
      <c r="AS35" s="1400"/>
      <c r="AT35" s="1400"/>
      <c r="AU35" s="1401"/>
      <c r="AV35" s="1402" t="s">
        <v>987</v>
      </c>
      <c r="AW35" s="1403"/>
      <c r="AX35" s="1403"/>
      <c r="AY35" s="1403"/>
      <c r="AZ35" s="1403"/>
      <c r="BA35" s="1404"/>
      <c r="BB35" s="1405">
        <f>CH35+CO35</f>
        <v>1011203</v>
      </c>
      <c r="BC35" s="1406"/>
      <c r="BD35" s="1406"/>
      <c r="BE35" s="1406"/>
      <c r="BF35" s="1406"/>
      <c r="BG35" s="1406"/>
      <c r="BH35" s="1406"/>
      <c r="BI35" s="1406"/>
      <c r="BJ35" s="1407"/>
      <c r="BK35" s="1405">
        <f>BB35</f>
        <v>1011203</v>
      </c>
      <c r="BL35" s="1406"/>
      <c r="BM35" s="1406"/>
      <c r="BN35" s="1406"/>
      <c r="BO35" s="1406"/>
      <c r="BP35" s="1406"/>
      <c r="BQ35" s="1406"/>
      <c r="BR35" s="1406"/>
      <c r="BS35" s="1407"/>
      <c r="BT35" s="1405">
        <f>813756+139843</f>
        <v>953599</v>
      </c>
      <c r="BU35" s="1406"/>
      <c r="BV35" s="1406"/>
      <c r="BW35" s="1406"/>
      <c r="BX35" s="1406"/>
      <c r="BY35" s="1406"/>
      <c r="BZ35" s="1407"/>
      <c r="CA35" s="1405">
        <f>37545</f>
        <v>37545</v>
      </c>
      <c r="CB35" s="1406"/>
      <c r="CC35" s="1406"/>
      <c r="CD35" s="1406"/>
      <c r="CE35" s="1406"/>
      <c r="CF35" s="1406"/>
      <c r="CG35" s="1407"/>
      <c r="CH35" s="1411">
        <f t="shared" si="1"/>
        <v>991144</v>
      </c>
      <c r="CI35" s="1412"/>
      <c r="CJ35" s="1412"/>
      <c r="CK35" s="1412"/>
      <c r="CL35" s="1412"/>
      <c r="CM35" s="1412"/>
      <c r="CN35" s="1413"/>
      <c r="CO35" s="1405">
        <f>20059</f>
        <v>20059</v>
      </c>
      <c r="CP35" s="1406"/>
      <c r="CQ35" s="1406"/>
      <c r="CR35" s="1406"/>
      <c r="CS35" s="1406"/>
      <c r="CT35" s="1406"/>
      <c r="CU35" s="1407"/>
      <c r="CV35" s="1405">
        <v>942292</v>
      </c>
      <c r="CW35" s="1406"/>
      <c r="CX35" s="1406"/>
      <c r="CY35" s="1406"/>
      <c r="CZ35" s="1406"/>
      <c r="DA35" s="1406"/>
      <c r="DB35" s="1406"/>
      <c r="DC35" s="1406"/>
      <c r="DD35" s="1407"/>
      <c r="DE35" s="1405">
        <v>942292</v>
      </c>
      <c r="DF35" s="1406"/>
      <c r="DG35" s="1406"/>
      <c r="DH35" s="1406"/>
      <c r="DI35" s="1406"/>
      <c r="DJ35" s="1406"/>
      <c r="DK35" s="1406"/>
      <c r="DL35" s="1406"/>
      <c r="DM35" s="1407"/>
      <c r="DN35" s="1405">
        <v>886228</v>
      </c>
      <c r="DO35" s="1406"/>
      <c r="DP35" s="1406"/>
      <c r="DQ35" s="1406"/>
      <c r="DR35" s="1406"/>
      <c r="DS35" s="1406"/>
      <c r="DT35" s="1407"/>
      <c r="DU35" s="1405">
        <v>33752</v>
      </c>
      <c r="DV35" s="1406"/>
      <c r="DW35" s="1406"/>
      <c r="DX35" s="1406"/>
      <c r="DY35" s="1406"/>
      <c r="DZ35" s="1406"/>
      <c r="EA35" s="1407"/>
      <c r="EB35" s="1405">
        <v>919980</v>
      </c>
      <c r="EC35" s="1406"/>
      <c r="ED35" s="1406"/>
      <c r="EE35" s="1406"/>
      <c r="EF35" s="1406"/>
      <c r="EG35" s="1406"/>
      <c r="EH35" s="1407"/>
      <c r="EI35" s="1405">
        <v>22312</v>
      </c>
      <c r="EJ35" s="1406"/>
      <c r="EK35" s="1406"/>
      <c r="EL35" s="1406"/>
      <c r="EM35" s="1406"/>
      <c r="EN35" s="1406"/>
      <c r="EO35" s="1407"/>
      <c r="EP35" s="1405"/>
      <c r="EQ35" s="1406"/>
      <c r="ER35" s="1406"/>
      <c r="ES35" s="1406"/>
      <c r="ET35" s="1406"/>
      <c r="EU35" s="1406"/>
      <c r="EV35" s="1406"/>
      <c r="EW35" s="1406"/>
      <c r="EX35" s="1406"/>
      <c r="EY35" s="1407"/>
    </row>
    <row r="36" spans="1:155" s="430" customFormat="1" ht="7.8">
      <c r="A36" s="1420" t="s">
        <v>1581</v>
      </c>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1"/>
      <c r="AL36" s="1421"/>
      <c r="AM36" s="1422"/>
      <c r="AN36" s="1423" t="s">
        <v>121</v>
      </c>
      <c r="AO36" s="1424"/>
      <c r="AP36" s="1424"/>
      <c r="AQ36" s="1424"/>
      <c r="AR36" s="1424"/>
      <c r="AS36" s="1424"/>
      <c r="AT36" s="1424"/>
      <c r="AU36" s="1425"/>
      <c r="AV36" s="1426"/>
      <c r="AW36" s="1427"/>
      <c r="AX36" s="1427"/>
      <c r="AY36" s="1427"/>
      <c r="AZ36" s="1427"/>
      <c r="BA36" s="1428"/>
      <c r="BB36" s="1429">
        <f>CH36+CO36</f>
        <v>312618</v>
      </c>
      <c r="BC36" s="1430"/>
      <c r="BD36" s="1430"/>
      <c r="BE36" s="1430"/>
      <c r="BF36" s="1430"/>
      <c r="BG36" s="1430"/>
      <c r="BH36" s="1430"/>
      <c r="BI36" s="1430"/>
      <c r="BJ36" s="1431"/>
      <c r="BK36" s="1429">
        <f>BB36</f>
        <v>312618</v>
      </c>
      <c r="BL36" s="1430"/>
      <c r="BM36" s="1430"/>
      <c r="BN36" s="1430"/>
      <c r="BO36" s="1430"/>
      <c r="BP36" s="1430"/>
      <c r="BQ36" s="1430"/>
      <c r="BR36" s="1430"/>
      <c r="BS36" s="1431"/>
      <c r="BT36" s="1429">
        <v>298152</v>
      </c>
      <c r="BU36" s="1430"/>
      <c r="BV36" s="1430"/>
      <c r="BW36" s="1430"/>
      <c r="BX36" s="1430"/>
      <c r="BY36" s="1430"/>
      <c r="BZ36" s="1431"/>
      <c r="CA36" s="1429">
        <v>11444</v>
      </c>
      <c r="CB36" s="1430"/>
      <c r="CC36" s="1430"/>
      <c r="CD36" s="1430"/>
      <c r="CE36" s="1430"/>
      <c r="CF36" s="1430"/>
      <c r="CG36" s="1431"/>
      <c r="CH36" s="1432">
        <f t="shared" si="1"/>
        <v>309596</v>
      </c>
      <c r="CI36" s="1433"/>
      <c r="CJ36" s="1433"/>
      <c r="CK36" s="1433"/>
      <c r="CL36" s="1433"/>
      <c r="CM36" s="1433"/>
      <c r="CN36" s="1434"/>
      <c r="CO36" s="1429">
        <v>3022</v>
      </c>
      <c r="CP36" s="1430"/>
      <c r="CQ36" s="1430"/>
      <c r="CR36" s="1430"/>
      <c r="CS36" s="1430"/>
      <c r="CT36" s="1430"/>
      <c r="CU36" s="1431"/>
      <c r="CV36" s="1429">
        <f>EB36+EI36</f>
        <v>289913</v>
      </c>
      <c r="CW36" s="1430"/>
      <c r="CX36" s="1430"/>
      <c r="CY36" s="1430"/>
      <c r="CZ36" s="1430"/>
      <c r="DA36" s="1430"/>
      <c r="DB36" s="1430"/>
      <c r="DC36" s="1430"/>
      <c r="DD36" s="1431"/>
      <c r="DE36" s="1429">
        <f>CV36</f>
        <v>289913</v>
      </c>
      <c r="DF36" s="1430"/>
      <c r="DG36" s="1430"/>
      <c r="DH36" s="1430"/>
      <c r="DI36" s="1430"/>
      <c r="DJ36" s="1430"/>
      <c r="DK36" s="1430"/>
      <c r="DL36" s="1430"/>
      <c r="DM36" s="1431"/>
      <c r="DN36" s="1429">
        <v>279154</v>
      </c>
      <c r="DO36" s="1430"/>
      <c r="DP36" s="1430"/>
      <c r="DQ36" s="1430"/>
      <c r="DR36" s="1430"/>
      <c r="DS36" s="1430"/>
      <c r="DT36" s="1431"/>
      <c r="DU36" s="1429">
        <v>7438</v>
      </c>
      <c r="DV36" s="1430"/>
      <c r="DW36" s="1430"/>
      <c r="DX36" s="1430"/>
      <c r="DY36" s="1430"/>
      <c r="DZ36" s="1430"/>
      <c r="EA36" s="1431"/>
      <c r="EB36" s="1429">
        <f t="shared" ref="EB36:EB42" si="2">DN36+DU36</f>
        <v>286592</v>
      </c>
      <c r="EC36" s="1430"/>
      <c r="ED36" s="1430"/>
      <c r="EE36" s="1430"/>
      <c r="EF36" s="1430"/>
      <c r="EG36" s="1430"/>
      <c r="EH36" s="1431"/>
      <c r="EI36" s="1429">
        <v>3321</v>
      </c>
      <c r="EJ36" s="1430"/>
      <c r="EK36" s="1430"/>
      <c r="EL36" s="1430"/>
      <c r="EM36" s="1430"/>
      <c r="EN36" s="1430"/>
      <c r="EO36" s="1431"/>
      <c r="EP36" s="1429"/>
      <c r="EQ36" s="1430"/>
      <c r="ER36" s="1430"/>
      <c r="ES36" s="1430"/>
      <c r="ET36" s="1430"/>
      <c r="EU36" s="1430"/>
      <c r="EV36" s="1430"/>
      <c r="EW36" s="1430"/>
      <c r="EX36" s="1430"/>
      <c r="EY36" s="1431"/>
    </row>
    <row r="37" spans="1:155" s="430" customFormat="1" ht="7.8">
      <c r="A37" s="1420" t="s">
        <v>1582</v>
      </c>
      <c r="B37" s="1421"/>
      <c r="C37" s="1421"/>
      <c r="D37" s="1421"/>
      <c r="E37" s="1421"/>
      <c r="F37" s="1421"/>
      <c r="G37" s="1421"/>
      <c r="H37" s="1421"/>
      <c r="I37" s="1421"/>
      <c r="J37" s="1421"/>
      <c r="K37" s="1421"/>
      <c r="L37" s="1421"/>
      <c r="M37" s="1421"/>
      <c r="N37" s="1421"/>
      <c r="O37" s="1421"/>
      <c r="P37" s="1421"/>
      <c r="Q37" s="1421"/>
      <c r="R37" s="1421"/>
      <c r="S37" s="1421"/>
      <c r="T37" s="1421"/>
      <c r="U37" s="1421"/>
      <c r="V37" s="1421"/>
      <c r="W37" s="1421"/>
      <c r="X37" s="1421"/>
      <c r="Y37" s="1421"/>
      <c r="Z37" s="1421"/>
      <c r="AA37" s="1421"/>
      <c r="AB37" s="1421"/>
      <c r="AC37" s="1421"/>
      <c r="AD37" s="1421"/>
      <c r="AE37" s="1421"/>
      <c r="AF37" s="1421"/>
      <c r="AG37" s="1421"/>
      <c r="AH37" s="1421"/>
      <c r="AI37" s="1421"/>
      <c r="AJ37" s="1421"/>
      <c r="AK37" s="1421"/>
      <c r="AL37" s="1421"/>
      <c r="AM37" s="1422"/>
      <c r="AN37" s="1423" t="s">
        <v>121</v>
      </c>
      <c r="AO37" s="1424"/>
      <c r="AP37" s="1424"/>
      <c r="AQ37" s="1424"/>
      <c r="AR37" s="1424"/>
      <c r="AS37" s="1424"/>
      <c r="AT37" s="1424"/>
      <c r="AU37" s="1425"/>
      <c r="AV37" s="1426"/>
      <c r="AW37" s="1427"/>
      <c r="AX37" s="1427"/>
      <c r="AY37" s="1427"/>
      <c r="AZ37" s="1427"/>
      <c r="BA37" s="1428"/>
      <c r="BB37" s="1429">
        <f>CH37+CO37</f>
        <v>263437</v>
      </c>
      <c r="BC37" s="1430"/>
      <c r="BD37" s="1430"/>
      <c r="BE37" s="1430"/>
      <c r="BF37" s="1430"/>
      <c r="BG37" s="1430"/>
      <c r="BH37" s="1430"/>
      <c r="BI37" s="1430"/>
      <c r="BJ37" s="1431"/>
      <c r="BK37" s="1429">
        <f t="shared" si="0"/>
        <v>263437</v>
      </c>
      <c r="BL37" s="1430"/>
      <c r="BM37" s="1430"/>
      <c r="BN37" s="1430"/>
      <c r="BO37" s="1430"/>
      <c r="BP37" s="1430"/>
      <c r="BQ37" s="1430"/>
      <c r="BR37" s="1430"/>
      <c r="BS37" s="1431"/>
      <c r="BT37" s="1429">
        <v>234860</v>
      </c>
      <c r="BU37" s="1430"/>
      <c r="BV37" s="1430"/>
      <c r="BW37" s="1430"/>
      <c r="BX37" s="1430"/>
      <c r="BY37" s="1430"/>
      <c r="BZ37" s="1431"/>
      <c r="CA37" s="1429">
        <v>22720</v>
      </c>
      <c r="CB37" s="1430"/>
      <c r="CC37" s="1430"/>
      <c r="CD37" s="1430"/>
      <c r="CE37" s="1430"/>
      <c r="CF37" s="1430"/>
      <c r="CG37" s="1431"/>
      <c r="CH37" s="1432">
        <f t="shared" si="1"/>
        <v>257580</v>
      </c>
      <c r="CI37" s="1433"/>
      <c r="CJ37" s="1433"/>
      <c r="CK37" s="1433"/>
      <c r="CL37" s="1433"/>
      <c r="CM37" s="1433"/>
      <c r="CN37" s="1434"/>
      <c r="CO37" s="1429">
        <v>5857</v>
      </c>
      <c r="CP37" s="1430"/>
      <c r="CQ37" s="1430"/>
      <c r="CR37" s="1430"/>
      <c r="CS37" s="1430"/>
      <c r="CT37" s="1430"/>
      <c r="CU37" s="1431"/>
      <c r="CV37" s="1429">
        <f>EB37+EI37</f>
        <v>249644</v>
      </c>
      <c r="CW37" s="1430"/>
      <c r="CX37" s="1430"/>
      <c r="CY37" s="1430"/>
      <c r="CZ37" s="1430"/>
      <c r="DA37" s="1430"/>
      <c r="DB37" s="1430"/>
      <c r="DC37" s="1430"/>
      <c r="DD37" s="1431"/>
      <c r="DE37" s="1429">
        <f>CV37</f>
        <v>249644</v>
      </c>
      <c r="DF37" s="1430"/>
      <c r="DG37" s="1430"/>
      <c r="DH37" s="1430"/>
      <c r="DI37" s="1430"/>
      <c r="DJ37" s="1430"/>
      <c r="DK37" s="1430"/>
      <c r="DL37" s="1430"/>
      <c r="DM37" s="1431"/>
      <c r="DN37" s="1429">
        <v>221661</v>
      </c>
      <c r="DO37" s="1430"/>
      <c r="DP37" s="1430"/>
      <c r="DQ37" s="1430"/>
      <c r="DR37" s="1430"/>
      <c r="DS37" s="1430"/>
      <c r="DT37" s="1431"/>
      <c r="DU37" s="1429">
        <v>22127</v>
      </c>
      <c r="DV37" s="1430"/>
      <c r="DW37" s="1430"/>
      <c r="DX37" s="1430"/>
      <c r="DY37" s="1430"/>
      <c r="DZ37" s="1430"/>
      <c r="EA37" s="1431"/>
      <c r="EB37" s="1429">
        <f t="shared" si="2"/>
        <v>243788</v>
      </c>
      <c r="EC37" s="1430"/>
      <c r="ED37" s="1430"/>
      <c r="EE37" s="1430"/>
      <c r="EF37" s="1430"/>
      <c r="EG37" s="1430"/>
      <c r="EH37" s="1431"/>
      <c r="EI37" s="1429">
        <v>5856</v>
      </c>
      <c r="EJ37" s="1430"/>
      <c r="EK37" s="1430"/>
      <c r="EL37" s="1430"/>
      <c r="EM37" s="1430"/>
      <c r="EN37" s="1430"/>
      <c r="EO37" s="1431"/>
      <c r="EP37" s="1429"/>
      <c r="EQ37" s="1430"/>
      <c r="ER37" s="1430"/>
      <c r="ES37" s="1430"/>
      <c r="ET37" s="1430"/>
      <c r="EU37" s="1430"/>
      <c r="EV37" s="1430"/>
      <c r="EW37" s="1430"/>
      <c r="EX37" s="1430"/>
      <c r="EY37" s="1431"/>
    </row>
    <row r="38" spans="1:155" s="430" customFormat="1" ht="7.8">
      <c r="A38" s="1420" t="s">
        <v>1583</v>
      </c>
      <c r="B38" s="1421"/>
      <c r="C38" s="1421"/>
      <c r="D38" s="1421"/>
      <c r="E38" s="1421"/>
      <c r="F38" s="1421"/>
      <c r="G38" s="1421"/>
      <c r="H38" s="1421"/>
      <c r="I38" s="1421"/>
      <c r="J38" s="1421"/>
      <c r="K38" s="1421"/>
      <c r="L38" s="1421"/>
      <c r="M38" s="1421"/>
      <c r="N38" s="1421"/>
      <c r="O38" s="1421"/>
      <c r="P38" s="1421"/>
      <c r="Q38" s="1421"/>
      <c r="R38" s="1421"/>
      <c r="S38" s="1421"/>
      <c r="T38" s="1421"/>
      <c r="U38" s="1421"/>
      <c r="V38" s="1421"/>
      <c r="W38" s="1421"/>
      <c r="X38" s="1421"/>
      <c r="Y38" s="1421"/>
      <c r="Z38" s="1421"/>
      <c r="AA38" s="1421"/>
      <c r="AB38" s="1421"/>
      <c r="AC38" s="1421"/>
      <c r="AD38" s="1421"/>
      <c r="AE38" s="1421"/>
      <c r="AF38" s="1421"/>
      <c r="AG38" s="1421"/>
      <c r="AH38" s="1421"/>
      <c r="AI38" s="1421"/>
      <c r="AJ38" s="1421"/>
      <c r="AK38" s="1421"/>
      <c r="AL38" s="1421"/>
      <c r="AM38" s="1422"/>
      <c r="AN38" s="1423" t="s">
        <v>121</v>
      </c>
      <c r="AO38" s="1424"/>
      <c r="AP38" s="1424"/>
      <c r="AQ38" s="1424"/>
      <c r="AR38" s="1424"/>
      <c r="AS38" s="1424"/>
      <c r="AT38" s="1424"/>
      <c r="AU38" s="1425"/>
      <c r="AV38" s="1426"/>
      <c r="AW38" s="1427"/>
      <c r="AX38" s="1427"/>
      <c r="AY38" s="1427"/>
      <c r="AZ38" s="1427"/>
      <c r="BA38" s="1428"/>
      <c r="BB38" s="1429">
        <f>CH38+CO38</f>
        <v>435148</v>
      </c>
      <c r="BC38" s="1430"/>
      <c r="BD38" s="1430"/>
      <c r="BE38" s="1430"/>
      <c r="BF38" s="1430"/>
      <c r="BG38" s="1430"/>
      <c r="BH38" s="1430"/>
      <c r="BI38" s="1430"/>
      <c r="BJ38" s="1431"/>
      <c r="BK38" s="1429">
        <f t="shared" si="0"/>
        <v>435148</v>
      </c>
      <c r="BL38" s="1430"/>
      <c r="BM38" s="1430"/>
      <c r="BN38" s="1430"/>
      <c r="BO38" s="1430"/>
      <c r="BP38" s="1430"/>
      <c r="BQ38" s="1430"/>
      <c r="BR38" s="1430"/>
      <c r="BS38" s="1431"/>
      <c r="BT38" s="1429">
        <f>BT35-BT36-BT37</f>
        <v>420587</v>
      </c>
      <c r="BU38" s="1430"/>
      <c r="BV38" s="1430"/>
      <c r="BW38" s="1430"/>
      <c r="BX38" s="1430"/>
      <c r="BY38" s="1430"/>
      <c r="BZ38" s="1431"/>
      <c r="CA38" s="1429">
        <f>CA35-CA36-CA37</f>
        <v>3381</v>
      </c>
      <c r="CB38" s="1430"/>
      <c r="CC38" s="1430"/>
      <c r="CD38" s="1430"/>
      <c r="CE38" s="1430"/>
      <c r="CF38" s="1430"/>
      <c r="CG38" s="1431"/>
      <c r="CH38" s="1432">
        <f t="shared" si="1"/>
        <v>423968</v>
      </c>
      <c r="CI38" s="1433"/>
      <c r="CJ38" s="1433"/>
      <c r="CK38" s="1433"/>
      <c r="CL38" s="1433"/>
      <c r="CM38" s="1433"/>
      <c r="CN38" s="1434"/>
      <c r="CO38" s="1429">
        <f>CO35-CO36-CO37</f>
        <v>11180</v>
      </c>
      <c r="CP38" s="1430"/>
      <c r="CQ38" s="1430"/>
      <c r="CR38" s="1430"/>
      <c r="CS38" s="1430"/>
      <c r="CT38" s="1430"/>
      <c r="CU38" s="1431"/>
      <c r="CV38" s="1429">
        <f>EB38+EI38</f>
        <v>402735</v>
      </c>
      <c r="CW38" s="1430"/>
      <c r="CX38" s="1430"/>
      <c r="CY38" s="1430"/>
      <c r="CZ38" s="1430"/>
      <c r="DA38" s="1430"/>
      <c r="DB38" s="1430"/>
      <c r="DC38" s="1430"/>
      <c r="DD38" s="1431"/>
      <c r="DE38" s="1429">
        <f>CV38</f>
        <v>402735</v>
      </c>
      <c r="DF38" s="1430"/>
      <c r="DG38" s="1430"/>
      <c r="DH38" s="1430"/>
      <c r="DI38" s="1430"/>
      <c r="DJ38" s="1430"/>
      <c r="DK38" s="1430"/>
      <c r="DL38" s="1430"/>
      <c r="DM38" s="1431"/>
      <c r="DN38" s="1429">
        <v>385413</v>
      </c>
      <c r="DO38" s="1430"/>
      <c r="DP38" s="1430"/>
      <c r="DQ38" s="1430"/>
      <c r="DR38" s="1430"/>
      <c r="DS38" s="1430"/>
      <c r="DT38" s="1431"/>
      <c r="DU38" s="1429">
        <v>4187</v>
      </c>
      <c r="DV38" s="1430"/>
      <c r="DW38" s="1430"/>
      <c r="DX38" s="1430"/>
      <c r="DY38" s="1430"/>
      <c r="DZ38" s="1430"/>
      <c r="EA38" s="1431"/>
      <c r="EB38" s="1429">
        <f t="shared" si="2"/>
        <v>389600</v>
      </c>
      <c r="EC38" s="1430"/>
      <c r="ED38" s="1430"/>
      <c r="EE38" s="1430"/>
      <c r="EF38" s="1430"/>
      <c r="EG38" s="1430"/>
      <c r="EH38" s="1431"/>
      <c r="EI38" s="1429">
        <v>13135</v>
      </c>
      <c r="EJ38" s="1430"/>
      <c r="EK38" s="1430"/>
      <c r="EL38" s="1430"/>
      <c r="EM38" s="1430"/>
      <c r="EN38" s="1430"/>
      <c r="EO38" s="1431"/>
      <c r="EP38" s="1429"/>
      <c r="EQ38" s="1430"/>
      <c r="ER38" s="1430"/>
      <c r="ES38" s="1430"/>
      <c r="ET38" s="1430"/>
      <c r="EU38" s="1430"/>
      <c r="EV38" s="1430"/>
      <c r="EW38" s="1430"/>
      <c r="EX38" s="1430"/>
      <c r="EY38" s="1431"/>
    </row>
    <row r="39" spans="1:155" s="430" customFormat="1" ht="16.5" customHeight="1">
      <c r="A39" s="1435" t="s">
        <v>1584</v>
      </c>
      <c r="B39" s="1436"/>
      <c r="C39" s="1436"/>
      <c r="D39" s="1436"/>
      <c r="E39" s="1436"/>
      <c r="F39" s="1436"/>
      <c r="G39" s="1436"/>
      <c r="H39" s="1436"/>
      <c r="I39" s="1436"/>
      <c r="J39" s="1436"/>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7"/>
      <c r="AN39" s="1399" t="s">
        <v>1585</v>
      </c>
      <c r="AO39" s="1400"/>
      <c r="AP39" s="1400"/>
      <c r="AQ39" s="1400"/>
      <c r="AR39" s="1400"/>
      <c r="AS39" s="1400"/>
      <c r="AT39" s="1400"/>
      <c r="AU39" s="1401"/>
      <c r="AV39" s="1402"/>
      <c r="AW39" s="1403"/>
      <c r="AX39" s="1403"/>
      <c r="AY39" s="1403"/>
      <c r="AZ39" s="1403"/>
      <c r="BA39" s="1404"/>
      <c r="BB39" s="1405">
        <v>3065</v>
      </c>
      <c r="BC39" s="1406"/>
      <c r="BD39" s="1406"/>
      <c r="BE39" s="1406"/>
      <c r="BF39" s="1406"/>
      <c r="BG39" s="1406"/>
      <c r="BH39" s="1406"/>
      <c r="BI39" s="1406"/>
      <c r="BJ39" s="1407"/>
      <c r="BK39" s="1405">
        <v>3065</v>
      </c>
      <c r="BL39" s="1406"/>
      <c r="BM39" s="1406"/>
      <c r="BN39" s="1406"/>
      <c r="BO39" s="1406"/>
      <c r="BP39" s="1406"/>
      <c r="BQ39" s="1406"/>
      <c r="BR39" s="1406"/>
      <c r="BS39" s="1407"/>
      <c r="BT39" s="1405">
        <v>2903</v>
      </c>
      <c r="BU39" s="1406"/>
      <c r="BV39" s="1406"/>
      <c r="BW39" s="1406"/>
      <c r="BX39" s="1406"/>
      <c r="BY39" s="1406"/>
      <c r="BZ39" s="1407"/>
      <c r="CA39" s="1405">
        <v>116</v>
      </c>
      <c r="CB39" s="1406"/>
      <c r="CC39" s="1406"/>
      <c r="CD39" s="1406"/>
      <c r="CE39" s="1406"/>
      <c r="CF39" s="1406"/>
      <c r="CG39" s="1407"/>
      <c r="CH39" s="1411">
        <f t="shared" si="1"/>
        <v>3019</v>
      </c>
      <c r="CI39" s="1412"/>
      <c r="CJ39" s="1412"/>
      <c r="CK39" s="1412"/>
      <c r="CL39" s="1412"/>
      <c r="CM39" s="1412"/>
      <c r="CN39" s="1413"/>
      <c r="CO39" s="1405">
        <v>46</v>
      </c>
      <c r="CP39" s="1406"/>
      <c r="CQ39" s="1406"/>
      <c r="CR39" s="1406"/>
      <c r="CS39" s="1406"/>
      <c r="CT39" s="1406"/>
      <c r="CU39" s="1407"/>
      <c r="CV39" s="1405">
        <v>2949</v>
      </c>
      <c r="CW39" s="1406"/>
      <c r="CX39" s="1406"/>
      <c r="CY39" s="1406"/>
      <c r="CZ39" s="1406"/>
      <c r="DA39" s="1406"/>
      <c r="DB39" s="1406"/>
      <c r="DC39" s="1406"/>
      <c r="DD39" s="1407"/>
      <c r="DE39" s="1405">
        <v>2949</v>
      </c>
      <c r="DF39" s="1406"/>
      <c r="DG39" s="1406"/>
      <c r="DH39" s="1406"/>
      <c r="DI39" s="1406"/>
      <c r="DJ39" s="1406"/>
      <c r="DK39" s="1406"/>
      <c r="DL39" s="1406"/>
      <c r="DM39" s="1407"/>
      <c r="DN39" s="1405">
        <v>2785</v>
      </c>
      <c r="DO39" s="1406"/>
      <c r="DP39" s="1406"/>
      <c r="DQ39" s="1406"/>
      <c r="DR39" s="1406"/>
      <c r="DS39" s="1406"/>
      <c r="DT39" s="1407"/>
      <c r="DU39" s="1405">
        <v>109</v>
      </c>
      <c r="DV39" s="1406"/>
      <c r="DW39" s="1406"/>
      <c r="DX39" s="1406"/>
      <c r="DY39" s="1406"/>
      <c r="DZ39" s="1406"/>
      <c r="EA39" s="1407"/>
      <c r="EB39" s="1411">
        <f t="shared" si="2"/>
        <v>2894</v>
      </c>
      <c r="EC39" s="1412"/>
      <c r="ED39" s="1412"/>
      <c r="EE39" s="1412"/>
      <c r="EF39" s="1412"/>
      <c r="EG39" s="1412"/>
      <c r="EH39" s="1413"/>
      <c r="EI39" s="1405">
        <v>55</v>
      </c>
      <c r="EJ39" s="1406"/>
      <c r="EK39" s="1406"/>
      <c r="EL39" s="1406"/>
      <c r="EM39" s="1406"/>
      <c r="EN39" s="1406"/>
      <c r="EO39" s="1407"/>
      <c r="EP39" s="1405"/>
      <c r="EQ39" s="1406"/>
      <c r="ER39" s="1406"/>
      <c r="ES39" s="1406"/>
      <c r="ET39" s="1406"/>
      <c r="EU39" s="1406"/>
      <c r="EV39" s="1406"/>
      <c r="EW39" s="1406"/>
      <c r="EX39" s="1406"/>
      <c r="EY39" s="1407"/>
    </row>
    <row r="40" spans="1:155" s="430" customFormat="1" ht="7.8">
      <c r="A40" s="1417" t="s">
        <v>1581</v>
      </c>
      <c r="B40" s="1418"/>
      <c r="C40" s="1418"/>
      <c r="D40" s="1418"/>
      <c r="E40" s="1418"/>
      <c r="F40" s="1418"/>
      <c r="G40" s="1418"/>
      <c r="H40" s="1418"/>
      <c r="I40" s="1418"/>
      <c r="J40" s="1418"/>
      <c r="K40" s="1418"/>
      <c r="L40" s="1418"/>
      <c r="M40" s="1418"/>
      <c r="N40" s="1418"/>
      <c r="O40" s="1418"/>
      <c r="P40" s="1418"/>
      <c r="Q40" s="1418"/>
      <c r="R40" s="1418"/>
      <c r="S40" s="1418"/>
      <c r="T40" s="1418"/>
      <c r="U40" s="1418"/>
      <c r="V40" s="1418"/>
      <c r="W40" s="1418"/>
      <c r="X40" s="1418"/>
      <c r="Y40" s="1418"/>
      <c r="Z40" s="1418"/>
      <c r="AA40" s="1418"/>
      <c r="AB40" s="1418"/>
      <c r="AC40" s="1418"/>
      <c r="AD40" s="1418"/>
      <c r="AE40" s="1418"/>
      <c r="AF40" s="1418"/>
      <c r="AG40" s="1418"/>
      <c r="AH40" s="1418"/>
      <c r="AI40" s="1418"/>
      <c r="AJ40" s="1418"/>
      <c r="AK40" s="1418"/>
      <c r="AL40" s="1418"/>
      <c r="AM40" s="1419"/>
      <c r="AN40" s="1399" t="s">
        <v>1585</v>
      </c>
      <c r="AO40" s="1400"/>
      <c r="AP40" s="1400"/>
      <c r="AQ40" s="1400"/>
      <c r="AR40" s="1400"/>
      <c r="AS40" s="1400"/>
      <c r="AT40" s="1400"/>
      <c r="AU40" s="1401"/>
      <c r="AV40" s="1402"/>
      <c r="AW40" s="1403"/>
      <c r="AX40" s="1403"/>
      <c r="AY40" s="1403"/>
      <c r="AZ40" s="1403"/>
      <c r="BA40" s="1404"/>
      <c r="BB40" s="1405">
        <v>524</v>
      </c>
      <c r="BC40" s="1406"/>
      <c r="BD40" s="1406"/>
      <c r="BE40" s="1406"/>
      <c r="BF40" s="1406"/>
      <c r="BG40" s="1406"/>
      <c r="BH40" s="1406"/>
      <c r="BI40" s="1406"/>
      <c r="BJ40" s="1407"/>
      <c r="BK40" s="1405">
        <v>524</v>
      </c>
      <c r="BL40" s="1406"/>
      <c r="BM40" s="1406"/>
      <c r="BN40" s="1406"/>
      <c r="BO40" s="1406"/>
      <c r="BP40" s="1406"/>
      <c r="BQ40" s="1406"/>
      <c r="BR40" s="1406"/>
      <c r="BS40" s="1407"/>
      <c r="BT40" s="1405">
        <v>496</v>
      </c>
      <c r="BU40" s="1406"/>
      <c r="BV40" s="1406"/>
      <c r="BW40" s="1406"/>
      <c r="BX40" s="1406"/>
      <c r="BY40" s="1406"/>
      <c r="BZ40" s="1407"/>
      <c r="CA40" s="1405">
        <v>22</v>
      </c>
      <c r="CB40" s="1406"/>
      <c r="CC40" s="1406"/>
      <c r="CD40" s="1406"/>
      <c r="CE40" s="1406"/>
      <c r="CF40" s="1406"/>
      <c r="CG40" s="1407"/>
      <c r="CH40" s="1411">
        <f t="shared" si="1"/>
        <v>518</v>
      </c>
      <c r="CI40" s="1412"/>
      <c r="CJ40" s="1412"/>
      <c r="CK40" s="1412"/>
      <c r="CL40" s="1412"/>
      <c r="CM40" s="1412"/>
      <c r="CN40" s="1413"/>
      <c r="CO40" s="1405">
        <v>6</v>
      </c>
      <c r="CP40" s="1406"/>
      <c r="CQ40" s="1406"/>
      <c r="CR40" s="1406"/>
      <c r="CS40" s="1406"/>
      <c r="CT40" s="1406"/>
      <c r="CU40" s="1407"/>
      <c r="CV40" s="1405">
        <v>490</v>
      </c>
      <c r="CW40" s="1406"/>
      <c r="CX40" s="1406"/>
      <c r="CY40" s="1406"/>
      <c r="CZ40" s="1406"/>
      <c r="DA40" s="1406"/>
      <c r="DB40" s="1406"/>
      <c r="DC40" s="1406"/>
      <c r="DD40" s="1407"/>
      <c r="DE40" s="1405">
        <v>490</v>
      </c>
      <c r="DF40" s="1406"/>
      <c r="DG40" s="1406"/>
      <c r="DH40" s="1406"/>
      <c r="DI40" s="1406"/>
      <c r="DJ40" s="1406"/>
      <c r="DK40" s="1406"/>
      <c r="DL40" s="1406"/>
      <c r="DM40" s="1407"/>
      <c r="DN40" s="1405">
        <v>465</v>
      </c>
      <c r="DO40" s="1406"/>
      <c r="DP40" s="1406"/>
      <c r="DQ40" s="1406"/>
      <c r="DR40" s="1406"/>
      <c r="DS40" s="1406"/>
      <c r="DT40" s="1407"/>
      <c r="DU40" s="1405">
        <v>19</v>
      </c>
      <c r="DV40" s="1406"/>
      <c r="DW40" s="1406"/>
      <c r="DX40" s="1406"/>
      <c r="DY40" s="1406"/>
      <c r="DZ40" s="1406"/>
      <c r="EA40" s="1407"/>
      <c r="EB40" s="1411">
        <f t="shared" si="2"/>
        <v>484</v>
      </c>
      <c r="EC40" s="1412"/>
      <c r="ED40" s="1412"/>
      <c r="EE40" s="1412"/>
      <c r="EF40" s="1412"/>
      <c r="EG40" s="1412"/>
      <c r="EH40" s="1413"/>
      <c r="EI40" s="1405">
        <v>6</v>
      </c>
      <c r="EJ40" s="1406"/>
      <c r="EK40" s="1406"/>
      <c r="EL40" s="1406"/>
      <c r="EM40" s="1406"/>
      <c r="EN40" s="1406"/>
      <c r="EO40" s="1407"/>
      <c r="EP40" s="1405"/>
      <c r="EQ40" s="1406"/>
      <c r="ER40" s="1406"/>
      <c r="ES40" s="1406"/>
      <c r="ET40" s="1406"/>
      <c r="EU40" s="1406"/>
      <c r="EV40" s="1406"/>
      <c r="EW40" s="1406"/>
      <c r="EX40" s="1406"/>
      <c r="EY40" s="1407"/>
    </row>
    <row r="41" spans="1:155" s="430" customFormat="1" ht="7.8">
      <c r="A41" s="1417" t="s">
        <v>1582</v>
      </c>
      <c r="B41" s="1418"/>
      <c r="C41" s="1418"/>
      <c r="D41" s="1418"/>
      <c r="E41" s="1418"/>
      <c r="F41" s="1418"/>
      <c r="G41" s="1418"/>
      <c r="H41" s="1418"/>
      <c r="I41" s="1418"/>
      <c r="J41" s="1418"/>
      <c r="K41" s="1418"/>
      <c r="L41" s="1418"/>
      <c r="M41" s="1418"/>
      <c r="N41" s="1418"/>
      <c r="O41" s="1418"/>
      <c r="P41" s="1418"/>
      <c r="Q41" s="1418"/>
      <c r="R41" s="1418"/>
      <c r="S41" s="1418"/>
      <c r="T41" s="1418"/>
      <c r="U41" s="1418"/>
      <c r="V41" s="1418"/>
      <c r="W41" s="1418"/>
      <c r="X41" s="1418"/>
      <c r="Y41" s="1418"/>
      <c r="Z41" s="1418"/>
      <c r="AA41" s="1418"/>
      <c r="AB41" s="1418"/>
      <c r="AC41" s="1418"/>
      <c r="AD41" s="1418"/>
      <c r="AE41" s="1418"/>
      <c r="AF41" s="1418"/>
      <c r="AG41" s="1418"/>
      <c r="AH41" s="1418"/>
      <c r="AI41" s="1418"/>
      <c r="AJ41" s="1418"/>
      <c r="AK41" s="1418"/>
      <c r="AL41" s="1418"/>
      <c r="AM41" s="1419"/>
      <c r="AN41" s="1399" t="s">
        <v>1585</v>
      </c>
      <c r="AO41" s="1400"/>
      <c r="AP41" s="1400"/>
      <c r="AQ41" s="1400"/>
      <c r="AR41" s="1400"/>
      <c r="AS41" s="1400"/>
      <c r="AT41" s="1400"/>
      <c r="AU41" s="1401"/>
      <c r="AV41" s="1402"/>
      <c r="AW41" s="1403"/>
      <c r="AX41" s="1403"/>
      <c r="AY41" s="1403"/>
      <c r="AZ41" s="1403"/>
      <c r="BA41" s="1404"/>
      <c r="BB41" s="1405">
        <v>832</v>
      </c>
      <c r="BC41" s="1406"/>
      <c r="BD41" s="1406"/>
      <c r="BE41" s="1406"/>
      <c r="BF41" s="1406"/>
      <c r="BG41" s="1406"/>
      <c r="BH41" s="1406"/>
      <c r="BI41" s="1406"/>
      <c r="BJ41" s="1407"/>
      <c r="BK41" s="1405">
        <v>832</v>
      </c>
      <c r="BL41" s="1406"/>
      <c r="BM41" s="1406"/>
      <c r="BN41" s="1406"/>
      <c r="BO41" s="1406"/>
      <c r="BP41" s="1406"/>
      <c r="BQ41" s="1406"/>
      <c r="BR41" s="1406"/>
      <c r="BS41" s="1407"/>
      <c r="BT41" s="1405">
        <v>739</v>
      </c>
      <c r="BU41" s="1406"/>
      <c r="BV41" s="1406"/>
      <c r="BW41" s="1406"/>
      <c r="BX41" s="1406"/>
      <c r="BY41" s="1406"/>
      <c r="BZ41" s="1407"/>
      <c r="CA41" s="1405">
        <v>78</v>
      </c>
      <c r="CB41" s="1406"/>
      <c r="CC41" s="1406"/>
      <c r="CD41" s="1406"/>
      <c r="CE41" s="1406"/>
      <c r="CF41" s="1406"/>
      <c r="CG41" s="1407"/>
      <c r="CH41" s="1411">
        <f t="shared" si="1"/>
        <v>817</v>
      </c>
      <c r="CI41" s="1412"/>
      <c r="CJ41" s="1412"/>
      <c r="CK41" s="1412"/>
      <c r="CL41" s="1412"/>
      <c r="CM41" s="1412"/>
      <c r="CN41" s="1413"/>
      <c r="CO41" s="1405">
        <v>15</v>
      </c>
      <c r="CP41" s="1406"/>
      <c r="CQ41" s="1406"/>
      <c r="CR41" s="1406"/>
      <c r="CS41" s="1406"/>
      <c r="CT41" s="1406"/>
      <c r="CU41" s="1407"/>
      <c r="CV41" s="1405">
        <v>817</v>
      </c>
      <c r="CW41" s="1406"/>
      <c r="CX41" s="1406"/>
      <c r="CY41" s="1406"/>
      <c r="CZ41" s="1406"/>
      <c r="DA41" s="1406"/>
      <c r="DB41" s="1406"/>
      <c r="DC41" s="1406"/>
      <c r="DD41" s="1407"/>
      <c r="DE41" s="1405">
        <v>817</v>
      </c>
      <c r="DF41" s="1406"/>
      <c r="DG41" s="1406"/>
      <c r="DH41" s="1406"/>
      <c r="DI41" s="1406"/>
      <c r="DJ41" s="1406"/>
      <c r="DK41" s="1406"/>
      <c r="DL41" s="1406"/>
      <c r="DM41" s="1407"/>
      <c r="DN41" s="1405">
        <v>727</v>
      </c>
      <c r="DO41" s="1406"/>
      <c r="DP41" s="1406"/>
      <c r="DQ41" s="1406"/>
      <c r="DR41" s="1406"/>
      <c r="DS41" s="1406"/>
      <c r="DT41" s="1407"/>
      <c r="DU41" s="1405">
        <v>72</v>
      </c>
      <c r="DV41" s="1406"/>
      <c r="DW41" s="1406"/>
      <c r="DX41" s="1406"/>
      <c r="DY41" s="1406"/>
      <c r="DZ41" s="1406"/>
      <c r="EA41" s="1407"/>
      <c r="EB41" s="1411">
        <f t="shared" si="2"/>
        <v>799</v>
      </c>
      <c r="EC41" s="1412"/>
      <c r="ED41" s="1412"/>
      <c r="EE41" s="1412"/>
      <c r="EF41" s="1412"/>
      <c r="EG41" s="1412"/>
      <c r="EH41" s="1413"/>
      <c r="EI41" s="1405">
        <v>18</v>
      </c>
      <c r="EJ41" s="1406"/>
      <c r="EK41" s="1406"/>
      <c r="EL41" s="1406"/>
      <c r="EM41" s="1406"/>
      <c r="EN41" s="1406"/>
      <c r="EO41" s="1407"/>
      <c r="EP41" s="1405"/>
      <c r="EQ41" s="1406"/>
      <c r="ER41" s="1406"/>
      <c r="ES41" s="1406"/>
      <c r="ET41" s="1406"/>
      <c r="EU41" s="1406"/>
      <c r="EV41" s="1406"/>
      <c r="EW41" s="1406"/>
      <c r="EX41" s="1406"/>
      <c r="EY41" s="1407"/>
    </row>
    <row r="42" spans="1:155" s="430" customFormat="1" ht="7.8">
      <c r="A42" s="1417" t="s">
        <v>1583</v>
      </c>
      <c r="B42" s="1418"/>
      <c r="C42" s="1418"/>
      <c r="D42" s="1418"/>
      <c r="E42" s="1418"/>
      <c r="F42" s="1418"/>
      <c r="G42" s="1418"/>
      <c r="H42" s="1418"/>
      <c r="I42" s="1418"/>
      <c r="J42" s="1418"/>
      <c r="K42" s="1418"/>
      <c r="L42" s="1418"/>
      <c r="M42" s="1418"/>
      <c r="N42" s="1418"/>
      <c r="O42" s="1418"/>
      <c r="P42" s="1418"/>
      <c r="Q42" s="1418"/>
      <c r="R42" s="1418"/>
      <c r="S42" s="1418"/>
      <c r="T42" s="1418"/>
      <c r="U42" s="1418"/>
      <c r="V42" s="1418"/>
      <c r="W42" s="1418"/>
      <c r="X42" s="1418"/>
      <c r="Y42" s="1418"/>
      <c r="Z42" s="1418"/>
      <c r="AA42" s="1418"/>
      <c r="AB42" s="1418"/>
      <c r="AC42" s="1418"/>
      <c r="AD42" s="1418"/>
      <c r="AE42" s="1418"/>
      <c r="AF42" s="1418"/>
      <c r="AG42" s="1418"/>
      <c r="AH42" s="1418"/>
      <c r="AI42" s="1418"/>
      <c r="AJ42" s="1418"/>
      <c r="AK42" s="1418"/>
      <c r="AL42" s="1418"/>
      <c r="AM42" s="1419"/>
      <c r="AN42" s="1399" t="s">
        <v>1585</v>
      </c>
      <c r="AO42" s="1400"/>
      <c r="AP42" s="1400"/>
      <c r="AQ42" s="1400"/>
      <c r="AR42" s="1400"/>
      <c r="AS42" s="1400"/>
      <c r="AT42" s="1400"/>
      <c r="AU42" s="1401"/>
      <c r="AV42" s="1402"/>
      <c r="AW42" s="1403"/>
      <c r="AX42" s="1403"/>
      <c r="AY42" s="1403"/>
      <c r="AZ42" s="1403"/>
      <c r="BA42" s="1404"/>
      <c r="BB42" s="1405">
        <v>1709</v>
      </c>
      <c r="BC42" s="1406"/>
      <c r="BD42" s="1406"/>
      <c r="BE42" s="1406"/>
      <c r="BF42" s="1406"/>
      <c r="BG42" s="1406"/>
      <c r="BH42" s="1406"/>
      <c r="BI42" s="1406"/>
      <c r="BJ42" s="1407"/>
      <c r="BK42" s="1405">
        <v>1709</v>
      </c>
      <c r="BL42" s="1406"/>
      <c r="BM42" s="1406"/>
      <c r="BN42" s="1406"/>
      <c r="BO42" s="1406"/>
      <c r="BP42" s="1406"/>
      <c r="BQ42" s="1406"/>
      <c r="BR42" s="1406"/>
      <c r="BS42" s="1407"/>
      <c r="BT42" s="1405">
        <v>1668</v>
      </c>
      <c r="BU42" s="1406"/>
      <c r="BV42" s="1406"/>
      <c r="BW42" s="1406"/>
      <c r="BX42" s="1406"/>
      <c r="BY42" s="1406"/>
      <c r="BZ42" s="1407"/>
      <c r="CA42" s="1405">
        <v>16</v>
      </c>
      <c r="CB42" s="1406"/>
      <c r="CC42" s="1406"/>
      <c r="CD42" s="1406"/>
      <c r="CE42" s="1406"/>
      <c r="CF42" s="1406"/>
      <c r="CG42" s="1407"/>
      <c r="CH42" s="1411">
        <f t="shared" si="1"/>
        <v>1684</v>
      </c>
      <c r="CI42" s="1412"/>
      <c r="CJ42" s="1412"/>
      <c r="CK42" s="1412"/>
      <c r="CL42" s="1412"/>
      <c r="CM42" s="1412"/>
      <c r="CN42" s="1413"/>
      <c r="CO42" s="1405">
        <v>25</v>
      </c>
      <c r="CP42" s="1406"/>
      <c r="CQ42" s="1406"/>
      <c r="CR42" s="1406"/>
      <c r="CS42" s="1406"/>
      <c r="CT42" s="1406"/>
      <c r="CU42" s="1407"/>
      <c r="CV42" s="1405">
        <v>1642</v>
      </c>
      <c r="CW42" s="1406"/>
      <c r="CX42" s="1406"/>
      <c r="CY42" s="1406"/>
      <c r="CZ42" s="1406"/>
      <c r="DA42" s="1406"/>
      <c r="DB42" s="1406"/>
      <c r="DC42" s="1406"/>
      <c r="DD42" s="1407"/>
      <c r="DE42" s="1405">
        <v>1642</v>
      </c>
      <c r="DF42" s="1406"/>
      <c r="DG42" s="1406"/>
      <c r="DH42" s="1406"/>
      <c r="DI42" s="1406"/>
      <c r="DJ42" s="1406"/>
      <c r="DK42" s="1406"/>
      <c r="DL42" s="1406"/>
      <c r="DM42" s="1407"/>
      <c r="DN42" s="1405">
        <v>1593</v>
      </c>
      <c r="DO42" s="1406"/>
      <c r="DP42" s="1406"/>
      <c r="DQ42" s="1406"/>
      <c r="DR42" s="1406"/>
      <c r="DS42" s="1406"/>
      <c r="DT42" s="1407"/>
      <c r="DU42" s="1405">
        <v>18</v>
      </c>
      <c r="DV42" s="1406"/>
      <c r="DW42" s="1406"/>
      <c r="DX42" s="1406"/>
      <c r="DY42" s="1406"/>
      <c r="DZ42" s="1406"/>
      <c r="EA42" s="1407"/>
      <c r="EB42" s="1411">
        <f t="shared" si="2"/>
        <v>1611</v>
      </c>
      <c r="EC42" s="1412"/>
      <c r="ED42" s="1412"/>
      <c r="EE42" s="1412"/>
      <c r="EF42" s="1412"/>
      <c r="EG42" s="1412"/>
      <c r="EH42" s="1413"/>
      <c r="EI42" s="1405">
        <v>31</v>
      </c>
      <c r="EJ42" s="1406"/>
      <c r="EK42" s="1406"/>
      <c r="EL42" s="1406"/>
      <c r="EM42" s="1406"/>
      <c r="EN42" s="1406"/>
      <c r="EO42" s="1407"/>
      <c r="EP42" s="1405"/>
      <c r="EQ42" s="1406"/>
      <c r="ER42" s="1406"/>
      <c r="ES42" s="1406"/>
      <c r="ET42" s="1406"/>
      <c r="EU42" s="1406"/>
      <c r="EV42" s="1406"/>
      <c r="EW42" s="1406"/>
      <c r="EX42" s="1406"/>
      <c r="EY42" s="1407"/>
    </row>
    <row r="43" spans="1:155" s="430" customFormat="1" ht="41.25" customHeight="1">
      <c r="A43" s="1408" t="s">
        <v>1586</v>
      </c>
      <c r="B43" s="1409"/>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c r="AA43" s="1409"/>
      <c r="AB43" s="1409"/>
      <c r="AC43" s="1409"/>
      <c r="AD43" s="1409"/>
      <c r="AE43" s="1409"/>
      <c r="AF43" s="1409"/>
      <c r="AG43" s="1409"/>
      <c r="AH43" s="1409"/>
      <c r="AI43" s="1409"/>
      <c r="AJ43" s="1409"/>
      <c r="AK43" s="1409"/>
      <c r="AL43" s="1409"/>
      <c r="AM43" s="1410"/>
      <c r="AN43" s="1399" t="s">
        <v>121</v>
      </c>
      <c r="AO43" s="1400"/>
      <c r="AP43" s="1400"/>
      <c r="AQ43" s="1400"/>
      <c r="AR43" s="1400"/>
      <c r="AS43" s="1400"/>
      <c r="AT43" s="1400"/>
      <c r="AU43" s="1401"/>
      <c r="AV43" s="1402" t="s">
        <v>1035</v>
      </c>
      <c r="AW43" s="1403"/>
      <c r="AX43" s="1403"/>
      <c r="AY43" s="1403"/>
      <c r="AZ43" s="1403"/>
      <c r="BA43" s="1404"/>
      <c r="BB43" s="1405">
        <f t="shared" ref="BB43:BB57" si="3">CH43+CO43</f>
        <v>292804</v>
      </c>
      <c r="BC43" s="1406"/>
      <c r="BD43" s="1406"/>
      <c r="BE43" s="1406"/>
      <c r="BF43" s="1406"/>
      <c r="BG43" s="1406"/>
      <c r="BH43" s="1406"/>
      <c r="BI43" s="1406"/>
      <c r="BJ43" s="1407"/>
      <c r="BK43" s="1405">
        <f t="shared" ref="BK43:BK57" si="4">BB43</f>
        <v>292804</v>
      </c>
      <c r="BL43" s="1406"/>
      <c r="BM43" s="1406"/>
      <c r="BN43" s="1406"/>
      <c r="BO43" s="1406"/>
      <c r="BP43" s="1406"/>
      <c r="BQ43" s="1406"/>
      <c r="BR43" s="1406"/>
      <c r="BS43" s="1407"/>
      <c r="BT43" s="1405">
        <f>233651+42070-1</f>
        <v>275720</v>
      </c>
      <c r="BU43" s="1406"/>
      <c r="BV43" s="1406"/>
      <c r="BW43" s="1406"/>
      <c r="BX43" s="1406"/>
      <c r="BY43" s="1406"/>
      <c r="BZ43" s="1407"/>
      <c r="CA43" s="1405">
        <f>11038</f>
        <v>11038</v>
      </c>
      <c r="CB43" s="1406"/>
      <c r="CC43" s="1406"/>
      <c r="CD43" s="1406"/>
      <c r="CE43" s="1406"/>
      <c r="CF43" s="1406"/>
      <c r="CG43" s="1407"/>
      <c r="CH43" s="1411">
        <f t="shared" si="1"/>
        <v>286758</v>
      </c>
      <c r="CI43" s="1412"/>
      <c r="CJ43" s="1412"/>
      <c r="CK43" s="1412"/>
      <c r="CL43" s="1412"/>
      <c r="CM43" s="1412"/>
      <c r="CN43" s="1413"/>
      <c r="CO43" s="1405">
        <f>6046</f>
        <v>6046</v>
      </c>
      <c r="CP43" s="1406"/>
      <c r="CQ43" s="1406"/>
      <c r="CR43" s="1406"/>
      <c r="CS43" s="1406"/>
      <c r="CT43" s="1406"/>
      <c r="CU43" s="1407"/>
      <c r="CV43" s="1405">
        <v>265772</v>
      </c>
      <c r="CW43" s="1406"/>
      <c r="CX43" s="1406"/>
      <c r="CY43" s="1406"/>
      <c r="CZ43" s="1406"/>
      <c r="DA43" s="1406"/>
      <c r="DB43" s="1406"/>
      <c r="DC43" s="1406"/>
      <c r="DD43" s="1407"/>
      <c r="DE43" s="1405">
        <v>265772</v>
      </c>
      <c r="DF43" s="1406"/>
      <c r="DG43" s="1406"/>
      <c r="DH43" s="1406"/>
      <c r="DI43" s="1406"/>
      <c r="DJ43" s="1406"/>
      <c r="DK43" s="1406"/>
      <c r="DL43" s="1406"/>
      <c r="DM43" s="1407"/>
      <c r="DN43" s="1405">
        <v>249162</v>
      </c>
      <c r="DO43" s="1406"/>
      <c r="DP43" s="1406"/>
      <c r="DQ43" s="1406"/>
      <c r="DR43" s="1406"/>
      <c r="DS43" s="1406"/>
      <c r="DT43" s="1407"/>
      <c r="DU43" s="1405">
        <v>9887</v>
      </c>
      <c r="DV43" s="1406"/>
      <c r="DW43" s="1406"/>
      <c r="DX43" s="1406"/>
      <c r="DY43" s="1406"/>
      <c r="DZ43" s="1406"/>
      <c r="EA43" s="1407"/>
      <c r="EB43" s="1405">
        <v>259049</v>
      </c>
      <c r="EC43" s="1406"/>
      <c r="ED43" s="1406"/>
      <c r="EE43" s="1406"/>
      <c r="EF43" s="1406"/>
      <c r="EG43" s="1406"/>
      <c r="EH43" s="1407"/>
      <c r="EI43" s="1405">
        <v>6723</v>
      </c>
      <c r="EJ43" s="1406"/>
      <c r="EK43" s="1406"/>
      <c r="EL43" s="1406"/>
      <c r="EM43" s="1406"/>
      <c r="EN43" s="1406"/>
      <c r="EO43" s="1407"/>
      <c r="EP43" s="1405"/>
      <c r="EQ43" s="1406"/>
      <c r="ER43" s="1406"/>
      <c r="ES43" s="1406"/>
      <c r="ET43" s="1406"/>
      <c r="EU43" s="1406"/>
      <c r="EV43" s="1406"/>
      <c r="EW43" s="1406"/>
      <c r="EX43" s="1406"/>
      <c r="EY43" s="1407"/>
    </row>
    <row r="44" spans="1:155" s="430" customFormat="1" ht="7.8">
      <c r="A44" s="1408" t="s">
        <v>1587</v>
      </c>
      <c r="B44" s="1409"/>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c r="AA44" s="1409"/>
      <c r="AB44" s="1409"/>
      <c r="AC44" s="1409"/>
      <c r="AD44" s="1409"/>
      <c r="AE44" s="1409"/>
      <c r="AF44" s="1409"/>
      <c r="AG44" s="1409"/>
      <c r="AH44" s="1409"/>
      <c r="AI44" s="1409"/>
      <c r="AJ44" s="1409"/>
      <c r="AK44" s="1409"/>
      <c r="AL44" s="1409"/>
      <c r="AM44" s="1410"/>
      <c r="AN44" s="1399" t="s">
        <v>121</v>
      </c>
      <c r="AO44" s="1400"/>
      <c r="AP44" s="1400"/>
      <c r="AQ44" s="1400"/>
      <c r="AR44" s="1400"/>
      <c r="AS44" s="1400"/>
      <c r="AT44" s="1400"/>
      <c r="AU44" s="1401"/>
      <c r="AV44" s="1402" t="s">
        <v>1086</v>
      </c>
      <c r="AW44" s="1403"/>
      <c r="AX44" s="1403"/>
      <c r="AY44" s="1403"/>
      <c r="AZ44" s="1403"/>
      <c r="BA44" s="1404"/>
      <c r="BB44" s="1405">
        <f t="shared" si="3"/>
        <v>360666</v>
      </c>
      <c r="BC44" s="1406"/>
      <c r="BD44" s="1406"/>
      <c r="BE44" s="1406"/>
      <c r="BF44" s="1406"/>
      <c r="BG44" s="1406"/>
      <c r="BH44" s="1406"/>
      <c r="BI44" s="1406"/>
      <c r="BJ44" s="1407"/>
      <c r="BK44" s="1405">
        <f t="shared" si="4"/>
        <v>360666</v>
      </c>
      <c r="BL44" s="1406"/>
      <c r="BM44" s="1406"/>
      <c r="BN44" s="1406"/>
      <c r="BO44" s="1406"/>
      <c r="BP44" s="1406"/>
      <c r="BQ44" s="1406"/>
      <c r="BR44" s="1406"/>
      <c r="BS44" s="1407"/>
      <c r="BT44" s="1405">
        <f>350787+9307+1</f>
        <v>360095</v>
      </c>
      <c r="BU44" s="1406"/>
      <c r="BV44" s="1406"/>
      <c r="BW44" s="1406"/>
      <c r="BX44" s="1406"/>
      <c r="BY44" s="1406"/>
      <c r="BZ44" s="1407"/>
      <c r="CA44" s="1405">
        <f>444+19</f>
        <v>463</v>
      </c>
      <c r="CB44" s="1406"/>
      <c r="CC44" s="1406"/>
      <c r="CD44" s="1406"/>
      <c r="CE44" s="1406"/>
      <c r="CF44" s="1406"/>
      <c r="CG44" s="1407"/>
      <c r="CH44" s="1411">
        <f t="shared" si="1"/>
        <v>360558</v>
      </c>
      <c r="CI44" s="1412"/>
      <c r="CJ44" s="1412"/>
      <c r="CK44" s="1412"/>
      <c r="CL44" s="1412"/>
      <c r="CM44" s="1412"/>
      <c r="CN44" s="1413"/>
      <c r="CO44" s="1405">
        <f>108</f>
        <v>108</v>
      </c>
      <c r="CP44" s="1406"/>
      <c r="CQ44" s="1406"/>
      <c r="CR44" s="1406"/>
      <c r="CS44" s="1406"/>
      <c r="CT44" s="1406"/>
      <c r="CU44" s="1407"/>
      <c r="CV44" s="1405">
        <v>321771</v>
      </c>
      <c r="CW44" s="1406"/>
      <c r="CX44" s="1406"/>
      <c r="CY44" s="1406"/>
      <c r="CZ44" s="1406"/>
      <c r="DA44" s="1406"/>
      <c r="DB44" s="1406"/>
      <c r="DC44" s="1406"/>
      <c r="DD44" s="1407"/>
      <c r="DE44" s="1405">
        <v>321771</v>
      </c>
      <c r="DF44" s="1406"/>
      <c r="DG44" s="1406"/>
      <c r="DH44" s="1406"/>
      <c r="DI44" s="1406"/>
      <c r="DJ44" s="1406"/>
      <c r="DK44" s="1406"/>
      <c r="DL44" s="1406"/>
      <c r="DM44" s="1407"/>
      <c r="DN44" s="1405">
        <v>320484</v>
      </c>
      <c r="DO44" s="1406"/>
      <c r="DP44" s="1406"/>
      <c r="DQ44" s="1406"/>
      <c r="DR44" s="1406"/>
      <c r="DS44" s="1406"/>
      <c r="DT44" s="1407"/>
      <c r="DU44" s="1405">
        <v>1196</v>
      </c>
      <c r="DV44" s="1406"/>
      <c r="DW44" s="1406"/>
      <c r="DX44" s="1406"/>
      <c r="DY44" s="1406"/>
      <c r="DZ44" s="1406"/>
      <c r="EA44" s="1407"/>
      <c r="EB44" s="1405">
        <v>321680</v>
      </c>
      <c r="EC44" s="1406"/>
      <c r="ED44" s="1406"/>
      <c r="EE44" s="1406"/>
      <c r="EF44" s="1406"/>
      <c r="EG44" s="1406"/>
      <c r="EH44" s="1407"/>
      <c r="EI44" s="1405">
        <v>91</v>
      </c>
      <c r="EJ44" s="1406"/>
      <c r="EK44" s="1406"/>
      <c r="EL44" s="1406"/>
      <c r="EM44" s="1406"/>
      <c r="EN44" s="1406"/>
      <c r="EO44" s="1407"/>
      <c r="EP44" s="1405"/>
      <c r="EQ44" s="1406"/>
      <c r="ER44" s="1406"/>
      <c r="ES44" s="1406"/>
      <c r="ET44" s="1406"/>
      <c r="EU44" s="1406"/>
      <c r="EV44" s="1406"/>
      <c r="EW44" s="1406"/>
      <c r="EX44" s="1406"/>
      <c r="EY44" s="1407"/>
    </row>
    <row r="45" spans="1:155" s="430" customFormat="1" ht="7.8">
      <c r="A45" s="1408" t="s">
        <v>1588</v>
      </c>
      <c r="B45" s="1409"/>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c r="AA45" s="1409"/>
      <c r="AB45" s="1409"/>
      <c r="AC45" s="1409"/>
      <c r="AD45" s="1409"/>
      <c r="AE45" s="1409"/>
      <c r="AF45" s="1409"/>
      <c r="AG45" s="1409"/>
      <c r="AH45" s="1409"/>
      <c r="AI45" s="1409"/>
      <c r="AJ45" s="1409"/>
      <c r="AK45" s="1409"/>
      <c r="AL45" s="1409"/>
      <c r="AM45" s="1410"/>
      <c r="AN45" s="1438" t="s">
        <v>121</v>
      </c>
      <c r="AO45" s="1439"/>
      <c r="AP45" s="1439"/>
      <c r="AQ45" s="1439"/>
      <c r="AR45" s="1439"/>
      <c r="AS45" s="1439"/>
      <c r="AT45" s="1439"/>
      <c r="AU45" s="1440"/>
      <c r="AV45" s="1441" t="s">
        <v>1143</v>
      </c>
      <c r="AW45" s="1442"/>
      <c r="AX45" s="1442"/>
      <c r="AY45" s="1442"/>
      <c r="AZ45" s="1442"/>
      <c r="BA45" s="1443"/>
      <c r="BB45" s="1405">
        <f t="shared" si="3"/>
        <v>1269643</v>
      </c>
      <c r="BC45" s="1406"/>
      <c r="BD45" s="1406"/>
      <c r="BE45" s="1406"/>
      <c r="BF45" s="1406"/>
      <c r="BG45" s="1406"/>
      <c r="BH45" s="1406"/>
      <c r="BI45" s="1406"/>
      <c r="BJ45" s="1407"/>
      <c r="BK45" s="1405">
        <f t="shared" si="4"/>
        <v>1269643</v>
      </c>
      <c r="BL45" s="1406"/>
      <c r="BM45" s="1406"/>
      <c r="BN45" s="1406"/>
      <c r="BO45" s="1406"/>
      <c r="BP45" s="1406"/>
      <c r="BQ45" s="1406"/>
      <c r="BR45" s="1406"/>
      <c r="BS45" s="1407"/>
      <c r="BT45" s="1411">
        <f>BT46+BT47</f>
        <v>1267299</v>
      </c>
      <c r="BU45" s="1412"/>
      <c r="BV45" s="1412"/>
      <c r="BW45" s="1412"/>
      <c r="BX45" s="1412"/>
      <c r="BY45" s="1412"/>
      <c r="BZ45" s="1413"/>
      <c r="CA45" s="1411">
        <f>CA46+CA47</f>
        <v>1964</v>
      </c>
      <c r="CB45" s="1412"/>
      <c r="CC45" s="1412"/>
      <c r="CD45" s="1412"/>
      <c r="CE45" s="1412"/>
      <c r="CF45" s="1412"/>
      <c r="CG45" s="1413"/>
      <c r="CH45" s="1411">
        <f t="shared" si="1"/>
        <v>1269263</v>
      </c>
      <c r="CI45" s="1412"/>
      <c r="CJ45" s="1412"/>
      <c r="CK45" s="1412"/>
      <c r="CL45" s="1412"/>
      <c r="CM45" s="1412"/>
      <c r="CN45" s="1413"/>
      <c r="CO45" s="1411">
        <f>CO46+CO47</f>
        <v>380</v>
      </c>
      <c r="CP45" s="1412"/>
      <c r="CQ45" s="1412"/>
      <c r="CR45" s="1412"/>
      <c r="CS45" s="1412"/>
      <c r="CT45" s="1412"/>
      <c r="CU45" s="1413"/>
      <c r="CV45" s="1405">
        <v>1365276</v>
      </c>
      <c r="CW45" s="1406"/>
      <c r="CX45" s="1406"/>
      <c r="CY45" s="1406"/>
      <c r="CZ45" s="1406"/>
      <c r="DA45" s="1406"/>
      <c r="DB45" s="1406"/>
      <c r="DC45" s="1406"/>
      <c r="DD45" s="1407"/>
      <c r="DE45" s="1405">
        <v>1365276</v>
      </c>
      <c r="DF45" s="1406"/>
      <c r="DG45" s="1406"/>
      <c r="DH45" s="1406"/>
      <c r="DI45" s="1406"/>
      <c r="DJ45" s="1406"/>
      <c r="DK45" s="1406"/>
      <c r="DL45" s="1406"/>
      <c r="DM45" s="1407"/>
      <c r="DN45" s="1411">
        <v>1362823</v>
      </c>
      <c r="DO45" s="1412"/>
      <c r="DP45" s="1412"/>
      <c r="DQ45" s="1412"/>
      <c r="DR45" s="1412"/>
      <c r="DS45" s="1412"/>
      <c r="DT45" s="1413"/>
      <c r="DU45" s="1411">
        <v>2063</v>
      </c>
      <c r="DV45" s="1412"/>
      <c r="DW45" s="1412"/>
      <c r="DX45" s="1412"/>
      <c r="DY45" s="1412"/>
      <c r="DZ45" s="1412"/>
      <c r="EA45" s="1413"/>
      <c r="EB45" s="1405">
        <v>1364886</v>
      </c>
      <c r="EC45" s="1406"/>
      <c r="ED45" s="1406"/>
      <c r="EE45" s="1406"/>
      <c r="EF45" s="1406"/>
      <c r="EG45" s="1406"/>
      <c r="EH45" s="1407"/>
      <c r="EI45" s="1411">
        <v>390</v>
      </c>
      <c r="EJ45" s="1412"/>
      <c r="EK45" s="1412"/>
      <c r="EL45" s="1412"/>
      <c r="EM45" s="1412"/>
      <c r="EN45" s="1412"/>
      <c r="EO45" s="1413"/>
      <c r="EP45" s="1405"/>
      <c r="EQ45" s="1406"/>
      <c r="ER45" s="1406"/>
      <c r="ES45" s="1406"/>
      <c r="ET45" s="1406"/>
      <c r="EU45" s="1406"/>
      <c r="EV45" s="1406"/>
      <c r="EW45" s="1406"/>
      <c r="EX45" s="1406"/>
      <c r="EY45" s="1407"/>
    </row>
    <row r="46" spans="1:155" s="430" customFormat="1" ht="7.8">
      <c r="A46" s="1435" t="s">
        <v>1589</v>
      </c>
      <c r="B46" s="1436"/>
      <c r="C46" s="1436"/>
      <c r="D46" s="1436"/>
      <c r="E46" s="1436"/>
      <c r="F46" s="1436"/>
      <c r="G46" s="1436"/>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7"/>
      <c r="AN46" s="1399" t="s">
        <v>121</v>
      </c>
      <c r="AO46" s="1400"/>
      <c r="AP46" s="1400"/>
      <c r="AQ46" s="1400"/>
      <c r="AR46" s="1400"/>
      <c r="AS46" s="1400"/>
      <c r="AT46" s="1400"/>
      <c r="AU46" s="1401"/>
      <c r="AV46" s="1402" t="s">
        <v>1148</v>
      </c>
      <c r="AW46" s="1403"/>
      <c r="AX46" s="1403"/>
      <c r="AY46" s="1403"/>
      <c r="AZ46" s="1403"/>
      <c r="BA46" s="1404"/>
      <c r="BB46" s="1405">
        <f t="shared" si="3"/>
        <v>401017</v>
      </c>
      <c r="BC46" s="1406"/>
      <c r="BD46" s="1406"/>
      <c r="BE46" s="1406"/>
      <c r="BF46" s="1406"/>
      <c r="BG46" s="1406"/>
      <c r="BH46" s="1406"/>
      <c r="BI46" s="1406"/>
      <c r="BJ46" s="1407"/>
      <c r="BK46" s="1405">
        <f t="shared" si="4"/>
        <v>401017</v>
      </c>
      <c r="BL46" s="1406"/>
      <c r="BM46" s="1406"/>
      <c r="BN46" s="1406"/>
      <c r="BO46" s="1406"/>
      <c r="BP46" s="1406"/>
      <c r="BQ46" s="1406"/>
      <c r="BR46" s="1406"/>
      <c r="BS46" s="1407"/>
      <c r="BT46" s="1405">
        <f>376221+22463</f>
        <v>398684</v>
      </c>
      <c r="BU46" s="1406"/>
      <c r="BV46" s="1406"/>
      <c r="BW46" s="1406"/>
      <c r="BX46" s="1406"/>
      <c r="BY46" s="1406"/>
      <c r="BZ46" s="1407"/>
      <c r="CA46" s="1405">
        <f>1955</f>
        <v>1955</v>
      </c>
      <c r="CB46" s="1406"/>
      <c r="CC46" s="1406"/>
      <c r="CD46" s="1406"/>
      <c r="CE46" s="1406"/>
      <c r="CF46" s="1406"/>
      <c r="CG46" s="1407"/>
      <c r="CH46" s="1411">
        <f t="shared" si="1"/>
        <v>400639</v>
      </c>
      <c r="CI46" s="1412"/>
      <c r="CJ46" s="1412"/>
      <c r="CK46" s="1412"/>
      <c r="CL46" s="1412"/>
      <c r="CM46" s="1412"/>
      <c r="CN46" s="1413"/>
      <c r="CO46" s="1405">
        <f>378</f>
        <v>378</v>
      </c>
      <c r="CP46" s="1406"/>
      <c r="CQ46" s="1406"/>
      <c r="CR46" s="1406"/>
      <c r="CS46" s="1406"/>
      <c r="CT46" s="1406"/>
      <c r="CU46" s="1407"/>
      <c r="CV46" s="1405">
        <v>367751</v>
      </c>
      <c r="CW46" s="1406"/>
      <c r="CX46" s="1406"/>
      <c r="CY46" s="1406"/>
      <c r="CZ46" s="1406"/>
      <c r="DA46" s="1406"/>
      <c r="DB46" s="1406"/>
      <c r="DC46" s="1406"/>
      <c r="DD46" s="1407"/>
      <c r="DE46" s="1405">
        <v>367751</v>
      </c>
      <c r="DF46" s="1406"/>
      <c r="DG46" s="1406"/>
      <c r="DH46" s="1406"/>
      <c r="DI46" s="1406"/>
      <c r="DJ46" s="1406"/>
      <c r="DK46" s="1406"/>
      <c r="DL46" s="1406"/>
      <c r="DM46" s="1407"/>
      <c r="DN46" s="1405">
        <v>365312</v>
      </c>
      <c r="DO46" s="1406"/>
      <c r="DP46" s="1406"/>
      <c r="DQ46" s="1406"/>
      <c r="DR46" s="1406"/>
      <c r="DS46" s="1406"/>
      <c r="DT46" s="1407"/>
      <c r="DU46" s="1405">
        <v>2051</v>
      </c>
      <c r="DV46" s="1406"/>
      <c r="DW46" s="1406"/>
      <c r="DX46" s="1406"/>
      <c r="DY46" s="1406"/>
      <c r="DZ46" s="1406"/>
      <c r="EA46" s="1407"/>
      <c r="EB46" s="1405">
        <v>367363</v>
      </c>
      <c r="EC46" s="1406"/>
      <c r="ED46" s="1406"/>
      <c r="EE46" s="1406"/>
      <c r="EF46" s="1406"/>
      <c r="EG46" s="1406"/>
      <c r="EH46" s="1407"/>
      <c r="EI46" s="1405">
        <v>388</v>
      </c>
      <c r="EJ46" s="1406"/>
      <c r="EK46" s="1406"/>
      <c r="EL46" s="1406"/>
      <c r="EM46" s="1406"/>
      <c r="EN46" s="1406"/>
      <c r="EO46" s="1407"/>
      <c r="EP46" s="1405"/>
      <c r="EQ46" s="1406"/>
      <c r="ER46" s="1406"/>
      <c r="ES46" s="1406"/>
      <c r="ET46" s="1406"/>
      <c r="EU46" s="1406"/>
      <c r="EV46" s="1406"/>
      <c r="EW46" s="1406"/>
      <c r="EX46" s="1406"/>
      <c r="EY46" s="1407"/>
    </row>
    <row r="47" spans="1:155" s="430" customFormat="1" ht="7.8">
      <c r="A47" s="1435" t="s">
        <v>1590</v>
      </c>
      <c r="B47" s="1436"/>
      <c r="C47" s="1436"/>
      <c r="D47" s="1436"/>
      <c r="E47" s="1436"/>
      <c r="F47" s="1436"/>
      <c r="G47" s="1436"/>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7"/>
      <c r="AN47" s="1399" t="s">
        <v>121</v>
      </c>
      <c r="AO47" s="1400"/>
      <c r="AP47" s="1400"/>
      <c r="AQ47" s="1400"/>
      <c r="AR47" s="1400"/>
      <c r="AS47" s="1400"/>
      <c r="AT47" s="1400"/>
      <c r="AU47" s="1401"/>
      <c r="AV47" s="1402" t="s">
        <v>1155</v>
      </c>
      <c r="AW47" s="1403"/>
      <c r="AX47" s="1403"/>
      <c r="AY47" s="1403"/>
      <c r="AZ47" s="1403"/>
      <c r="BA47" s="1404"/>
      <c r="BB47" s="1405">
        <f t="shared" si="3"/>
        <v>868626</v>
      </c>
      <c r="BC47" s="1406"/>
      <c r="BD47" s="1406"/>
      <c r="BE47" s="1406"/>
      <c r="BF47" s="1406"/>
      <c r="BG47" s="1406"/>
      <c r="BH47" s="1406"/>
      <c r="BI47" s="1406"/>
      <c r="BJ47" s="1407"/>
      <c r="BK47" s="1405">
        <f t="shared" si="4"/>
        <v>868626</v>
      </c>
      <c r="BL47" s="1406"/>
      <c r="BM47" s="1406"/>
      <c r="BN47" s="1406"/>
      <c r="BO47" s="1406"/>
      <c r="BP47" s="1406"/>
      <c r="BQ47" s="1406"/>
      <c r="BR47" s="1406"/>
      <c r="BS47" s="1407"/>
      <c r="BT47" s="1405">
        <f>792945+75670</f>
        <v>868615</v>
      </c>
      <c r="BU47" s="1406"/>
      <c r="BV47" s="1406"/>
      <c r="BW47" s="1406"/>
      <c r="BX47" s="1406"/>
      <c r="BY47" s="1406"/>
      <c r="BZ47" s="1407"/>
      <c r="CA47" s="1405">
        <v>9</v>
      </c>
      <c r="CB47" s="1406"/>
      <c r="CC47" s="1406"/>
      <c r="CD47" s="1406"/>
      <c r="CE47" s="1406"/>
      <c r="CF47" s="1406"/>
      <c r="CG47" s="1407"/>
      <c r="CH47" s="1411">
        <f t="shared" si="1"/>
        <v>868624</v>
      </c>
      <c r="CI47" s="1412"/>
      <c r="CJ47" s="1412"/>
      <c r="CK47" s="1412"/>
      <c r="CL47" s="1412"/>
      <c r="CM47" s="1412"/>
      <c r="CN47" s="1413"/>
      <c r="CO47" s="1405">
        <f>2</f>
        <v>2</v>
      </c>
      <c r="CP47" s="1406"/>
      <c r="CQ47" s="1406"/>
      <c r="CR47" s="1406"/>
      <c r="CS47" s="1406"/>
      <c r="CT47" s="1406"/>
      <c r="CU47" s="1407"/>
      <c r="CV47" s="1405">
        <v>997525</v>
      </c>
      <c r="CW47" s="1406"/>
      <c r="CX47" s="1406"/>
      <c r="CY47" s="1406"/>
      <c r="CZ47" s="1406"/>
      <c r="DA47" s="1406"/>
      <c r="DB47" s="1406"/>
      <c r="DC47" s="1406"/>
      <c r="DD47" s="1407"/>
      <c r="DE47" s="1405">
        <v>997525</v>
      </c>
      <c r="DF47" s="1406"/>
      <c r="DG47" s="1406"/>
      <c r="DH47" s="1406"/>
      <c r="DI47" s="1406"/>
      <c r="DJ47" s="1406"/>
      <c r="DK47" s="1406"/>
      <c r="DL47" s="1406"/>
      <c r="DM47" s="1407"/>
      <c r="DN47" s="1405">
        <v>997511</v>
      </c>
      <c r="DO47" s="1406"/>
      <c r="DP47" s="1406"/>
      <c r="DQ47" s="1406"/>
      <c r="DR47" s="1406"/>
      <c r="DS47" s="1406"/>
      <c r="DT47" s="1407"/>
      <c r="DU47" s="1405">
        <v>12</v>
      </c>
      <c r="DV47" s="1406"/>
      <c r="DW47" s="1406"/>
      <c r="DX47" s="1406"/>
      <c r="DY47" s="1406"/>
      <c r="DZ47" s="1406"/>
      <c r="EA47" s="1407"/>
      <c r="EB47" s="1405">
        <v>997523</v>
      </c>
      <c r="EC47" s="1406"/>
      <c r="ED47" s="1406"/>
      <c r="EE47" s="1406"/>
      <c r="EF47" s="1406"/>
      <c r="EG47" s="1406"/>
      <c r="EH47" s="1407"/>
      <c r="EI47" s="1405">
        <v>2</v>
      </c>
      <c r="EJ47" s="1406"/>
      <c r="EK47" s="1406"/>
      <c r="EL47" s="1406"/>
      <c r="EM47" s="1406"/>
      <c r="EN47" s="1406"/>
      <c r="EO47" s="1407"/>
      <c r="EP47" s="1405"/>
      <c r="EQ47" s="1406"/>
      <c r="ER47" s="1406"/>
      <c r="ES47" s="1406"/>
      <c r="ET47" s="1406"/>
      <c r="EU47" s="1406"/>
      <c r="EV47" s="1406"/>
      <c r="EW47" s="1406"/>
      <c r="EX47" s="1406"/>
      <c r="EY47" s="1407"/>
    </row>
    <row r="48" spans="1:155" s="430" customFormat="1" ht="16.5" customHeight="1">
      <c r="A48" s="1408" t="s">
        <v>1591</v>
      </c>
      <c r="B48" s="1409"/>
      <c r="C48" s="1409"/>
      <c r="D48" s="1409"/>
      <c r="E48" s="1409"/>
      <c r="F48" s="1409"/>
      <c r="G48" s="1409"/>
      <c r="H48" s="1409"/>
      <c r="I48" s="1409"/>
      <c r="J48" s="1409"/>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c r="AL48" s="1409"/>
      <c r="AM48" s="1410"/>
      <c r="AN48" s="1399" t="s">
        <v>121</v>
      </c>
      <c r="AO48" s="1400"/>
      <c r="AP48" s="1400"/>
      <c r="AQ48" s="1400"/>
      <c r="AR48" s="1400"/>
      <c r="AS48" s="1400"/>
      <c r="AT48" s="1400"/>
      <c r="AU48" s="1401"/>
      <c r="AV48" s="1402" t="s">
        <v>1195</v>
      </c>
      <c r="AW48" s="1403"/>
      <c r="AX48" s="1403"/>
      <c r="AY48" s="1403"/>
      <c r="AZ48" s="1403"/>
      <c r="BA48" s="1404"/>
      <c r="BB48" s="1405">
        <f t="shared" si="3"/>
        <v>46492</v>
      </c>
      <c r="BC48" s="1406"/>
      <c r="BD48" s="1406"/>
      <c r="BE48" s="1406"/>
      <c r="BF48" s="1406"/>
      <c r="BG48" s="1406"/>
      <c r="BH48" s="1406"/>
      <c r="BI48" s="1406"/>
      <c r="BJ48" s="1407"/>
      <c r="BK48" s="1405">
        <f t="shared" si="4"/>
        <v>46492</v>
      </c>
      <c r="BL48" s="1406"/>
      <c r="BM48" s="1406"/>
      <c r="BN48" s="1406"/>
      <c r="BO48" s="1406"/>
      <c r="BP48" s="1406"/>
      <c r="BQ48" s="1406"/>
      <c r="BR48" s="1406"/>
      <c r="BS48" s="1407"/>
      <c r="BT48" s="1405">
        <f>43768+1439</f>
        <v>45207</v>
      </c>
      <c r="BU48" s="1406"/>
      <c r="BV48" s="1406"/>
      <c r="BW48" s="1406"/>
      <c r="BX48" s="1406"/>
      <c r="BY48" s="1406"/>
      <c r="BZ48" s="1407"/>
      <c r="CA48" s="1405">
        <f>1185</f>
        <v>1185</v>
      </c>
      <c r="CB48" s="1406"/>
      <c r="CC48" s="1406"/>
      <c r="CD48" s="1406"/>
      <c r="CE48" s="1406"/>
      <c r="CF48" s="1406"/>
      <c r="CG48" s="1407"/>
      <c r="CH48" s="1411">
        <f t="shared" si="1"/>
        <v>46392</v>
      </c>
      <c r="CI48" s="1412"/>
      <c r="CJ48" s="1412"/>
      <c r="CK48" s="1412"/>
      <c r="CL48" s="1412"/>
      <c r="CM48" s="1412"/>
      <c r="CN48" s="1413"/>
      <c r="CO48" s="1405">
        <f>100</f>
        <v>100</v>
      </c>
      <c r="CP48" s="1406"/>
      <c r="CQ48" s="1406"/>
      <c r="CR48" s="1406"/>
      <c r="CS48" s="1406"/>
      <c r="CT48" s="1406"/>
      <c r="CU48" s="1407"/>
      <c r="CV48" s="1405">
        <v>39437</v>
      </c>
      <c r="CW48" s="1406"/>
      <c r="CX48" s="1406"/>
      <c r="CY48" s="1406"/>
      <c r="CZ48" s="1406"/>
      <c r="DA48" s="1406"/>
      <c r="DB48" s="1406"/>
      <c r="DC48" s="1406"/>
      <c r="DD48" s="1407"/>
      <c r="DE48" s="1405">
        <v>39437</v>
      </c>
      <c r="DF48" s="1406"/>
      <c r="DG48" s="1406"/>
      <c r="DH48" s="1406"/>
      <c r="DI48" s="1406"/>
      <c r="DJ48" s="1406"/>
      <c r="DK48" s="1406"/>
      <c r="DL48" s="1406"/>
      <c r="DM48" s="1407"/>
      <c r="DN48" s="1405">
        <v>38018</v>
      </c>
      <c r="DO48" s="1406"/>
      <c r="DP48" s="1406"/>
      <c r="DQ48" s="1406"/>
      <c r="DR48" s="1406"/>
      <c r="DS48" s="1406"/>
      <c r="DT48" s="1407"/>
      <c r="DU48" s="1405">
        <v>1323</v>
      </c>
      <c r="DV48" s="1406"/>
      <c r="DW48" s="1406"/>
      <c r="DX48" s="1406"/>
      <c r="DY48" s="1406"/>
      <c r="DZ48" s="1406"/>
      <c r="EA48" s="1407"/>
      <c r="EB48" s="1405">
        <v>39341</v>
      </c>
      <c r="EC48" s="1406"/>
      <c r="ED48" s="1406"/>
      <c r="EE48" s="1406"/>
      <c r="EF48" s="1406"/>
      <c r="EG48" s="1406"/>
      <c r="EH48" s="1407"/>
      <c r="EI48" s="1405">
        <v>96</v>
      </c>
      <c r="EJ48" s="1406"/>
      <c r="EK48" s="1406"/>
      <c r="EL48" s="1406"/>
      <c r="EM48" s="1406"/>
      <c r="EN48" s="1406"/>
      <c r="EO48" s="1407"/>
      <c r="EP48" s="1405"/>
      <c r="EQ48" s="1406"/>
      <c r="ER48" s="1406"/>
      <c r="ES48" s="1406"/>
      <c r="ET48" s="1406"/>
      <c r="EU48" s="1406"/>
      <c r="EV48" s="1406"/>
      <c r="EW48" s="1406"/>
      <c r="EX48" s="1406"/>
      <c r="EY48" s="1407"/>
    </row>
    <row r="49" spans="1:155" s="430" customFormat="1" ht="16.5" customHeight="1">
      <c r="A49" s="1408" t="s">
        <v>1592</v>
      </c>
      <c r="B49" s="1409"/>
      <c r="C49" s="1409"/>
      <c r="D49" s="1409"/>
      <c r="E49" s="1409"/>
      <c r="F49" s="1409"/>
      <c r="G49" s="1409"/>
      <c r="H49" s="1409"/>
      <c r="I49" s="1409"/>
      <c r="J49" s="1409"/>
      <c r="K49" s="1409"/>
      <c r="L49" s="1409"/>
      <c r="M49" s="1409"/>
      <c r="N49" s="1409"/>
      <c r="O49" s="1409"/>
      <c r="P49" s="1409"/>
      <c r="Q49" s="1409"/>
      <c r="R49" s="1409"/>
      <c r="S49" s="1409"/>
      <c r="T49" s="1409"/>
      <c r="U49" s="1409"/>
      <c r="V49" s="1409"/>
      <c r="W49" s="1409"/>
      <c r="X49" s="1409"/>
      <c r="Y49" s="1409"/>
      <c r="Z49" s="1409"/>
      <c r="AA49" s="1409"/>
      <c r="AB49" s="1409"/>
      <c r="AC49" s="1409"/>
      <c r="AD49" s="1409"/>
      <c r="AE49" s="1409"/>
      <c r="AF49" s="1409"/>
      <c r="AG49" s="1409"/>
      <c r="AH49" s="1409"/>
      <c r="AI49" s="1409"/>
      <c r="AJ49" s="1409"/>
      <c r="AK49" s="1409"/>
      <c r="AL49" s="1409"/>
      <c r="AM49" s="1410"/>
      <c r="AN49" s="1399" t="s">
        <v>121</v>
      </c>
      <c r="AO49" s="1400"/>
      <c r="AP49" s="1400"/>
      <c r="AQ49" s="1400"/>
      <c r="AR49" s="1400"/>
      <c r="AS49" s="1400"/>
      <c r="AT49" s="1400"/>
      <c r="AU49" s="1401"/>
      <c r="AV49" s="1402" t="s">
        <v>1281</v>
      </c>
      <c r="AW49" s="1403"/>
      <c r="AX49" s="1403"/>
      <c r="AY49" s="1403"/>
      <c r="AZ49" s="1403"/>
      <c r="BA49" s="1404"/>
      <c r="BB49" s="1405">
        <f t="shared" si="3"/>
        <v>605590</v>
      </c>
      <c r="BC49" s="1406"/>
      <c r="BD49" s="1406"/>
      <c r="BE49" s="1406"/>
      <c r="BF49" s="1406"/>
      <c r="BG49" s="1406"/>
      <c r="BH49" s="1406"/>
      <c r="BI49" s="1406"/>
      <c r="BJ49" s="1407"/>
      <c r="BK49" s="1405">
        <f t="shared" si="4"/>
        <v>605590</v>
      </c>
      <c r="BL49" s="1406"/>
      <c r="BM49" s="1406"/>
      <c r="BN49" s="1406"/>
      <c r="BO49" s="1406"/>
      <c r="BP49" s="1406"/>
      <c r="BQ49" s="1406"/>
      <c r="BR49" s="1406"/>
      <c r="BS49" s="1407"/>
      <c r="BT49" s="1405">
        <v>596159</v>
      </c>
      <c r="BU49" s="1406"/>
      <c r="BV49" s="1406"/>
      <c r="BW49" s="1406"/>
      <c r="BX49" s="1406"/>
      <c r="BY49" s="1406"/>
      <c r="BZ49" s="1407"/>
      <c r="CA49" s="1405">
        <v>8020</v>
      </c>
      <c r="CB49" s="1406"/>
      <c r="CC49" s="1406"/>
      <c r="CD49" s="1406"/>
      <c r="CE49" s="1406"/>
      <c r="CF49" s="1406"/>
      <c r="CG49" s="1407"/>
      <c r="CH49" s="1411">
        <f t="shared" si="1"/>
        <v>604179</v>
      </c>
      <c r="CI49" s="1412"/>
      <c r="CJ49" s="1412"/>
      <c r="CK49" s="1412"/>
      <c r="CL49" s="1412"/>
      <c r="CM49" s="1412"/>
      <c r="CN49" s="1413"/>
      <c r="CO49" s="1405">
        <v>1411</v>
      </c>
      <c r="CP49" s="1406"/>
      <c r="CQ49" s="1406"/>
      <c r="CR49" s="1406"/>
      <c r="CS49" s="1406"/>
      <c r="CT49" s="1406"/>
      <c r="CU49" s="1407"/>
      <c r="CV49" s="1405">
        <v>427242</v>
      </c>
      <c r="CW49" s="1406"/>
      <c r="CX49" s="1406"/>
      <c r="CY49" s="1406"/>
      <c r="CZ49" s="1406"/>
      <c r="DA49" s="1406"/>
      <c r="DB49" s="1406"/>
      <c r="DC49" s="1406"/>
      <c r="DD49" s="1407"/>
      <c r="DE49" s="1405">
        <v>427242</v>
      </c>
      <c r="DF49" s="1406"/>
      <c r="DG49" s="1406"/>
      <c r="DH49" s="1406"/>
      <c r="DI49" s="1406"/>
      <c r="DJ49" s="1406"/>
      <c r="DK49" s="1406"/>
      <c r="DL49" s="1406"/>
      <c r="DM49" s="1407"/>
      <c r="DN49" s="1405">
        <v>419796</v>
      </c>
      <c r="DO49" s="1406"/>
      <c r="DP49" s="1406"/>
      <c r="DQ49" s="1406"/>
      <c r="DR49" s="1406"/>
      <c r="DS49" s="1406"/>
      <c r="DT49" s="1407"/>
      <c r="DU49" s="1405">
        <v>2842</v>
      </c>
      <c r="DV49" s="1406"/>
      <c r="DW49" s="1406"/>
      <c r="DX49" s="1406"/>
      <c r="DY49" s="1406"/>
      <c r="DZ49" s="1406"/>
      <c r="EA49" s="1407"/>
      <c r="EB49" s="1405">
        <v>422638</v>
      </c>
      <c r="EC49" s="1406"/>
      <c r="ED49" s="1406"/>
      <c r="EE49" s="1406"/>
      <c r="EF49" s="1406"/>
      <c r="EG49" s="1406"/>
      <c r="EH49" s="1407"/>
      <c r="EI49" s="1405">
        <v>4604</v>
      </c>
      <c r="EJ49" s="1406"/>
      <c r="EK49" s="1406"/>
      <c r="EL49" s="1406"/>
      <c r="EM49" s="1406"/>
      <c r="EN49" s="1406"/>
      <c r="EO49" s="1407"/>
      <c r="EP49" s="1405"/>
      <c r="EQ49" s="1406"/>
      <c r="ER49" s="1406"/>
      <c r="ES49" s="1406"/>
      <c r="ET49" s="1406"/>
      <c r="EU49" s="1406"/>
      <c r="EV49" s="1406"/>
      <c r="EW49" s="1406"/>
      <c r="EX49" s="1406"/>
      <c r="EY49" s="1407"/>
    </row>
    <row r="50" spans="1:155" s="430" customFormat="1" ht="7.8">
      <c r="A50" s="1408" t="s">
        <v>1305</v>
      </c>
      <c r="B50" s="1409"/>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c r="AA50" s="1409"/>
      <c r="AB50" s="1409"/>
      <c r="AC50" s="1409"/>
      <c r="AD50" s="1409"/>
      <c r="AE50" s="1409"/>
      <c r="AF50" s="1409"/>
      <c r="AG50" s="1409"/>
      <c r="AH50" s="1409"/>
      <c r="AI50" s="1409"/>
      <c r="AJ50" s="1409"/>
      <c r="AK50" s="1409"/>
      <c r="AL50" s="1409"/>
      <c r="AM50" s="1410"/>
      <c r="AN50" s="1399" t="s">
        <v>121</v>
      </c>
      <c r="AO50" s="1400"/>
      <c r="AP50" s="1400"/>
      <c r="AQ50" s="1400"/>
      <c r="AR50" s="1400"/>
      <c r="AS50" s="1400"/>
      <c r="AT50" s="1400"/>
      <c r="AU50" s="1401"/>
      <c r="AV50" s="1402" t="s">
        <v>1331</v>
      </c>
      <c r="AW50" s="1403"/>
      <c r="AX50" s="1403"/>
      <c r="AY50" s="1403"/>
      <c r="AZ50" s="1403"/>
      <c r="BA50" s="1404"/>
      <c r="BB50" s="1405">
        <f t="shared" si="3"/>
        <v>324529</v>
      </c>
      <c r="BC50" s="1406"/>
      <c r="BD50" s="1406"/>
      <c r="BE50" s="1406"/>
      <c r="BF50" s="1406"/>
      <c r="BG50" s="1406"/>
      <c r="BH50" s="1406"/>
      <c r="BI50" s="1406"/>
      <c r="BJ50" s="1407"/>
      <c r="BK50" s="1405">
        <f>BB50</f>
        <v>324529</v>
      </c>
      <c r="BL50" s="1406"/>
      <c r="BM50" s="1406"/>
      <c r="BN50" s="1406"/>
      <c r="BO50" s="1406"/>
      <c r="BP50" s="1406"/>
      <c r="BQ50" s="1406"/>
      <c r="BR50" s="1406"/>
      <c r="BS50" s="1407"/>
      <c r="BT50" s="1405">
        <f>BT21-BT22-BT30-BT35-BT43-BT44-BT45-BT48-BT49-BT51</f>
        <v>308694</v>
      </c>
      <c r="BU50" s="1406"/>
      <c r="BV50" s="1406"/>
      <c r="BW50" s="1406"/>
      <c r="BX50" s="1406"/>
      <c r="BY50" s="1406"/>
      <c r="BZ50" s="1407"/>
      <c r="CA50" s="1405">
        <f>CA21-CA22-CA30-CA35-CA43-CA44-CA45-CA48-CA49-CA51</f>
        <v>14498</v>
      </c>
      <c r="CB50" s="1406"/>
      <c r="CC50" s="1406"/>
      <c r="CD50" s="1406"/>
      <c r="CE50" s="1406"/>
      <c r="CF50" s="1406"/>
      <c r="CG50" s="1407"/>
      <c r="CH50" s="1411">
        <f t="shared" si="1"/>
        <v>323192</v>
      </c>
      <c r="CI50" s="1412"/>
      <c r="CJ50" s="1412"/>
      <c r="CK50" s="1412"/>
      <c r="CL50" s="1412"/>
      <c r="CM50" s="1412"/>
      <c r="CN50" s="1413"/>
      <c r="CO50" s="1405">
        <f>CO21-CO22-CO30-CO35-CO43-CO44-CO45-CO48-CO49-CO51</f>
        <v>1337</v>
      </c>
      <c r="CP50" s="1406"/>
      <c r="CQ50" s="1406"/>
      <c r="CR50" s="1406"/>
      <c r="CS50" s="1406"/>
      <c r="CT50" s="1406"/>
      <c r="CU50" s="1407"/>
      <c r="CV50" s="1405">
        <v>368383</v>
      </c>
      <c r="CW50" s="1406"/>
      <c r="CX50" s="1406"/>
      <c r="CY50" s="1406"/>
      <c r="CZ50" s="1406"/>
      <c r="DA50" s="1406"/>
      <c r="DB50" s="1406"/>
      <c r="DC50" s="1406"/>
      <c r="DD50" s="1407"/>
      <c r="DE50" s="1405">
        <v>368383</v>
      </c>
      <c r="DF50" s="1406"/>
      <c r="DG50" s="1406"/>
      <c r="DH50" s="1406"/>
      <c r="DI50" s="1406"/>
      <c r="DJ50" s="1406"/>
      <c r="DK50" s="1406"/>
      <c r="DL50" s="1406"/>
      <c r="DM50" s="1407"/>
      <c r="DN50" s="1405">
        <v>356935</v>
      </c>
      <c r="DO50" s="1406"/>
      <c r="DP50" s="1406"/>
      <c r="DQ50" s="1406"/>
      <c r="DR50" s="1406"/>
      <c r="DS50" s="1406"/>
      <c r="DT50" s="1407"/>
      <c r="DU50" s="1405">
        <v>9985</v>
      </c>
      <c r="DV50" s="1406"/>
      <c r="DW50" s="1406"/>
      <c r="DX50" s="1406"/>
      <c r="DY50" s="1406"/>
      <c r="DZ50" s="1406"/>
      <c r="EA50" s="1407"/>
      <c r="EB50" s="1405">
        <v>366920</v>
      </c>
      <c r="EC50" s="1406"/>
      <c r="ED50" s="1406"/>
      <c r="EE50" s="1406"/>
      <c r="EF50" s="1406"/>
      <c r="EG50" s="1406"/>
      <c r="EH50" s="1407"/>
      <c r="EI50" s="1405">
        <v>1463</v>
      </c>
      <c r="EJ50" s="1406"/>
      <c r="EK50" s="1406"/>
      <c r="EL50" s="1406"/>
      <c r="EM50" s="1406"/>
      <c r="EN50" s="1406"/>
      <c r="EO50" s="1407"/>
      <c r="EP50" s="1405"/>
      <c r="EQ50" s="1406"/>
      <c r="ER50" s="1406"/>
      <c r="ES50" s="1406"/>
      <c r="ET50" s="1406"/>
      <c r="EU50" s="1406"/>
      <c r="EV50" s="1406"/>
      <c r="EW50" s="1406"/>
      <c r="EX50" s="1406"/>
      <c r="EY50" s="1407"/>
    </row>
    <row r="51" spans="1:155" s="430" customFormat="1" ht="16.5" customHeight="1">
      <c r="A51" s="1396" t="s">
        <v>1593</v>
      </c>
      <c r="B51" s="1397"/>
      <c r="C51" s="1397"/>
      <c r="D51" s="1397"/>
      <c r="E51" s="1397"/>
      <c r="F51" s="1397"/>
      <c r="G51" s="1397"/>
      <c r="H51" s="1397"/>
      <c r="I51" s="1397"/>
      <c r="J51" s="1397"/>
      <c r="K51" s="1397"/>
      <c r="L51" s="1397"/>
      <c r="M51" s="1397"/>
      <c r="N51" s="1397"/>
      <c r="O51" s="1397"/>
      <c r="P51" s="1397"/>
      <c r="Q51" s="1397"/>
      <c r="R51" s="1397"/>
      <c r="S51" s="1397"/>
      <c r="T51" s="1397"/>
      <c r="U51" s="1397"/>
      <c r="V51" s="1397"/>
      <c r="W51" s="1397"/>
      <c r="X51" s="1397"/>
      <c r="Y51" s="1397"/>
      <c r="Z51" s="1397"/>
      <c r="AA51" s="1397"/>
      <c r="AB51" s="1397"/>
      <c r="AC51" s="1397"/>
      <c r="AD51" s="1397"/>
      <c r="AE51" s="1397"/>
      <c r="AF51" s="1397"/>
      <c r="AG51" s="1397"/>
      <c r="AH51" s="1397"/>
      <c r="AI51" s="1397"/>
      <c r="AJ51" s="1397"/>
      <c r="AK51" s="1397"/>
      <c r="AL51" s="1397"/>
      <c r="AM51" s="1398"/>
      <c r="AN51" s="1438" t="s">
        <v>121</v>
      </c>
      <c r="AO51" s="1439"/>
      <c r="AP51" s="1439"/>
      <c r="AQ51" s="1439"/>
      <c r="AR51" s="1439"/>
      <c r="AS51" s="1439"/>
      <c r="AT51" s="1439"/>
      <c r="AU51" s="1440"/>
      <c r="AV51" s="1441" t="s">
        <v>1594</v>
      </c>
      <c r="AW51" s="1442"/>
      <c r="AX51" s="1442"/>
      <c r="AY51" s="1442"/>
      <c r="AZ51" s="1442"/>
      <c r="BA51" s="1443"/>
      <c r="BB51" s="1405">
        <f t="shared" si="3"/>
        <v>899419</v>
      </c>
      <c r="BC51" s="1406"/>
      <c r="BD51" s="1406"/>
      <c r="BE51" s="1406"/>
      <c r="BF51" s="1406"/>
      <c r="BG51" s="1406"/>
      <c r="BH51" s="1406"/>
      <c r="BI51" s="1406"/>
      <c r="BJ51" s="1407"/>
      <c r="BK51" s="1405">
        <f>BB51</f>
        <v>899419</v>
      </c>
      <c r="BL51" s="1406"/>
      <c r="BM51" s="1406"/>
      <c r="BN51" s="1406"/>
      <c r="BO51" s="1406"/>
      <c r="BP51" s="1406"/>
      <c r="BQ51" s="1406"/>
      <c r="BR51" s="1406"/>
      <c r="BS51" s="1407"/>
      <c r="BT51" s="1411">
        <f>BT52+BT53+BT54+BT55+BT56</f>
        <v>808127</v>
      </c>
      <c r="BU51" s="1412"/>
      <c r="BV51" s="1412"/>
      <c r="BW51" s="1412"/>
      <c r="BX51" s="1412"/>
      <c r="BY51" s="1412"/>
      <c r="BZ51" s="1413"/>
      <c r="CA51" s="1411">
        <f>CA52+CA53+CA54+CA55+CA56</f>
        <v>62865</v>
      </c>
      <c r="CB51" s="1412"/>
      <c r="CC51" s="1412"/>
      <c r="CD51" s="1412"/>
      <c r="CE51" s="1412"/>
      <c r="CF51" s="1412"/>
      <c r="CG51" s="1413"/>
      <c r="CH51" s="1411">
        <f t="shared" si="1"/>
        <v>870992</v>
      </c>
      <c r="CI51" s="1412"/>
      <c r="CJ51" s="1412"/>
      <c r="CK51" s="1412"/>
      <c r="CL51" s="1412"/>
      <c r="CM51" s="1412"/>
      <c r="CN51" s="1413"/>
      <c r="CO51" s="1411">
        <f>CO52+CO53+CO54+CO55+CO56</f>
        <v>28427</v>
      </c>
      <c r="CP51" s="1412"/>
      <c r="CQ51" s="1412"/>
      <c r="CR51" s="1412"/>
      <c r="CS51" s="1412"/>
      <c r="CT51" s="1412"/>
      <c r="CU51" s="1413"/>
      <c r="CV51" s="1405">
        <v>687561</v>
      </c>
      <c r="CW51" s="1406"/>
      <c r="CX51" s="1406"/>
      <c r="CY51" s="1406"/>
      <c r="CZ51" s="1406"/>
      <c r="DA51" s="1406"/>
      <c r="DB51" s="1406"/>
      <c r="DC51" s="1406"/>
      <c r="DD51" s="1407"/>
      <c r="DE51" s="1405">
        <v>687561</v>
      </c>
      <c r="DF51" s="1406"/>
      <c r="DG51" s="1406"/>
      <c r="DH51" s="1406"/>
      <c r="DI51" s="1406"/>
      <c r="DJ51" s="1406"/>
      <c r="DK51" s="1406"/>
      <c r="DL51" s="1406"/>
      <c r="DM51" s="1407"/>
      <c r="DN51" s="1411">
        <v>519657</v>
      </c>
      <c r="DO51" s="1412"/>
      <c r="DP51" s="1412"/>
      <c r="DQ51" s="1412"/>
      <c r="DR51" s="1412"/>
      <c r="DS51" s="1412"/>
      <c r="DT51" s="1413"/>
      <c r="DU51" s="1411">
        <v>45511</v>
      </c>
      <c r="DV51" s="1412"/>
      <c r="DW51" s="1412"/>
      <c r="DX51" s="1412"/>
      <c r="DY51" s="1412"/>
      <c r="DZ51" s="1412"/>
      <c r="EA51" s="1413"/>
      <c r="EB51" s="1405">
        <v>565168</v>
      </c>
      <c r="EC51" s="1406"/>
      <c r="ED51" s="1406"/>
      <c r="EE51" s="1406"/>
      <c r="EF51" s="1406"/>
      <c r="EG51" s="1406"/>
      <c r="EH51" s="1407"/>
      <c r="EI51" s="1411">
        <v>122393</v>
      </c>
      <c r="EJ51" s="1412"/>
      <c r="EK51" s="1412"/>
      <c r="EL51" s="1412"/>
      <c r="EM51" s="1412"/>
      <c r="EN51" s="1412"/>
      <c r="EO51" s="1413"/>
      <c r="EP51" s="1405"/>
      <c r="EQ51" s="1406"/>
      <c r="ER51" s="1406"/>
      <c r="ES51" s="1406"/>
      <c r="ET51" s="1406"/>
      <c r="EU51" s="1406"/>
      <c r="EV51" s="1406"/>
      <c r="EW51" s="1406"/>
      <c r="EX51" s="1406"/>
      <c r="EY51" s="1407"/>
    </row>
    <row r="52" spans="1:155" s="430" customFormat="1" ht="7.8">
      <c r="A52" s="1408" t="s">
        <v>1595</v>
      </c>
      <c r="B52" s="1409"/>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c r="AA52" s="1409"/>
      <c r="AB52" s="1409"/>
      <c r="AC52" s="1409"/>
      <c r="AD52" s="1409"/>
      <c r="AE52" s="1409"/>
      <c r="AF52" s="1409"/>
      <c r="AG52" s="1409"/>
      <c r="AH52" s="1409"/>
      <c r="AI52" s="1409"/>
      <c r="AJ52" s="1409"/>
      <c r="AK52" s="1409"/>
      <c r="AL52" s="1409"/>
      <c r="AM52" s="1410"/>
      <c r="AN52" s="1438" t="s">
        <v>121</v>
      </c>
      <c r="AO52" s="1439"/>
      <c r="AP52" s="1439"/>
      <c r="AQ52" s="1439"/>
      <c r="AR52" s="1439"/>
      <c r="AS52" s="1439"/>
      <c r="AT52" s="1439"/>
      <c r="AU52" s="1440"/>
      <c r="AV52" s="1441" t="s">
        <v>1404</v>
      </c>
      <c r="AW52" s="1442"/>
      <c r="AX52" s="1442"/>
      <c r="AY52" s="1442"/>
      <c r="AZ52" s="1442"/>
      <c r="BA52" s="1443"/>
      <c r="BB52" s="1405">
        <f t="shared" si="3"/>
        <v>0</v>
      </c>
      <c r="BC52" s="1406"/>
      <c r="BD52" s="1406"/>
      <c r="BE52" s="1406"/>
      <c r="BF52" s="1406"/>
      <c r="BG52" s="1406"/>
      <c r="BH52" s="1406"/>
      <c r="BI52" s="1406"/>
      <c r="BJ52" s="1407"/>
      <c r="BK52" s="1405">
        <f t="shared" si="4"/>
        <v>0</v>
      </c>
      <c r="BL52" s="1406"/>
      <c r="BM52" s="1406"/>
      <c r="BN52" s="1406"/>
      <c r="BO52" s="1406"/>
      <c r="BP52" s="1406"/>
      <c r="BQ52" s="1406"/>
      <c r="BR52" s="1406"/>
      <c r="BS52" s="1407"/>
      <c r="BT52" s="1411"/>
      <c r="BU52" s="1412"/>
      <c r="BV52" s="1412"/>
      <c r="BW52" s="1412"/>
      <c r="BX52" s="1412"/>
      <c r="BY52" s="1412"/>
      <c r="BZ52" s="1413"/>
      <c r="CA52" s="1411"/>
      <c r="CB52" s="1412"/>
      <c r="CC52" s="1412"/>
      <c r="CD52" s="1412"/>
      <c r="CE52" s="1412"/>
      <c r="CF52" s="1412"/>
      <c r="CG52" s="1413"/>
      <c r="CH52" s="1411">
        <f t="shared" si="1"/>
        <v>0</v>
      </c>
      <c r="CI52" s="1412"/>
      <c r="CJ52" s="1412"/>
      <c r="CK52" s="1412"/>
      <c r="CL52" s="1412"/>
      <c r="CM52" s="1412"/>
      <c r="CN52" s="1413"/>
      <c r="CO52" s="1411"/>
      <c r="CP52" s="1412"/>
      <c r="CQ52" s="1412"/>
      <c r="CR52" s="1412"/>
      <c r="CS52" s="1412"/>
      <c r="CT52" s="1412"/>
      <c r="CU52" s="1413"/>
      <c r="CV52" s="1405">
        <v>0</v>
      </c>
      <c r="CW52" s="1406"/>
      <c r="CX52" s="1406"/>
      <c r="CY52" s="1406"/>
      <c r="CZ52" s="1406"/>
      <c r="DA52" s="1406"/>
      <c r="DB52" s="1406"/>
      <c r="DC52" s="1406"/>
      <c r="DD52" s="1407"/>
      <c r="DE52" s="1405">
        <v>0</v>
      </c>
      <c r="DF52" s="1406"/>
      <c r="DG52" s="1406"/>
      <c r="DH52" s="1406"/>
      <c r="DI52" s="1406"/>
      <c r="DJ52" s="1406"/>
      <c r="DK52" s="1406"/>
      <c r="DL52" s="1406"/>
      <c r="DM52" s="1407"/>
      <c r="DN52" s="1411"/>
      <c r="DO52" s="1412"/>
      <c r="DP52" s="1412"/>
      <c r="DQ52" s="1412"/>
      <c r="DR52" s="1412"/>
      <c r="DS52" s="1412"/>
      <c r="DT52" s="1413"/>
      <c r="DU52" s="1411"/>
      <c r="DV52" s="1412"/>
      <c r="DW52" s="1412"/>
      <c r="DX52" s="1412"/>
      <c r="DY52" s="1412"/>
      <c r="DZ52" s="1412"/>
      <c r="EA52" s="1413"/>
      <c r="EB52" s="1405">
        <v>0</v>
      </c>
      <c r="EC52" s="1406"/>
      <c r="ED52" s="1406"/>
      <c r="EE52" s="1406"/>
      <c r="EF52" s="1406"/>
      <c r="EG52" s="1406"/>
      <c r="EH52" s="1407"/>
      <c r="EI52" s="1411"/>
      <c r="EJ52" s="1412"/>
      <c r="EK52" s="1412"/>
      <c r="EL52" s="1412"/>
      <c r="EM52" s="1412"/>
      <c r="EN52" s="1412"/>
      <c r="EO52" s="1413"/>
      <c r="EP52" s="1405"/>
      <c r="EQ52" s="1406"/>
      <c r="ER52" s="1406"/>
      <c r="ES52" s="1406"/>
      <c r="ET52" s="1406"/>
      <c r="EU52" s="1406"/>
      <c r="EV52" s="1406"/>
      <c r="EW52" s="1406"/>
      <c r="EX52" s="1406"/>
      <c r="EY52" s="1407"/>
    </row>
    <row r="53" spans="1:155" s="430" customFormat="1" ht="7.8">
      <c r="A53" s="1408" t="s">
        <v>1596</v>
      </c>
      <c r="B53" s="1409"/>
      <c r="C53" s="1409"/>
      <c r="D53" s="1409"/>
      <c r="E53" s="1409"/>
      <c r="F53" s="1409"/>
      <c r="G53" s="1409"/>
      <c r="H53" s="1409"/>
      <c r="I53" s="1409"/>
      <c r="J53" s="1409"/>
      <c r="K53" s="1409"/>
      <c r="L53" s="1409"/>
      <c r="M53" s="1409"/>
      <c r="N53" s="1409"/>
      <c r="O53" s="1409"/>
      <c r="P53" s="1409"/>
      <c r="Q53" s="1409"/>
      <c r="R53" s="1409"/>
      <c r="S53" s="1409"/>
      <c r="T53" s="1409"/>
      <c r="U53" s="1409"/>
      <c r="V53" s="1409"/>
      <c r="W53" s="1409"/>
      <c r="X53" s="1409"/>
      <c r="Y53" s="1409"/>
      <c r="Z53" s="1409"/>
      <c r="AA53" s="1409"/>
      <c r="AB53" s="1409"/>
      <c r="AC53" s="1409"/>
      <c r="AD53" s="1409"/>
      <c r="AE53" s="1409"/>
      <c r="AF53" s="1409"/>
      <c r="AG53" s="1409"/>
      <c r="AH53" s="1409"/>
      <c r="AI53" s="1409"/>
      <c r="AJ53" s="1409"/>
      <c r="AK53" s="1409"/>
      <c r="AL53" s="1409"/>
      <c r="AM53" s="1410"/>
      <c r="AN53" s="1438" t="s">
        <v>121</v>
      </c>
      <c r="AO53" s="1439"/>
      <c r="AP53" s="1439"/>
      <c r="AQ53" s="1439"/>
      <c r="AR53" s="1439"/>
      <c r="AS53" s="1439"/>
      <c r="AT53" s="1439"/>
      <c r="AU53" s="1440"/>
      <c r="AV53" s="1441" t="s">
        <v>1248</v>
      </c>
      <c r="AW53" s="1442"/>
      <c r="AX53" s="1442"/>
      <c r="AY53" s="1442"/>
      <c r="AZ53" s="1442"/>
      <c r="BA53" s="1443"/>
      <c r="BB53" s="1405">
        <f t="shared" si="3"/>
        <v>0</v>
      </c>
      <c r="BC53" s="1406"/>
      <c r="BD53" s="1406"/>
      <c r="BE53" s="1406"/>
      <c r="BF53" s="1406"/>
      <c r="BG53" s="1406"/>
      <c r="BH53" s="1406"/>
      <c r="BI53" s="1406"/>
      <c r="BJ53" s="1407"/>
      <c r="BK53" s="1405">
        <f t="shared" si="4"/>
        <v>0</v>
      </c>
      <c r="BL53" s="1406"/>
      <c r="BM53" s="1406"/>
      <c r="BN53" s="1406"/>
      <c r="BO53" s="1406"/>
      <c r="BP53" s="1406"/>
      <c r="BQ53" s="1406"/>
      <c r="BR53" s="1406"/>
      <c r="BS53" s="1407"/>
      <c r="BT53" s="1411"/>
      <c r="BU53" s="1412"/>
      <c r="BV53" s="1412"/>
      <c r="BW53" s="1412"/>
      <c r="BX53" s="1412"/>
      <c r="BY53" s="1412"/>
      <c r="BZ53" s="1413"/>
      <c r="CA53" s="1411"/>
      <c r="CB53" s="1412"/>
      <c r="CC53" s="1412"/>
      <c r="CD53" s="1412"/>
      <c r="CE53" s="1412"/>
      <c r="CF53" s="1412"/>
      <c r="CG53" s="1413"/>
      <c r="CH53" s="1411">
        <f t="shared" si="1"/>
        <v>0</v>
      </c>
      <c r="CI53" s="1412"/>
      <c r="CJ53" s="1412"/>
      <c r="CK53" s="1412"/>
      <c r="CL53" s="1412"/>
      <c r="CM53" s="1412"/>
      <c r="CN53" s="1413"/>
      <c r="CO53" s="1411"/>
      <c r="CP53" s="1412"/>
      <c r="CQ53" s="1412"/>
      <c r="CR53" s="1412"/>
      <c r="CS53" s="1412"/>
      <c r="CT53" s="1412"/>
      <c r="CU53" s="1413"/>
      <c r="CV53" s="1405">
        <v>0</v>
      </c>
      <c r="CW53" s="1406"/>
      <c r="CX53" s="1406"/>
      <c r="CY53" s="1406"/>
      <c r="CZ53" s="1406"/>
      <c r="DA53" s="1406"/>
      <c r="DB53" s="1406"/>
      <c r="DC53" s="1406"/>
      <c r="DD53" s="1407"/>
      <c r="DE53" s="1405">
        <v>0</v>
      </c>
      <c r="DF53" s="1406"/>
      <c r="DG53" s="1406"/>
      <c r="DH53" s="1406"/>
      <c r="DI53" s="1406"/>
      <c r="DJ53" s="1406"/>
      <c r="DK53" s="1406"/>
      <c r="DL53" s="1406"/>
      <c r="DM53" s="1407"/>
      <c r="DN53" s="1411"/>
      <c r="DO53" s="1412"/>
      <c r="DP53" s="1412"/>
      <c r="DQ53" s="1412"/>
      <c r="DR53" s="1412"/>
      <c r="DS53" s="1412"/>
      <c r="DT53" s="1413"/>
      <c r="DU53" s="1411"/>
      <c r="DV53" s="1412"/>
      <c r="DW53" s="1412"/>
      <c r="DX53" s="1412"/>
      <c r="DY53" s="1412"/>
      <c r="DZ53" s="1412"/>
      <c r="EA53" s="1413"/>
      <c r="EB53" s="1405">
        <v>0</v>
      </c>
      <c r="EC53" s="1406"/>
      <c r="ED53" s="1406"/>
      <c r="EE53" s="1406"/>
      <c r="EF53" s="1406"/>
      <c r="EG53" s="1406"/>
      <c r="EH53" s="1407"/>
      <c r="EI53" s="1411"/>
      <c r="EJ53" s="1412"/>
      <c r="EK53" s="1412"/>
      <c r="EL53" s="1412"/>
      <c r="EM53" s="1412"/>
      <c r="EN53" s="1412"/>
      <c r="EO53" s="1413"/>
      <c r="EP53" s="1405"/>
      <c r="EQ53" s="1406"/>
      <c r="ER53" s="1406"/>
      <c r="ES53" s="1406"/>
      <c r="ET53" s="1406"/>
      <c r="EU53" s="1406"/>
      <c r="EV53" s="1406"/>
      <c r="EW53" s="1406"/>
      <c r="EX53" s="1406"/>
      <c r="EY53" s="1407"/>
    </row>
    <row r="54" spans="1:155" s="430" customFormat="1" ht="7.8">
      <c r="A54" s="1408" t="s">
        <v>1597</v>
      </c>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1409"/>
      <c r="Z54" s="1409"/>
      <c r="AA54" s="1409"/>
      <c r="AB54" s="1409"/>
      <c r="AC54" s="1409"/>
      <c r="AD54" s="1409"/>
      <c r="AE54" s="1409"/>
      <c r="AF54" s="1409"/>
      <c r="AG54" s="1409"/>
      <c r="AH54" s="1409"/>
      <c r="AI54" s="1409"/>
      <c r="AJ54" s="1409"/>
      <c r="AK54" s="1409"/>
      <c r="AL54" s="1409"/>
      <c r="AM54" s="1410"/>
      <c r="AN54" s="1438" t="s">
        <v>121</v>
      </c>
      <c r="AO54" s="1439"/>
      <c r="AP54" s="1439"/>
      <c r="AQ54" s="1439"/>
      <c r="AR54" s="1439"/>
      <c r="AS54" s="1439"/>
      <c r="AT54" s="1439"/>
      <c r="AU54" s="1440"/>
      <c r="AV54" s="1441" t="s">
        <v>1598</v>
      </c>
      <c r="AW54" s="1442"/>
      <c r="AX54" s="1442"/>
      <c r="AY54" s="1442"/>
      <c r="AZ54" s="1442"/>
      <c r="BA54" s="1443"/>
      <c r="BB54" s="1405">
        <f t="shared" si="3"/>
        <v>0</v>
      </c>
      <c r="BC54" s="1406"/>
      <c r="BD54" s="1406"/>
      <c r="BE54" s="1406"/>
      <c r="BF54" s="1406"/>
      <c r="BG54" s="1406"/>
      <c r="BH54" s="1406"/>
      <c r="BI54" s="1406"/>
      <c r="BJ54" s="1407"/>
      <c r="BK54" s="1405">
        <f t="shared" si="4"/>
        <v>0</v>
      </c>
      <c r="BL54" s="1406"/>
      <c r="BM54" s="1406"/>
      <c r="BN54" s="1406"/>
      <c r="BO54" s="1406"/>
      <c r="BP54" s="1406"/>
      <c r="BQ54" s="1406"/>
      <c r="BR54" s="1406"/>
      <c r="BS54" s="1407"/>
      <c r="BT54" s="1411"/>
      <c r="BU54" s="1412"/>
      <c r="BV54" s="1412"/>
      <c r="BW54" s="1412"/>
      <c r="BX54" s="1412"/>
      <c r="BY54" s="1412"/>
      <c r="BZ54" s="1413"/>
      <c r="CA54" s="1411"/>
      <c r="CB54" s="1412"/>
      <c r="CC54" s="1412"/>
      <c r="CD54" s="1412"/>
      <c r="CE54" s="1412"/>
      <c r="CF54" s="1412"/>
      <c r="CG54" s="1413"/>
      <c r="CH54" s="1411">
        <f t="shared" si="1"/>
        <v>0</v>
      </c>
      <c r="CI54" s="1412"/>
      <c r="CJ54" s="1412"/>
      <c r="CK54" s="1412"/>
      <c r="CL54" s="1412"/>
      <c r="CM54" s="1412"/>
      <c r="CN54" s="1413"/>
      <c r="CO54" s="1411"/>
      <c r="CP54" s="1412"/>
      <c r="CQ54" s="1412"/>
      <c r="CR54" s="1412"/>
      <c r="CS54" s="1412"/>
      <c r="CT54" s="1412"/>
      <c r="CU54" s="1413"/>
      <c r="CV54" s="1405">
        <v>0</v>
      </c>
      <c r="CW54" s="1406"/>
      <c r="CX54" s="1406"/>
      <c r="CY54" s="1406"/>
      <c r="CZ54" s="1406"/>
      <c r="DA54" s="1406"/>
      <c r="DB54" s="1406"/>
      <c r="DC54" s="1406"/>
      <c r="DD54" s="1407"/>
      <c r="DE54" s="1405">
        <v>0</v>
      </c>
      <c r="DF54" s="1406"/>
      <c r="DG54" s="1406"/>
      <c r="DH54" s="1406"/>
      <c r="DI54" s="1406"/>
      <c r="DJ54" s="1406"/>
      <c r="DK54" s="1406"/>
      <c r="DL54" s="1406"/>
      <c r="DM54" s="1407"/>
      <c r="DN54" s="1411"/>
      <c r="DO54" s="1412"/>
      <c r="DP54" s="1412"/>
      <c r="DQ54" s="1412"/>
      <c r="DR54" s="1412"/>
      <c r="DS54" s="1412"/>
      <c r="DT54" s="1413"/>
      <c r="DU54" s="1411"/>
      <c r="DV54" s="1412"/>
      <c r="DW54" s="1412"/>
      <c r="DX54" s="1412"/>
      <c r="DY54" s="1412"/>
      <c r="DZ54" s="1412"/>
      <c r="EA54" s="1413"/>
      <c r="EB54" s="1405">
        <v>0</v>
      </c>
      <c r="EC54" s="1406"/>
      <c r="ED54" s="1406"/>
      <c r="EE54" s="1406"/>
      <c r="EF54" s="1406"/>
      <c r="EG54" s="1406"/>
      <c r="EH54" s="1407"/>
      <c r="EI54" s="1411"/>
      <c r="EJ54" s="1412"/>
      <c r="EK54" s="1412"/>
      <c r="EL54" s="1412"/>
      <c r="EM54" s="1412"/>
      <c r="EN54" s="1412"/>
      <c r="EO54" s="1413"/>
      <c r="EP54" s="1405"/>
      <c r="EQ54" s="1406"/>
      <c r="ER54" s="1406"/>
      <c r="ES54" s="1406"/>
      <c r="ET54" s="1406"/>
      <c r="EU54" s="1406"/>
      <c r="EV54" s="1406"/>
      <c r="EW54" s="1406"/>
      <c r="EX54" s="1406"/>
      <c r="EY54" s="1407"/>
    </row>
    <row r="55" spans="1:155" s="430" customFormat="1" ht="7.8">
      <c r="A55" s="1408" t="s">
        <v>1599</v>
      </c>
      <c r="B55" s="1409"/>
      <c r="C55" s="1409"/>
      <c r="D55" s="1409"/>
      <c r="E55" s="1409"/>
      <c r="F55" s="1409"/>
      <c r="G55" s="1409"/>
      <c r="H55" s="1409"/>
      <c r="I55" s="1409"/>
      <c r="J55" s="1409"/>
      <c r="K55" s="1409"/>
      <c r="L55" s="1409"/>
      <c r="M55" s="1409"/>
      <c r="N55" s="1409"/>
      <c r="O55" s="1409"/>
      <c r="P55" s="1409"/>
      <c r="Q55" s="1409"/>
      <c r="R55" s="1409"/>
      <c r="S55" s="1409"/>
      <c r="T55" s="1409"/>
      <c r="U55" s="1409"/>
      <c r="V55" s="1409"/>
      <c r="W55" s="1409"/>
      <c r="X55" s="1409"/>
      <c r="Y55" s="1409"/>
      <c r="Z55" s="1409"/>
      <c r="AA55" s="1409"/>
      <c r="AB55" s="1409"/>
      <c r="AC55" s="1409"/>
      <c r="AD55" s="1409"/>
      <c r="AE55" s="1409"/>
      <c r="AF55" s="1409"/>
      <c r="AG55" s="1409"/>
      <c r="AH55" s="1409"/>
      <c r="AI55" s="1409"/>
      <c r="AJ55" s="1409"/>
      <c r="AK55" s="1409"/>
      <c r="AL55" s="1409"/>
      <c r="AM55" s="1410"/>
      <c r="AN55" s="1438" t="s">
        <v>121</v>
      </c>
      <c r="AO55" s="1439"/>
      <c r="AP55" s="1439"/>
      <c r="AQ55" s="1439"/>
      <c r="AR55" s="1439"/>
      <c r="AS55" s="1439"/>
      <c r="AT55" s="1439"/>
      <c r="AU55" s="1440"/>
      <c r="AV55" s="1441" t="s">
        <v>1600</v>
      </c>
      <c r="AW55" s="1442"/>
      <c r="AX55" s="1442"/>
      <c r="AY55" s="1442"/>
      <c r="AZ55" s="1442"/>
      <c r="BA55" s="1443"/>
      <c r="BB55" s="1405">
        <f t="shared" si="3"/>
        <v>90062</v>
      </c>
      <c r="BC55" s="1406"/>
      <c r="BD55" s="1406"/>
      <c r="BE55" s="1406"/>
      <c r="BF55" s="1406"/>
      <c r="BG55" s="1406"/>
      <c r="BH55" s="1406"/>
      <c r="BI55" s="1406"/>
      <c r="BJ55" s="1407"/>
      <c r="BK55" s="1405">
        <f t="shared" si="4"/>
        <v>90062</v>
      </c>
      <c r="BL55" s="1406"/>
      <c r="BM55" s="1406"/>
      <c r="BN55" s="1406"/>
      <c r="BO55" s="1406"/>
      <c r="BP55" s="1406"/>
      <c r="BQ55" s="1406"/>
      <c r="BR55" s="1406"/>
      <c r="BS55" s="1407"/>
      <c r="BT55" s="1411">
        <v>77588</v>
      </c>
      <c r="BU55" s="1412"/>
      <c r="BV55" s="1412"/>
      <c r="BW55" s="1412"/>
      <c r="BX55" s="1412"/>
      <c r="BY55" s="1412"/>
      <c r="BZ55" s="1413"/>
      <c r="CA55" s="1411">
        <v>11412</v>
      </c>
      <c r="CB55" s="1412"/>
      <c r="CC55" s="1412"/>
      <c r="CD55" s="1412"/>
      <c r="CE55" s="1412"/>
      <c r="CF55" s="1412"/>
      <c r="CG55" s="1413"/>
      <c r="CH55" s="1411">
        <f t="shared" si="1"/>
        <v>89000</v>
      </c>
      <c r="CI55" s="1412"/>
      <c r="CJ55" s="1412"/>
      <c r="CK55" s="1412"/>
      <c r="CL55" s="1412"/>
      <c r="CM55" s="1412"/>
      <c r="CN55" s="1413"/>
      <c r="CO55" s="1411">
        <v>1062</v>
      </c>
      <c r="CP55" s="1412"/>
      <c r="CQ55" s="1412"/>
      <c r="CR55" s="1412"/>
      <c r="CS55" s="1412"/>
      <c r="CT55" s="1412"/>
      <c r="CU55" s="1413"/>
      <c r="CV55" s="1405">
        <v>82436</v>
      </c>
      <c r="CW55" s="1406"/>
      <c r="CX55" s="1406"/>
      <c r="CY55" s="1406"/>
      <c r="CZ55" s="1406"/>
      <c r="DA55" s="1406"/>
      <c r="DB55" s="1406"/>
      <c r="DC55" s="1406"/>
      <c r="DD55" s="1407"/>
      <c r="DE55" s="1405">
        <v>82436</v>
      </c>
      <c r="DF55" s="1406"/>
      <c r="DG55" s="1406"/>
      <c r="DH55" s="1406"/>
      <c r="DI55" s="1406"/>
      <c r="DJ55" s="1406"/>
      <c r="DK55" s="1406"/>
      <c r="DL55" s="1406"/>
      <c r="DM55" s="1407"/>
      <c r="DN55" s="1411">
        <v>70210</v>
      </c>
      <c r="DO55" s="1412"/>
      <c r="DP55" s="1412"/>
      <c r="DQ55" s="1412"/>
      <c r="DR55" s="1412"/>
      <c r="DS55" s="1412"/>
      <c r="DT55" s="1413"/>
      <c r="DU55" s="1411">
        <v>4182</v>
      </c>
      <c r="DV55" s="1412"/>
      <c r="DW55" s="1412"/>
      <c r="DX55" s="1412"/>
      <c r="DY55" s="1412"/>
      <c r="DZ55" s="1412"/>
      <c r="EA55" s="1413"/>
      <c r="EB55" s="1405">
        <v>74392</v>
      </c>
      <c r="EC55" s="1406"/>
      <c r="ED55" s="1406"/>
      <c r="EE55" s="1406"/>
      <c r="EF55" s="1406"/>
      <c r="EG55" s="1406"/>
      <c r="EH55" s="1407"/>
      <c r="EI55" s="1411">
        <v>8044</v>
      </c>
      <c r="EJ55" s="1412"/>
      <c r="EK55" s="1412"/>
      <c r="EL55" s="1412"/>
      <c r="EM55" s="1412"/>
      <c r="EN55" s="1412"/>
      <c r="EO55" s="1413"/>
      <c r="EP55" s="1405"/>
      <c r="EQ55" s="1406"/>
      <c r="ER55" s="1406"/>
      <c r="ES55" s="1406"/>
      <c r="ET55" s="1406"/>
      <c r="EU55" s="1406"/>
      <c r="EV55" s="1406"/>
      <c r="EW55" s="1406"/>
      <c r="EX55" s="1406"/>
      <c r="EY55" s="1407"/>
    </row>
    <row r="56" spans="1:155" s="430" customFormat="1" ht="7.8">
      <c r="A56" s="1408" t="s">
        <v>1601</v>
      </c>
      <c r="B56" s="1409"/>
      <c r="C56" s="1409"/>
      <c r="D56" s="1409"/>
      <c r="E56" s="1409"/>
      <c r="F56" s="1409"/>
      <c r="G56" s="1409"/>
      <c r="H56" s="1409"/>
      <c r="I56" s="1409"/>
      <c r="J56" s="1409"/>
      <c r="K56" s="1409"/>
      <c r="L56" s="1409"/>
      <c r="M56" s="1409"/>
      <c r="N56" s="1409"/>
      <c r="O56" s="1409"/>
      <c r="P56" s="1409"/>
      <c r="Q56" s="1409"/>
      <c r="R56" s="1409"/>
      <c r="S56" s="1409"/>
      <c r="T56" s="1409"/>
      <c r="U56" s="1409"/>
      <c r="V56" s="1409"/>
      <c r="W56" s="1409"/>
      <c r="X56" s="1409"/>
      <c r="Y56" s="1409"/>
      <c r="Z56" s="1409"/>
      <c r="AA56" s="1409"/>
      <c r="AB56" s="1409"/>
      <c r="AC56" s="1409"/>
      <c r="AD56" s="1409"/>
      <c r="AE56" s="1409"/>
      <c r="AF56" s="1409"/>
      <c r="AG56" s="1409"/>
      <c r="AH56" s="1409"/>
      <c r="AI56" s="1409"/>
      <c r="AJ56" s="1409"/>
      <c r="AK56" s="1409"/>
      <c r="AL56" s="1409"/>
      <c r="AM56" s="1410"/>
      <c r="AN56" s="1438" t="s">
        <v>121</v>
      </c>
      <c r="AO56" s="1439"/>
      <c r="AP56" s="1439"/>
      <c r="AQ56" s="1439"/>
      <c r="AR56" s="1439"/>
      <c r="AS56" s="1439"/>
      <c r="AT56" s="1439"/>
      <c r="AU56" s="1440"/>
      <c r="AV56" s="1441" t="s">
        <v>1602</v>
      </c>
      <c r="AW56" s="1442"/>
      <c r="AX56" s="1442"/>
      <c r="AY56" s="1442"/>
      <c r="AZ56" s="1442"/>
      <c r="BA56" s="1443"/>
      <c r="BB56" s="1405">
        <f t="shared" si="3"/>
        <v>809357</v>
      </c>
      <c r="BC56" s="1406"/>
      <c r="BD56" s="1406"/>
      <c r="BE56" s="1406"/>
      <c r="BF56" s="1406"/>
      <c r="BG56" s="1406"/>
      <c r="BH56" s="1406"/>
      <c r="BI56" s="1406"/>
      <c r="BJ56" s="1407"/>
      <c r="BK56" s="1405">
        <f>BB56</f>
        <v>809357</v>
      </c>
      <c r="BL56" s="1406"/>
      <c r="BM56" s="1406"/>
      <c r="BN56" s="1406"/>
      <c r="BO56" s="1406"/>
      <c r="BP56" s="1406"/>
      <c r="BQ56" s="1406"/>
      <c r="BR56" s="1406"/>
      <c r="BS56" s="1407"/>
      <c r="BT56" s="1411">
        <f>808127-BT55</f>
        <v>730539</v>
      </c>
      <c r="BU56" s="1412"/>
      <c r="BV56" s="1412"/>
      <c r="BW56" s="1412"/>
      <c r="BX56" s="1412"/>
      <c r="BY56" s="1412"/>
      <c r="BZ56" s="1413"/>
      <c r="CA56" s="1411">
        <f>62865-CA55</f>
        <v>51453</v>
      </c>
      <c r="CB56" s="1412"/>
      <c r="CC56" s="1412"/>
      <c r="CD56" s="1412"/>
      <c r="CE56" s="1412"/>
      <c r="CF56" s="1412"/>
      <c r="CG56" s="1413"/>
      <c r="CH56" s="1411">
        <f t="shared" si="1"/>
        <v>781992</v>
      </c>
      <c r="CI56" s="1412"/>
      <c r="CJ56" s="1412"/>
      <c r="CK56" s="1412"/>
      <c r="CL56" s="1412"/>
      <c r="CM56" s="1412"/>
      <c r="CN56" s="1413"/>
      <c r="CO56" s="1411">
        <f>28427-CO55</f>
        <v>27365</v>
      </c>
      <c r="CP56" s="1412"/>
      <c r="CQ56" s="1412"/>
      <c r="CR56" s="1412"/>
      <c r="CS56" s="1412"/>
      <c r="CT56" s="1412"/>
      <c r="CU56" s="1413"/>
      <c r="CV56" s="1405">
        <v>605125</v>
      </c>
      <c r="CW56" s="1406"/>
      <c r="CX56" s="1406"/>
      <c r="CY56" s="1406"/>
      <c r="CZ56" s="1406"/>
      <c r="DA56" s="1406"/>
      <c r="DB56" s="1406"/>
      <c r="DC56" s="1406"/>
      <c r="DD56" s="1407"/>
      <c r="DE56" s="1405">
        <v>605125</v>
      </c>
      <c r="DF56" s="1406"/>
      <c r="DG56" s="1406"/>
      <c r="DH56" s="1406"/>
      <c r="DI56" s="1406"/>
      <c r="DJ56" s="1406"/>
      <c r="DK56" s="1406"/>
      <c r="DL56" s="1406"/>
      <c r="DM56" s="1407"/>
      <c r="DN56" s="1411">
        <v>449447</v>
      </c>
      <c r="DO56" s="1412"/>
      <c r="DP56" s="1412"/>
      <c r="DQ56" s="1412"/>
      <c r="DR56" s="1412"/>
      <c r="DS56" s="1412"/>
      <c r="DT56" s="1413"/>
      <c r="DU56" s="1411">
        <v>41329</v>
      </c>
      <c r="DV56" s="1412"/>
      <c r="DW56" s="1412"/>
      <c r="DX56" s="1412"/>
      <c r="DY56" s="1412"/>
      <c r="DZ56" s="1412"/>
      <c r="EA56" s="1413"/>
      <c r="EB56" s="1405">
        <v>490776</v>
      </c>
      <c r="EC56" s="1406"/>
      <c r="ED56" s="1406"/>
      <c r="EE56" s="1406"/>
      <c r="EF56" s="1406"/>
      <c r="EG56" s="1406"/>
      <c r="EH56" s="1407"/>
      <c r="EI56" s="1411">
        <v>114349</v>
      </c>
      <c r="EJ56" s="1412"/>
      <c r="EK56" s="1412"/>
      <c r="EL56" s="1412"/>
      <c r="EM56" s="1412"/>
      <c r="EN56" s="1412"/>
      <c r="EO56" s="1413"/>
      <c r="EP56" s="1405"/>
      <c r="EQ56" s="1406"/>
      <c r="ER56" s="1406"/>
      <c r="ES56" s="1406"/>
      <c r="ET56" s="1406"/>
      <c r="EU56" s="1406"/>
      <c r="EV56" s="1406"/>
      <c r="EW56" s="1406"/>
      <c r="EX56" s="1406"/>
      <c r="EY56" s="1407"/>
    </row>
    <row r="57" spans="1:155" s="430" customFormat="1" ht="7.8">
      <c r="A57" s="1396" t="s">
        <v>1603</v>
      </c>
      <c r="B57" s="1397"/>
      <c r="C57" s="1397"/>
      <c r="D57" s="1397"/>
      <c r="E57" s="1397"/>
      <c r="F57" s="1397"/>
      <c r="G57" s="1397"/>
      <c r="H57" s="1397"/>
      <c r="I57" s="1397"/>
      <c r="J57" s="1397"/>
      <c r="K57" s="1397"/>
      <c r="L57" s="1397"/>
      <c r="M57" s="1397"/>
      <c r="N57" s="1397"/>
      <c r="O57" s="1397"/>
      <c r="P57" s="1397"/>
      <c r="Q57" s="1397"/>
      <c r="R57" s="1397"/>
      <c r="S57" s="1397"/>
      <c r="T57" s="1397"/>
      <c r="U57" s="1397"/>
      <c r="V57" s="1397"/>
      <c r="W57" s="1397"/>
      <c r="X57" s="1397"/>
      <c r="Y57" s="1397"/>
      <c r="Z57" s="1397"/>
      <c r="AA57" s="1397"/>
      <c r="AB57" s="1397"/>
      <c r="AC57" s="1397"/>
      <c r="AD57" s="1397"/>
      <c r="AE57" s="1397"/>
      <c r="AF57" s="1397"/>
      <c r="AG57" s="1397"/>
      <c r="AH57" s="1397"/>
      <c r="AI57" s="1397"/>
      <c r="AJ57" s="1397"/>
      <c r="AK57" s="1397"/>
      <c r="AL57" s="1397"/>
      <c r="AM57" s="1398"/>
      <c r="AN57" s="1438" t="s">
        <v>121</v>
      </c>
      <c r="AO57" s="1439"/>
      <c r="AP57" s="1439"/>
      <c r="AQ57" s="1439"/>
      <c r="AR57" s="1439"/>
      <c r="AS57" s="1439"/>
      <c r="AT57" s="1439"/>
      <c r="AU57" s="1440"/>
      <c r="AV57" s="1441" t="s">
        <v>1604</v>
      </c>
      <c r="AW57" s="1442"/>
      <c r="AX57" s="1442"/>
      <c r="AY57" s="1442"/>
      <c r="AZ57" s="1442"/>
      <c r="BA57" s="1443"/>
      <c r="BB57" s="1405">
        <f t="shared" si="3"/>
        <v>134033</v>
      </c>
      <c r="BC57" s="1406"/>
      <c r="BD57" s="1406"/>
      <c r="BE57" s="1406"/>
      <c r="BF57" s="1406"/>
      <c r="BG57" s="1406"/>
      <c r="BH57" s="1406"/>
      <c r="BI57" s="1406"/>
      <c r="BJ57" s="1407"/>
      <c r="BK57" s="1405">
        <f t="shared" si="4"/>
        <v>134033</v>
      </c>
      <c r="BL57" s="1406"/>
      <c r="BM57" s="1406"/>
      <c r="BN57" s="1406"/>
      <c r="BO57" s="1406"/>
      <c r="BP57" s="1406"/>
      <c r="BQ57" s="1406"/>
      <c r="BR57" s="1406"/>
      <c r="BS57" s="1407"/>
      <c r="BT57" s="1411">
        <v>74496</v>
      </c>
      <c r="BU57" s="1412"/>
      <c r="BV57" s="1412"/>
      <c r="BW57" s="1412"/>
      <c r="BX57" s="1412"/>
      <c r="BY57" s="1412"/>
      <c r="BZ57" s="1413"/>
      <c r="CA57" s="1411">
        <v>45788</v>
      </c>
      <c r="CB57" s="1412"/>
      <c r="CC57" s="1412"/>
      <c r="CD57" s="1412"/>
      <c r="CE57" s="1412"/>
      <c r="CF57" s="1412"/>
      <c r="CG57" s="1413"/>
      <c r="CH57" s="1411">
        <f t="shared" si="1"/>
        <v>120284</v>
      </c>
      <c r="CI57" s="1412"/>
      <c r="CJ57" s="1412"/>
      <c r="CK57" s="1412"/>
      <c r="CL57" s="1412"/>
      <c r="CM57" s="1412"/>
      <c r="CN57" s="1413"/>
      <c r="CO57" s="1411">
        <v>13749</v>
      </c>
      <c r="CP57" s="1412"/>
      <c r="CQ57" s="1412"/>
      <c r="CR57" s="1412"/>
      <c r="CS57" s="1412"/>
      <c r="CT57" s="1412"/>
      <c r="CU57" s="1413"/>
      <c r="CV57" s="1405">
        <v>14303</v>
      </c>
      <c r="CW57" s="1406"/>
      <c r="CX57" s="1406"/>
      <c r="CY57" s="1406"/>
      <c r="CZ57" s="1406"/>
      <c r="DA57" s="1406"/>
      <c r="DB57" s="1406"/>
      <c r="DC57" s="1406"/>
      <c r="DD57" s="1407"/>
      <c r="DE57" s="1405">
        <v>14303</v>
      </c>
      <c r="DF57" s="1406"/>
      <c r="DG57" s="1406"/>
      <c r="DH57" s="1406"/>
      <c r="DI57" s="1406"/>
      <c r="DJ57" s="1406"/>
      <c r="DK57" s="1406"/>
      <c r="DL57" s="1406"/>
      <c r="DM57" s="1407"/>
      <c r="DN57" s="1411">
        <v>-33146</v>
      </c>
      <c r="DO57" s="1412"/>
      <c r="DP57" s="1412"/>
      <c r="DQ57" s="1412"/>
      <c r="DR57" s="1412"/>
      <c r="DS57" s="1412"/>
      <c r="DT57" s="1413"/>
      <c r="DU57" s="1411">
        <v>39681</v>
      </c>
      <c r="DV57" s="1412"/>
      <c r="DW57" s="1412"/>
      <c r="DX57" s="1412"/>
      <c r="DY57" s="1412"/>
      <c r="DZ57" s="1412"/>
      <c r="EA57" s="1413"/>
      <c r="EB57" s="1405">
        <v>6535</v>
      </c>
      <c r="EC57" s="1406"/>
      <c r="ED57" s="1406"/>
      <c r="EE57" s="1406"/>
      <c r="EF57" s="1406"/>
      <c r="EG57" s="1406"/>
      <c r="EH57" s="1407"/>
      <c r="EI57" s="1411">
        <v>7768</v>
      </c>
      <c r="EJ57" s="1412"/>
      <c r="EK57" s="1412"/>
      <c r="EL57" s="1412"/>
      <c r="EM57" s="1412"/>
      <c r="EN57" s="1412"/>
      <c r="EO57" s="1413"/>
      <c r="EP57" s="1405"/>
      <c r="EQ57" s="1406"/>
      <c r="ER57" s="1406"/>
      <c r="ES57" s="1406"/>
      <c r="ET57" s="1406"/>
      <c r="EU57" s="1406"/>
      <c r="EV57" s="1406"/>
      <c r="EW57" s="1406"/>
      <c r="EX57" s="1406"/>
      <c r="EY57" s="1407"/>
    </row>
    <row r="58" spans="1:155" s="431" customFormat="1" ht="7.8">
      <c r="A58" s="1444" t="s">
        <v>1605</v>
      </c>
      <c r="B58" s="1445"/>
      <c r="C58" s="1445"/>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445"/>
      <c r="AM58" s="1445"/>
      <c r="AN58" s="1445"/>
      <c r="AO58" s="1445"/>
      <c r="AP58" s="1445"/>
      <c r="AQ58" s="1445"/>
      <c r="AR58" s="1445"/>
      <c r="AS58" s="1445"/>
      <c r="AT58" s="1445"/>
      <c r="AU58" s="1445"/>
      <c r="AV58" s="1445"/>
      <c r="AW58" s="1445"/>
      <c r="AX58" s="1445"/>
      <c r="AY58" s="1445"/>
      <c r="AZ58" s="1445"/>
      <c r="BA58" s="1445"/>
      <c r="BB58" s="1445"/>
      <c r="BC58" s="1445"/>
      <c r="BD58" s="1445"/>
      <c r="BE58" s="1445"/>
      <c r="BF58" s="1445"/>
      <c r="BG58" s="1445"/>
      <c r="BH58" s="1445"/>
      <c r="BI58" s="1445"/>
      <c r="BJ58" s="1445"/>
      <c r="BK58" s="1445"/>
      <c r="BL58" s="1445"/>
      <c r="BM58" s="1445"/>
      <c r="BN58" s="1445"/>
      <c r="BO58" s="1445"/>
      <c r="BP58" s="1445"/>
      <c r="BQ58" s="1445"/>
      <c r="BR58" s="1445"/>
      <c r="BS58" s="1445"/>
      <c r="BT58" s="1445"/>
      <c r="BU58" s="1445"/>
      <c r="BV58" s="1445"/>
      <c r="BW58" s="1445"/>
      <c r="BX58" s="1445"/>
      <c r="BY58" s="1445"/>
      <c r="BZ58" s="1445"/>
      <c r="CA58" s="1445"/>
      <c r="CB58" s="1445"/>
      <c r="CC58" s="1445"/>
      <c r="CD58" s="1445"/>
      <c r="CE58" s="1445"/>
      <c r="CF58" s="1445"/>
      <c r="CG58" s="1445"/>
      <c r="CH58" s="1445"/>
      <c r="CI58" s="1445"/>
      <c r="CJ58" s="1445"/>
      <c r="CK58" s="1445"/>
      <c r="CL58" s="1445"/>
      <c r="CM58" s="1445"/>
      <c r="CN58" s="1445"/>
      <c r="CO58" s="1445"/>
      <c r="CP58" s="1445"/>
      <c r="CQ58" s="1445"/>
      <c r="CR58" s="1445"/>
      <c r="CS58" s="1445"/>
      <c r="CT58" s="1445"/>
      <c r="CU58" s="1445"/>
      <c r="CV58" s="1445"/>
      <c r="CW58" s="1445"/>
      <c r="CX58" s="1445"/>
      <c r="CY58" s="1445"/>
      <c r="CZ58" s="1445"/>
      <c r="DA58" s="1445"/>
      <c r="DB58" s="1445"/>
      <c r="DC58" s="1445"/>
      <c r="DD58" s="1445"/>
      <c r="DE58" s="1445"/>
      <c r="DF58" s="1445"/>
      <c r="DG58" s="1445"/>
      <c r="DH58" s="1445"/>
      <c r="DI58" s="1445"/>
      <c r="DJ58" s="1445"/>
      <c r="DK58" s="1445"/>
      <c r="DL58" s="1445"/>
      <c r="DM58" s="1445"/>
      <c r="DN58" s="1445"/>
      <c r="DO58" s="1445"/>
      <c r="DP58" s="1445"/>
      <c r="DQ58" s="1445"/>
      <c r="DR58" s="1445"/>
      <c r="DS58" s="1445"/>
      <c r="DT58" s="1445"/>
      <c r="DU58" s="1445"/>
      <c r="DV58" s="1445"/>
      <c r="DW58" s="1445"/>
      <c r="DX58" s="1445"/>
      <c r="DY58" s="1445"/>
      <c r="DZ58" s="1445"/>
      <c r="EA58" s="1445"/>
      <c r="EB58" s="1445"/>
      <c r="EC58" s="1445"/>
      <c r="ED58" s="1445"/>
      <c r="EE58" s="1445"/>
      <c r="EF58" s="1445"/>
      <c r="EG58" s="1445"/>
      <c r="EH58" s="1445"/>
      <c r="EI58" s="1445"/>
      <c r="EJ58" s="1445"/>
      <c r="EK58" s="1445"/>
      <c r="EL58" s="1445"/>
      <c r="EM58" s="1445"/>
      <c r="EN58" s="1445"/>
      <c r="EO58" s="1445"/>
      <c r="EP58" s="1445"/>
      <c r="EQ58" s="1445"/>
      <c r="ER58" s="1445"/>
      <c r="ES58" s="1445"/>
      <c r="ET58" s="1445"/>
      <c r="EU58" s="1445"/>
      <c r="EV58" s="1445"/>
      <c r="EW58" s="1445"/>
      <c r="EX58" s="1445"/>
      <c r="EY58" s="1446"/>
    </row>
    <row r="59" spans="1:155" s="430" customFormat="1" ht="7.8">
      <c r="A59" s="1396" t="s">
        <v>1606</v>
      </c>
      <c r="B59" s="1397"/>
      <c r="C59" s="1397"/>
      <c r="D59" s="1397"/>
      <c r="E59" s="1397"/>
      <c r="F59" s="1397"/>
      <c r="G59" s="1397"/>
      <c r="H59" s="1397"/>
      <c r="I59" s="1397"/>
      <c r="J59" s="1397"/>
      <c r="K59" s="1397"/>
      <c r="L59" s="1397"/>
      <c r="M59" s="1397"/>
      <c r="N59" s="1397"/>
      <c r="O59" s="1397"/>
      <c r="P59" s="1397"/>
      <c r="Q59" s="1397"/>
      <c r="R59" s="1397"/>
      <c r="S59" s="1397"/>
      <c r="T59" s="1397"/>
      <c r="U59" s="1397"/>
      <c r="V59" s="1397"/>
      <c r="W59" s="1397"/>
      <c r="X59" s="1397"/>
      <c r="Y59" s="1397"/>
      <c r="Z59" s="1397"/>
      <c r="AA59" s="1397"/>
      <c r="AB59" s="1397"/>
      <c r="AC59" s="1397"/>
      <c r="AD59" s="1397"/>
      <c r="AE59" s="1397"/>
      <c r="AF59" s="1397"/>
      <c r="AG59" s="1397"/>
      <c r="AH59" s="1397"/>
      <c r="AI59" s="1397"/>
      <c r="AJ59" s="1397"/>
      <c r="AK59" s="1397"/>
      <c r="AL59" s="1397"/>
      <c r="AM59" s="1398"/>
      <c r="AN59" s="1399" t="s">
        <v>121</v>
      </c>
      <c r="AO59" s="1400"/>
      <c r="AP59" s="1400"/>
      <c r="AQ59" s="1400"/>
      <c r="AR59" s="1400"/>
      <c r="AS59" s="1400"/>
      <c r="AT59" s="1400"/>
      <c r="AU59" s="1401"/>
      <c r="AV59" s="1402" t="s">
        <v>1607</v>
      </c>
      <c r="AW59" s="1403"/>
      <c r="AX59" s="1403"/>
      <c r="AY59" s="1403"/>
      <c r="AZ59" s="1403"/>
      <c r="BA59" s="1404"/>
      <c r="BB59" s="1405">
        <f>BT59+CA59+CO59</f>
        <v>7672390</v>
      </c>
      <c r="BC59" s="1406"/>
      <c r="BD59" s="1406"/>
      <c r="BE59" s="1406"/>
      <c r="BF59" s="1406"/>
      <c r="BG59" s="1406"/>
      <c r="BH59" s="1406"/>
      <c r="BI59" s="1406"/>
      <c r="BJ59" s="1407"/>
      <c r="BK59" s="1411">
        <f>BB59</f>
        <v>7672390</v>
      </c>
      <c r="BL59" s="1412"/>
      <c r="BM59" s="1412"/>
      <c r="BN59" s="1412"/>
      <c r="BO59" s="1412"/>
      <c r="BP59" s="1412"/>
      <c r="BQ59" s="1412"/>
      <c r="BR59" s="1412"/>
      <c r="BS59" s="1413"/>
      <c r="BT59" s="1405">
        <f>BT21-BT60</f>
        <v>7482370</v>
      </c>
      <c r="BU59" s="1406"/>
      <c r="BV59" s="1406"/>
      <c r="BW59" s="1406"/>
      <c r="BX59" s="1406"/>
      <c r="BY59" s="1406"/>
      <c r="BZ59" s="1407"/>
      <c r="CA59" s="1405">
        <f>CA21-CA60</f>
        <v>128778</v>
      </c>
      <c r="CB59" s="1406"/>
      <c r="CC59" s="1406"/>
      <c r="CD59" s="1406"/>
      <c r="CE59" s="1406"/>
      <c r="CF59" s="1406"/>
      <c r="CG59" s="1407"/>
      <c r="CH59" s="1405">
        <f>BT59+CA59</f>
        <v>7611148</v>
      </c>
      <c r="CI59" s="1406"/>
      <c r="CJ59" s="1406"/>
      <c r="CK59" s="1406"/>
      <c r="CL59" s="1406"/>
      <c r="CM59" s="1406"/>
      <c r="CN59" s="1407"/>
      <c r="CO59" s="1405">
        <f>CO21-CO60</f>
        <v>61242</v>
      </c>
      <c r="CP59" s="1406"/>
      <c r="CQ59" s="1406"/>
      <c r="CR59" s="1406"/>
      <c r="CS59" s="1406"/>
      <c r="CT59" s="1406"/>
      <c r="CU59" s="1407"/>
      <c r="CV59" s="1405">
        <v>6613917</v>
      </c>
      <c r="CW59" s="1406"/>
      <c r="CX59" s="1406"/>
      <c r="CY59" s="1406"/>
      <c r="CZ59" s="1406"/>
      <c r="DA59" s="1406"/>
      <c r="DB59" s="1406"/>
      <c r="DC59" s="1406"/>
      <c r="DD59" s="1407"/>
      <c r="DE59" s="1405">
        <v>6613917</v>
      </c>
      <c r="DF59" s="1406"/>
      <c r="DG59" s="1406"/>
      <c r="DH59" s="1406"/>
      <c r="DI59" s="1406"/>
      <c r="DJ59" s="1406"/>
      <c r="DK59" s="1406"/>
      <c r="DL59" s="1406"/>
      <c r="DM59" s="1407"/>
      <c r="DN59" s="1405">
        <v>6358209</v>
      </c>
      <c r="DO59" s="1406"/>
      <c r="DP59" s="1406"/>
      <c r="DQ59" s="1406"/>
      <c r="DR59" s="1406"/>
      <c r="DS59" s="1406"/>
      <c r="DT59" s="1407"/>
      <c r="DU59" s="1405">
        <v>96343</v>
      </c>
      <c r="DV59" s="1406"/>
      <c r="DW59" s="1406"/>
      <c r="DX59" s="1406"/>
      <c r="DY59" s="1406"/>
      <c r="DZ59" s="1406"/>
      <c r="EA59" s="1407"/>
      <c r="EB59" s="1405">
        <v>6454552</v>
      </c>
      <c r="EC59" s="1406"/>
      <c r="ED59" s="1406"/>
      <c r="EE59" s="1406"/>
      <c r="EF59" s="1406"/>
      <c r="EG59" s="1406"/>
      <c r="EH59" s="1407"/>
      <c r="EI59" s="1405">
        <v>159365</v>
      </c>
      <c r="EJ59" s="1406"/>
      <c r="EK59" s="1406"/>
      <c r="EL59" s="1406"/>
      <c r="EM59" s="1406"/>
      <c r="EN59" s="1406"/>
      <c r="EO59" s="1407"/>
      <c r="EP59" s="1405"/>
      <c r="EQ59" s="1406"/>
      <c r="ER59" s="1406"/>
      <c r="ES59" s="1406"/>
      <c r="ET59" s="1406"/>
      <c r="EU59" s="1406"/>
      <c r="EV59" s="1406"/>
      <c r="EW59" s="1406"/>
      <c r="EX59" s="1406"/>
      <c r="EY59" s="1407"/>
    </row>
    <row r="60" spans="1:155" s="430" customFormat="1" ht="7.8">
      <c r="A60" s="1396" t="s">
        <v>1608</v>
      </c>
      <c r="B60" s="1397"/>
      <c r="C60" s="1397"/>
      <c r="D60" s="1397"/>
      <c r="E60" s="1397"/>
      <c r="F60" s="1397"/>
      <c r="G60" s="1397"/>
      <c r="H60" s="1397"/>
      <c r="I60" s="1397"/>
      <c r="J60" s="1397"/>
      <c r="K60" s="1397"/>
      <c r="L60" s="1397"/>
      <c r="M60" s="1397"/>
      <c r="N60" s="1397"/>
      <c r="O60" s="1397"/>
      <c r="P60" s="1397"/>
      <c r="Q60" s="1397"/>
      <c r="R60" s="1397"/>
      <c r="S60" s="1397"/>
      <c r="T60" s="1397"/>
      <c r="U60" s="1397"/>
      <c r="V60" s="1397"/>
      <c r="W60" s="1397"/>
      <c r="X60" s="1397"/>
      <c r="Y60" s="1397"/>
      <c r="Z60" s="1397"/>
      <c r="AA60" s="1397"/>
      <c r="AB60" s="1397"/>
      <c r="AC60" s="1397"/>
      <c r="AD60" s="1397"/>
      <c r="AE60" s="1397"/>
      <c r="AF60" s="1397"/>
      <c r="AG60" s="1397"/>
      <c r="AH60" s="1397"/>
      <c r="AI60" s="1397"/>
      <c r="AJ60" s="1397"/>
      <c r="AK60" s="1397"/>
      <c r="AL60" s="1397"/>
      <c r="AM60" s="1398"/>
      <c r="AN60" s="1399" t="s">
        <v>121</v>
      </c>
      <c r="AO60" s="1400"/>
      <c r="AP60" s="1400"/>
      <c r="AQ60" s="1400"/>
      <c r="AR60" s="1400"/>
      <c r="AS60" s="1400"/>
      <c r="AT60" s="1400"/>
      <c r="AU60" s="1401"/>
      <c r="AV60" s="1402" t="s">
        <v>1609</v>
      </c>
      <c r="AW60" s="1403"/>
      <c r="AX60" s="1403"/>
      <c r="AY60" s="1403"/>
      <c r="AZ60" s="1403"/>
      <c r="BA60" s="1404"/>
      <c r="BB60" s="1405">
        <f>BT60+CA60+CO60</f>
        <v>838428</v>
      </c>
      <c r="BC60" s="1406"/>
      <c r="BD60" s="1406"/>
      <c r="BE60" s="1406"/>
      <c r="BF60" s="1406"/>
      <c r="BG60" s="1406"/>
      <c r="BH60" s="1406"/>
      <c r="BI60" s="1406"/>
      <c r="BJ60" s="1407"/>
      <c r="BK60" s="1411">
        <f>BB60</f>
        <v>838428</v>
      </c>
      <c r="BL60" s="1412"/>
      <c r="BM60" s="1412"/>
      <c r="BN60" s="1412"/>
      <c r="BO60" s="1412"/>
      <c r="BP60" s="1412"/>
      <c r="BQ60" s="1412"/>
      <c r="BR60" s="1412"/>
      <c r="BS60" s="1413"/>
      <c r="BT60" s="1405">
        <v>822316</v>
      </c>
      <c r="BU60" s="1406"/>
      <c r="BV60" s="1406"/>
      <c r="BW60" s="1406"/>
      <c r="BX60" s="1406"/>
      <c r="BY60" s="1406"/>
      <c r="BZ60" s="1407"/>
      <c r="CA60" s="1405">
        <v>13776</v>
      </c>
      <c r="CB60" s="1406"/>
      <c r="CC60" s="1406"/>
      <c r="CD60" s="1406"/>
      <c r="CE60" s="1406"/>
      <c r="CF60" s="1406"/>
      <c r="CG60" s="1407"/>
      <c r="CH60" s="1405">
        <f t="shared" ref="CH60:CH66" si="5">BT60+CA60</f>
        <v>836092</v>
      </c>
      <c r="CI60" s="1406"/>
      <c r="CJ60" s="1406"/>
      <c r="CK60" s="1406"/>
      <c r="CL60" s="1406"/>
      <c r="CM60" s="1406"/>
      <c r="CN60" s="1407"/>
      <c r="CO60" s="1405">
        <v>2336</v>
      </c>
      <c r="CP60" s="1406"/>
      <c r="CQ60" s="1406"/>
      <c r="CR60" s="1406"/>
      <c r="CS60" s="1406"/>
      <c r="CT60" s="1406"/>
      <c r="CU60" s="1407"/>
      <c r="CV60" s="1405">
        <v>822188</v>
      </c>
      <c r="CW60" s="1406"/>
      <c r="CX60" s="1406"/>
      <c r="CY60" s="1406"/>
      <c r="CZ60" s="1406"/>
      <c r="DA60" s="1406"/>
      <c r="DB60" s="1406"/>
      <c r="DC60" s="1406"/>
      <c r="DD60" s="1407"/>
      <c r="DE60" s="1405">
        <v>822188</v>
      </c>
      <c r="DF60" s="1406"/>
      <c r="DG60" s="1406"/>
      <c r="DH60" s="1406"/>
      <c r="DI60" s="1406"/>
      <c r="DJ60" s="1406"/>
      <c r="DK60" s="1406"/>
      <c r="DL60" s="1406"/>
      <c r="DM60" s="1407"/>
      <c r="DN60" s="1405">
        <v>803578</v>
      </c>
      <c r="DO60" s="1406"/>
      <c r="DP60" s="1406"/>
      <c r="DQ60" s="1406"/>
      <c r="DR60" s="1406"/>
      <c r="DS60" s="1406"/>
      <c r="DT60" s="1407"/>
      <c r="DU60" s="1405">
        <v>16099</v>
      </c>
      <c r="DV60" s="1406"/>
      <c r="DW60" s="1406"/>
      <c r="DX60" s="1406"/>
      <c r="DY60" s="1406"/>
      <c r="DZ60" s="1406"/>
      <c r="EA60" s="1407"/>
      <c r="EB60" s="1405">
        <v>819677</v>
      </c>
      <c r="EC60" s="1406"/>
      <c r="ED60" s="1406"/>
      <c r="EE60" s="1406"/>
      <c r="EF60" s="1406"/>
      <c r="EG60" s="1406"/>
      <c r="EH60" s="1407"/>
      <c r="EI60" s="1405">
        <v>2511</v>
      </c>
      <c r="EJ60" s="1406"/>
      <c r="EK60" s="1406"/>
      <c r="EL60" s="1406"/>
      <c r="EM60" s="1406"/>
      <c r="EN60" s="1406"/>
      <c r="EO60" s="1407"/>
      <c r="EP60" s="1405"/>
      <c r="EQ60" s="1406"/>
      <c r="ER60" s="1406"/>
      <c r="ES60" s="1406"/>
      <c r="ET60" s="1406"/>
      <c r="EU60" s="1406"/>
      <c r="EV60" s="1406"/>
      <c r="EW60" s="1406"/>
      <c r="EX60" s="1406"/>
      <c r="EY60" s="1407"/>
    </row>
    <row r="61" spans="1:155" s="430" customFormat="1" ht="24.75" customHeight="1">
      <c r="A61" s="1396" t="s">
        <v>1610</v>
      </c>
      <c r="B61" s="1397"/>
      <c r="C61" s="1397"/>
      <c r="D61" s="1397"/>
      <c r="E61" s="1397"/>
      <c r="F61" s="1397"/>
      <c r="G61" s="1397"/>
      <c r="H61" s="1397"/>
      <c r="I61" s="1397"/>
      <c r="J61" s="1397"/>
      <c r="K61" s="1397"/>
      <c r="L61" s="1397"/>
      <c r="M61" s="1397"/>
      <c r="N61" s="1397"/>
      <c r="O61" s="1397"/>
      <c r="P61" s="1397"/>
      <c r="Q61" s="1397"/>
      <c r="R61" s="1397"/>
      <c r="S61" s="1397"/>
      <c r="T61" s="1397"/>
      <c r="U61" s="1397"/>
      <c r="V61" s="1397"/>
      <c r="W61" s="1397"/>
      <c r="X61" s="1397"/>
      <c r="Y61" s="1397"/>
      <c r="Z61" s="1397"/>
      <c r="AA61" s="1397"/>
      <c r="AB61" s="1397"/>
      <c r="AC61" s="1397"/>
      <c r="AD61" s="1397"/>
      <c r="AE61" s="1397"/>
      <c r="AF61" s="1397"/>
      <c r="AG61" s="1397"/>
      <c r="AH61" s="1397"/>
      <c r="AI61" s="1397"/>
      <c r="AJ61" s="1397"/>
      <c r="AK61" s="1397"/>
      <c r="AL61" s="1397"/>
      <c r="AM61" s="1398"/>
      <c r="AN61" s="1438" t="s">
        <v>121</v>
      </c>
      <c r="AO61" s="1439"/>
      <c r="AP61" s="1439"/>
      <c r="AQ61" s="1439"/>
      <c r="AR61" s="1439"/>
      <c r="AS61" s="1439"/>
      <c r="AT61" s="1439"/>
      <c r="AU61" s="1440"/>
      <c r="AV61" s="1441" t="s">
        <v>1611</v>
      </c>
      <c r="AW61" s="1442"/>
      <c r="AX61" s="1442"/>
      <c r="AY61" s="1442"/>
      <c r="AZ61" s="1442"/>
      <c r="BA61" s="1443"/>
      <c r="BB61" s="1405">
        <f t="shared" ref="BB61:BB67" si="6">BT61+CA61+CO61</f>
        <v>0</v>
      </c>
      <c r="BC61" s="1406"/>
      <c r="BD61" s="1406"/>
      <c r="BE61" s="1406"/>
      <c r="BF61" s="1406"/>
      <c r="BG61" s="1406"/>
      <c r="BH61" s="1406"/>
      <c r="BI61" s="1406"/>
      <c r="BJ61" s="1407"/>
      <c r="BK61" s="1411">
        <f>BB61</f>
        <v>0</v>
      </c>
      <c r="BL61" s="1412"/>
      <c r="BM61" s="1412"/>
      <c r="BN61" s="1412"/>
      <c r="BO61" s="1412"/>
      <c r="BP61" s="1412"/>
      <c r="BQ61" s="1412"/>
      <c r="BR61" s="1412"/>
      <c r="BS61" s="1413"/>
      <c r="BT61" s="1411"/>
      <c r="BU61" s="1412"/>
      <c r="BV61" s="1412"/>
      <c r="BW61" s="1412"/>
      <c r="BX61" s="1412"/>
      <c r="BY61" s="1412"/>
      <c r="BZ61" s="1413"/>
      <c r="CA61" s="1411"/>
      <c r="CB61" s="1412"/>
      <c r="CC61" s="1412"/>
      <c r="CD61" s="1412"/>
      <c r="CE61" s="1412"/>
      <c r="CF61" s="1412"/>
      <c r="CG61" s="1413"/>
      <c r="CH61" s="1405">
        <f t="shared" si="5"/>
        <v>0</v>
      </c>
      <c r="CI61" s="1406"/>
      <c r="CJ61" s="1406"/>
      <c r="CK61" s="1406"/>
      <c r="CL61" s="1406"/>
      <c r="CM61" s="1406"/>
      <c r="CN61" s="1407"/>
      <c r="CO61" s="1411">
        <v>0</v>
      </c>
      <c r="CP61" s="1412"/>
      <c r="CQ61" s="1412"/>
      <c r="CR61" s="1412"/>
      <c r="CS61" s="1412"/>
      <c r="CT61" s="1412"/>
      <c r="CU61" s="1413"/>
      <c r="CV61" s="1405">
        <v>704586</v>
      </c>
      <c r="CW61" s="1406"/>
      <c r="CX61" s="1406"/>
      <c r="CY61" s="1406"/>
      <c r="CZ61" s="1406"/>
      <c r="DA61" s="1406"/>
      <c r="DB61" s="1406"/>
      <c r="DC61" s="1406"/>
      <c r="DD61" s="1407"/>
      <c r="DE61" s="1405">
        <v>704586</v>
      </c>
      <c r="DF61" s="1406"/>
      <c r="DG61" s="1406"/>
      <c r="DH61" s="1406"/>
      <c r="DI61" s="1406"/>
      <c r="DJ61" s="1406"/>
      <c r="DK61" s="1406"/>
      <c r="DL61" s="1406"/>
      <c r="DM61" s="1407"/>
      <c r="DN61" s="1411">
        <v>384568</v>
      </c>
      <c r="DO61" s="1412"/>
      <c r="DP61" s="1412"/>
      <c r="DQ61" s="1412"/>
      <c r="DR61" s="1412"/>
      <c r="DS61" s="1412"/>
      <c r="DT61" s="1413"/>
      <c r="DU61" s="1411">
        <v>320018</v>
      </c>
      <c r="DV61" s="1412"/>
      <c r="DW61" s="1412"/>
      <c r="DX61" s="1412"/>
      <c r="DY61" s="1412"/>
      <c r="DZ61" s="1412"/>
      <c r="EA61" s="1413"/>
      <c r="EB61" s="1405">
        <v>704586</v>
      </c>
      <c r="EC61" s="1406"/>
      <c r="ED61" s="1406"/>
      <c r="EE61" s="1406"/>
      <c r="EF61" s="1406"/>
      <c r="EG61" s="1406"/>
      <c r="EH61" s="1407"/>
      <c r="EI61" s="1411">
        <v>0</v>
      </c>
      <c r="EJ61" s="1412"/>
      <c r="EK61" s="1412"/>
      <c r="EL61" s="1412"/>
      <c r="EM61" s="1412"/>
      <c r="EN61" s="1412"/>
      <c r="EO61" s="1413"/>
      <c r="EP61" s="1411"/>
      <c r="EQ61" s="1412"/>
      <c r="ER61" s="1412"/>
      <c r="ES61" s="1412"/>
      <c r="ET61" s="1412"/>
      <c r="EU61" s="1412"/>
      <c r="EV61" s="1412"/>
      <c r="EW61" s="1412"/>
      <c r="EX61" s="1412"/>
      <c r="EY61" s="1413"/>
    </row>
    <row r="62" spans="1:155" s="430" customFormat="1" ht="16.5" customHeight="1">
      <c r="A62" s="1396" t="s">
        <v>1612</v>
      </c>
      <c r="B62" s="1397"/>
      <c r="C62" s="1397"/>
      <c r="D62" s="1397"/>
      <c r="E62" s="1397"/>
      <c r="F62" s="1397"/>
      <c r="G62" s="1397"/>
      <c r="H62" s="1397"/>
      <c r="I62" s="1397"/>
      <c r="J62" s="1397"/>
      <c r="K62" s="1397"/>
      <c r="L62" s="1397"/>
      <c r="M62" s="1397"/>
      <c r="N62" s="1397"/>
      <c r="O62" s="1397"/>
      <c r="P62" s="1397"/>
      <c r="Q62" s="1397"/>
      <c r="R62" s="1397"/>
      <c r="S62" s="1397"/>
      <c r="T62" s="1397"/>
      <c r="U62" s="1397"/>
      <c r="V62" s="1397"/>
      <c r="W62" s="1397"/>
      <c r="X62" s="1397"/>
      <c r="Y62" s="1397"/>
      <c r="Z62" s="1397"/>
      <c r="AA62" s="1397"/>
      <c r="AB62" s="1397"/>
      <c r="AC62" s="1397"/>
      <c r="AD62" s="1397"/>
      <c r="AE62" s="1397"/>
      <c r="AF62" s="1397"/>
      <c r="AG62" s="1397"/>
      <c r="AH62" s="1397"/>
      <c r="AI62" s="1397"/>
      <c r="AJ62" s="1397"/>
      <c r="AK62" s="1397"/>
      <c r="AL62" s="1397"/>
      <c r="AM62" s="1398"/>
      <c r="AN62" s="1399" t="s">
        <v>121</v>
      </c>
      <c r="AO62" s="1400"/>
      <c r="AP62" s="1400"/>
      <c r="AQ62" s="1400"/>
      <c r="AR62" s="1400"/>
      <c r="AS62" s="1400"/>
      <c r="AT62" s="1400"/>
      <c r="AU62" s="1401"/>
      <c r="AV62" s="1402" t="s">
        <v>1613</v>
      </c>
      <c r="AW62" s="1403"/>
      <c r="AX62" s="1403"/>
      <c r="AY62" s="1403"/>
      <c r="AZ62" s="1403"/>
      <c r="BA62" s="1404"/>
      <c r="BB62" s="1405">
        <f t="shared" si="6"/>
        <v>302129</v>
      </c>
      <c r="BC62" s="1406"/>
      <c r="BD62" s="1406"/>
      <c r="BE62" s="1406"/>
      <c r="BF62" s="1406"/>
      <c r="BG62" s="1406"/>
      <c r="BH62" s="1406"/>
      <c r="BI62" s="1406"/>
      <c r="BJ62" s="1407"/>
      <c r="BK62" s="1405">
        <f>BB62</f>
        <v>302129</v>
      </c>
      <c r="BL62" s="1406"/>
      <c r="BM62" s="1406"/>
      <c r="BN62" s="1406"/>
      <c r="BO62" s="1406"/>
      <c r="BP62" s="1406"/>
      <c r="BQ62" s="1406"/>
      <c r="BR62" s="1406"/>
      <c r="BS62" s="1407"/>
      <c r="BT62" s="1405">
        <f>BT63+BT64+BT65+BT66</f>
        <v>300910</v>
      </c>
      <c r="BU62" s="1406"/>
      <c r="BV62" s="1406"/>
      <c r="BW62" s="1406"/>
      <c r="BX62" s="1406"/>
      <c r="BY62" s="1406"/>
      <c r="BZ62" s="1407"/>
      <c r="CA62" s="1405">
        <f>CA63+CA64+CA65+CA66</f>
        <v>997</v>
      </c>
      <c r="CB62" s="1406"/>
      <c r="CC62" s="1406"/>
      <c r="CD62" s="1406"/>
      <c r="CE62" s="1406"/>
      <c r="CF62" s="1406"/>
      <c r="CG62" s="1407"/>
      <c r="CH62" s="1405">
        <f t="shared" si="5"/>
        <v>301907</v>
      </c>
      <c r="CI62" s="1406"/>
      <c r="CJ62" s="1406"/>
      <c r="CK62" s="1406"/>
      <c r="CL62" s="1406"/>
      <c r="CM62" s="1406"/>
      <c r="CN62" s="1407"/>
      <c r="CO62" s="1405">
        <f>CO63+CO64+CO65+CO66</f>
        <v>222</v>
      </c>
      <c r="CP62" s="1406"/>
      <c r="CQ62" s="1406"/>
      <c r="CR62" s="1406"/>
      <c r="CS62" s="1406"/>
      <c r="CT62" s="1406"/>
      <c r="CU62" s="1407"/>
      <c r="CV62" s="1405">
        <v>295052</v>
      </c>
      <c r="CW62" s="1406"/>
      <c r="CX62" s="1406"/>
      <c r="CY62" s="1406"/>
      <c r="CZ62" s="1406"/>
      <c r="DA62" s="1406"/>
      <c r="DB62" s="1406"/>
      <c r="DC62" s="1406"/>
      <c r="DD62" s="1407"/>
      <c r="DE62" s="1405">
        <v>295052</v>
      </c>
      <c r="DF62" s="1406"/>
      <c r="DG62" s="1406"/>
      <c r="DH62" s="1406"/>
      <c r="DI62" s="1406"/>
      <c r="DJ62" s="1406"/>
      <c r="DK62" s="1406"/>
      <c r="DL62" s="1406"/>
      <c r="DM62" s="1407"/>
      <c r="DN62" s="1405">
        <v>292234</v>
      </c>
      <c r="DO62" s="1406"/>
      <c r="DP62" s="1406"/>
      <c r="DQ62" s="1406"/>
      <c r="DR62" s="1406"/>
      <c r="DS62" s="1406"/>
      <c r="DT62" s="1407"/>
      <c r="DU62" s="1405">
        <v>2383</v>
      </c>
      <c r="DV62" s="1406"/>
      <c r="DW62" s="1406"/>
      <c r="DX62" s="1406"/>
      <c r="DY62" s="1406"/>
      <c r="DZ62" s="1406"/>
      <c r="EA62" s="1407"/>
      <c r="EB62" s="1405">
        <v>294617</v>
      </c>
      <c r="EC62" s="1406"/>
      <c r="ED62" s="1406"/>
      <c r="EE62" s="1406"/>
      <c r="EF62" s="1406"/>
      <c r="EG62" s="1406"/>
      <c r="EH62" s="1407"/>
      <c r="EI62" s="1405">
        <v>435</v>
      </c>
      <c r="EJ62" s="1406"/>
      <c r="EK62" s="1406"/>
      <c r="EL62" s="1406"/>
      <c r="EM62" s="1406"/>
      <c r="EN62" s="1406"/>
      <c r="EO62" s="1407"/>
      <c r="EP62" s="1411"/>
      <c r="EQ62" s="1412"/>
      <c r="ER62" s="1412"/>
      <c r="ES62" s="1412"/>
      <c r="ET62" s="1412"/>
      <c r="EU62" s="1412"/>
      <c r="EV62" s="1412"/>
      <c r="EW62" s="1412"/>
      <c r="EX62" s="1412"/>
      <c r="EY62" s="1413"/>
    </row>
    <row r="63" spans="1:155" s="430" customFormat="1" ht="8.1" customHeight="1">
      <c r="A63" s="1414" t="s">
        <v>1614</v>
      </c>
      <c r="B63" s="1415"/>
      <c r="C63" s="1415"/>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415"/>
      <c r="AA63" s="1415"/>
      <c r="AB63" s="1415"/>
      <c r="AC63" s="1415"/>
      <c r="AD63" s="1415"/>
      <c r="AE63" s="1415"/>
      <c r="AF63" s="1415"/>
      <c r="AG63" s="1415"/>
      <c r="AH63" s="1415"/>
      <c r="AI63" s="1415"/>
      <c r="AJ63" s="1415"/>
      <c r="AK63" s="1415"/>
      <c r="AL63" s="1415"/>
      <c r="AM63" s="1416"/>
      <c r="AN63" s="1399" t="s">
        <v>121</v>
      </c>
      <c r="AO63" s="1400"/>
      <c r="AP63" s="1400"/>
      <c r="AQ63" s="1400"/>
      <c r="AR63" s="1400"/>
      <c r="AS63" s="1400"/>
      <c r="AT63" s="1400"/>
      <c r="AU63" s="1401"/>
      <c r="AV63" s="1402"/>
      <c r="AW63" s="1403"/>
      <c r="AX63" s="1403"/>
      <c r="AY63" s="1403"/>
      <c r="AZ63" s="1403"/>
      <c r="BA63" s="1404"/>
      <c r="BB63" s="1405">
        <f t="shared" si="6"/>
        <v>147877</v>
      </c>
      <c r="BC63" s="1406"/>
      <c r="BD63" s="1406"/>
      <c r="BE63" s="1406"/>
      <c r="BF63" s="1406"/>
      <c r="BG63" s="1406"/>
      <c r="BH63" s="1406"/>
      <c r="BI63" s="1406"/>
      <c r="BJ63" s="1407"/>
      <c r="BK63" s="1405">
        <f>BB63</f>
        <v>147877</v>
      </c>
      <c r="BL63" s="1406"/>
      <c r="BM63" s="1406"/>
      <c r="BN63" s="1406"/>
      <c r="BO63" s="1406"/>
      <c r="BP63" s="1406"/>
      <c r="BQ63" s="1406"/>
      <c r="BR63" s="1406"/>
      <c r="BS63" s="1407"/>
      <c r="BT63" s="1405">
        <f>131488+16063-55</f>
        <v>147496</v>
      </c>
      <c r="BU63" s="1406"/>
      <c r="BV63" s="1406"/>
      <c r="BW63" s="1406"/>
      <c r="BX63" s="1406"/>
      <c r="BY63" s="1406"/>
      <c r="BZ63" s="1407"/>
      <c r="CA63" s="1405">
        <f>325</f>
        <v>325</v>
      </c>
      <c r="CB63" s="1406"/>
      <c r="CC63" s="1406"/>
      <c r="CD63" s="1406"/>
      <c r="CE63" s="1406"/>
      <c r="CF63" s="1406"/>
      <c r="CG63" s="1407"/>
      <c r="CH63" s="1405">
        <f t="shared" si="5"/>
        <v>147821</v>
      </c>
      <c r="CI63" s="1406"/>
      <c r="CJ63" s="1406"/>
      <c r="CK63" s="1406"/>
      <c r="CL63" s="1406"/>
      <c r="CM63" s="1406"/>
      <c r="CN63" s="1407"/>
      <c r="CO63" s="1405">
        <f>56</f>
        <v>56</v>
      </c>
      <c r="CP63" s="1406"/>
      <c r="CQ63" s="1406"/>
      <c r="CR63" s="1406"/>
      <c r="CS63" s="1406"/>
      <c r="CT63" s="1406"/>
      <c r="CU63" s="1407"/>
      <c r="CV63" s="1405">
        <v>163716</v>
      </c>
      <c r="CW63" s="1406"/>
      <c r="CX63" s="1406"/>
      <c r="CY63" s="1406"/>
      <c r="CZ63" s="1406"/>
      <c r="DA63" s="1406"/>
      <c r="DB63" s="1406"/>
      <c r="DC63" s="1406"/>
      <c r="DD63" s="1407"/>
      <c r="DE63" s="1405">
        <v>163716</v>
      </c>
      <c r="DF63" s="1406"/>
      <c r="DG63" s="1406"/>
      <c r="DH63" s="1406"/>
      <c r="DI63" s="1406"/>
      <c r="DJ63" s="1406"/>
      <c r="DK63" s="1406"/>
      <c r="DL63" s="1406"/>
      <c r="DM63" s="1407"/>
      <c r="DN63" s="1405">
        <v>163145</v>
      </c>
      <c r="DO63" s="1406"/>
      <c r="DP63" s="1406"/>
      <c r="DQ63" s="1406"/>
      <c r="DR63" s="1406"/>
      <c r="DS63" s="1406"/>
      <c r="DT63" s="1407"/>
      <c r="DU63" s="1405">
        <v>419</v>
      </c>
      <c r="DV63" s="1406"/>
      <c r="DW63" s="1406"/>
      <c r="DX63" s="1406"/>
      <c r="DY63" s="1406"/>
      <c r="DZ63" s="1406"/>
      <c r="EA63" s="1407"/>
      <c r="EB63" s="1405">
        <v>163564</v>
      </c>
      <c r="EC63" s="1406"/>
      <c r="ED63" s="1406"/>
      <c r="EE63" s="1406"/>
      <c r="EF63" s="1406"/>
      <c r="EG63" s="1406"/>
      <c r="EH63" s="1407"/>
      <c r="EI63" s="1405">
        <v>152</v>
      </c>
      <c r="EJ63" s="1406"/>
      <c r="EK63" s="1406"/>
      <c r="EL63" s="1406"/>
      <c r="EM63" s="1406"/>
      <c r="EN63" s="1406"/>
      <c r="EO63" s="1407"/>
      <c r="EP63" s="1411"/>
      <c r="EQ63" s="1412"/>
      <c r="ER63" s="1412"/>
      <c r="ES63" s="1412"/>
      <c r="ET63" s="1412"/>
      <c r="EU63" s="1412"/>
      <c r="EV63" s="1412"/>
      <c r="EW63" s="1412"/>
      <c r="EX63" s="1412"/>
      <c r="EY63" s="1413"/>
    </row>
    <row r="64" spans="1:155" s="430" customFormat="1" ht="7.8">
      <c r="A64" s="1414" t="s">
        <v>1615</v>
      </c>
      <c r="B64" s="1415"/>
      <c r="C64" s="1415"/>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1415"/>
      <c r="AB64" s="1415"/>
      <c r="AC64" s="1415"/>
      <c r="AD64" s="1415"/>
      <c r="AE64" s="1415"/>
      <c r="AF64" s="1415"/>
      <c r="AG64" s="1415"/>
      <c r="AH64" s="1415"/>
      <c r="AI64" s="1415"/>
      <c r="AJ64" s="1415"/>
      <c r="AK64" s="1415"/>
      <c r="AL64" s="1415"/>
      <c r="AM64" s="1416"/>
      <c r="AN64" s="1399" t="s">
        <v>121</v>
      </c>
      <c r="AO64" s="1400"/>
      <c r="AP64" s="1400"/>
      <c r="AQ64" s="1400"/>
      <c r="AR64" s="1400"/>
      <c r="AS64" s="1400"/>
      <c r="AT64" s="1400"/>
      <c r="AU64" s="1401"/>
      <c r="AV64" s="1402"/>
      <c r="AW64" s="1403"/>
      <c r="AX64" s="1403"/>
      <c r="AY64" s="1403"/>
      <c r="AZ64" s="1403"/>
      <c r="BA64" s="1404"/>
      <c r="BB64" s="1405">
        <f t="shared" si="6"/>
        <v>0</v>
      </c>
      <c r="BC64" s="1406"/>
      <c r="BD64" s="1406"/>
      <c r="BE64" s="1406"/>
      <c r="BF64" s="1406"/>
      <c r="BG64" s="1406"/>
      <c r="BH64" s="1406"/>
      <c r="BI64" s="1406"/>
      <c r="BJ64" s="1407"/>
      <c r="BK64" s="1405">
        <v>0</v>
      </c>
      <c r="BL64" s="1406"/>
      <c r="BM64" s="1406"/>
      <c r="BN64" s="1406"/>
      <c r="BO64" s="1406"/>
      <c r="BP64" s="1406"/>
      <c r="BQ64" s="1406"/>
      <c r="BR64" s="1406"/>
      <c r="BS64" s="1407"/>
      <c r="BT64" s="1405">
        <v>0</v>
      </c>
      <c r="BU64" s="1406"/>
      <c r="BV64" s="1406"/>
      <c r="BW64" s="1406"/>
      <c r="BX64" s="1406"/>
      <c r="BY64" s="1406"/>
      <c r="BZ64" s="1407"/>
      <c r="CA64" s="1405">
        <v>0</v>
      </c>
      <c r="CB64" s="1406"/>
      <c r="CC64" s="1406"/>
      <c r="CD64" s="1406"/>
      <c r="CE64" s="1406"/>
      <c r="CF64" s="1406"/>
      <c r="CG64" s="1407"/>
      <c r="CH64" s="1405">
        <f t="shared" si="5"/>
        <v>0</v>
      </c>
      <c r="CI64" s="1406"/>
      <c r="CJ64" s="1406"/>
      <c r="CK64" s="1406"/>
      <c r="CL64" s="1406"/>
      <c r="CM64" s="1406"/>
      <c r="CN64" s="1407"/>
      <c r="CO64" s="1405">
        <v>0</v>
      </c>
      <c r="CP64" s="1406"/>
      <c r="CQ64" s="1406"/>
      <c r="CR64" s="1406"/>
      <c r="CS64" s="1406"/>
      <c r="CT64" s="1406"/>
      <c r="CU64" s="1407"/>
      <c r="CV64" s="1405">
        <v>0</v>
      </c>
      <c r="CW64" s="1406"/>
      <c r="CX64" s="1406"/>
      <c r="CY64" s="1406"/>
      <c r="CZ64" s="1406"/>
      <c r="DA64" s="1406"/>
      <c r="DB64" s="1406"/>
      <c r="DC64" s="1406"/>
      <c r="DD64" s="1407"/>
      <c r="DE64" s="1405">
        <v>0</v>
      </c>
      <c r="DF64" s="1406"/>
      <c r="DG64" s="1406"/>
      <c r="DH64" s="1406"/>
      <c r="DI64" s="1406"/>
      <c r="DJ64" s="1406"/>
      <c r="DK64" s="1406"/>
      <c r="DL64" s="1406"/>
      <c r="DM64" s="1407"/>
      <c r="DN64" s="1405">
        <v>0</v>
      </c>
      <c r="DO64" s="1406"/>
      <c r="DP64" s="1406"/>
      <c r="DQ64" s="1406"/>
      <c r="DR64" s="1406"/>
      <c r="DS64" s="1406"/>
      <c r="DT64" s="1407"/>
      <c r="DU64" s="1405">
        <v>0</v>
      </c>
      <c r="DV64" s="1406"/>
      <c r="DW64" s="1406"/>
      <c r="DX64" s="1406"/>
      <c r="DY64" s="1406"/>
      <c r="DZ64" s="1406"/>
      <c r="EA64" s="1407"/>
      <c r="EB64" s="1405">
        <v>0</v>
      </c>
      <c r="EC64" s="1406"/>
      <c r="ED64" s="1406"/>
      <c r="EE64" s="1406"/>
      <c r="EF64" s="1406"/>
      <c r="EG64" s="1406"/>
      <c r="EH64" s="1407"/>
      <c r="EI64" s="1405">
        <v>0</v>
      </c>
      <c r="EJ64" s="1406"/>
      <c r="EK64" s="1406"/>
      <c r="EL64" s="1406"/>
      <c r="EM64" s="1406"/>
      <c r="EN64" s="1406"/>
      <c r="EO64" s="1407"/>
      <c r="EP64" s="1411"/>
      <c r="EQ64" s="1412"/>
      <c r="ER64" s="1412"/>
      <c r="ES64" s="1412"/>
      <c r="ET64" s="1412"/>
      <c r="EU64" s="1412"/>
      <c r="EV64" s="1412"/>
      <c r="EW64" s="1412"/>
      <c r="EX64" s="1412"/>
      <c r="EY64" s="1413"/>
    </row>
    <row r="65" spans="1:155" s="430" customFormat="1" ht="16.5" customHeight="1">
      <c r="A65" s="1414" t="s">
        <v>1616</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6"/>
      <c r="AN65" s="1438" t="s">
        <v>121</v>
      </c>
      <c r="AO65" s="1439"/>
      <c r="AP65" s="1439"/>
      <c r="AQ65" s="1439"/>
      <c r="AR65" s="1439"/>
      <c r="AS65" s="1439"/>
      <c r="AT65" s="1439"/>
      <c r="AU65" s="1440"/>
      <c r="AV65" s="1441"/>
      <c r="AW65" s="1442"/>
      <c r="AX65" s="1442"/>
      <c r="AY65" s="1442"/>
      <c r="AZ65" s="1442"/>
      <c r="BA65" s="1443"/>
      <c r="BB65" s="1405">
        <f t="shared" si="6"/>
        <v>154252</v>
      </c>
      <c r="BC65" s="1406"/>
      <c r="BD65" s="1406"/>
      <c r="BE65" s="1406"/>
      <c r="BF65" s="1406"/>
      <c r="BG65" s="1406"/>
      <c r="BH65" s="1406"/>
      <c r="BI65" s="1406"/>
      <c r="BJ65" s="1407"/>
      <c r="BK65" s="1411">
        <f>BB65</f>
        <v>154252</v>
      </c>
      <c r="BL65" s="1412"/>
      <c r="BM65" s="1412"/>
      <c r="BN65" s="1412"/>
      <c r="BO65" s="1412"/>
      <c r="BP65" s="1412"/>
      <c r="BQ65" s="1412"/>
      <c r="BR65" s="1412"/>
      <c r="BS65" s="1413"/>
      <c r="BT65" s="1405">
        <f>BT34</f>
        <v>153414</v>
      </c>
      <c r="BU65" s="1406"/>
      <c r="BV65" s="1406"/>
      <c r="BW65" s="1406"/>
      <c r="BX65" s="1406"/>
      <c r="BY65" s="1406"/>
      <c r="BZ65" s="1407"/>
      <c r="CA65" s="1405">
        <f>CA34</f>
        <v>672</v>
      </c>
      <c r="CB65" s="1406"/>
      <c r="CC65" s="1406"/>
      <c r="CD65" s="1406"/>
      <c r="CE65" s="1406"/>
      <c r="CF65" s="1406"/>
      <c r="CG65" s="1407"/>
      <c r="CH65" s="1405">
        <f t="shared" si="5"/>
        <v>154086</v>
      </c>
      <c r="CI65" s="1406"/>
      <c r="CJ65" s="1406"/>
      <c r="CK65" s="1406"/>
      <c r="CL65" s="1406"/>
      <c r="CM65" s="1406"/>
      <c r="CN65" s="1407"/>
      <c r="CO65" s="1405">
        <f>CO34</f>
        <v>166</v>
      </c>
      <c r="CP65" s="1406"/>
      <c r="CQ65" s="1406"/>
      <c r="CR65" s="1406"/>
      <c r="CS65" s="1406"/>
      <c r="CT65" s="1406"/>
      <c r="CU65" s="1407"/>
      <c r="CV65" s="1405">
        <v>131336</v>
      </c>
      <c r="CW65" s="1406"/>
      <c r="CX65" s="1406"/>
      <c r="CY65" s="1406"/>
      <c r="CZ65" s="1406"/>
      <c r="DA65" s="1406"/>
      <c r="DB65" s="1406"/>
      <c r="DC65" s="1406"/>
      <c r="DD65" s="1407"/>
      <c r="DE65" s="1405">
        <v>131336</v>
      </c>
      <c r="DF65" s="1406"/>
      <c r="DG65" s="1406"/>
      <c r="DH65" s="1406"/>
      <c r="DI65" s="1406"/>
      <c r="DJ65" s="1406"/>
      <c r="DK65" s="1406"/>
      <c r="DL65" s="1406"/>
      <c r="DM65" s="1407"/>
      <c r="DN65" s="1411">
        <v>129089</v>
      </c>
      <c r="DO65" s="1412"/>
      <c r="DP65" s="1412"/>
      <c r="DQ65" s="1412"/>
      <c r="DR65" s="1412"/>
      <c r="DS65" s="1412"/>
      <c r="DT65" s="1413"/>
      <c r="DU65" s="1411">
        <v>1964</v>
      </c>
      <c r="DV65" s="1412"/>
      <c r="DW65" s="1412"/>
      <c r="DX65" s="1412"/>
      <c r="DY65" s="1412"/>
      <c r="DZ65" s="1412"/>
      <c r="EA65" s="1413"/>
      <c r="EB65" s="1405">
        <v>131053</v>
      </c>
      <c r="EC65" s="1406"/>
      <c r="ED65" s="1406"/>
      <c r="EE65" s="1406"/>
      <c r="EF65" s="1406"/>
      <c r="EG65" s="1406"/>
      <c r="EH65" s="1407"/>
      <c r="EI65" s="1411">
        <v>283</v>
      </c>
      <c r="EJ65" s="1412"/>
      <c r="EK65" s="1412"/>
      <c r="EL65" s="1412"/>
      <c r="EM65" s="1412"/>
      <c r="EN65" s="1412"/>
      <c r="EO65" s="1413"/>
      <c r="EP65" s="1411"/>
      <c r="EQ65" s="1412"/>
      <c r="ER65" s="1412"/>
      <c r="ES65" s="1412"/>
      <c r="ET65" s="1412"/>
      <c r="EU65" s="1412"/>
      <c r="EV65" s="1412"/>
      <c r="EW65" s="1412"/>
      <c r="EX65" s="1412"/>
      <c r="EY65" s="1413"/>
    </row>
    <row r="66" spans="1:155" s="430" customFormat="1" ht="8.1" customHeight="1">
      <c r="A66" s="1414" t="s">
        <v>1617</v>
      </c>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6"/>
      <c r="AN66" s="1399" t="s">
        <v>121</v>
      </c>
      <c r="AO66" s="1400"/>
      <c r="AP66" s="1400"/>
      <c r="AQ66" s="1400"/>
      <c r="AR66" s="1400"/>
      <c r="AS66" s="1400"/>
      <c r="AT66" s="1400"/>
      <c r="AU66" s="1401"/>
      <c r="AV66" s="1402"/>
      <c r="AW66" s="1403"/>
      <c r="AX66" s="1403"/>
      <c r="AY66" s="1403"/>
      <c r="AZ66" s="1403"/>
      <c r="BA66" s="1404"/>
      <c r="BB66" s="1405">
        <f t="shared" si="6"/>
        <v>0</v>
      </c>
      <c r="BC66" s="1406"/>
      <c r="BD66" s="1406"/>
      <c r="BE66" s="1406"/>
      <c r="BF66" s="1406"/>
      <c r="BG66" s="1406"/>
      <c r="BH66" s="1406"/>
      <c r="BI66" s="1406"/>
      <c r="BJ66" s="1407"/>
      <c r="BK66" s="1405">
        <f>BB66</f>
        <v>0</v>
      </c>
      <c r="BL66" s="1406"/>
      <c r="BM66" s="1406"/>
      <c r="BN66" s="1406"/>
      <c r="BO66" s="1406"/>
      <c r="BP66" s="1406"/>
      <c r="BQ66" s="1406"/>
      <c r="BR66" s="1406"/>
      <c r="BS66" s="1407"/>
      <c r="BT66" s="1411"/>
      <c r="BU66" s="1412"/>
      <c r="BV66" s="1412"/>
      <c r="BW66" s="1412"/>
      <c r="BX66" s="1412"/>
      <c r="BY66" s="1412"/>
      <c r="BZ66" s="1413"/>
      <c r="CA66" s="1405"/>
      <c r="CB66" s="1406"/>
      <c r="CC66" s="1406"/>
      <c r="CD66" s="1406"/>
      <c r="CE66" s="1406"/>
      <c r="CF66" s="1406"/>
      <c r="CG66" s="1407"/>
      <c r="CH66" s="1405">
        <f t="shared" si="5"/>
        <v>0</v>
      </c>
      <c r="CI66" s="1406"/>
      <c r="CJ66" s="1406"/>
      <c r="CK66" s="1406"/>
      <c r="CL66" s="1406"/>
      <c r="CM66" s="1406"/>
      <c r="CN66" s="1407"/>
      <c r="CO66" s="1405">
        <v>0</v>
      </c>
      <c r="CP66" s="1406"/>
      <c r="CQ66" s="1406"/>
      <c r="CR66" s="1406"/>
      <c r="CS66" s="1406"/>
      <c r="CT66" s="1406"/>
      <c r="CU66" s="1407"/>
      <c r="CV66" s="1405">
        <v>0</v>
      </c>
      <c r="CW66" s="1406"/>
      <c r="CX66" s="1406"/>
      <c r="CY66" s="1406"/>
      <c r="CZ66" s="1406"/>
      <c r="DA66" s="1406"/>
      <c r="DB66" s="1406"/>
      <c r="DC66" s="1406"/>
      <c r="DD66" s="1407"/>
      <c r="DE66" s="1405">
        <v>0</v>
      </c>
      <c r="DF66" s="1406"/>
      <c r="DG66" s="1406"/>
      <c r="DH66" s="1406"/>
      <c r="DI66" s="1406"/>
      <c r="DJ66" s="1406"/>
      <c r="DK66" s="1406"/>
      <c r="DL66" s="1406"/>
      <c r="DM66" s="1407"/>
      <c r="DN66" s="1405"/>
      <c r="DO66" s="1406"/>
      <c r="DP66" s="1406"/>
      <c r="DQ66" s="1406"/>
      <c r="DR66" s="1406"/>
      <c r="DS66" s="1406"/>
      <c r="DT66" s="1407"/>
      <c r="DU66" s="1405"/>
      <c r="DV66" s="1406"/>
      <c r="DW66" s="1406"/>
      <c r="DX66" s="1406"/>
      <c r="DY66" s="1406"/>
      <c r="DZ66" s="1406"/>
      <c r="EA66" s="1407"/>
      <c r="EB66" s="1405">
        <v>0</v>
      </c>
      <c r="EC66" s="1406"/>
      <c r="ED66" s="1406"/>
      <c r="EE66" s="1406"/>
      <c r="EF66" s="1406"/>
      <c r="EG66" s="1406"/>
      <c r="EH66" s="1407"/>
      <c r="EI66" s="1405">
        <v>0</v>
      </c>
      <c r="EJ66" s="1406"/>
      <c r="EK66" s="1406"/>
      <c r="EL66" s="1406"/>
      <c r="EM66" s="1406"/>
      <c r="EN66" s="1406"/>
      <c r="EO66" s="1407"/>
      <c r="EP66" s="1405"/>
      <c r="EQ66" s="1406"/>
      <c r="ER66" s="1406"/>
      <c r="ES66" s="1406"/>
      <c r="ET66" s="1406"/>
      <c r="EU66" s="1406"/>
      <c r="EV66" s="1406"/>
      <c r="EW66" s="1406"/>
      <c r="EX66" s="1406"/>
      <c r="EY66" s="1407"/>
    </row>
    <row r="67" spans="1:155" s="430" customFormat="1" ht="24.75" customHeight="1">
      <c r="A67" s="1414" t="s">
        <v>1618</v>
      </c>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6"/>
      <c r="AN67" s="1438" t="s">
        <v>121</v>
      </c>
      <c r="AO67" s="1439"/>
      <c r="AP67" s="1439"/>
      <c r="AQ67" s="1439"/>
      <c r="AR67" s="1439"/>
      <c r="AS67" s="1439"/>
      <c r="AT67" s="1439"/>
      <c r="AU67" s="1440"/>
      <c r="AV67" s="1441" t="s">
        <v>1619</v>
      </c>
      <c r="AW67" s="1442"/>
      <c r="AX67" s="1442"/>
      <c r="AY67" s="1442"/>
      <c r="AZ67" s="1442"/>
      <c r="BA67" s="1443"/>
      <c r="BB67" s="1447">
        <f t="shared" si="6"/>
        <v>0</v>
      </c>
      <c r="BC67" s="1447"/>
      <c r="BD67" s="1447"/>
      <c r="BE67" s="1447"/>
      <c r="BF67" s="1447"/>
      <c r="BG67" s="1447"/>
      <c r="BH67" s="1447"/>
      <c r="BI67" s="1447"/>
      <c r="BJ67" s="1447"/>
      <c r="BK67" s="1411">
        <f>BB67</f>
        <v>0</v>
      </c>
      <c r="BL67" s="1412"/>
      <c r="BM67" s="1412"/>
      <c r="BN67" s="1412"/>
      <c r="BO67" s="1412"/>
      <c r="BP67" s="1412"/>
      <c r="BQ67" s="1412"/>
      <c r="BR67" s="1412"/>
      <c r="BS67" s="1413"/>
      <c r="BT67" s="1447"/>
      <c r="BU67" s="1447"/>
      <c r="BV67" s="1447"/>
      <c r="BW67" s="1447"/>
      <c r="BX67" s="1447"/>
      <c r="BY67" s="1447"/>
      <c r="BZ67" s="1447"/>
      <c r="CA67" s="1411"/>
      <c r="CB67" s="1412"/>
      <c r="CC67" s="1412"/>
      <c r="CD67" s="1412"/>
      <c r="CE67" s="1412"/>
      <c r="CF67" s="1412"/>
      <c r="CG67" s="1413"/>
      <c r="CH67" s="1411">
        <f>BT67+CA67</f>
        <v>0</v>
      </c>
      <c r="CI67" s="1412"/>
      <c r="CJ67" s="1412"/>
      <c r="CK67" s="1412"/>
      <c r="CL67" s="1412"/>
      <c r="CM67" s="1412"/>
      <c r="CN67" s="1413"/>
      <c r="CO67" s="1411">
        <v>0</v>
      </c>
      <c r="CP67" s="1412"/>
      <c r="CQ67" s="1412"/>
      <c r="CR67" s="1412"/>
      <c r="CS67" s="1412"/>
      <c r="CT67" s="1412"/>
      <c r="CU67" s="1413"/>
      <c r="CV67" s="1411">
        <v>0</v>
      </c>
      <c r="CW67" s="1412"/>
      <c r="CX67" s="1412"/>
      <c r="CY67" s="1412"/>
      <c r="CZ67" s="1412"/>
      <c r="DA67" s="1412"/>
      <c r="DB67" s="1412"/>
      <c r="DC67" s="1412"/>
      <c r="DD67" s="1413"/>
      <c r="DE67" s="1411">
        <v>0</v>
      </c>
      <c r="DF67" s="1412"/>
      <c r="DG67" s="1412"/>
      <c r="DH67" s="1412"/>
      <c r="DI67" s="1412"/>
      <c r="DJ67" s="1412"/>
      <c r="DK67" s="1412"/>
      <c r="DL67" s="1412"/>
      <c r="DM67" s="1413"/>
      <c r="DN67" s="1411"/>
      <c r="DO67" s="1412"/>
      <c r="DP67" s="1412"/>
      <c r="DQ67" s="1412"/>
      <c r="DR67" s="1412"/>
      <c r="DS67" s="1412"/>
      <c r="DT67" s="1413"/>
      <c r="DU67" s="1411"/>
      <c r="DV67" s="1412"/>
      <c r="DW67" s="1412"/>
      <c r="DX67" s="1412"/>
      <c r="DY67" s="1412"/>
      <c r="DZ67" s="1412"/>
      <c r="EA67" s="1413"/>
      <c r="EB67" s="1447">
        <v>0</v>
      </c>
      <c r="EC67" s="1447"/>
      <c r="ED67" s="1447"/>
      <c r="EE67" s="1447"/>
      <c r="EF67" s="1447"/>
      <c r="EG67" s="1447"/>
      <c r="EH67" s="1447"/>
      <c r="EI67" s="1411">
        <v>0</v>
      </c>
      <c r="EJ67" s="1412"/>
      <c r="EK67" s="1412"/>
      <c r="EL67" s="1412"/>
      <c r="EM67" s="1412"/>
      <c r="EN67" s="1412"/>
      <c r="EO67" s="1413"/>
      <c r="EP67" s="1411"/>
      <c r="EQ67" s="1412"/>
      <c r="ER67" s="1412"/>
      <c r="ES67" s="1412"/>
      <c r="ET67" s="1412"/>
      <c r="EU67" s="1412"/>
      <c r="EV67" s="1412"/>
      <c r="EW67" s="1412"/>
      <c r="EX67" s="1412"/>
      <c r="EY67" s="1413"/>
    </row>
    <row r="68" spans="1:155" ht="3" customHeight="1"/>
    <row r="69" spans="1:155" s="421" customFormat="1" ht="8.1" customHeight="1">
      <c r="A69" s="433" t="s">
        <v>1620</v>
      </c>
    </row>
    <row r="70" spans="1:155" s="425" customFormat="1" ht="8.1" customHeight="1">
      <c r="A70" s="434" t="s">
        <v>1621</v>
      </c>
    </row>
    <row r="71" spans="1:155" s="425" customFormat="1" ht="8.1" customHeight="1">
      <c r="A71" s="434" t="s">
        <v>1622</v>
      </c>
    </row>
    <row r="72" spans="1:155" s="421" customFormat="1" ht="8.25" customHeight="1">
      <c r="A72" s="433" t="s">
        <v>1623</v>
      </c>
    </row>
    <row r="73" spans="1:155" s="421" customFormat="1" ht="9" customHeight="1">
      <c r="A73" s="435"/>
      <c r="EY73" s="422" t="s">
        <v>1624</v>
      </c>
    </row>
    <row r="74" spans="1:155" s="436" customFormat="1" ht="8.1" customHeight="1">
      <c r="A74" s="1448" t="s">
        <v>1625</v>
      </c>
      <c r="B74" s="1448"/>
      <c r="C74" s="1448"/>
      <c r="D74" s="1448"/>
      <c r="E74" s="1448"/>
      <c r="F74" s="1448"/>
      <c r="G74" s="1448"/>
      <c r="H74" s="1448"/>
      <c r="I74" s="1448"/>
      <c r="J74" s="1448"/>
      <c r="K74" s="1448"/>
      <c r="L74" s="1448"/>
      <c r="M74" s="1448"/>
      <c r="N74" s="1448"/>
      <c r="O74" s="1448"/>
      <c r="P74" s="1448"/>
      <c r="Q74" s="1448"/>
      <c r="R74" s="1448"/>
      <c r="S74" s="1448"/>
      <c r="T74" s="1448"/>
      <c r="U74" s="1448"/>
      <c r="V74" s="1448"/>
      <c r="W74" s="1448"/>
      <c r="X74" s="1448"/>
      <c r="Y74" s="1448"/>
      <c r="Z74" s="1448"/>
      <c r="AA74" s="1448"/>
      <c r="AB74" s="1448"/>
      <c r="AC74" s="1448"/>
      <c r="AD74" s="1448"/>
      <c r="AE74" s="1448"/>
      <c r="AF74" s="1448"/>
      <c r="AG74" s="1448"/>
      <c r="AH74" s="1448"/>
      <c r="AI74" s="1448"/>
      <c r="AJ74" s="1448"/>
      <c r="AK74" s="1448"/>
      <c r="AL74" s="1448"/>
      <c r="AM74" s="1448"/>
      <c r="AN74" s="1448"/>
      <c r="AO74" s="1448"/>
      <c r="AP74" s="1448"/>
      <c r="AQ74" s="1448"/>
      <c r="AR74" s="1448"/>
      <c r="AS74" s="1448"/>
      <c r="AT74" s="1448"/>
      <c r="AU74" s="1448"/>
      <c r="AV74" s="1448"/>
      <c r="AW74" s="1448"/>
      <c r="AX74" s="1448"/>
      <c r="AY74" s="1448"/>
      <c r="AZ74" s="1448"/>
      <c r="BA74" s="1448"/>
      <c r="BB74" s="1448"/>
      <c r="BC74" s="1448"/>
      <c r="BD74" s="1448"/>
      <c r="BE74" s="1448"/>
      <c r="BF74" s="1448"/>
      <c r="BG74" s="1448"/>
      <c r="BH74" s="1448"/>
      <c r="BI74" s="1448"/>
      <c r="BJ74" s="1448"/>
      <c r="BK74" s="1448"/>
      <c r="BL74" s="1448"/>
      <c r="BM74" s="1448"/>
      <c r="BN74" s="1448"/>
      <c r="BO74" s="1448"/>
      <c r="BP74" s="1448"/>
      <c r="BQ74" s="1448"/>
      <c r="BR74" s="1448"/>
      <c r="BS74" s="1448"/>
      <c r="BT74" s="1448"/>
      <c r="BU74" s="1448"/>
      <c r="BV74" s="1448"/>
      <c r="BW74" s="1448"/>
      <c r="BX74" s="1448"/>
      <c r="BY74" s="1448"/>
      <c r="BZ74" s="1448"/>
      <c r="CA74" s="1448"/>
      <c r="CB74" s="1448"/>
      <c r="CC74" s="1448"/>
      <c r="CD74" s="1448"/>
      <c r="CE74" s="1448"/>
      <c r="CF74" s="1448"/>
      <c r="CG74" s="1448"/>
      <c r="CH74" s="1448"/>
      <c r="CI74" s="1448"/>
      <c r="CJ74" s="1448"/>
      <c r="CK74" s="1448"/>
      <c r="CL74" s="1448"/>
      <c r="CM74" s="1448"/>
      <c r="CN74" s="1448"/>
      <c r="CO74" s="1448"/>
      <c r="CP74" s="1448"/>
      <c r="CQ74" s="1448"/>
      <c r="CR74" s="1448"/>
      <c r="CS74" s="1448"/>
      <c r="CT74" s="1448"/>
      <c r="CU74" s="1448"/>
      <c r="CV74" s="1448"/>
      <c r="CW74" s="1448"/>
      <c r="CX74" s="1448"/>
      <c r="CY74" s="1448"/>
      <c r="CZ74" s="1448"/>
      <c r="DA74" s="1448"/>
      <c r="DB74" s="1448"/>
      <c r="DC74" s="1448"/>
      <c r="DD74" s="1448"/>
      <c r="DE74" s="1448"/>
      <c r="DF74" s="1448"/>
      <c r="DG74" s="1448"/>
      <c r="DH74" s="1448"/>
      <c r="DI74" s="1448"/>
      <c r="DJ74" s="1448"/>
      <c r="DK74" s="1448"/>
      <c r="DL74" s="1448"/>
      <c r="DM74" s="1448"/>
      <c r="DN74" s="1448"/>
      <c r="DO74" s="1448"/>
      <c r="DP74" s="1448"/>
      <c r="DQ74" s="1448"/>
      <c r="DR74" s="1448"/>
      <c r="DS74" s="1448"/>
      <c r="DT74" s="1448"/>
      <c r="DU74" s="1448"/>
      <c r="DV74" s="1448"/>
      <c r="DW74" s="1448"/>
      <c r="DX74" s="1448"/>
      <c r="DY74" s="1448"/>
      <c r="DZ74" s="1448"/>
      <c r="EA74" s="1448"/>
      <c r="EB74" s="1448"/>
      <c r="EC74" s="1448"/>
      <c r="ED74" s="1448"/>
      <c r="EE74" s="1448"/>
      <c r="EF74" s="1448"/>
      <c r="EG74" s="1448"/>
      <c r="EH74" s="1448"/>
      <c r="EI74" s="1448"/>
      <c r="EJ74" s="1448"/>
      <c r="EK74" s="1448"/>
      <c r="EL74" s="1448"/>
      <c r="EM74" s="1448"/>
      <c r="EN74" s="1448"/>
      <c r="EO74" s="1448"/>
      <c r="EP74" s="1448"/>
      <c r="EQ74" s="1448"/>
      <c r="ER74" s="1448"/>
      <c r="ES74" s="1448"/>
      <c r="ET74" s="1448"/>
      <c r="EU74" s="1448"/>
      <c r="EV74" s="1448"/>
      <c r="EW74" s="1448"/>
      <c r="EX74" s="1448"/>
      <c r="EY74" s="1448"/>
    </row>
    <row r="75" spans="1:155" s="428" customFormat="1" ht="9" customHeight="1">
      <c r="A75" s="1382" t="s">
        <v>111</v>
      </c>
      <c r="B75" s="1383"/>
      <c r="C75" s="1383"/>
      <c r="D75" s="1383"/>
      <c r="E75" s="1383"/>
      <c r="F75" s="1383"/>
      <c r="G75" s="1383"/>
      <c r="H75" s="1383"/>
      <c r="I75" s="1383"/>
      <c r="J75" s="1383"/>
      <c r="K75" s="1383"/>
      <c r="L75" s="1383"/>
      <c r="M75" s="1383"/>
      <c r="N75" s="1383"/>
      <c r="O75" s="1383"/>
      <c r="P75" s="1383"/>
      <c r="Q75" s="1383"/>
      <c r="R75" s="1383"/>
      <c r="S75" s="1383"/>
      <c r="T75" s="1383"/>
      <c r="U75" s="1383"/>
      <c r="V75" s="1383"/>
      <c r="W75" s="1383"/>
      <c r="X75" s="1383"/>
      <c r="Y75" s="1383"/>
      <c r="Z75" s="1383"/>
      <c r="AA75" s="1383"/>
      <c r="AB75" s="1383"/>
      <c r="AC75" s="1383"/>
      <c r="AD75" s="1383"/>
      <c r="AE75" s="1383"/>
      <c r="AF75" s="1383"/>
      <c r="AG75" s="1383"/>
      <c r="AH75" s="1383"/>
      <c r="AI75" s="1383"/>
      <c r="AJ75" s="1383"/>
      <c r="AK75" s="1383"/>
      <c r="AL75" s="1383"/>
      <c r="AM75" s="1384"/>
      <c r="AN75" s="1382" t="s">
        <v>0</v>
      </c>
      <c r="AO75" s="1383"/>
      <c r="AP75" s="1383"/>
      <c r="AQ75" s="1383"/>
      <c r="AR75" s="1383"/>
      <c r="AS75" s="1383"/>
      <c r="AT75" s="1383"/>
      <c r="AU75" s="1384"/>
      <c r="AV75" s="1382" t="s">
        <v>1554</v>
      </c>
      <c r="AW75" s="1383"/>
      <c r="AX75" s="1383"/>
      <c r="AY75" s="1383"/>
      <c r="AZ75" s="1383"/>
      <c r="BA75" s="1384"/>
      <c r="BB75" s="1382" t="s">
        <v>1626</v>
      </c>
      <c r="BC75" s="1383"/>
      <c r="BD75" s="1383"/>
      <c r="BE75" s="1383"/>
      <c r="BF75" s="1383"/>
      <c r="BG75" s="1383"/>
      <c r="BH75" s="1383"/>
      <c r="BI75" s="1383"/>
      <c r="BJ75" s="1384"/>
      <c r="BK75" s="1388" t="s">
        <v>1556</v>
      </c>
      <c r="BL75" s="1388"/>
      <c r="BM75" s="1388"/>
      <c r="BN75" s="1388"/>
      <c r="BO75" s="1388"/>
      <c r="BP75" s="1388"/>
      <c r="BQ75" s="1388"/>
      <c r="BR75" s="1388"/>
      <c r="BS75" s="1388"/>
      <c r="BT75" s="1388" t="s">
        <v>1557</v>
      </c>
      <c r="BU75" s="1388"/>
      <c r="BV75" s="1388"/>
      <c r="BW75" s="1388"/>
      <c r="BX75" s="1388"/>
      <c r="BY75" s="1388"/>
      <c r="BZ75" s="1388"/>
      <c r="CA75" s="1388"/>
      <c r="CB75" s="1388"/>
      <c r="CC75" s="1388"/>
      <c r="CD75" s="1388"/>
      <c r="CE75" s="1388"/>
      <c r="CF75" s="1388"/>
      <c r="CG75" s="1388"/>
      <c r="CH75" s="1388"/>
      <c r="CI75" s="1388"/>
      <c r="CJ75" s="1388"/>
      <c r="CK75" s="1388"/>
      <c r="CL75" s="1388"/>
      <c r="CM75" s="1388"/>
      <c r="CN75" s="1388"/>
      <c r="CO75" s="1388"/>
      <c r="CP75" s="1388"/>
      <c r="CQ75" s="1388"/>
      <c r="CR75" s="1388"/>
      <c r="CS75" s="1388"/>
      <c r="CT75" s="1388"/>
      <c r="CU75" s="1388"/>
      <c r="CV75" s="1388" t="s">
        <v>1627</v>
      </c>
      <c r="CW75" s="1388"/>
      <c r="CX75" s="1388"/>
      <c r="CY75" s="1388"/>
      <c r="CZ75" s="1388"/>
      <c r="DA75" s="1388"/>
      <c r="DB75" s="1388"/>
      <c r="DC75" s="1388"/>
      <c r="DD75" s="1388"/>
      <c r="DE75" s="1388" t="s">
        <v>1559</v>
      </c>
      <c r="DF75" s="1388"/>
      <c r="DG75" s="1388"/>
      <c r="DH75" s="1388"/>
      <c r="DI75" s="1388"/>
      <c r="DJ75" s="1388"/>
      <c r="DK75" s="1388"/>
      <c r="DL75" s="1388"/>
      <c r="DM75" s="1388"/>
      <c r="DN75" s="1388" t="s">
        <v>1560</v>
      </c>
      <c r="DO75" s="1388"/>
      <c r="DP75" s="1388"/>
      <c r="DQ75" s="1388"/>
      <c r="DR75" s="1388"/>
      <c r="DS75" s="1388"/>
      <c r="DT75" s="1388"/>
      <c r="DU75" s="1388"/>
      <c r="DV75" s="1388"/>
      <c r="DW75" s="1388"/>
      <c r="DX75" s="1388"/>
      <c r="DY75" s="1388"/>
      <c r="DZ75" s="1388"/>
      <c r="EA75" s="1388"/>
      <c r="EB75" s="1388"/>
      <c r="EC75" s="1388"/>
      <c r="ED75" s="1388"/>
      <c r="EE75" s="1388"/>
      <c r="EF75" s="1388"/>
      <c r="EG75" s="1388"/>
      <c r="EH75" s="1388"/>
      <c r="EI75" s="1388"/>
      <c r="EJ75" s="1388"/>
      <c r="EK75" s="1388"/>
      <c r="EL75" s="1388"/>
      <c r="EM75" s="1388"/>
      <c r="EN75" s="1388"/>
      <c r="EO75" s="1388"/>
      <c r="EP75" s="1382" t="s">
        <v>1561</v>
      </c>
      <c r="EQ75" s="1383"/>
      <c r="ER75" s="1383"/>
      <c r="ES75" s="1383"/>
      <c r="ET75" s="1383"/>
      <c r="EU75" s="1383"/>
      <c r="EV75" s="1383"/>
      <c r="EW75" s="1383"/>
      <c r="EX75" s="1383"/>
      <c r="EY75" s="1384"/>
    </row>
    <row r="76" spans="1:155" s="428" customFormat="1" ht="66.75" customHeight="1">
      <c r="A76" s="1385"/>
      <c r="B76" s="1386"/>
      <c r="C76" s="1386"/>
      <c r="D76" s="1386"/>
      <c r="E76" s="1386"/>
      <c r="F76" s="1386"/>
      <c r="G76" s="1386"/>
      <c r="H76" s="1386"/>
      <c r="I76" s="1386"/>
      <c r="J76" s="1386"/>
      <c r="K76" s="1386"/>
      <c r="L76" s="1386"/>
      <c r="M76" s="1386"/>
      <c r="N76" s="1386"/>
      <c r="O76" s="1386"/>
      <c r="P76" s="1386"/>
      <c r="Q76" s="1386"/>
      <c r="R76" s="1386"/>
      <c r="S76" s="1386"/>
      <c r="T76" s="1386"/>
      <c r="U76" s="1386"/>
      <c r="V76" s="1386"/>
      <c r="W76" s="1386"/>
      <c r="X76" s="1386"/>
      <c r="Y76" s="1386"/>
      <c r="Z76" s="1386"/>
      <c r="AA76" s="1386"/>
      <c r="AB76" s="1386"/>
      <c r="AC76" s="1386"/>
      <c r="AD76" s="1386"/>
      <c r="AE76" s="1386"/>
      <c r="AF76" s="1386"/>
      <c r="AG76" s="1386"/>
      <c r="AH76" s="1386"/>
      <c r="AI76" s="1386"/>
      <c r="AJ76" s="1386"/>
      <c r="AK76" s="1386"/>
      <c r="AL76" s="1386"/>
      <c r="AM76" s="1387"/>
      <c r="AN76" s="1385"/>
      <c r="AO76" s="1386"/>
      <c r="AP76" s="1386"/>
      <c r="AQ76" s="1386"/>
      <c r="AR76" s="1386"/>
      <c r="AS76" s="1386"/>
      <c r="AT76" s="1386"/>
      <c r="AU76" s="1387"/>
      <c r="AV76" s="1385"/>
      <c r="AW76" s="1386"/>
      <c r="AX76" s="1386"/>
      <c r="AY76" s="1386"/>
      <c r="AZ76" s="1386"/>
      <c r="BA76" s="1387"/>
      <c r="BB76" s="1385"/>
      <c r="BC76" s="1386"/>
      <c r="BD76" s="1386"/>
      <c r="BE76" s="1386"/>
      <c r="BF76" s="1386"/>
      <c r="BG76" s="1386"/>
      <c r="BH76" s="1386"/>
      <c r="BI76" s="1386"/>
      <c r="BJ76" s="1387"/>
      <c r="BK76" s="1388"/>
      <c r="BL76" s="1388"/>
      <c r="BM76" s="1388"/>
      <c r="BN76" s="1388"/>
      <c r="BO76" s="1388"/>
      <c r="BP76" s="1388"/>
      <c r="BQ76" s="1388"/>
      <c r="BR76" s="1388"/>
      <c r="BS76" s="1388"/>
      <c r="BT76" s="1388" t="s">
        <v>1562</v>
      </c>
      <c r="BU76" s="1388"/>
      <c r="BV76" s="1388"/>
      <c r="BW76" s="1388"/>
      <c r="BX76" s="1388"/>
      <c r="BY76" s="1388"/>
      <c r="BZ76" s="1388"/>
      <c r="CA76" s="1388" t="s">
        <v>1563</v>
      </c>
      <c r="CB76" s="1388"/>
      <c r="CC76" s="1388"/>
      <c r="CD76" s="1388"/>
      <c r="CE76" s="1388"/>
      <c r="CF76" s="1388"/>
      <c r="CG76" s="1388"/>
      <c r="CH76" s="1388" t="s">
        <v>1564</v>
      </c>
      <c r="CI76" s="1388"/>
      <c r="CJ76" s="1388"/>
      <c r="CK76" s="1388"/>
      <c r="CL76" s="1388"/>
      <c r="CM76" s="1388"/>
      <c r="CN76" s="1388"/>
      <c r="CO76" s="1388" t="s">
        <v>1565</v>
      </c>
      <c r="CP76" s="1388"/>
      <c r="CQ76" s="1388"/>
      <c r="CR76" s="1388"/>
      <c r="CS76" s="1388"/>
      <c r="CT76" s="1388"/>
      <c r="CU76" s="1388"/>
      <c r="CV76" s="1388"/>
      <c r="CW76" s="1388"/>
      <c r="CX76" s="1388"/>
      <c r="CY76" s="1388"/>
      <c r="CZ76" s="1388"/>
      <c r="DA76" s="1388"/>
      <c r="DB76" s="1388"/>
      <c r="DC76" s="1388"/>
      <c r="DD76" s="1388"/>
      <c r="DE76" s="1388"/>
      <c r="DF76" s="1388"/>
      <c r="DG76" s="1388"/>
      <c r="DH76" s="1388"/>
      <c r="DI76" s="1388"/>
      <c r="DJ76" s="1388"/>
      <c r="DK76" s="1388"/>
      <c r="DL76" s="1388"/>
      <c r="DM76" s="1388"/>
      <c r="DN76" s="1388" t="s">
        <v>1562</v>
      </c>
      <c r="DO76" s="1388"/>
      <c r="DP76" s="1388"/>
      <c r="DQ76" s="1388"/>
      <c r="DR76" s="1388"/>
      <c r="DS76" s="1388"/>
      <c r="DT76" s="1388"/>
      <c r="DU76" s="1388" t="s">
        <v>1563</v>
      </c>
      <c r="DV76" s="1388"/>
      <c r="DW76" s="1388"/>
      <c r="DX76" s="1388"/>
      <c r="DY76" s="1388"/>
      <c r="DZ76" s="1388"/>
      <c r="EA76" s="1388"/>
      <c r="EB76" s="1388" t="s">
        <v>1564</v>
      </c>
      <c r="EC76" s="1388"/>
      <c r="ED76" s="1388"/>
      <c r="EE76" s="1388"/>
      <c r="EF76" s="1388"/>
      <c r="EG76" s="1388"/>
      <c r="EH76" s="1388"/>
      <c r="EI76" s="1388" t="s">
        <v>1565</v>
      </c>
      <c r="EJ76" s="1388"/>
      <c r="EK76" s="1388"/>
      <c r="EL76" s="1388"/>
      <c r="EM76" s="1388"/>
      <c r="EN76" s="1388"/>
      <c r="EO76" s="1388"/>
      <c r="EP76" s="1385"/>
      <c r="EQ76" s="1386"/>
      <c r="ER76" s="1386"/>
      <c r="ES76" s="1386"/>
      <c r="ET76" s="1386"/>
      <c r="EU76" s="1386"/>
      <c r="EV76" s="1386"/>
      <c r="EW76" s="1386"/>
      <c r="EX76" s="1386"/>
      <c r="EY76" s="1387"/>
    </row>
    <row r="77" spans="1:155" s="429" customFormat="1" ht="18.75" customHeight="1">
      <c r="A77" s="1393">
        <v>1</v>
      </c>
      <c r="B77" s="1394"/>
      <c r="C77" s="1394"/>
      <c r="D77" s="1394"/>
      <c r="E77" s="1394"/>
      <c r="F77" s="1394"/>
      <c r="G77" s="1394"/>
      <c r="H77" s="1394"/>
      <c r="I77" s="1394"/>
      <c r="J77" s="1394"/>
      <c r="K77" s="1394"/>
      <c r="L77" s="1394"/>
      <c r="M77" s="1394"/>
      <c r="N77" s="1394"/>
      <c r="O77" s="1394"/>
      <c r="P77" s="1394"/>
      <c r="Q77" s="1394"/>
      <c r="R77" s="1394"/>
      <c r="S77" s="1394"/>
      <c r="T77" s="1394"/>
      <c r="U77" s="1394"/>
      <c r="V77" s="1394"/>
      <c r="W77" s="1394"/>
      <c r="X77" s="1394"/>
      <c r="Y77" s="1394"/>
      <c r="Z77" s="1394"/>
      <c r="AA77" s="1394"/>
      <c r="AB77" s="1394"/>
      <c r="AC77" s="1394"/>
      <c r="AD77" s="1394"/>
      <c r="AE77" s="1394"/>
      <c r="AF77" s="1394"/>
      <c r="AG77" s="1394"/>
      <c r="AH77" s="1394"/>
      <c r="AI77" s="1394"/>
      <c r="AJ77" s="1394"/>
      <c r="AK77" s="1394"/>
      <c r="AL77" s="1394"/>
      <c r="AM77" s="1395"/>
      <c r="AN77" s="1389">
        <v>2</v>
      </c>
      <c r="AO77" s="1389"/>
      <c r="AP77" s="1389"/>
      <c r="AQ77" s="1389"/>
      <c r="AR77" s="1389"/>
      <c r="AS77" s="1389"/>
      <c r="AT77" s="1389"/>
      <c r="AU77" s="1389"/>
      <c r="AV77" s="1389">
        <v>3</v>
      </c>
      <c r="AW77" s="1389"/>
      <c r="AX77" s="1389"/>
      <c r="AY77" s="1389"/>
      <c r="AZ77" s="1389"/>
      <c r="BA77" s="1389"/>
      <c r="BB77" s="1389">
        <v>4</v>
      </c>
      <c r="BC77" s="1389"/>
      <c r="BD77" s="1389"/>
      <c r="BE77" s="1389"/>
      <c r="BF77" s="1389"/>
      <c r="BG77" s="1389"/>
      <c r="BH77" s="1389"/>
      <c r="BI77" s="1389"/>
      <c r="BJ77" s="1389"/>
      <c r="BK77" s="1389">
        <v>5</v>
      </c>
      <c r="BL77" s="1389"/>
      <c r="BM77" s="1389"/>
      <c r="BN77" s="1389"/>
      <c r="BO77" s="1389"/>
      <c r="BP77" s="1389"/>
      <c r="BQ77" s="1389"/>
      <c r="BR77" s="1389"/>
      <c r="BS77" s="1389"/>
      <c r="BT77" s="1389">
        <v>6</v>
      </c>
      <c r="BU77" s="1389"/>
      <c r="BV77" s="1389"/>
      <c r="BW77" s="1389"/>
      <c r="BX77" s="1389"/>
      <c r="BY77" s="1389"/>
      <c r="BZ77" s="1389"/>
      <c r="CA77" s="1389">
        <v>7</v>
      </c>
      <c r="CB77" s="1389"/>
      <c r="CC77" s="1389"/>
      <c r="CD77" s="1389"/>
      <c r="CE77" s="1389"/>
      <c r="CF77" s="1389"/>
      <c r="CG77" s="1389"/>
      <c r="CH77" s="1390" t="s">
        <v>1566</v>
      </c>
      <c r="CI77" s="1391"/>
      <c r="CJ77" s="1391"/>
      <c r="CK77" s="1391"/>
      <c r="CL77" s="1391"/>
      <c r="CM77" s="1391"/>
      <c r="CN77" s="1392"/>
      <c r="CO77" s="1389">
        <v>9</v>
      </c>
      <c r="CP77" s="1389"/>
      <c r="CQ77" s="1389"/>
      <c r="CR77" s="1389"/>
      <c r="CS77" s="1389"/>
      <c r="CT77" s="1389"/>
      <c r="CU77" s="1389"/>
      <c r="CV77" s="1453">
        <v>10</v>
      </c>
      <c r="CW77" s="1453"/>
      <c r="CX77" s="1453"/>
      <c r="CY77" s="1453"/>
      <c r="CZ77" s="1453"/>
      <c r="DA77" s="1453"/>
      <c r="DB77" s="1453"/>
      <c r="DC77" s="1453"/>
      <c r="DD77" s="1453"/>
      <c r="DE77" s="1453">
        <v>11</v>
      </c>
      <c r="DF77" s="1453"/>
      <c r="DG77" s="1453"/>
      <c r="DH77" s="1453"/>
      <c r="DI77" s="1453"/>
      <c r="DJ77" s="1453"/>
      <c r="DK77" s="1453"/>
      <c r="DL77" s="1453"/>
      <c r="DM77" s="1453"/>
      <c r="DN77" s="1453">
        <v>12</v>
      </c>
      <c r="DO77" s="1453"/>
      <c r="DP77" s="1453"/>
      <c r="DQ77" s="1453"/>
      <c r="DR77" s="1453"/>
      <c r="DS77" s="1453"/>
      <c r="DT77" s="1453"/>
      <c r="DU77" s="1453">
        <v>13</v>
      </c>
      <c r="DV77" s="1453"/>
      <c r="DW77" s="1453"/>
      <c r="DX77" s="1453"/>
      <c r="DY77" s="1453"/>
      <c r="DZ77" s="1453"/>
      <c r="EA77" s="1453"/>
      <c r="EB77" s="1390" t="s">
        <v>1567</v>
      </c>
      <c r="EC77" s="1391"/>
      <c r="ED77" s="1391"/>
      <c r="EE77" s="1391"/>
      <c r="EF77" s="1391"/>
      <c r="EG77" s="1391"/>
      <c r="EH77" s="1392"/>
      <c r="EI77" s="1393">
        <v>15</v>
      </c>
      <c r="EJ77" s="1394"/>
      <c r="EK77" s="1394"/>
      <c r="EL77" s="1394"/>
      <c r="EM77" s="1394"/>
      <c r="EN77" s="1394"/>
      <c r="EO77" s="1395"/>
      <c r="EP77" s="1389">
        <v>16</v>
      </c>
      <c r="EQ77" s="1389"/>
      <c r="ER77" s="1389"/>
      <c r="ES77" s="1389"/>
      <c r="ET77" s="1389"/>
      <c r="EU77" s="1389"/>
      <c r="EV77" s="1389"/>
      <c r="EW77" s="1389"/>
      <c r="EX77" s="1389"/>
      <c r="EY77" s="1389"/>
    </row>
    <row r="78" spans="1:155" s="430" customFormat="1" ht="8.1" customHeight="1">
      <c r="A78" s="1456" t="s">
        <v>1628</v>
      </c>
      <c r="B78" s="1456"/>
      <c r="C78" s="1456"/>
      <c r="D78" s="1456"/>
      <c r="E78" s="1456"/>
      <c r="F78" s="1456"/>
      <c r="G78" s="1456"/>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456"/>
      <c r="AM78" s="1456"/>
      <c r="AN78" s="1449" t="s">
        <v>121</v>
      </c>
      <c r="AO78" s="1449"/>
      <c r="AP78" s="1449"/>
      <c r="AQ78" s="1449"/>
      <c r="AR78" s="1449"/>
      <c r="AS78" s="1449"/>
      <c r="AT78" s="1449"/>
      <c r="AU78" s="1449"/>
      <c r="AV78" s="1455" t="s">
        <v>1629</v>
      </c>
      <c r="AW78" s="1455"/>
      <c r="AX78" s="1455"/>
      <c r="AY78" s="1455"/>
      <c r="AZ78" s="1455"/>
      <c r="BA78" s="1455"/>
      <c r="BB78" s="1450">
        <v>767479</v>
      </c>
      <c r="BC78" s="1450"/>
      <c r="BD78" s="1450"/>
      <c r="BE78" s="1450"/>
      <c r="BF78" s="1450"/>
      <c r="BG78" s="1450"/>
      <c r="BH78" s="1450"/>
      <c r="BI78" s="1450"/>
      <c r="BJ78" s="1450"/>
      <c r="BK78" s="1450">
        <v>767479</v>
      </c>
      <c r="BL78" s="1450"/>
      <c r="BM78" s="1450"/>
      <c r="BN78" s="1450"/>
      <c r="BO78" s="1450"/>
      <c r="BP78" s="1450"/>
      <c r="BQ78" s="1450"/>
      <c r="BR78" s="1450"/>
      <c r="BS78" s="1450"/>
      <c r="BT78" s="1449" t="s">
        <v>118</v>
      </c>
      <c r="BU78" s="1449"/>
      <c r="BV78" s="1449"/>
      <c r="BW78" s="1449"/>
      <c r="BX78" s="1449"/>
      <c r="BY78" s="1449"/>
      <c r="BZ78" s="1449"/>
      <c r="CA78" s="1449" t="s">
        <v>118</v>
      </c>
      <c r="CB78" s="1449"/>
      <c r="CC78" s="1449"/>
      <c r="CD78" s="1449"/>
      <c r="CE78" s="1449"/>
      <c r="CF78" s="1449"/>
      <c r="CG78" s="1449"/>
      <c r="CH78" s="1449" t="s">
        <v>118</v>
      </c>
      <c r="CI78" s="1449"/>
      <c r="CJ78" s="1449"/>
      <c r="CK78" s="1449"/>
      <c r="CL78" s="1449"/>
      <c r="CM78" s="1449"/>
      <c r="CN78" s="1449"/>
      <c r="CO78" s="1449" t="s">
        <v>118</v>
      </c>
      <c r="CP78" s="1449"/>
      <c r="CQ78" s="1449"/>
      <c r="CR78" s="1449"/>
      <c r="CS78" s="1449"/>
      <c r="CT78" s="1449"/>
      <c r="CU78" s="1449"/>
      <c r="CV78" s="1451">
        <v>1337238</v>
      </c>
      <c r="CW78" s="1451"/>
      <c r="CX78" s="1451"/>
      <c r="CY78" s="1451"/>
      <c r="CZ78" s="1451"/>
      <c r="DA78" s="1451"/>
      <c r="DB78" s="1451"/>
      <c r="DC78" s="1451"/>
      <c r="DD78" s="1451"/>
      <c r="DE78" s="1451">
        <v>1337238</v>
      </c>
      <c r="DF78" s="1451"/>
      <c r="DG78" s="1451"/>
      <c r="DH78" s="1451"/>
      <c r="DI78" s="1451"/>
      <c r="DJ78" s="1451"/>
      <c r="DK78" s="1451"/>
      <c r="DL78" s="1451"/>
      <c r="DM78" s="1451"/>
      <c r="DN78" s="1452" t="s">
        <v>118</v>
      </c>
      <c r="DO78" s="1452"/>
      <c r="DP78" s="1452"/>
      <c r="DQ78" s="1452"/>
      <c r="DR78" s="1452"/>
      <c r="DS78" s="1452"/>
      <c r="DT78" s="1452"/>
      <c r="DU78" s="1452" t="s">
        <v>118</v>
      </c>
      <c r="DV78" s="1452"/>
      <c r="DW78" s="1452"/>
      <c r="DX78" s="1452"/>
      <c r="DY78" s="1452"/>
      <c r="DZ78" s="1452"/>
      <c r="EA78" s="1452"/>
      <c r="EB78" s="1449" t="s">
        <v>118</v>
      </c>
      <c r="EC78" s="1449"/>
      <c r="ED78" s="1449"/>
      <c r="EE78" s="1449"/>
      <c r="EF78" s="1449"/>
      <c r="EG78" s="1449"/>
      <c r="EH78" s="1449"/>
      <c r="EI78" s="1449" t="s">
        <v>118</v>
      </c>
      <c r="EJ78" s="1449"/>
      <c r="EK78" s="1449"/>
      <c r="EL78" s="1449"/>
      <c r="EM78" s="1449"/>
      <c r="EN78" s="1449"/>
      <c r="EO78" s="1449"/>
      <c r="EP78" s="1450"/>
      <c r="EQ78" s="1450"/>
      <c r="ER78" s="1450"/>
      <c r="ES78" s="1450"/>
      <c r="ET78" s="1450"/>
      <c r="EU78" s="1450"/>
      <c r="EV78" s="1450"/>
      <c r="EW78" s="1450"/>
      <c r="EX78" s="1450"/>
      <c r="EY78" s="1450"/>
    </row>
    <row r="79" spans="1:155" s="430" customFormat="1" ht="8.1" customHeight="1">
      <c r="A79" s="1454" t="s">
        <v>1630</v>
      </c>
      <c r="B79" s="1454"/>
      <c r="C79" s="1454"/>
      <c r="D79" s="1454"/>
      <c r="E79" s="1454"/>
      <c r="F79" s="1454"/>
      <c r="G79" s="1454"/>
      <c r="H79" s="1454"/>
      <c r="I79" s="1454"/>
      <c r="J79" s="1454"/>
      <c r="K79" s="1454"/>
      <c r="L79" s="1454"/>
      <c r="M79" s="1454"/>
      <c r="N79" s="1454"/>
      <c r="O79" s="1454"/>
      <c r="P79" s="1454"/>
      <c r="Q79" s="1454"/>
      <c r="R79" s="1454"/>
      <c r="S79" s="1454"/>
      <c r="T79" s="1454"/>
      <c r="U79" s="1454"/>
      <c r="V79" s="1454"/>
      <c r="W79" s="1454"/>
      <c r="X79" s="1454"/>
      <c r="Y79" s="1454"/>
      <c r="Z79" s="1454"/>
      <c r="AA79" s="1454"/>
      <c r="AB79" s="1454"/>
      <c r="AC79" s="1454"/>
      <c r="AD79" s="1454"/>
      <c r="AE79" s="1454"/>
      <c r="AF79" s="1454"/>
      <c r="AG79" s="1454"/>
      <c r="AH79" s="1454"/>
      <c r="AI79" s="1454"/>
      <c r="AJ79" s="1454"/>
      <c r="AK79" s="1454"/>
      <c r="AL79" s="1454"/>
      <c r="AM79" s="1454"/>
      <c r="AN79" s="1449" t="s">
        <v>121</v>
      </c>
      <c r="AO79" s="1449"/>
      <c r="AP79" s="1449"/>
      <c r="AQ79" s="1449"/>
      <c r="AR79" s="1449"/>
      <c r="AS79" s="1449"/>
      <c r="AT79" s="1449"/>
      <c r="AU79" s="1449"/>
      <c r="AV79" s="1455" t="s">
        <v>63</v>
      </c>
      <c r="AW79" s="1455"/>
      <c r="AX79" s="1455"/>
      <c r="AY79" s="1455"/>
      <c r="AZ79" s="1455"/>
      <c r="BA79" s="1455"/>
      <c r="BB79" s="1449" t="s">
        <v>118</v>
      </c>
      <c r="BC79" s="1449"/>
      <c r="BD79" s="1449"/>
      <c r="BE79" s="1449"/>
      <c r="BF79" s="1449"/>
      <c r="BG79" s="1449"/>
      <c r="BH79" s="1449"/>
      <c r="BI79" s="1449"/>
      <c r="BJ79" s="1449"/>
      <c r="BK79" s="1449" t="s">
        <v>118</v>
      </c>
      <c r="BL79" s="1449"/>
      <c r="BM79" s="1449"/>
      <c r="BN79" s="1449"/>
      <c r="BO79" s="1449"/>
      <c r="BP79" s="1449"/>
      <c r="BQ79" s="1449"/>
      <c r="BR79" s="1449"/>
      <c r="BS79" s="1449"/>
      <c r="BT79" s="1447">
        <v>47945</v>
      </c>
      <c r="BU79" s="1447"/>
      <c r="BV79" s="1447"/>
      <c r="BW79" s="1447"/>
      <c r="BX79" s="1447"/>
      <c r="BY79" s="1447"/>
      <c r="BZ79" s="1447"/>
      <c r="CA79" s="1447">
        <v>41541</v>
      </c>
      <c r="CB79" s="1447"/>
      <c r="CC79" s="1447"/>
      <c r="CD79" s="1447"/>
      <c r="CE79" s="1447"/>
      <c r="CF79" s="1447"/>
      <c r="CG79" s="1447"/>
      <c r="CH79" s="1449" t="s">
        <v>118</v>
      </c>
      <c r="CI79" s="1449"/>
      <c r="CJ79" s="1449"/>
      <c r="CK79" s="1449"/>
      <c r="CL79" s="1449"/>
      <c r="CM79" s="1449"/>
      <c r="CN79" s="1449"/>
      <c r="CO79" s="1449" t="s">
        <v>118</v>
      </c>
      <c r="CP79" s="1449"/>
      <c r="CQ79" s="1449"/>
      <c r="CR79" s="1449"/>
      <c r="CS79" s="1449"/>
      <c r="CT79" s="1449"/>
      <c r="CU79" s="1449"/>
      <c r="CV79" s="1452" t="s">
        <v>118</v>
      </c>
      <c r="CW79" s="1452"/>
      <c r="CX79" s="1452"/>
      <c r="CY79" s="1452"/>
      <c r="CZ79" s="1452"/>
      <c r="DA79" s="1452"/>
      <c r="DB79" s="1452"/>
      <c r="DC79" s="1452"/>
      <c r="DD79" s="1452"/>
      <c r="DE79" s="1452" t="s">
        <v>118</v>
      </c>
      <c r="DF79" s="1452"/>
      <c r="DG79" s="1452"/>
      <c r="DH79" s="1452"/>
      <c r="DI79" s="1452"/>
      <c r="DJ79" s="1452"/>
      <c r="DK79" s="1452"/>
      <c r="DL79" s="1452"/>
      <c r="DM79" s="1452"/>
      <c r="DN79" s="1451">
        <v>755692</v>
      </c>
      <c r="DO79" s="1451"/>
      <c r="DP79" s="1451"/>
      <c r="DQ79" s="1451"/>
      <c r="DR79" s="1451"/>
      <c r="DS79" s="1451"/>
      <c r="DT79" s="1451"/>
      <c r="DU79" s="1451">
        <v>12120</v>
      </c>
      <c r="DV79" s="1451"/>
      <c r="DW79" s="1451"/>
      <c r="DX79" s="1451"/>
      <c r="DY79" s="1451"/>
      <c r="DZ79" s="1451"/>
      <c r="EA79" s="1451"/>
      <c r="EB79" s="1449" t="s">
        <v>118</v>
      </c>
      <c r="EC79" s="1449"/>
      <c r="ED79" s="1449"/>
      <c r="EE79" s="1449"/>
      <c r="EF79" s="1449"/>
      <c r="EG79" s="1449"/>
      <c r="EH79" s="1449"/>
      <c r="EI79" s="1449" t="s">
        <v>118</v>
      </c>
      <c r="EJ79" s="1449"/>
      <c r="EK79" s="1449"/>
      <c r="EL79" s="1449"/>
      <c r="EM79" s="1449"/>
      <c r="EN79" s="1449"/>
      <c r="EO79" s="1449"/>
      <c r="EP79" s="1450"/>
      <c r="EQ79" s="1450"/>
      <c r="ER79" s="1450"/>
      <c r="ES79" s="1450"/>
      <c r="ET79" s="1450"/>
      <c r="EU79" s="1450"/>
      <c r="EV79" s="1450"/>
      <c r="EW79" s="1450"/>
      <c r="EX79" s="1450"/>
      <c r="EY79" s="1450"/>
    </row>
    <row r="80" spans="1:155" s="430" customFormat="1" ht="32.25" customHeight="1">
      <c r="A80" s="1456" t="s">
        <v>1631</v>
      </c>
      <c r="B80" s="1456"/>
      <c r="C80" s="1456"/>
      <c r="D80" s="1456"/>
      <c r="E80" s="1456"/>
      <c r="F80" s="1456"/>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456"/>
      <c r="AM80" s="1456"/>
      <c r="AN80" s="1449" t="s">
        <v>121</v>
      </c>
      <c r="AO80" s="1449"/>
      <c r="AP80" s="1449"/>
      <c r="AQ80" s="1449"/>
      <c r="AR80" s="1449"/>
      <c r="AS80" s="1449"/>
      <c r="AT80" s="1449"/>
      <c r="AU80" s="1449"/>
      <c r="AV80" s="1455" t="s">
        <v>1632</v>
      </c>
      <c r="AW80" s="1455"/>
      <c r="AX80" s="1455"/>
      <c r="AY80" s="1455"/>
      <c r="AZ80" s="1455"/>
      <c r="BA80" s="1455"/>
      <c r="BB80" s="1449" t="s">
        <v>118</v>
      </c>
      <c r="BC80" s="1449"/>
      <c r="BD80" s="1449"/>
      <c r="BE80" s="1449"/>
      <c r="BF80" s="1449"/>
      <c r="BG80" s="1449"/>
      <c r="BH80" s="1449"/>
      <c r="BI80" s="1449"/>
      <c r="BJ80" s="1449"/>
      <c r="BK80" s="1449" t="s">
        <v>118</v>
      </c>
      <c r="BL80" s="1449"/>
      <c r="BM80" s="1449"/>
      <c r="BN80" s="1449"/>
      <c r="BO80" s="1449"/>
      <c r="BP80" s="1449"/>
      <c r="BQ80" s="1449"/>
      <c r="BR80" s="1449"/>
      <c r="BS80" s="1449"/>
      <c r="BT80" s="1450">
        <v>2500000</v>
      </c>
      <c r="BU80" s="1450"/>
      <c r="BV80" s="1450"/>
      <c r="BW80" s="1450"/>
      <c r="BX80" s="1450"/>
      <c r="BY80" s="1450"/>
      <c r="BZ80" s="1450"/>
      <c r="CA80" s="1450"/>
      <c r="CB80" s="1450"/>
      <c r="CC80" s="1450"/>
      <c r="CD80" s="1450"/>
      <c r="CE80" s="1450"/>
      <c r="CF80" s="1450"/>
      <c r="CG80" s="1450"/>
      <c r="CH80" s="1449" t="s">
        <v>118</v>
      </c>
      <c r="CI80" s="1449"/>
      <c r="CJ80" s="1449"/>
      <c r="CK80" s="1449"/>
      <c r="CL80" s="1449"/>
      <c r="CM80" s="1449"/>
      <c r="CN80" s="1449"/>
      <c r="CO80" s="1449" t="s">
        <v>118</v>
      </c>
      <c r="CP80" s="1449"/>
      <c r="CQ80" s="1449"/>
      <c r="CR80" s="1449"/>
      <c r="CS80" s="1449"/>
      <c r="CT80" s="1449"/>
      <c r="CU80" s="1449"/>
      <c r="CV80" s="1449" t="s">
        <v>118</v>
      </c>
      <c r="CW80" s="1449"/>
      <c r="CX80" s="1449"/>
      <c r="CY80" s="1449"/>
      <c r="CZ80" s="1449"/>
      <c r="DA80" s="1449"/>
      <c r="DB80" s="1449"/>
      <c r="DC80" s="1449"/>
      <c r="DD80" s="1449"/>
      <c r="DE80" s="1449" t="s">
        <v>118</v>
      </c>
      <c r="DF80" s="1449"/>
      <c r="DG80" s="1449"/>
      <c r="DH80" s="1449"/>
      <c r="DI80" s="1449"/>
      <c r="DJ80" s="1449"/>
      <c r="DK80" s="1449"/>
      <c r="DL80" s="1449"/>
      <c r="DM80" s="1449"/>
      <c r="DN80" s="1450">
        <v>3522500</v>
      </c>
      <c r="DO80" s="1450"/>
      <c r="DP80" s="1450"/>
      <c r="DQ80" s="1450"/>
      <c r="DR80" s="1450"/>
      <c r="DS80" s="1450"/>
      <c r="DT80" s="1450"/>
      <c r="DU80" s="1450"/>
      <c r="DV80" s="1450"/>
      <c r="DW80" s="1450"/>
      <c r="DX80" s="1450"/>
      <c r="DY80" s="1450"/>
      <c r="DZ80" s="1450"/>
      <c r="EA80" s="1450"/>
      <c r="EB80" s="1449" t="s">
        <v>118</v>
      </c>
      <c r="EC80" s="1449"/>
      <c r="ED80" s="1449"/>
      <c r="EE80" s="1449"/>
      <c r="EF80" s="1449"/>
      <c r="EG80" s="1449"/>
      <c r="EH80" s="1449"/>
      <c r="EI80" s="1449" t="s">
        <v>118</v>
      </c>
      <c r="EJ80" s="1449"/>
      <c r="EK80" s="1449"/>
      <c r="EL80" s="1449"/>
      <c r="EM80" s="1449"/>
      <c r="EN80" s="1449"/>
      <c r="EO80" s="1449"/>
      <c r="EP80" s="1450"/>
      <c r="EQ80" s="1450"/>
      <c r="ER80" s="1450"/>
      <c r="ES80" s="1450"/>
      <c r="ET80" s="1450"/>
      <c r="EU80" s="1450"/>
      <c r="EV80" s="1450"/>
      <c r="EW80" s="1450"/>
      <c r="EX80" s="1450"/>
      <c r="EY80" s="1450"/>
    </row>
    <row r="81" spans="1:155" s="430" customFormat="1" ht="32.25" customHeight="1">
      <c r="A81" s="1456" t="s">
        <v>1633</v>
      </c>
      <c r="B81" s="1456"/>
      <c r="C81" s="1456"/>
      <c r="D81" s="1456"/>
      <c r="E81" s="1456"/>
      <c r="F81" s="1456"/>
      <c r="G81" s="1456"/>
      <c r="H81" s="1456"/>
      <c r="I81" s="1456"/>
      <c r="J81" s="1456"/>
      <c r="K81" s="1456"/>
      <c r="L81" s="1456"/>
      <c r="M81" s="1456"/>
      <c r="N81" s="1456"/>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456"/>
      <c r="AK81" s="1456"/>
      <c r="AL81" s="1456"/>
      <c r="AM81" s="1456"/>
      <c r="AN81" s="1449" t="s">
        <v>121</v>
      </c>
      <c r="AO81" s="1449"/>
      <c r="AP81" s="1449"/>
      <c r="AQ81" s="1449"/>
      <c r="AR81" s="1449"/>
      <c r="AS81" s="1449"/>
      <c r="AT81" s="1449"/>
      <c r="AU81" s="1449"/>
      <c r="AV81" s="1455" t="s">
        <v>1634</v>
      </c>
      <c r="AW81" s="1455"/>
      <c r="AX81" s="1455"/>
      <c r="AY81" s="1455"/>
      <c r="AZ81" s="1455"/>
      <c r="BA81" s="1455"/>
      <c r="BB81" s="1449" t="s">
        <v>118</v>
      </c>
      <c r="BC81" s="1449"/>
      <c r="BD81" s="1449"/>
      <c r="BE81" s="1449"/>
      <c r="BF81" s="1449"/>
      <c r="BG81" s="1449"/>
      <c r="BH81" s="1449"/>
      <c r="BI81" s="1449"/>
      <c r="BJ81" s="1449"/>
      <c r="BK81" s="1449" t="s">
        <v>118</v>
      </c>
      <c r="BL81" s="1449"/>
      <c r="BM81" s="1449"/>
      <c r="BN81" s="1449"/>
      <c r="BO81" s="1449"/>
      <c r="BP81" s="1449"/>
      <c r="BQ81" s="1449"/>
      <c r="BR81" s="1449"/>
      <c r="BS81" s="1449"/>
      <c r="BT81" s="1450">
        <v>1708618</v>
      </c>
      <c r="BU81" s="1450"/>
      <c r="BV81" s="1450"/>
      <c r="BW81" s="1450"/>
      <c r="BX81" s="1450"/>
      <c r="BY81" s="1450"/>
      <c r="BZ81" s="1450"/>
      <c r="CA81" s="1450"/>
      <c r="CB81" s="1450"/>
      <c r="CC81" s="1450"/>
      <c r="CD81" s="1450"/>
      <c r="CE81" s="1450"/>
      <c r="CF81" s="1450"/>
      <c r="CG81" s="1450"/>
      <c r="CH81" s="1449" t="s">
        <v>118</v>
      </c>
      <c r="CI81" s="1449"/>
      <c r="CJ81" s="1449"/>
      <c r="CK81" s="1449"/>
      <c r="CL81" s="1449"/>
      <c r="CM81" s="1449"/>
      <c r="CN81" s="1449"/>
      <c r="CO81" s="1449" t="s">
        <v>118</v>
      </c>
      <c r="CP81" s="1449"/>
      <c r="CQ81" s="1449"/>
      <c r="CR81" s="1449"/>
      <c r="CS81" s="1449"/>
      <c r="CT81" s="1449"/>
      <c r="CU81" s="1449"/>
      <c r="CV81" s="1449" t="s">
        <v>118</v>
      </c>
      <c r="CW81" s="1449"/>
      <c r="CX81" s="1449"/>
      <c r="CY81" s="1449"/>
      <c r="CZ81" s="1449"/>
      <c r="DA81" s="1449"/>
      <c r="DB81" s="1449"/>
      <c r="DC81" s="1449"/>
      <c r="DD81" s="1449"/>
      <c r="DE81" s="1449" t="s">
        <v>118</v>
      </c>
      <c r="DF81" s="1449"/>
      <c r="DG81" s="1449"/>
      <c r="DH81" s="1449"/>
      <c r="DI81" s="1449"/>
      <c r="DJ81" s="1449"/>
      <c r="DK81" s="1449"/>
      <c r="DL81" s="1449"/>
      <c r="DM81" s="1449"/>
      <c r="DN81" s="1450">
        <v>665500</v>
      </c>
      <c r="DO81" s="1450"/>
      <c r="DP81" s="1450"/>
      <c r="DQ81" s="1450"/>
      <c r="DR81" s="1450"/>
      <c r="DS81" s="1450"/>
      <c r="DT81" s="1450"/>
      <c r="DU81" s="1450"/>
      <c r="DV81" s="1450"/>
      <c r="DW81" s="1450"/>
      <c r="DX81" s="1450"/>
      <c r="DY81" s="1450"/>
      <c r="DZ81" s="1450"/>
      <c r="EA81" s="1450"/>
      <c r="EB81" s="1449" t="s">
        <v>118</v>
      </c>
      <c r="EC81" s="1449"/>
      <c r="ED81" s="1449"/>
      <c r="EE81" s="1449"/>
      <c r="EF81" s="1449"/>
      <c r="EG81" s="1449"/>
      <c r="EH81" s="1449"/>
      <c r="EI81" s="1449" t="s">
        <v>118</v>
      </c>
      <c r="EJ81" s="1449"/>
      <c r="EK81" s="1449"/>
      <c r="EL81" s="1449"/>
      <c r="EM81" s="1449"/>
      <c r="EN81" s="1449"/>
      <c r="EO81" s="1449"/>
      <c r="EP81" s="1450"/>
      <c r="EQ81" s="1450"/>
      <c r="ER81" s="1450"/>
      <c r="ES81" s="1450"/>
      <c r="ET81" s="1450"/>
      <c r="EU81" s="1450"/>
      <c r="EV81" s="1450"/>
      <c r="EW81" s="1450"/>
      <c r="EX81" s="1450"/>
      <c r="EY81" s="1450"/>
    </row>
    <row r="82" spans="1:155" s="430" customFormat="1" ht="8.1" customHeight="1">
      <c r="A82" s="1456" t="s">
        <v>1635</v>
      </c>
      <c r="B82" s="1456"/>
      <c r="C82" s="1456"/>
      <c r="D82" s="1456"/>
      <c r="E82" s="1456"/>
      <c r="F82" s="1456"/>
      <c r="G82" s="1456"/>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456"/>
      <c r="AM82" s="1456"/>
      <c r="AN82" s="1449" t="s">
        <v>121</v>
      </c>
      <c r="AO82" s="1449"/>
      <c r="AP82" s="1449"/>
      <c r="AQ82" s="1449"/>
      <c r="AR82" s="1449"/>
      <c r="AS82" s="1449"/>
      <c r="AT82" s="1449"/>
      <c r="AU82" s="1449"/>
      <c r="AV82" s="1455" t="s">
        <v>1636</v>
      </c>
      <c r="AW82" s="1455"/>
      <c r="AX82" s="1455"/>
      <c r="AY82" s="1455"/>
      <c r="AZ82" s="1455"/>
      <c r="BA82" s="1455"/>
      <c r="BB82" s="1450">
        <f>CH82</f>
        <v>4078564</v>
      </c>
      <c r="BC82" s="1450"/>
      <c r="BD82" s="1450"/>
      <c r="BE82" s="1450"/>
      <c r="BF82" s="1450"/>
      <c r="BG82" s="1450"/>
      <c r="BH82" s="1450"/>
      <c r="BI82" s="1450"/>
      <c r="BJ82" s="1450"/>
      <c r="BK82" s="1450">
        <f>BB82</f>
        <v>4078564</v>
      </c>
      <c r="BL82" s="1450"/>
      <c r="BM82" s="1450"/>
      <c r="BN82" s="1450"/>
      <c r="BO82" s="1450"/>
      <c r="BP82" s="1450"/>
      <c r="BQ82" s="1450"/>
      <c r="BR82" s="1450"/>
      <c r="BS82" s="1450"/>
      <c r="BT82" s="1449" t="s">
        <v>118</v>
      </c>
      <c r="BU82" s="1449"/>
      <c r="BV82" s="1449"/>
      <c r="BW82" s="1449"/>
      <c r="BX82" s="1449"/>
      <c r="BY82" s="1449"/>
      <c r="BZ82" s="1449"/>
      <c r="CA82" s="1449" t="s">
        <v>118</v>
      </c>
      <c r="CB82" s="1449"/>
      <c r="CC82" s="1449"/>
      <c r="CD82" s="1449"/>
      <c r="CE82" s="1449"/>
      <c r="CF82" s="1449"/>
      <c r="CG82" s="1449"/>
      <c r="CH82" s="1450">
        <v>4078564</v>
      </c>
      <c r="CI82" s="1450"/>
      <c r="CJ82" s="1450"/>
      <c r="CK82" s="1450"/>
      <c r="CL82" s="1450"/>
      <c r="CM82" s="1450"/>
      <c r="CN82" s="1450"/>
      <c r="CO82" s="1450"/>
      <c r="CP82" s="1450"/>
      <c r="CQ82" s="1450"/>
      <c r="CR82" s="1450"/>
      <c r="CS82" s="1450"/>
      <c r="CT82" s="1450"/>
      <c r="CU82" s="1450"/>
      <c r="CV82" s="1450">
        <f>DE82</f>
        <v>4581516</v>
      </c>
      <c r="CW82" s="1450"/>
      <c r="CX82" s="1450"/>
      <c r="CY82" s="1450"/>
      <c r="CZ82" s="1450"/>
      <c r="DA82" s="1450"/>
      <c r="DB82" s="1450"/>
      <c r="DC82" s="1450"/>
      <c r="DD82" s="1450"/>
      <c r="DE82" s="1450">
        <f>EB82</f>
        <v>4581516</v>
      </c>
      <c r="DF82" s="1450"/>
      <c r="DG82" s="1450"/>
      <c r="DH82" s="1450"/>
      <c r="DI82" s="1450"/>
      <c r="DJ82" s="1450"/>
      <c r="DK82" s="1450"/>
      <c r="DL82" s="1450"/>
      <c r="DM82" s="1450"/>
      <c r="DN82" s="1449" t="s">
        <v>118</v>
      </c>
      <c r="DO82" s="1449"/>
      <c r="DP82" s="1449"/>
      <c r="DQ82" s="1449"/>
      <c r="DR82" s="1449"/>
      <c r="DS82" s="1449"/>
      <c r="DT82" s="1449"/>
      <c r="DU82" s="1449" t="s">
        <v>118</v>
      </c>
      <c r="DV82" s="1449"/>
      <c r="DW82" s="1449"/>
      <c r="DX82" s="1449"/>
      <c r="DY82" s="1449"/>
      <c r="DZ82" s="1449"/>
      <c r="EA82" s="1449"/>
      <c r="EB82" s="1450">
        <v>4581516</v>
      </c>
      <c r="EC82" s="1450"/>
      <c r="ED82" s="1450"/>
      <c r="EE82" s="1450"/>
      <c r="EF82" s="1450"/>
      <c r="EG82" s="1450"/>
      <c r="EH82" s="1450"/>
      <c r="EI82" s="1450"/>
      <c r="EJ82" s="1450"/>
      <c r="EK82" s="1450"/>
      <c r="EL82" s="1450"/>
      <c r="EM82" s="1450"/>
      <c r="EN82" s="1450"/>
      <c r="EO82" s="1450"/>
      <c r="EP82" s="1450"/>
      <c r="EQ82" s="1450"/>
      <c r="ER82" s="1450"/>
      <c r="ES82" s="1450"/>
      <c r="ET82" s="1450"/>
      <c r="EU82" s="1450"/>
      <c r="EV82" s="1450"/>
      <c r="EW82" s="1450"/>
      <c r="EX82" s="1450"/>
      <c r="EY82" s="1450"/>
    </row>
    <row r="83" spans="1:155" s="430" customFormat="1" ht="8.1" customHeight="1">
      <c r="A83" s="1456" t="s">
        <v>1637</v>
      </c>
      <c r="B83" s="1456"/>
      <c r="C83" s="1456"/>
      <c r="D83" s="1456"/>
      <c r="E83" s="1456"/>
      <c r="F83" s="1456"/>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456"/>
      <c r="AM83" s="1456"/>
      <c r="AN83" s="1449" t="s">
        <v>121</v>
      </c>
      <c r="AO83" s="1449"/>
      <c r="AP83" s="1449"/>
      <c r="AQ83" s="1449"/>
      <c r="AR83" s="1449"/>
      <c r="AS83" s="1449"/>
      <c r="AT83" s="1449"/>
      <c r="AU83" s="1449"/>
      <c r="AV83" s="1455" t="s">
        <v>1638</v>
      </c>
      <c r="AW83" s="1455"/>
      <c r="AX83" s="1455"/>
      <c r="AY83" s="1455"/>
      <c r="AZ83" s="1455"/>
      <c r="BA83" s="1455"/>
      <c r="BB83" s="1450">
        <f>CH83</f>
        <v>3060679</v>
      </c>
      <c r="BC83" s="1450"/>
      <c r="BD83" s="1450"/>
      <c r="BE83" s="1450"/>
      <c r="BF83" s="1450"/>
      <c r="BG83" s="1450"/>
      <c r="BH83" s="1450"/>
      <c r="BI83" s="1450"/>
      <c r="BJ83" s="1450"/>
      <c r="BK83" s="1450">
        <f>BB83</f>
        <v>3060679</v>
      </c>
      <c r="BL83" s="1450"/>
      <c r="BM83" s="1450"/>
      <c r="BN83" s="1450"/>
      <c r="BO83" s="1450"/>
      <c r="BP83" s="1450"/>
      <c r="BQ83" s="1450"/>
      <c r="BR83" s="1450"/>
      <c r="BS83" s="1450"/>
      <c r="BT83" s="1449" t="s">
        <v>118</v>
      </c>
      <c r="BU83" s="1449"/>
      <c r="BV83" s="1449"/>
      <c r="BW83" s="1449"/>
      <c r="BX83" s="1449"/>
      <c r="BY83" s="1449"/>
      <c r="BZ83" s="1449"/>
      <c r="CA83" s="1449" t="s">
        <v>118</v>
      </c>
      <c r="CB83" s="1449"/>
      <c r="CC83" s="1449"/>
      <c r="CD83" s="1449"/>
      <c r="CE83" s="1449"/>
      <c r="CF83" s="1449"/>
      <c r="CG83" s="1449"/>
      <c r="CH83" s="1447">
        <v>3060679</v>
      </c>
      <c r="CI83" s="1447"/>
      <c r="CJ83" s="1447"/>
      <c r="CK83" s="1447"/>
      <c r="CL83" s="1447"/>
      <c r="CM83" s="1447"/>
      <c r="CN83" s="1447"/>
      <c r="CO83" s="1450"/>
      <c r="CP83" s="1450"/>
      <c r="CQ83" s="1450"/>
      <c r="CR83" s="1450"/>
      <c r="CS83" s="1450"/>
      <c r="CT83" s="1450"/>
      <c r="CU83" s="1450"/>
      <c r="CV83" s="1450">
        <f>DE83</f>
        <v>3102087</v>
      </c>
      <c r="CW83" s="1450"/>
      <c r="CX83" s="1450"/>
      <c r="CY83" s="1450"/>
      <c r="CZ83" s="1450"/>
      <c r="DA83" s="1450"/>
      <c r="DB83" s="1450"/>
      <c r="DC83" s="1450"/>
      <c r="DD83" s="1450"/>
      <c r="DE83" s="1450">
        <f>EB83</f>
        <v>3102087</v>
      </c>
      <c r="DF83" s="1450"/>
      <c r="DG83" s="1450"/>
      <c r="DH83" s="1450"/>
      <c r="DI83" s="1450"/>
      <c r="DJ83" s="1450"/>
      <c r="DK83" s="1450"/>
      <c r="DL83" s="1450"/>
      <c r="DM83" s="1450"/>
      <c r="DN83" s="1449" t="s">
        <v>118</v>
      </c>
      <c r="DO83" s="1449"/>
      <c r="DP83" s="1449"/>
      <c r="DQ83" s="1449"/>
      <c r="DR83" s="1449"/>
      <c r="DS83" s="1449"/>
      <c r="DT83" s="1449"/>
      <c r="DU83" s="1449" t="s">
        <v>118</v>
      </c>
      <c r="DV83" s="1449"/>
      <c r="DW83" s="1449"/>
      <c r="DX83" s="1449"/>
      <c r="DY83" s="1449"/>
      <c r="DZ83" s="1449"/>
      <c r="EA83" s="1449"/>
      <c r="EB83" s="1450">
        <v>3102087</v>
      </c>
      <c r="EC83" s="1450"/>
      <c r="ED83" s="1450"/>
      <c r="EE83" s="1450"/>
      <c r="EF83" s="1450"/>
      <c r="EG83" s="1450"/>
      <c r="EH83" s="1450"/>
      <c r="EI83" s="1450"/>
      <c r="EJ83" s="1450"/>
      <c r="EK83" s="1450"/>
      <c r="EL83" s="1450"/>
      <c r="EM83" s="1450"/>
      <c r="EN83" s="1450"/>
      <c r="EO83" s="1450"/>
      <c r="EP83" s="1450"/>
      <c r="EQ83" s="1450"/>
      <c r="ER83" s="1450"/>
      <c r="ES83" s="1450"/>
      <c r="ET83" s="1450"/>
      <c r="EU83" s="1450"/>
      <c r="EV83" s="1450"/>
      <c r="EW83" s="1450"/>
      <c r="EX83" s="1450"/>
      <c r="EY83" s="1450"/>
    </row>
    <row r="84" spans="1:155" s="430" customFormat="1" ht="8.1" customHeight="1">
      <c r="A84" s="1456" t="s">
        <v>1639</v>
      </c>
      <c r="B84" s="1456"/>
      <c r="C84" s="1456"/>
      <c r="D84" s="1456"/>
      <c r="E84" s="1456"/>
      <c r="F84" s="1456"/>
      <c r="G84" s="1456"/>
      <c r="H84" s="1456"/>
      <c r="I84" s="1456"/>
      <c r="J84" s="1456"/>
      <c r="K84" s="1456"/>
      <c r="L84" s="1456"/>
      <c r="M84" s="1456"/>
      <c r="N84" s="1456"/>
      <c r="O84" s="1456"/>
      <c r="P84" s="1456"/>
      <c r="Q84" s="1456"/>
      <c r="R84" s="1456"/>
      <c r="S84" s="1456"/>
      <c r="T84" s="1456"/>
      <c r="U84" s="1456"/>
      <c r="V84" s="1456"/>
      <c r="W84" s="1456"/>
      <c r="X84" s="1456"/>
      <c r="Y84" s="1456"/>
      <c r="Z84" s="1456"/>
      <c r="AA84" s="1456"/>
      <c r="AB84" s="1456"/>
      <c r="AC84" s="1456"/>
      <c r="AD84" s="1456"/>
      <c r="AE84" s="1456"/>
      <c r="AF84" s="1456"/>
      <c r="AG84" s="1456"/>
      <c r="AH84" s="1456"/>
      <c r="AI84" s="1456"/>
      <c r="AJ84" s="1456"/>
      <c r="AK84" s="1456"/>
      <c r="AL84" s="1456"/>
      <c r="AM84" s="1456"/>
      <c r="AN84" s="1449" t="s">
        <v>121</v>
      </c>
      <c r="AO84" s="1449"/>
      <c r="AP84" s="1449"/>
      <c r="AQ84" s="1449"/>
      <c r="AR84" s="1449"/>
      <c r="AS84" s="1449"/>
      <c r="AT84" s="1449"/>
      <c r="AU84" s="1449"/>
      <c r="AV84" s="1455" t="s">
        <v>1640</v>
      </c>
      <c r="AW84" s="1455"/>
      <c r="AX84" s="1455"/>
      <c r="AY84" s="1455"/>
      <c r="AZ84" s="1455"/>
      <c r="BA84" s="1455"/>
      <c r="BB84" s="1450">
        <f>CH84</f>
        <v>2559100</v>
      </c>
      <c r="BC84" s="1450"/>
      <c r="BD84" s="1450"/>
      <c r="BE84" s="1450"/>
      <c r="BF84" s="1450"/>
      <c r="BG84" s="1450"/>
      <c r="BH84" s="1450"/>
      <c r="BI84" s="1450"/>
      <c r="BJ84" s="1450"/>
      <c r="BK84" s="1450">
        <f>BB84</f>
        <v>2559100</v>
      </c>
      <c r="BL84" s="1450"/>
      <c r="BM84" s="1450"/>
      <c r="BN84" s="1450"/>
      <c r="BO84" s="1450"/>
      <c r="BP84" s="1450"/>
      <c r="BQ84" s="1450"/>
      <c r="BR84" s="1450"/>
      <c r="BS84" s="1450"/>
      <c r="BT84" s="1449" t="s">
        <v>118</v>
      </c>
      <c r="BU84" s="1449"/>
      <c r="BV84" s="1449"/>
      <c r="BW84" s="1449"/>
      <c r="BX84" s="1449"/>
      <c r="BY84" s="1449"/>
      <c r="BZ84" s="1449"/>
      <c r="CA84" s="1449" t="s">
        <v>118</v>
      </c>
      <c r="CB84" s="1449"/>
      <c r="CC84" s="1449"/>
      <c r="CD84" s="1449"/>
      <c r="CE84" s="1449"/>
      <c r="CF84" s="1449"/>
      <c r="CG84" s="1449"/>
      <c r="CH84" s="1450">
        <v>2559100</v>
      </c>
      <c r="CI84" s="1450"/>
      <c r="CJ84" s="1450"/>
      <c r="CK84" s="1450"/>
      <c r="CL84" s="1450"/>
      <c r="CM84" s="1450"/>
      <c r="CN84" s="1450"/>
      <c r="CO84" s="1450"/>
      <c r="CP84" s="1450"/>
      <c r="CQ84" s="1450"/>
      <c r="CR84" s="1450"/>
      <c r="CS84" s="1450"/>
      <c r="CT84" s="1450"/>
      <c r="CU84" s="1450"/>
      <c r="CV84" s="1450">
        <f>DE84</f>
        <v>2688985</v>
      </c>
      <c r="CW84" s="1450"/>
      <c r="CX84" s="1450"/>
      <c r="CY84" s="1450"/>
      <c r="CZ84" s="1450"/>
      <c r="DA84" s="1450"/>
      <c r="DB84" s="1450"/>
      <c r="DC84" s="1450"/>
      <c r="DD84" s="1450"/>
      <c r="DE84" s="1450">
        <f>EB84</f>
        <v>2688985</v>
      </c>
      <c r="DF84" s="1450"/>
      <c r="DG84" s="1450"/>
      <c r="DH84" s="1450"/>
      <c r="DI84" s="1450"/>
      <c r="DJ84" s="1450"/>
      <c r="DK84" s="1450"/>
      <c r="DL84" s="1450"/>
      <c r="DM84" s="1450"/>
      <c r="DN84" s="1449" t="s">
        <v>118</v>
      </c>
      <c r="DO84" s="1449"/>
      <c r="DP84" s="1449"/>
      <c r="DQ84" s="1449"/>
      <c r="DR84" s="1449"/>
      <c r="DS84" s="1449"/>
      <c r="DT84" s="1449"/>
      <c r="DU84" s="1449" t="s">
        <v>118</v>
      </c>
      <c r="DV84" s="1449"/>
      <c r="DW84" s="1449"/>
      <c r="DX84" s="1449"/>
      <c r="DY84" s="1449"/>
      <c r="DZ84" s="1449"/>
      <c r="EA84" s="1449"/>
      <c r="EB84" s="1450">
        <v>2688985</v>
      </c>
      <c r="EC84" s="1450"/>
      <c r="ED84" s="1450"/>
      <c r="EE84" s="1450"/>
      <c r="EF84" s="1450"/>
      <c r="EG84" s="1450"/>
      <c r="EH84" s="1450"/>
      <c r="EI84" s="1450"/>
      <c r="EJ84" s="1450"/>
      <c r="EK84" s="1450"/>
      <c r="EL84" s="1450"/>
      <c r="EM84" s="1450"/>
      <c r="EN84" s="1450"/>
      <c r="EO84" s="1450"/>
      <c r="EP84" s="1450"/>
      <c r="EQ84" s="1450"/>
      <c r="ER84" s="1450"/>
      <c r="ES84" s="1450"/>
      <c r="ET84" s="1450"/>
      <c r="EU84" s="1450"/>
      <c r="EV84" s="1450"/>
      <c r="EW84" s="1450"/>
      <c r="EX84" s="1450"/>
      <c r="EY84" s="1450"/>
    </row>
    <row r="85" spans="1:155" ht="3" customHeight="1">
      <c r="EB85" s="437"/>
      <c r="EC85" s="437"/>
      <c r="ED85" s="437"/>
      <c r="EE85" s="437"/>
      <c r="EF85" s="437"/>
      <c r="EG85" s="437"/>
      <c r="EH85" s="437"/>
      <c r="EI85" s="437"/>
      <c r="EJ85" s="437"/>
      <c r="EK85" s="437"/>
      <c r="EL85" s="437"/>
      <c r="EM85" s="437"/>
      <c r="EN85" s="437"/>
      <c r="EO85" s="437"/>
      <c r="EP85" s="437"/>
      <c r="EQ85" s="437"/>
      <c r="ER85" s="437"/>
      <c r="ES85" s="437"/>
      <c r="ET85" s="437"/>
      <c r="EU85" s="437"/>
      <c r="EV85" s="437"/>
      <c r="EW85" s="437"/>
      <c r="EX85" s="437"/>
      <c r="EY85" s="437"/>
    </row>
    <row r="86" spans="1:155" s="421" customFormat="1" ht="8.4" customHeight="1">
      <c r="A86" s="433" t="s">
        <v>1620</v>
      </c>
    </row>
    <row r="87" spans="1:155" s="425" customFormat="1" ht="8.1" customHeight="1">
      <c r="A87" s="434" t="s">
        <v>1621</v>
      </c>
    </row>
    <row r="88" spans="1:155" s="425" customFormat="1" ht="8.1" customHeight="1">
      <c r="A88" s="434" t="s">
        <v>1622</v>
      </c>
    </row>
    <row r="89" spans="1:155" s="425" customFormat="1" ht="7.8"/>
    <row r="90" spans="1:155" s="424" customFormat="1" ht="9" customHeight="1">
      <c r="A90" s="424" t="s">
        <v>1641</v>
      </c>
      <c r="DN90" s="1457"/>
      <c r="DO90" s="1457"/>
      <c r="DP90" s="1457"/>
      <c r="DQ90" s="1457"/>
      <c r="DR90" s="1457"/>
      <c r="DS90" s="1457"/>
      <c r="DT90" s="1457"/>
      <c r="DU90" s="1457"/>
      <c r="DV90" s="1457"/>
      <c r="DW90" s="1457"/>
      <c r="DX90" s="1457"/>
      <c r="DY90" s="1457"/>
      <c r="DZ90" s="1457"/>
      <c r="EA90" s="1457"/>
      <c r="EB90" s="1457"/>
      <c r="EC90" s="1457"/>
      <c r="ED90" s="1457"/>
      <c r="EE90" s="1457"/>
      <c r="EF90" s="1457"/>
      <c r="EG90" s="1457"/>
      <c r="EH90" s="1457"/>
      <c r="EJ90" s="1457" t="s">
        <v>1642</v>
      </c>
      <c r="EK90" s="1457"/>
      <c r="EL90" s="1457"/>
      <c r="EM90" s="1457"/>
      <c r="EN90" s="1457"/>
      <c r="EO90" s="1457"/>
      <c r="EP90" s="1457"/>
      <c r="EQ90" s="1457"/>
      <c r="ER90" s="1457"/>
      <c r="ES90" s="1457"/>
      <c r="ET90" s="1457"/>
      <c r="EU90" s="1457"/>
      <c r="EV90" s="1457"/>
      <c r="EW90" s="1457"/>
      <c r="EX90" s="1457"/>
      <c r="EY90" s="1457"/>
    </row>
    <row r="91" spans="1:155" s="425" customFormat="1" ht="8.1" customHeight="1">
      <c r="DN91" s="1458" t="s">
        <v>1643</v>
      </c>
      <c r="DO91" s="1458"/>
      <c r="DP91" s="1458"/>
      <c r="DQ91" s="1458"/>
      <c r="DR91" s="1458"/>
      <c r="DS91" s="1458"/>
      <c r="DT91" s="1458"/>
      <c r="DU91" s="1458"/>
      <c r="DV91" s="1458"/>
      <c r="DW91" s="1458"/>
      <c r="DX91" s="1458"/>
      <c r="DY91" s="1458"/>
      <c r="DZ91" s="1458"/>
      <c r="EA91" s="1458"/>
      <c r="EB91" s="1458"/>
      <c r="EC91" s="1458"/>
      <c r="ED91" s="1458"/>
      <c r="EE91" s="1458"/>
      <c r="EF91" s="1458"/>
      <c r="EG91" s="1458"/>
      <c r="EH91" s="1458"/>
      <c r="EJ91" s="1458" t="s">
        <v>1644</v>
      </c>
      <c r="EK91" s="1458"/>
      <c r="EL91" s="1458"/>
      <c r="EM91" s="1458"/>
      <c r="EN91" s="1458"/>
      <c r="EO91" s="1458"/>
      <c r="EP91" s="1458"/>
      <c r="EQ91" s="1458"/>
      <c r="ER91" s="1458"/>
      <c r="ES91" s="1458"/>
      <c r="ET91" s="1458"/>
      <c r="EU91" s="1458"/>
      <c r="EV91" s="1458"/>
      <c r="EW91" s="1458"/>
      <c r="EX91" s="1458"/>
      <c r="EY91" s="1458"/>
    </row>
    <row r="92" spans="1:155" s="424" customFormat="1" ht="9" customHeight="1">
      <c r="A92" s="424" t="s">
        <v>1645</v>
      </c>
      <c r="DN92" s="1457"/>
      <c r="DO92" s="1457"/>
      <c r="DP92" s="1457"/>
      <c r="DQ92" s="1457"/>
      <c r="DR92" s="1457"/>
      <c r="DS92" s="1457"/>
      <c r="DT92" s="1457"/>
      <c r="DU92" s="1457"/>
      <c r="DV92" s="1457"/>
      <c r="DW92" s="1457"/>
      <c r="DX92" s="1457"/>
      <c r="DY92" s="1457"/>
      <c r="DZ92" s="1457"/>
      <c r="EA92" s="1457"/>
      <c r="EB92" s="1457"/>
      <c r="EC92" s="1457"/>
      <c r="ED92" s="1457"/>
      <c r="EE92" s="1457"/>
      <c r="EF92" s="1457"/>
      <c r="EG92" s="1457"/>
      <c r="EH92" s="1457"/>
      <c r="EJ92" s="1457" t="s">
        <v>1646</v>
      </c>
      <c r="EK92" s="1457"/>
      <c r="EL92" s="1457"/>
      <c r="EM92" s="1457"/>
      <c r="EN92" s="1457"/>
      <c r="EO92" s="1457"/>
      <c r="EP92" s="1457"/>
      <c r="EQ92" s="1457"/>
      <c r="ER92" s="1457"/>
      <c r="ES92" s="1457"/>
      <c r="ET92" s="1457"/>
      <c r="EU92" s="1457"/>
      <c r="EV92" s="1457"/>
      <c r="EW92" s="1457"/>
      <c r="EX92" s="1457"/>
      <c r="EY92" s="1457"/>
    </row>
    <row r="93" spans="1:155" s="425" customFormat="1" ht="8.25" customHeight="1">
      <c r="A93" s="425" t="s">
        <v>1647</v>
      </c>
      <c r="DN93" s="1458" t="s">
        <v>1643</v>
      </c>
      <c r="DO93" s="1458"/>
      <c r="DP93" s="1458"/>
      <c r="DQ93" s="1458"/>
      <c r="DR93" s="1458"/>
      <c r="DS93" s="1458"/>
      <c r="DT93" s="1458"/>
      <c r="DU93" s="1458"/>
      <c r="DV93" s="1458"/>
      <c r="DW93" s="1458"/>
      <c r="DX93" s="1458"/>
      <c r="DY93" s="1458"/>
      <c r="DZ93" s="1458"/>
      <c r="EA93" s="1458"/>
      <c r="EB93" s="1458"/>
      <c r="EC93" s="1458"/>
      <c r="ED93" s="1458"/>
      <c r="EE93" s="1458"/>
      <c r="EF93" s="1458"/>
      <c r="EG93" s="1458"/>
      <c r="EH93" s="1458"/>
      <c r="EJ93" s="1458" t="s">
        <v>1644</v>
      </c>
      <c r="EK93" s="1458"/>
      <c r="EL93" s="1458"/>
      <c r="EM93" s="1458"/>
      <c r="EN93" s="1458"/>
      <c r="EO93" s="1458"/>
      <c r="EP93" s="1458"/>
      <c r="EQ93" s="1458"/>
      <c r="ER93" s="1458"/>
      <c r="ES93" s="1458"/>
      <c r="ET93" s="1458"/>
      <c r="EU93" s="1458"/>
      <c r="EV93" s="1458"/>
      <c r="EW93" s="1458"/>
      <c r="EX93" s="1458"/>
      <c r="EY93" s="1458"/>
    </row>
    <row r="94" spans="1:155" ht="3" customHeight="1"/>
  </sheetData>
  <mergeCells count="933">
    <mergeCell ref="DN92:EH92"/>
    <mergeCell ref="EJ92:EY92"/>
    <mergeCell ref="DN93:EH93"/>
    <mergeCell ref="EJ93:EY93"/>
    <mergeCell ref="EI84:EO84"/>
    <mergeCell ref="EP84:EY84"/>
    <mergeCell ref="DN90:EH90"/>
    <mergeCell ref="EJ90:EY90"/>
    <mergeCell ref="DN91:EH91"/>
    <mergeCell ref="EJ91:EY91"/>
    <mergeCell ref="CO84:CU84"/>
    <mergeCell ref="CV84:DD84"/>
    <mergeCell ref="DE84:DM84"/>
    <mergeCell ref="DN84:DT84"/>
    <mergeCell ref="DU84:EA84"/>
    <mergeCell ref="EB84:EH84"/>
    <mergeCell ref="EI83:EO83"/>
    <mergeCell ref="EP83:EY83"/>
    <mergeCell ref="A84:AM84"/>
    <mergeCell ref="AN84:AU84"/>
    <mergeCell ref="AV84:BA84"/>
    <mergeCell ref="BB84:BJ84"/>
    <mergeCell ref="BK84:BS84"/>
    <mergeCell ref="BT84:BZ84"/>
    <mergeCell ref="CA84:CG84"/>
    <mergeCell ref="CH84:CN84"/>
    <mergeCell ref="CO83:CU83"/>
    <mergeCell ref="CV83:DD83"/>
    <mergeCell ref="DE83:DM83"/>
    <mergeCell ref="DN83:DT83"/>
    <mergeCell ref="DU83:EA83"/>
    <mergeCell ref="EB83:EH83"/>
    <mergeCell ref="A83:AM83"/>
    <mergeCell ref="AN83:AU83"/>
    <mergeCell ref="AV83:BA83"/>
    <mergeCell ref="BB83:BJ83"/>
    <mergeCell ref="BK83:BS83"/>
    <mergeCell ref="BT83:BZ83"/>
    <mergeCell ref="CA83:CG83"/>
    <mergeCell ref="CH83:CN83"/>
    <mergeCell ref="CO82:CU82"/>
    <mergeCell ref="EI81:EO81"/>
    <mergeCell ref="EP81:EY81"/>
    <mergeCell ref="CV81:DD81"/>
    <mergeCell ref="DE81:DM81"/>
    <mergeCell ref="DN81:DT81"/>
    <mergeCell ref="DU81:EA81"/>
    <mergeCell ref="EB81:EH81"/>
    <mergeCell ref="EI82:EO82"/>
    <mergeCell ref="EP82:EY82"/>
    <mergeCell ref="CV82:DD82"/>
    <mergeCell ref="DE82:DM82"/>
    <mergeCell ref="DN82:DT82"/>
    <mergeCell ref="DU82:EA82"/>
    <mergeCell ref="EB82:EH82"/>
    <mergeCell ref="A82:AM82"/>
    <mergeCell ref="AN82:AU82"/>
    <mergeCell ref="AV82:BA82"/>
    <mergeCell ref="BB82:BJ82"/>
    <mergeCell ref="BK82:BS82"/>
    <mergeCell ref="BT82:BZ82"/>
    <mergeCell ref="CA82:CG82"/>
    <mergeCell ref="CH82:CN82"/>
    <mergeCell ref="CO81:CU81"/>
    <mergeCell ref="A81:AM81"/>
    <mergeCell ref="AN81:AU81"/>
    <mergeCell ref="AV81:BA81"/>
    <mergeCell ref="BB81:BJ81"/>
    <mergeCell ref="BK81:BS81"/>
    <mergeCell ref="BT81:BZ81"/>
    <mergeCell ref="CA81:CG81"/>
    <mergeCell ref="CH81:CN81"/>
    <mergeCell ref="CO80:CU80"/>
    <mergeCell ref="EI79:EO79"/>
    <mergeCell ref="EP79:EY79"/>
    <mergeCell ref="A80:AM80"/>
    <mergeCell ref="AN80:AU80"/>
    <mergeCell ref="AV80:BA80"/>
    <mergeCell ref="BB80:BJ80"/>
    <mergeCell ref="BK80:BS80"/>
    <mergeCell ref="BT80:BZ80"/>
    <mergeCell ref="CA80:CG80"/>
    <mergeCell ref="CH80:CN80"/>
    <mergeCell ref="CO79:CU79"/>
    <mergeCell ref="CV79:DD79"/>
    <mergeCell ref="DE79:DM79"/>
    <mergeCell ref="DN79:DT79"/>
    <mergeCell ref="DU79:EA79"/>
    <mergeCell ref="EB79:EH79"/>
    <mergeCell ref="EI80:EO80"/>
    <mergeCell ref="EP80:EY80"/>
    <mergeCell ref="CV80:DD80"/>
    <mergeCell ref="DE80:DM80"/>
    <mergeCell ref="DN80:DT80"/>
    <mergeCell ref="DU80:EA80"/>
    <mergeCell ref="EB80:EH80"/>
    <mergeCell ref="A77:AM77"/>
    <mergeCell ref="A79:AM79"/>
    <mergeCell ref="AN79:AU79"/>
    <mergeCell ref="AV79:BA79"/>
    <mergeCell ref="BB79:BJ79"/>
    <mergeCell ref="BK79:BS79"/>
    <mergeCell ref="BT79:BZ79"/>
    <mergeCell ref="CA79:CG79"/>
    <mergeCell ref="CH79:CN79"/>
    <mergeCell ref="A78:AM78"/>
    <mergeCell ref="AN78:AU78"/>
    <mergeCell ref="AV78:BA78"/>
    <mergeCell ref="BB78:BJ78"/>
    <mergeCell ref="BK78:BS78"/>
    <mergeCell ref="BT78:BZ78"/>
    <mergeCell ref="CA78:CG78"/>
    <mergeCell ref="AN77:AU77"/>
    <mergeCell ref="AV77:BA77"/>
    <mergeCell ref="BB77:BJ77"/>
    <mergeCell ref="BK77:BS77"/>
    <mergeCell ref="BT77:BZ77"/>
    <mergeCell ref="CA77:CG77"/>
    <mergeCell ref="CH77:CN77"/>
    <mergeCell ref="CH78:CN78"/>
    <mergeCell ref="EI78:EO78"/>
    <mergeCell ref="EP78:EY78"/>
    <mergeCell ref="CV78:DD78"/>
    <mergeCell ref="DE78:DM78"/>
    <mergeCell ref="DN78:DT78"/>
    <mergeCell ref="DU78:EA78"/>
    <mergeCell ref="EB78:EH78"/>
    <mergeCell ref="CO78:CU78"/>
    <mergeCell ref="EI77:EO77"/>
    <mergeCell ref="EP77:EY77"/>
    <mergeCell ref="CV77:DD77"/>
    <mergeCell ref="DE77:DM77"/>
    <mergeCell ref="DN77:DT77"/>
    <mergeCell ref="DU77:EA77"/>
    <mergeCell ref="EB77:EH77"/>
    <mergeCell ref="CO77:CU77"/>
    <mergeCell ref="CO67:CU67"/>
    <mergeCell ref="CV67:DD67"/>
    <mergeCell ref="DE67:DM67"/>
    <mergeCell ref="EP75:EY76"/>
    <mergeCell ref="BT76:BZ76"/>
    <mergeCell ref="CA76:CG76"/>
    <mergeCell ref="CH76:CN76"/>
    <mergeCell ref="CO76:CU76"/>
    <mergeCell ref="DN76:DT76"/>
    <mergeCell ref="DU76:EA76"/>
    <mergeCell ref="BT75:CU75"/>
    <mergeCell ref="EB76:EH76"/>
    <mergeCell ref="EI76:EO76"/>
    <mergeCell ref="DE75:DM76"/>
    <mergeCell ref="DN75:EO75"/>
    <mergeCell ref="CV75:DD76"/>
    <mergeCell ref="A74:EY74"/>
    <mergeCell ref="A75:AM76"/>
    <mergeCell ref="AN75:AU76"/>
    <mergeCell ref="AV75:BA76"/>
    <mergeCell ref="BB75:BJ76"/>
    <mergeCell ref="BK75:BS76"/>
    <mergeCell ref="EI66:EO66"/>
    <mergeCell ref="EP66:EY66"/>
    <mergeCell ref="A67:AM67"/>
    <mergeCell ref="AN67:AU67"/>
    <mergeCell ref="AV67:BA67"/>
    <mergeCell ref="BB67:BJ67"/>
    <mergeCell ref="BK67:BS67"/>
    <mergeCell ref="BT66:BZ66"/>
    <mergeCell ref="CA66:CG66"/>
    <mergeCell ref="CH66:CN66"/>
    <mergeCell ref="CO66:CU66"/>
    <mergeCell ref="CV66:DD66"/>
    <mergeCell ref="DE66:DM66"/>
    <mergeCell ref="DN67:DT67"/>
    <mergeCell ref="DU67:EA67"/>
    <mergeCell ref="EB67:EH67"/>
    <mergeCell ref="EI67:EO67"/>
    <mergeCell ref="EP67:EY67"/>
    <mergeCell ref="A66:AM66"/>
    <mergeCell ref="AN66:AU66"/>
    <mergeCell ref="AV66:BA66"/>
    <mergeCell ref="BT67:BZ67"/>
    <mergeCell ref="CA67:CG67"/>
    <mergeCell ref="CH67:CN67"/>
    <mergeCell ref="BB66:BJ66"/>
    <mergeCell ref="BK66:BS66"/>
    <mergeCell ref="BT65:BZ65"/>
    <mergeCell ref="CA65:CG65"/>
    <mergeCell ref="CH65:CN65"/>
    <mergeCell ref="CO65:CU65"/>
    <mergeCell ref="DN64:DT64"/>
    <mergeCell ref="DU64:EA64"/>
    <mergeCell ref="EB64:EH64"/>
    <mergeCell ref="BK64:BS64"/>
    <mergeCell ref="DN66:DT66"/>
    <mergeCell ref="DU66:EA66"/>
    <mergeCell ref="EB66:EH66"/>
    <mergeCell ref="EI64:EO64"/>
    <mergeCell ref="EP64:EY64"/>
    <mergeCell ref="A65:AM65"/>
    <mergeCell ref="AN65:AU65"/>
    <mergeCell ref="AV65:BA65"/>
    <mergeCell ref="BB65:BJ65"/>
    <mergeCell ref="BK65:BS65"/>
    <mergeCell ref="BT64:BZ64"/>
    <mergeCell ref="CA64:CG64"/>
    <mergeCell ref="CH64:CN64"/>
    <mergeCell ref="CO64:CU64"/>
    <mergeCell ref="CV64:DD64"/>
    <mergeCell ref="DE64:DM64"/>
    <mergeCell ref="DN65:DT65"/>
    <mergeCell ref="DU65:EA65"/>
    <mergeCell ref="EB65:EH65"/>
    <mergeCell ref="EI65:EO65"/>
    <mergeCell ref="EP65:EY65"/>
    <mergeCell ref="CV65:DD65"/>
    <mergeCell ref="DE65:DM65"/>
    <mergeCell ref="A64:AM64"/>
    <mergeCell ref="AN64:AU64"/>
    <mergeCell ref="AV64:BA64"/>
    <mergeCell ref="BB64:BJ64"/>
    <mergeCell ref="DN62:DT62"/>
    <mergeCell ref="DU62:EA62"/>
    <mergeCell ref="EB62:EH62"/>
    <mergeCell ref="EI62:EO62"/>
    <mergeCell ref="EP62:EY62"/>
    <mergeCell ref="CV62:DD62"/>
    <mergeCell ref="DE62:DM62"/>
    <mergeCell ref="DN63:DT63"/>
    <mergeCell ref="DU63:EA63"/>
    <mergeCell ref="EB63:EH63"/>
    <mergeCell ref="EI63:EO63"/>
    <mergeCell ref="EP63:EY63"/>
    <mergeCell ref="CV63:DD63"/>
    <mergeCell ref="DE63:DM63"/>
    <mergeCell ref="A63:AM63"/>
    <mergeCell ref="AN63:AU63"/>
    <mergeCell ref="AV63:BA63"/>
    <mergeCell ref="BB63:BJ63"/>
    <mergeCell ref="BK63:BS63"/>
    <mergeCell ref="BT62:BZ62"/>
    <mergeCell ref="CA62:CG62"/>
    <mergeCell ref="CH62:CN62"/>
    <mergeCell ref="CO62:CU62"/>
    <mergeCell ref="A62:AM62"/>
    <mergeCell ref="AN62:AU62"/>
    <mergeCell ref="AV62:BA62"/>
    <mergeCell ref="BB62:BJ62"/>
    <mergeCell ref="BK62:BS62"/>
    <mergeCell ref="BT63:BZ63"/>
    <mergeCell ref="CA63:CG63"/>
    <mergeCell ref="CH63:CN63"/>
    <mergeCell ref="CO63:CU63"/>
    <mergeCell ref="DN60:DT60"/>
    <mergeCell ref="DU60:EA60"/>
    <mergeCell ref="EB60:EH60"/>
    <mergeCell ref="EI60:EO60"/>
    <mergeCell ref="EP60:EY60"/>
    <mergeCell ref="CV60:DD60"/>
    <mergeCell ref="DE60:DM60"/>
    <mergeCell ref="DN61:DT61"/>
    <mergeCell ref="DU61:EA61"/>
    <mergeCell ref="EB61:EH61"/>
    <mergeCell ref="EI61:EO61"/>
    <mergeCell ref="EP61:EY61"/>
    <mergeCell ref="CV61:DD61"/>
    <mergeCell ref="DE61:DM61"/>
    <mergeCell ref="A61:AM61"/>
    <mergeCell ref="AN61:AU61"/>
    <mergeCell ref="AV61:BA61"/>
    <mergeCell ref="BB61:BJ61"/>
    <mergeCell ref="BK61:BS61"/>
    <mergeCell ref="BT60:BZ60"/>
    <mergeCell ref="CA60:CG60"/>
    <mergeCell ref="CH60:CN60"/>
    <mergeCell ref="CO60:CU60"/>
    <mergeCell ref="A60:AM60"/>
    <mergeCell ref="AN60:AU60"/>
    <mergeCell ref="AV60:BA60"/>
    <mergeCell ref="BB60:BJ60"/>
    <mergeCell ref="BK60:BS60"/>
    <mergeCell ref="BT61:BZ61"/>
    <mergeCell ref="CA61:CG61"/>
    <mergeCell ref="CH61:CN61"/>
    <mergeCell ref="CO61:CU61"/>
    <mergeCell ref="CH57:CN57"/>
    <mergeCell ref="CO57:CU57"/>
    <mergeCell ref="CV57:DD57"/>
    <mergeCell ref="DE57:DM57"/>
    <mergeCell ref="DN57:DT57"/>
    <mergeCell ref="DN59:DT59"/>
    <mergeCell ref="DU59:EA59"/>
    <mergeCell ref="EB59:EH59"/>
    <mergeCell ref="EI59:EO59"/>
    <mergeCell ref="EP59:EY59"/>
    <mergeCell ref="CV59:DD59"/>
    <mergeCell ref="DE59:DM59"/>
    <mergeCell ref="A57:AM57"/>
    <mergeCell ref="AN57:AU57"/>
    <mergeCell ref="AV57:BA57"/>
    <mergeCell ref="BB57:BJ57"/>
    <mergeCell ref="BK57:BS57"/>
    <mergeCell ref="BT57:BZ57"/>
    <mergeCell ref="BT59:BZ59"/>
    <mergeCell ref="CA59:CG59"/>
    <mergeCell ref="CH59:CN59"/>
    <mergeCell ref="CO59:CU59"/>
    <mergeCell ref="DU57:EA57"/>
    <mergeCell ref="EB57:EH57"/>
    <mergeCell ref="EI57:EO57"/>
    <mergeCell ref="EP57:EY57"/>
    <mergeCell ref="A58:EY58"/>
    <mergeCell ref="A59:AM59"/>
    <mergeCell ref="AN59:AU59"/>
    <mergeCell ref="AV59:BA59"/>
    <mergeCell ref="BB59:BJ59"/>
    <mergeCell ref="BK59:BS59"/>
    <mergeCell ref="CA57:CG57"/>
    <mergeCell ref="DU55:EA55"/>
    <mergeCell ref="EB55:EH55"/>
    <mergeCell ref="EI55:EO55"/>
    <mergeCell ref="EP55:EY55"/>
    <mergeCell ref="A56:AM56"/>
    <mergeCell ref="AN56:AU56"/>
    <mergeCell ref="AV56:BA56"/>
    <mergeCell ref="BB56:BJ56"/>
    <mergeCell ref="BK56:BS56"/>
    <mergeCell ref="BT56:BZ56"/>
    <mergeCell ref="CA55:CG55"/>
    <mergeCell ref="CH55:CN55"/>
    <mergeCell ref="CO55:CU55"/>
    <mergeCell ref="CV55:DD55"/>
    <mergeCell ref="DE55:DM55"/>
    <mergeCell ref="DN55:DT55"/>
    <mergeCell ref="DU56:EA56"/>
    <mergeCell ref="EB56:EH56"/>
    <mergeCell ref="EI56:EO56"/>
    <mergeCell ref="EP56:EY56"/>
    <mergeCell ref="CV56:DD56"/>
    <mergeCell ref="DE56:DM56"/>
    <mergeCell ref="DN56:DT56"/>
    <mergeCell ref="A55:AM55"/>
    <mergeCell ref="AN55:AU55"/>
    <mergeCell ref="AV55:BA55"/>
    <mergeCell ref="BB55:BJ55"/>
    <mergeCell ref="BK55:BS55"/>
    <mergeCell ref="BT55:BZ55"/>
    <mergeCell ref="CA54:CG54"/>
    <mergeCell ref="CH54:CN54"/>
    <mergeCell ref="CO54:CU54"/>
    <mergeCell ref="CA56:CG56"/>
    <mergeCell ref="CH56:CN56"/>
    <mergeCell ref="CO56:CU56"/>
    <mergeCell ref="EB53:EH53"/>
    <mergeCell ref="EI53:EO53"/>
    <mergeCell ref="EP53:EY53"/>
    <mergeCell ref="A54:AM54"/>
    <mergeCell ref="AN54:AU54"/>
    <mergeCell ref="AV54:BA54"/>
    <mergeCell ref="BB54:BJ54"/>
    <mergeCell ref="BK54:BS54"/>
    <mergeCell ref="BT54:BZ54"/>
    <mergeCell ref="CA53:CG53"/>
    <mergeCell ref="CH53:CN53"/>
    <mergeCell ref="CO53:CU53"/>
    <mergeCell ref="CV53:DD53"/>
    <mergeCell ref="DE53:DM53"/>
    <mergeCell ref="DN53:DT53"/>
    <mergeCell ref="DU54:EA54"/>
    <mergeCell ref="EB54:EH54"/>
    <mergeCell ref="EI54:EO54"/>
    <mergeCell ref="EP54:EY54"/>
    <mergeCell ref="CV54:DD54"/>
    <mergeCell ref="DE54:DM54"/>
    <mergeCell ref="DN54:DT54"/>
    <mergeCell ref="A53:AM53"/>
    <mergeCell ref="AN53:AU53"/>
    <mergeCell ref="AV53:BA53"/>
    <mergeCell ref="BB53:BJ53"/>
    <mergeCell ref="BK53:BS53"/>
    <mergeCell ref="BT53:BZ53"/>
    <mergeCell ref="CA52:CG52"/>
    <mergeCell ref="CH52:CN52"/>
    <mergeCell ref="CO52:CU52"/>
    <mergeCell ref="DU51:EA51"/>
    <mergeCell ref="AV51:BA51"/>
    <mergeCell ref="BB51:BJ51"/>
    <mergeCell ref="BK51:BS51"/>
    <mergeCell ref="BT51:BZ51"/>
    <mergeCell ref="DU53:EA53"/>
    <mergeCell ref="EB51:EH51"/>
    <mergeCell ref="EI51:EO51"/>
    <mergeCell ref="EP51:EY51"/>
    <mergeCell ref="A52:AM52"/>
    <mergeCell ref="AN52:AU52"/>
    <mergeCell ref="AV52:BA52"/>
    <mergeCell ref="BB52:BJ52"/>
    <mergeCell ref="BK52:BS52"/>
    <mergeCell ref="BT52:BZ52"/>
    <mergeCell ref="CA51:CG51"/>
    <mergeCell ref="CH51:CN51"/>
    <mergeCell ref="CO51:CU51"/>
    <mergeCell ref="CV51:DD51"/>
    <mergeCell ref="DE51:DM51"/>
    <mergeCell ref="DN51:DT51"/>
    <mergeCell ref="DU52:EA52"/>
    <mergeCell ref="EB52:EH52"/>
    <mergeCell ref="EI52:EO52"/>
    <mergeCell ref="EP52:EY52"/>
    <mergeCell ref="CV52:DD52"/>
    <mergeCell ref="DE52:DM52"/>
    <mergeCell ref="DN52:DT52"/>
    <mergeCell ref="A51:AM51"/>
    <mergeCell ref="AN51:AU51"/>
    <mergeCell ref="DU49:EA49"/>
    <mergeCell ref="EB49:EH49"/>
    <mergeCell ref="EI49:EO49"/>
    <mergeCell ref="EP49:EY49"/>
    <mergeCell ref="A50:AM50"/>
    <mergeCell ref="AN50:AU50"/>
    <mergeCell ref="AV50:BA50"/>
    <mergeCell ref="BB50:BJ50"/>
    <mergeCell ref="BK50:BS50"/>
    <mergeCell ref="BT50:BZ50"/>
    <mergeCell ref="CA49:CG49"/>
    <mergeCell ref="CH49:CN49"/>
    <mergeCell ref="CO49:CU49"/>
    <mergeCell ref="CV49:DD49"/>
    <mergeCell ref="DE49:DM49"/>
    <mergeCell ref="DN49:DT49"/>
    <mergeCell ref="DU50:EA50"/>
    <mergeCell ref="EB50:EH50"/>
    <mergeCell ref="EI50:EO50"/>
    <mergeCell ref="EP50:EY50"/>
    <mergeCell ref="CV50:DD50"/>
    <mergeCell ref="DE50:DM50"/>
    <mergeCell ref="DN50:DT50"/>
    <mergeCell ref="A49:AM49"/>
    <mergeCell ref="AN49:AU49"/>
    <mergeCell ref="AV49:BA49"/>
    <mergeCell ref="BB49:BJ49"/>
    <mergeCell ref="BK49:BS49"/>
    <mergeCell ref="BT49:BZ49"/>
    <mergeCell ref="CA48:CG48"/>
    <mergeCell ref="CH48:CN48"/>
    <mergeCell ref="CO48:CU48"/>
    <mergeCell ref="CA50:CG50"/>
    <mergeCell ref="CH50:CN50"/>
    <mergeCell ref="CO50:CU50"/>
    <mergeCell ref="EB47:EH47"/>
    <mergeCell ref="EI47:EO47"/>
    <mergeCell ref="EP47:EY47"/>
    <mergeCell ref="A48:AM48"/>
    <mergeCell ref="AN48:AU48"/>
    <mergeCell ref="AV48:BA48"/>
    <mergeCell ref="BB48:BJ48"/>
    <mergeCell ref="BK48:BS48"/>
    <mergeCell ref="BT48:BZ48"/>
    <mergeCell ref="CA47:CG47"/>
    <mergeCell ref="CH47:CN47"/>
    <mergeCell ref="CO47:CU47"/>
    <mergeCell ref="CV47:DD47"/>
    <mergeCell ref="DE47:DM47"/>
    <mergeCell ref="DN47:DT47"/>
    <mergeCell ref="DU48:EA48"/>
    <mergeCell ref="EB48:EH48"/>
    <mergeCell ref="EI48:EO48"/>
    <mergeCell ref="EP48:EY48"/>
    <mergeCell ref="CV48:DD48"/>
    <mergeCell ref="DE48:DM48"/>
    <mergeCell ref="DN48:DT48"/>
    <mergeCell ref="A47:AM47"/>
    <mergeCell ref="AN47:AU47"/>
    <mergeCell ref="AV47:BA47"/>
    <mergeCell ref="BB47:BJ47"/>
    <mergeCell ref="BK47:BS47"/>
    <mergeCell ref="BT47:BZ47"/>
    <mergeCell ref="CA46:CG46"/>
    <mergeCell ref="CH46:CN46"/>
    <mergeCell ref="CO46:CU46"/>
    <mergeCell ref="DU45:EA45"/>
    <mergeCell ref="AV45:BA45"/>
    <mergeCell ref="BB45:BJ45"/>
    <mergeCell ref="BK45:BS45"/>
    <mergeCell ref="BT45:BZ45"/>
    <mergeCell ref="DU47:EA47"/>
    <mergeCell ref="EB45:EH45"/>
    <mergeCell ref="EI45:EO45"/>
    <mergeCell ref="EP45:EY45"/>
    <mergeCell ref="A46:AM46"/>
    <mergeCell ref="AN46:AU46"/>
    <mergeCell ref="AV46:BA46"/>
    <mergeCell ref="BB46:BJ46"/>
    <mergeCell ref="BK46:BS46"/>
    <mergeCell ref="BT46:BZ46"/>
    <mergeCell ref="CA45:CG45"/>
    <mergeCell ref="CH45:CN45"/>
    <mergeCell ref="CO45:CU45"/>
    <mergeCell ref="CV45:DD45"/>
    <mergeCell ref="DE45:DM45"/>
    <mergeCell ref="DN45:DT45"/>
    <mergeCell ref="DU46:EA46"/>
    <mergeCell ref="EB46:EH46"/>
    <mergeCell ref="EI46:EO46"/>
    <mergeCell ref="EP46:EY46"/>
    <mergeCell ref="CV46:DD46"/>
    <mergeCell ref="DE46:DM46"/>
    <mergeCell ref="DN46:DT46"/>
    <mergeCell ref="A45:AM45"/>
    <mergeCell ref="AN45:AU45"/>
    <mergeCell ref="DU43:EA43"/>
    <mergeCell ref="EB43:EH43"/>
    <mergeCell ref="EI43:EO43"/>
    <mergeCell ref="EP43:EY43"/>
    <mergeCell ref="A44:AM44"/>
    <mergeCell ref="AN44:AU44"/>
    <mergeCell ref="AV44:BA44"/>
    <mergeCell ref="BB44:BJ44"/>
    <mergeCell ref="BK44:BS44"/>
    <mergeCell ref="BT44:BZ44"/>
    <mergeCell ref="CA43:CG43"/>
    <mergeCell ref="CH43:CN43"/>
    <mergeCell ref="CO43:CU43"/>
    <mergeCell ref="CV43:DD43"/>
    <mergeCell ref="DE43:DM43"/>
    <mergeCell ref="DN43:DT43"/>
    <mergeCell ref="DU44:EA44"/>
    <mergeCell ref="EB44:EH44"/>
    <mergeCell ref="EI44:EO44"/>
    <mergeCell ref="EP44:EY44"/>
    <mergeCell ref="CV44:DD44"/>
    <mergeCell ref="DE44:DM44"/>
    <mergeCell ref="DN44:DT44"/>
    <mergeCell ref="A43:AM43"/>
    <mergeCell ref="AN43:AU43"/>
    <mergeCell ref="AV43:BA43"/>
    <mergeCell ref="BB43:BJ43"/>
    <mergeCell ref="BK43:BS43"/>
    <mergeCell ref="BT43:BZ43"/>
    <mergeCell ref="CA42:CG42"/>
    <mergeCell ref="CH42:CN42"/>
    <mergeCell ref="CO42:CU42"/>
    <mergeCell ref="CA44:CG44"/>
    <mergeCell ref="CH44:CN44"/>
    <mergeCell ref="CO44:CU44"/>
    <mergeCell ref="EB41:EH41"/>
    <mergeCell ref="EI41:EO41"/>
    <mergeCell ref="EP41:EY41"/>
    <mergeCell ref="A42:AM42"/>
    <mergeCell ref="AN42:AU42"/>
    <mergeCell ref="AV42:BA42"/>
    <mergeCell ref="BB42:BJ42"/>
    <mergeCell ref="BK42:BS42"/>
    <mergeCell ref="BT42:BZ42"/>
    <mergeCell ref="CA41:CG41"/>
    <mergeCell ref="CH41:CN41"/>
    <mergeCell ref="CO41:CU41"/>
    <mergeCell ref="CV41:DD41"/>
    <mergeCell ref="DE41:DM41"/>
    <mergeCell ref="DN41:DT41"/>
    <mergeCell ref="DU42:EA42"/>
    <mergeCell ref="EB42:EH42"/>
    <mergeCell ref="EI42:EO42"/>
    <mergeCell ref="EP42:EY42"/>
    <mergeCell ref="CV42:DD42"/>
    <mergeCell ref="DE42:DM42"/>
    <mergeCell ref="DN42:DT42"/>
    <mergeCell ref="A41:AM41"/>
    <mergeCell ref="AN41:AU41"/>
    <mergeCell ref="AV41:BA41"/>
    <mergeCell ref="BB41:BJ41"/>
    <mergeCell ref="BK41:BS41"/>
    <mergeCell ref="BT41:BZ41"/>
    <mergeCell ref="CA40:CG40"/>
    <mergeCell ref="CH40:CN40"/>
    <mergeCell ref="CO40:CU40"/>
    <mergeCell ref="DU39:EA39"/>
    <mergeCell ref="AV39:BA39"/>
    <mergeCell ref="BB39:BJ39"/>
    <mergeCell ref="BK39:BS39"/>
    <mergeCell ref="BT39:BZ39"/>
    <mergeCell ref="DU41:EA41"/>
    <mergeCell ref="EB39:EH39"/>
    <mergeCell ref="EI39:EO39"/>
    <mergeCell ref="EP39:EY39"/>
    <mergeCell ref="A40:AM40"/>
    <mergeCell ref="AN40:AU40"/>
    <mergeCell ref="AV40:BA40"/>
    <mergeCell ref="BB40:BJ40"/>
    <mergeCell ref="BK40:BS40"/>
    <mergeCell ref="BT40:BZ40"/>
    <mergeCell ref="CA39:CG39"/>
    <mergeCell ref="CH39:CN39"/>
    <mergeCell ref="CO39:CU39"/>
    <mergeCell ref="CV39:DD39"/>
    <mergeCell ref="DE39:DM39"/>
    <mergeCell ref="DN39:DT39"/>
    <mergeCell ref="DU40:EA40"/>
    <mergeCell ref="EB40:EH40"/>
    <mergeCell ref="EI40:EO40"/>
    <mergeCell ref="EP40:EY40"/>
    <mergeCell ref="CV40:DD40"/>
    <mergeCell ref="DE40:DM40"/>
    <mergeCell ref="DN40:DT40"/>
    <mergeCell ref="A39:AM39"/>
    <mergeCell ref="AN39:AU39"/>
    <mergeCell ref="DU37:EA37"/>
    <mergeCell ref="EB37:EH37"/>
    <mergeCell ref="EI37:EO37"/>
    <mergeCell ref="EP37:EY37"/>
    <mergeCell ref="A38:AM38"/>
    <mergeCell ref="AN38:AU38"/>
    <mergeCell ref="AV38:BA38"/>
    <mergeCell ref="BB38:BJ38"/>
    <mergeCell ref="BK38:BS38"/>
    <mergeCell ref="BT38:BZ38"/>
    <mergeCell ref="CA37:CG37"/>
    <mergeCell ref="CH37:CN37"/>
    <mergeCell ref="CO37:CU37"/>
    <mergeCell ref="CV37:DD37"/>
    <mergeCell ref="DE37:DM37"/>
    <mergeCell ref="DN37:DT37"/>
    <mergeCell ref="DU38:EA38"/>
    <mergeCell ref="EB38:EH38"/>
    <mergeCell ref="EI38:EO38"/>
    <mergeCell ref="EP38:EY38"/>
    <mergeCell ref="CV38:DD38"/>
    <mergeCell ref="DE38:DM38"/>
    <mergeCell ref="DN38:DT38"/>
    <mergeCell ref="A37:AM37"/>
    <mergeCell ref="AN37:AU37"/>
    <mergeCell ref="AV37:BA37"/>
    <mergeCell ref="BB37:BJ37"/>
    <mergeCell ref="BK37:BS37"/>
    <mergeCell ref="BT37:BZ37"/>
    <mergeCell ref="CA36:CG36"/>
    <mergeCell ref="CH36:CN36"/>
    <mergeCell ref="CO36:CU36"/>
    <mergeCell ref="CA38:CG38"/>
    <mergeCell ref="CH38:CN38"/>
    <mergeCell ref="CO38:CU38"/>
    <mergeCell ref="EB35:EH35"/>
    <mergeCell ref="EI35:EO35"/>
    <mergeCell ref="EP35:EY35"/>
    <mergeCell ref="A36:AM36"/>
    <mergeCell ref="AN36:AU36"/>
    <mergeCell ref="AV36:BA36"/>
    <mergeCell ref="BB36:BJ36"/>
    <mergeCell ref="BK36:BS36"/>
    <mergeCell ref="BT36:BZ36"/>
    <mergeCell ref="CA35:CG35"/>
    <mergeCell ref="CH35:CN35"/>
    <mergeCell ref="CO35:CU35"/>
    <mergeCell ref="CV35:DD35"/>
    <mergeCell ref="DE35:DM35"/>
    <mergeCell ref="DN35:DT35"/>
    <mergeCell ref="DU36:EA36"/>
    <mergeCell ref="EB36:EH36"/>
    <mergeCell ref="EI36:EO36"/>
    <mergeCell ref="EP36:EY36"/>
    <mergeCell ref="CV36:DD36"/>
    <mergeCell ref="DE36:DM36"/>
    <mergeCell ref="DN36:DT36"/>
    <mergeCell ref="A35:AM35"/>
    <mergeCell ref="AN35:AU35"/>
    <mergeCell ref="AV35:BA35"/>
    <mergeCell ref="BB35:BJ35"/>
    <mergeCell ref="BK35:BS35"/>
    <mergeCell ref="BT35:BZ35"/>
    <mergeCell ref="CA34:CG34"/>
    <mergeCell ref="CH34:CN34"/>
    <mergeCell ref="CO34:CU34"/>
    <mergeCell ref="DU33:EA33"/>
    <mergeCell ref="AV33:BA33"/>
    <mergeCell ref="BB33:BJ33"/>
    <mergeCell ref="BK33:BS33"/>
    <mergeCell ref="BT33:BZ33"/>
    <mergeCell ref="DU35:EA35"/>
    <mergeCell ref="EB33:EH33"/>
    <mergeCell ref="EI33:EO33"/>
    <mergeCell ref="EP33:EY33"/>
    <mergeCell ref="A34:AM34"/>
    <mergeCell ref="AN34:AU34"/>
    <mergeCell ref="AV34:BA34"/>
    <mergeCell ref="BB34:BJ34"/>
    <mergeCell ref="BK34:BS34"/>
    <mergeCell ref="BT34:BZ34"/>
    <mergeCell ref="CA33:CG33"/>
    <mergeCell ref="CH33:CN33"/>
    <mergeCell ref="CO33:CU33"/>
    <mergeCell ref="CV33:DD33"/>
    <mergeCell ref="DE33:DM33"/>
    <mergeCell ref="DN33:DT33"/>
    <mergeCell ref="DU34:EA34"/>
    <mergeCell ref="EB34:EH34"/>
    <mergeCell ref="EI34:EO34"/>
    <mergeCell ref="EP34:EY34"/>
    <mergeCell ref="CV34:DD34"/>
    <mergeCell ref="DE34:DM34"/>
    <mergeCell ref="DN34:DT34"/>
    <mergeCell ref="A33:AM33"/>
    <mergeCell ref="AN33:AU33"/>
    <mergeCell ref="DU31:EA31"/>
    <mergeCell ref="EB31:EH31"/>
    <mergeCell ref="EI31:EO31"/>
    <mergeCell ref="EP31:EY31"/>
    <mergeCell ref="A32:AM32"/>
    <mergeCell ref="AN32:AU32"/>
    <mergeCell ref="AV32:BA32"/>
    <mergeCell ref="BB32:BJ32"/>
    <mergeCell ref="BK32:BS32"/>
    <mergeCell ref="BT32:BZ32"/>
    <mergeCell ref="CA31:CG31"/>
    <mergeCell ref="CH31:CN31"/>
    <mergeCell ref="CO31:CU31"/>
    <mergeCell ref="CV31:DD31"/>
    <mergeCell ref="DE31:DM31"/>
    <mergeCell ref="DN31:DT31"/>
    <mergeCell ref="DU32:EA32"/>
    <mergeCell ref="EB32:EH32"/>
    <mergeCell ref="EI32:EO32"/>
    <mergeCell ref="EP32:EY32"/>
    <mergeCell ref="CV32:DD32"/>
    <mergeCell ref="DE32:DM32"/>
    <mergeCell ref="DN32:DT32"/>
    <mergeCell ref="A31:AM31"/>
    <mergeCell ref="AN31:AU31"/>
    <mergeCell ref="AV31:BA31"/>
    <mergeCell ref="BB31:BJ31"/>
    <mergeCell ref="BK31:BS31"/>
    <mergeCell ref="BT31:BZ31"/>
    <mergeCell ref="CA30:CG30"/>
    <mergeCell ref="CH30:CN30"/>
    <mergeCell ref="CO30:CU30"/>
    <mergeCell ref="CA32:CG32"/>
    <mergeCell ref="CH32:CN32"/>
    <mergeCell ref="CO32:CU32"/>
    <mergeCell ref="EB29:EH29"/>
    <mergeCell ref="EI29:EO29"/>
    <mergeCell ref="EP29:EY29"/>
    <mergeCell ref="A30:AM30"/>
    <mergeCell ref="AN30:AU30"/>
    <mergeCell ref="AV30:BA30"/>
    <mergeCell ref="BB30:BJ30"/>
    <mergeCell ref="BK30:BS30"/>
    <mergeCell ref="BT30:BZ30"/>
    <mergeCell ref="CA29:CG29"/>
    <mergeCell ref="CH29:CN29"/>
    <mergeCell ref="CO29:CU29"/>
    <mergeCell ref="CV29:DD29"/>
    <mergeCell ref="DE29:DM29"/>
    <mergeCell ref="DN29:DT29"/>
    <mergeCell ref="DU30:EA30"/>
    <mergeCell ref="EB30:EH30"/>
    <mergeCell ref="EI30:EO30"/>
    <mergeCell ref="EP30:EY30"/>
    <mergeCell ref="CV30:DD30"/>
    <mergeCell ref="DE30:DM30"/>
    <mergeCell ref="DN30:DT30"/>
    <mergeCell ref="A29:AM29"/>
    <mergeCell ref="AN29:AU29"/>
    <mergeCell ref="AV29:BA29"/>
    <mergeCell ref="BB29:BJ29"/>
    <mergeCell ref="BK29:BS29"/>
    <mergeCell ref="BT29:BZ29"/>
    <mergeCell ref="CA28:CG28"/>
    <mergeCell ref="CH28:CN28"/>
    <mergeCell ref="CO28:CU28"/>
    <mergeCell ref="DU27:EA27"/>
    <mergeCell ref="AV27:BA27"/>
    <mergeCell ref="BB27:BJ27"/>
    <mergeCell ref="BK27:BS27"/>
    <mergeCell ref="BT27:BZ27"/>
    <mergeCell ref="DU29:EA29"/>
    <mergeCell ref="EB27:EH27"/>
    <mergeCell ref="EI27:EO27"/>
    <mergeCell ref="EP27:EY27"/>
    <mergeCell ref="A28:AM28"/>
    <mergeCell ref="AN28:AU28"/>
    <mergeCell ref="AV28:BA28"/>
    <mergeCell ref="BB28:BJ28"/>
    <mergeCell ref="BK28:BS28"/>
    <mergeCell ref="BT28:BZ28"/>
    <mergeCell ref="CA27:CG27"/>
    <mergeCell ref="CH27:CN27"/>
    <mergeCell ref="CO27:CU27"/>
    <mergeCell ref="CV27:DD27"/>
    <mergeCell ref="DE27:DM27"/>
    <mergeCell ref="DN27:DT27"/>
    <mergeCell ref="DU28:EA28"/>
    <mergeCell ref="EB28:EH28"/>
    <mergeCell ref="EI28:EO28"/>
    <mergeCell ref="EP28:EY28"/>
    <mergeCell ref="CV28:DD28"/>
    <mergeCell ref="DE28:DM28"/>
    <mergeCell ref="DN28:DT28"/>
    <mergeCell ref="A27:AM27"/>
    <mergeCell ref="AN27:AU27"/>
    <mergeCell ref="DU25:EA25"/>
    <mergeCell ref="EB25:EH25"/>
    <mergeCell ref="EI25:EO25"/>
    <mergeCell ref="EP25:EY25"/>
    <mergeCell ref="A26:AM26"/>
    <mergeCell ref="AN26:AU26"/>
    <mergeCell ref="AV26:BA26"/>
    <mergeCell ref="BB26:BJ26"/>
    <mergeCell ref="BK26:BS26"/>
    <mergeCell ref="BT26:BZ26"/>
    <mergeCell ref="CA25:CG25"/>
    <mergeCell ref="CH25:CN25"/>
    <mergeCell ref="CO25:CU25"/>
    <mergeCell ref="CV25:DD25"/>
    <mergeCell ref="DE25:DM25"/>
    <mergeCell ref="DN25:DT25"/>
    <mergeCell ref="DU26:EA26"/>
    <mergeCell ref="EB26:EH26"/>
    <mergeCell ref="EI26:EO26"/>
    <mergeCell ref="EP26:EY26"/>
    <mergeCell ref="CV26:DD26"/>
    <mergeCell ref="DE26:DM26"/>
    <mergeCell ref="DN26:DT26"/>
    <mergeCell ref="A25:AM25"/>
    <mergeCell ref="AN25:AU25"/>
    <mergeCell ref="AV25:BA25"/>
    <mergeCell ref="BB25:BJ25"/>
    <mergeCell ref="BK25:BS25"/>
    <mergeCell ref="BT25:BZ25"/>
    <mergeCell ref="CA24:CG24"/>
    <mergeCell ref="CH24:CN24"/>
    <mergeCell ref="CO24:CU24"/>
    <mergeCell ref="CA26:CG26"/>
    <mergeCell ref="CH26:CN26"/>
    <mergeCell ref="CO26:CU26"/>
    <mergeCell ref="EI23:EO23"/>
    <mergeCell ref="EP23:EY23"/>
    <mergeCell ref="A24:AM24"/>
    <mergeCell ref="AN24:AU24"/>
    <mergeCell ref="AV24:BA24"/>
    <mergeCell ref="BB24:BJ24"/>
    <mergeCell ref="BK24:BS24"/>
    <mergeCell ref="BT24:BZ24"/>
    <mergeCell ref="CA23:CG23"/>
    <mergeCell ref="CH23:CN23"/>
    <mergeCell ref="CO23:CU23"/>
    <mergeCell ref="CV23:DD23"/>
    <mergeCell ref="DE23:DM23"/>
    <mergeCell ref="DN23:DT23"/>
    <mergeCell ref="DU24:EA24"/>
    <mergeCell ref="EB24:EH24"/>
    <mergeCell ref="EI24:EO24"/>
    <mergeCell ref="EP24:EY24"/>
    <mergeCell ref="CV24:DD24"/>
    <mergeCell ref="DE24:DM24"/>
    <mergeCell ref="DN24:DT24"/>
    <mergeCell ref="A23:AM23"/>
    <mergeCell ref="AN23:AU23"/>
    <mergeCell ref="AV23:BA23"/>
    <mergeCell ref="BB23:BJ23"/>
    <mergeCell ref="BK23:BS23"/>
    <mergeCell ref="BT23:BZ23"/>
    <mergeCell ref="CA22:CG22"/>
    <mergeCell ref="CH22:CN22"/>
    <mergeCell ref="CO22:CU22"/>
    <mergeCell ref="EB21:EH21"/>
    <mergeCell ref="DU23:EA23"/>
    <mergeCell ref="EB23:EH23"/>
    <mergeCell ref="EI21:EO21"/>
    <mergeCell ref="EP21:EY21"/>
    <mergeCell ref="A22:AM22"/>
    <mergeCell ref="AN22:AU22"/>
    <mergeCell ref="AV22:BA22"/>
    <mergeCell ref="BB22:BJ22"/>
    <mergeCell ref="BK22:BS22"/>
    <mergeCell ref="BT22:BZ22"/>
    <mergeCell ref="CA21:CG21"/>
    <mergeCell ref="CH21:CN21"/>
    <mergeCell ref="CO21:CU21"/>
    <mergeCell ref="CV21:DD21"/>
    <mergeCell ref="DE21:DM21"/>
    <mergeCell ref="DN21:DT21"/>
    <mergeCell ref="DU22:EA22"/>
    <mergeCell ref="EB22:EH22"/>
    <mergeCell ref="EI22:EO22"/>
    <mergeCell ref="EP22:EY22"/>
    <mergeCell ref="CV22:DD22"/>
    <mergeCell ref="DE22:DM22"/>
    <mergeCell ref="DN22:DT22"/>
    <mergeCell ref="EI19:EO19"/>
    <mergeCell ref="DU20:EA20"/>
    <mergeCell ref="EB20:EH20"/>
    <mergeCell ref="EI20:EO20"/>
    <mergeCell ref="EP20:EY20"/>
    <mergeCell ref="A21:AM21"/>
    <mergeCell ref="AN21:AU21"/>
    <mergeCell ref="AV21:BA21"/>
    <mergeCell ref="BB21:BJ21"/>
    <mergeCell ref="BK21:BS21"/>
    <mergeCell ref="BT21:BZ21"/>
    <mergeCell ref="CA20:CG20"/>
    <mergeCell ref="CH20:CN20"/>
    <mergeCell ref="CO20:CU20"/>
    <mergeCell ref="CV20:DD20"/>
    <mergeCell ref="DE20:DM20"/>
    <mergeCell ref="DN20:DT20"/>
    <mergeCell ref="A20:AM20"/>
    <mergeCell ref="AN20:AU20"/>
    <mergeCell ref="AV20:BA20"/>
    <mergeCell ref="BB20:BJ20"/>
    <mergeCell ref="BK20:BS20"/>
    <mergeCell ref="BT20:BZ20"/>
    <mergeCell ref="DU21:EA21"/>
    <mergeCell ref="A3:EY3"/>
    <mergeCell ref="A4:EY4"/>
    <mergeCell ref="DN11:EY11"/>
    <mergeCell ref="DN12:EY12"/>
    <mergeCell ref="DN13:EY13"/>
    <mergeCell ref="DN14:EY14"/>
    <mergeCell ref="DN15:EY15"/>
    <mergeCell ref="A18:AM19"/>
    <mergeCell ref="AN18:AU19"/>
    <mergeCell ref="AV18:BA19"/>
    <mergeCell ref="BB18:BJ19"/>
    <mergeCell ref="BK18:BS19"/>
    <mergeCell ref="BT18:CU18"/>
    <mergeCell ref="CV18:DD19"/>
    <mergeCell ref="DE18:DM19"/>
    <mergeCell ref="DN18:EO18"/>
    <mergeCell ref="EP18:EY19"/>
    <mergeCell ref="BT19:BZ19"/>
    <mergeCell ref="CA19:CG19"/>
    <mergeCell ref="CH19:CN19"/>
    <mergeCell ref="CO19:CU19"/>
    <mergeCell ref="DN19:DT19"/>
    <mergeCell ref="DU19:EA19"/>
    <mergeCell ref="EB19:EH19"/>
  </mergeCells>
  <pageMargins left="0.78740157480314965" right="0.70866141732283472" top="0.59055118110236227" bottom="0.39370078740157483" header="0.19685039370078741" footer="0.19685039370078741"/>
  <pageSetup paperSize="8" scale="140" fitToHeight="2"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72" max="15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94"/>
  <sheetViews>
    <sheetView view="pageBreakPreview" topLeftCell="A9" zoomScaleNormal="150" zoomScaleSheetLayoutView="100" workbookViewId="0">
      <pane ySplit="11" topLeftCell="A20" activePane="bottomLeft" state="frozen"/>
      <selection activeCell="A9" sqref="A9"/>
      <selection pane="bottomLeft" activeCell="BT34" sqref="BT34:BZ34"/>
    </sheetView>
  </sheetViews>
  <sheetFormatPr defaultColWidth="0.88671875" defaultRowHeight="13.2"/>
  <cols>
    <col min="1" max="73" width="0.88671875" style="432"/>
    <col min="74" max="74" width="1" style="432" customWidth="1"/>
    <col min="75" max="115" width="0.88671875" style="432"/>
    <col min="116" max="116" width="0.88671875" style="432" customWidth="1"/>
    <col min="117" max="329" width="0.88671875" style="432"/>
    <col min="330" max="330" width="1" style="432" customWidth="1"/>
    <col min="331" max="371" width="0.88671875" style="432"/>
    <col min="372" max="372" width="0.88671875" style="432" customWidth="1"/>
    <col min="373" max="585" width="0.88671875" style="432"/>
    <col min="586" max="586" width="1" style="432" customWidth="1"/>
    <col min="587" max="627" width="0.88671875" style="432"/>
    <col min="628" max="628" width="0.88671875" style="432" customWidth="1"/>
    <col min="629" max="841" width="0.88671875" style="432"/>
    <col min="842" max="842" width="1" style="432" customWidth="1"/>
    <col min="843" max="883" width="0.88671875" style="432"/>
    <col min="884" max="884" width="0.88671875" style="432" customWidth="1"/>
    <col min="885" max="1097" width="0.88671875" style="432"/>
    <col min="1098" max="1098" width="1" style="432" customWidth="1"/>
    <col min="1099" max="1139" width="0.88671875" style="432"/>
    <col min="1140" max="1140" width="0.88671875" style="432" customWidth="1"/>
    <col min="1141" max="1353" width="0.88671875" style="432"/>
    <col min="1354" max="1354" width="1" style="432" customWidth="1"/>
    <col min="1355" max="1395" width="0.88671875" style="432"/>
    <col min="1396" max="1396" width="0.88671875" style="432" customWidth="1"/>
    <col min="1397" max="1609" width="0.88671875" style="432"/>
    <col min="1610" max="1610" width="1" style="432" customWidth="1"/>
    <col min="1611" max="1651" width="0.88671875" style="432"/>
    <col min="1652" max="1652" width="0.88671875" style="432" customWidth="1"/>
    <col min="1653" max="1865" width="0.88671875" style="432"/>
    <col min="1866" max="1866" width="1" style="432" customWidth="1"/>
    <col min="1867" max="1907" width="0.88671875" style="432"/>
    <col min="1908" max="1908" width="0.88671875" style="432" customWidth="1"/>
    <col min="1909" max="2121" width="0.88671875" style="432"/>
    <col min="2122" max="2122" width="1" style="432" customWidth="1"/>
    <col min="2123" max="2163" width="0.88671875" style="432"/>
    <col min="2164" max="2164" width="0.88671875" style="432" customWidth="1"/>
    <col min="2165" max="2377" width="0.88671875" style="432"/>
    <col min="2378" max="2378" width="1" style="432" customWidth="1"/>
    <col min="2379" max="2419" width="0.88671875" style="432"/>
    <col min="2420" max="2420" width="0.88671875" style="432" customWidth="1"/>
    <col min="2421" max="2633" width="0.88671875" style="432"/>
    <col min="2634" max="2634" width="1" style="432" customWidth="1"/>
    <col min="2635" max="2675" width="0.88671875" style="432"/>
    <col min="2676" max="2676" width="0.88671875" style="432" customWidth="1"/>
    <col min="2677" max="2889" width="0.88671875" style="432"/>
    <col min="2890" max="2890" width="1" style="432" customWidth="1"/>
    <col min="2891" max="2931" width="0.88671875" style="432"/>
    <col min="2932" max="2932" width="0.88671875" style="432" customWidth="1"/>
    <col min="2933" max="3145" width="0.88671875" style="432"/>
    <col min="3146" max="3146" width="1" style="432" customWidth="1"/>
    <col min="3147" max="3187" width="0.88671875" style="432"/>
    <col min="3188" max="3188" width="0.88671875" style="432" customWidth="1"/>
    <col min="3189" max="3401" width="0.88671875" style="432"/>
    <col min="3402" max="3402" width="1" style="432" customWidth="1"/>
    <col min="3403" max="3443" width="0.88671875" style="432"/>
    <col min="3444" max="3444" width="0.88671875" style="432" customWidth="1"/>
    <col min="3445" max="3657" width="0.88671875" style="432"/>
    <col min="3658" max="3658" width="1" style="432" customWidth="1"/>
    <col min="3659" max="3699" width="0.88671875" style="432"/>
    <col min="3700" max="3700" width="0.88671875" style="432" customWidth="1"/>
    <col min="3701" max="3913" width="0.88671875" style="432"/>
    <col min="3914" max="3914" width="1" style="432" customWidth="1"/>
    <col min="3915" max="3955" width="0.88671875" style="432"/>
    <col min="3956" max="3956" width="0.88671875" style="432" customWidth="1"/>
    <col min="3957" max="4169" width="0.88671875" style="432"/>
    <col min="4170" max="4170" width="1" style="432" customWidth="1"/>
    <col min="4171" max="4211" width="0.88671875" style="432"/>
    <col min="4212" max="4212" width="0.88671875" style="432" customWidth="1"/>
    <col min="4213" max="4425" width="0.88671875" style="432"/>
    <col min="4426" max="4426" width="1" style="432" customWidth="1"/>
    <col min="4427" max="4467" width="0.88671875" style="432"/>
    <col min="4468" max="4468" width="0.88671875" style="432" customWidth="1"/>
    <col min="4469" max="4681" width="0.88671875" style="432"/>
    <col min="4682" max="4682" width="1" style="432" customWidth="1"/>
    <col min="4683" max="4723" width="0.88671875" style="432"/>
    <col min="4724" max="4724" width="0.88671875" style="432" customWidth="1"/>
    <col min="4725" max="4937" width="0.88671875" style="432"/>
    <col min="4938" max="4938" width="1" style="432" customWidth="1"/>
    <col min="4939" max="4979" width="0.88671875" style="432"/>
    <col min="4980" max="4980" width="0.88671875" style="432" customWidth="1"/>
    <col min="4981" max="5193" width="0.88671875" style="432"/>
    <col min="5194" max="5194" width="1" style="432" customWidth="1"/>
    <col min="5195" max="5235" width="0.88671875" style="432"/>
    <col min="5236" max="5236" width="0.88671875" style="432" customWidth="1"/>
    <col min="5237" max="5449" width="0.88671875" style="432"/>
    <col min="5450" max="5450" width="1" style="432" customWidth="1"/>
    <col min="5451" max="5491" width="0.88671875" style="432"/>
    <col min="5492" max="5492" width="0.88671875" style="432" customWidth="1"/>
    <col min="5493" max="5705" width="0.88671875" style="432"/>
    <col min="5706" max="5706" width="1" style="432" customWidth="1"/>
    <col min="5707" max="5747" width="0.88671875" style="432"/>
    <col min="5748" max="5748" width="0.88671875" style="432" customWidth="1"/>
    <col min="5749" max="5961" width="0.88671875" style="432"/>
    <col min="5962" max="5962" width="1" style="432" customWidth="1"/>
    <col min="5963" max="6003" width="0.88671875" style="432"/>
    <col min="6004" max="6004" width="0.88671875" style="432" customWidth="1"/>
    <col min="6005" max="6217" width="0.88671875" style="432"/>
    <col min="6218" max="6218" width="1" style="432" customWidth="1"/>
    <col min="6219" max="6259" width="0.88671875" style="432"/>
    <col min="6260" max="6260" width="0.88671875" style="432" customWidth="1"/>
    <col min="6261" max="6473" width="0.88671875" style="432"/>
    <col min="6474" max="6474" width="1" style="432" customWidth="1"/>
    <col min="6475" max="6515" width="0.88671875" style="432"/>
    <col min="6516" max="6516" width="0.88671875" style="432" customWidth="1"/>
    <col min="6517" max="6729" width="0.88671875" style="432"/>
    <col min="6730" max="6730" width="1" style="432" customWidth="1"/>
    <col min="6731" max="6771" width="0.88671875" style="432"/>
    <col min="6772" max="6772" width="0.88671875" style="432" customWidth="1"/>
    <col min="6773" max="6985" width="0.88671875" style="432"/>
    <col min="6986" max="6986" width="1" style="432" customWidth="1"/>
    <col min="6987" max="7027" width="0.88671875" style="432"/>
    <col min="7028" max="7028" width="0.88671875" style="432" customWidth="1"/>
    <col min="7029" max="7241" width="0.88671875" style="432"/>
    <col min="7242" max="7242" width="1" style="432" customWidth="1"/>
    <col min="7243" max="7283" width="0.88671875" style="432"/>
    <col min="7284" max="7284" width="0.88671875" style="432" customWidth="1"/>
    <col min="7285" max="7497" width="0.88671875" style="432"/>
    <col min="7498" max="7498" width="1" style="432" customWidth="1"/>
    <col min="7499" max="7539" width="0.88671875" style="432"/>
    <col min="7540" max="7540" width="0.88671875" style="432" customWidth="1"/>
    <col min="7541" max="7753" width="0.88671875" style="432"/>
    <col min="7754" max="7754" width="1" style="432" customWidth="1"/>
    <col min="7755" max="7795" width="0.88671875" style="432"/>
    <col min="7796" max="7796" width="0.88671875" style="432" customWidth="1"/>
    <col min="7797" max="8009" width="0.88671875" style="432"/>
    <col min="8010" max="8010" width="1" style="432" customWidth="1"/>
    <col min="8011" max="8051" width="0.88671875" style="432"/>
    <col min="8052" max="8052" width="0.88671875" style="432" customWidth="1"/>
    <col min="8053" max="8265" width="0.88671875" style="432"/>
    <col min="8266" max="8266" width="1" style="432" customWidth="1"/>
    <col min="8267" max="8307" width="0.88671875" style="432"/>
    <col min="8308" max="8308" width="0.88671875" style="432" customWidth="1"/>
    <col min="8309" max="8521" width="0.88671875" style="432"/>
    <col min="8522" max="8522" width="1" style="432" customWidth="1"/>
    <col min="8523" max="8563" width="0.88671875" style="432"/>
    <col min="8564" max="8564" width="0.88671875" style="432" customWidth="1"/>
    <col min="8565" max="8777" width="0.88671875" style="432"/>
    <col min="8778" max="8778" width="1" style="432" customWidth="1"/>
    <col min="8779" max="8819" width="0.88671875" style="432"/>
    <col min="8820" max="8820" width="0.88671875" style="432" customWidth="1"/>
    <col min="8821" max="9033" width="0.88671875" style="432"/>
    <col min="9034" max="9034" width="1" style="432" customWidth="1"/>
    <col min="9035" max="9075" width="0.88671875" style="432"/>
    <col min="9076" max="9076" width="0.88671875" style="432" customWidth="1"/>
    <col min="9077" max="9289" width="0.88671875" style="432"/>
    <col min="9290" max="9290" width="1" style="432" customWidth="1"/>
    <col min="9291" max="9331" width="0.88671875" style="432"/>
    <col min="9332" max="9332" width="0.88671875" style="432" customWidth="1"/>
    <col min="9333" max="9545" width="0.88671875" style="432"/>
    <col min="9546" max="9546" width="1" style="432" customWidth="1"/>
    <col min="9547" max="9587" width="0.88671875" style="432"/>
    <col min="9588" max="9588" width="0.88671875" style="432" customWidth="1"/>
    <col min="9589" max="9801" width="0.88671875" style="432"/>
    <col min="9802" max="9802" width="1" style="432" customWidth="1"/>
    <col min="9803" max="9843" width="0.88671875" style="432"/>
    <col min="9844" max="9844" width="0.88671875" style="432" customWidth="1"/>
    <col min="9845" max="10057" width="0.88671875" style="432"/>
    <col min="10058" max="10058" width="1" style="432" customWidth="1"/>
    <col min="10059" max="10099" width="0.88671875" style="432"/>
    <col min="10100" max="10100" width="0.88671875" style="432" customWidth="1"/>
    <col min="10101" max="10313" width="0.88671875" style="432"/>
    <col min="10314" max="10314" width="1" style="432" customWidth="1"/>
    <col min="10315" max="10355" width="0.88671875" style="432"/>
    <col min="10356" max="10356" width="0.88671875" style="432" customWidth="1"/>
    <col min="10357" max="10569" width="0.88671875" style="432"/>
    <col min="10570" max="10570" width="1" style="432" customWidth="1"/>
    <col min="10571" max="10611" width="0.88671875" style="432"/>
    <col min="10612" max="10612" width="0.88671875" style="432" customWidth="1"/>
    <col min="10613" max="10825" width="0.88671875" style="432"/>
    <col min="10826" max="10826" width="1" style="432" customWidth="1"/>
    <col min="10827" max="10867" width="0.88671875" style="432"/>
    <col min="10868" max="10868" width="0.88671875" style="432" customWidth="1"/>
    <col min="10869" max="11081" width="0.88671875" style="432"/>
    <col min="11082" max="11082" width="1" style="432" customWidth="1"/>
    <col min="11083" max="11123" width="0.88671875" style="432"/>
    <col min="11124" max="11124" width="0.88671875" style="432" customWidth="1"/>
    <col min="11125" max="11337" width="0.88671875" style="432"/>
    <col min="11338" max="11338" width="1" style="432" customWidth="1"/>
    <col min="11339" max="11379" width="0.88671875" style="432"/>
    <col min="11380" max="11380" width="0.88671875" style="432" customWidth="1"/>
    <col min="11381" max="11593" width="0.88671875" style="432"/>
    <col min="11594" max="11594" width="1" style="432" customWidth="1"/>
    <col min="11595" max="11635" width="0.88671875" style="432"/>
    <col min="11636" max="11636" width="0.88671875" style="432" customWidth="1"/>
    <col min="11637" max="11849" width="0.88671875" style="432"/>
    <col min="11850" max="11850" width="1" style="432" customWidth="1"/>
    <col min="11851" max="11891" width="0.88671875" style="432"/>
    <col min="11892" max="11892" width="0.88671875" style="432" customWidth="1"/>
    <col min="11893" max="12105" width="0.88671875" style="432"/>
    <col min="12106" max="12106" width="1" style="432" customWidth="1"/>
    <col min="12107" max="12147" width="0.88671875" style="432"/>
    <col min="12148" max="12148" width="0.88671875" style="432" customWidth="1"/>
    <col min="12149" max="12361" width="0.88671875" style="432"/>
    <col min="12362" max="12362" width="1" style="432" customWidth="1"/>
    <col min="12363" max="12403" width="0.88671875" style="432"/>
    <col min="12404" max="12404" width="0.88671875" style="432" customWidth="1"/>
    <col min="12405" max="12617" width="0.88671875" style="432"/>
    <col min="12618" max="12618" width="1" style="432" customWidth="1"/>
    <col min="12619" max="12659" width="0.88671875" style="432"/>
    <col min="12660" max="12660" width="0.88671875" style="432" customWidth="1"/>
    <col min="12661" max="12873" width="0.88671875" style="432"/>
    <col min="12874" max="12874" width="1" style="432" customWidth="1"/>
    <col min="12875" max="12915" width="0.88671875" style="432"/>
    <col min="12916" max="12916" width="0.88671875" style="432" customWidth="1"/>
    <col min="12917" max="13129" width="0.88671875" style="432"/>
    <col min="13130" max="13130" width="1" style="432" customWidth="1"/>
    <col min="13131" max="13171" width="0.88671875" style="432"/>
    <col min="13172" max="13172" width="0.88671875" style="432" customWidth="1"/>
    <col min="13173" max="13385" width="0.88671875" style="432"/>
    <col min="13386" max="13386" width="1" style="432" customWidth="1"/>
    <col min="13387" max="13427" width="0.88671875" style="432"/>
    <col min="13428" max="13428" width="0.88671875" style="432" customWidth="1"/>
    <col min="13429" max="13641" width="0.88671875" style="432"/>
    <col min="13642" max="13642" width="1" style="432" customWidth="1"/>
    <col min="13643" max="13683" width="0.88671875" style="432"/>
    <col min="13684" max="13684" width="0.88671875" style="432" customWidth="1"/>
    <col min="13685" max="13897" width="0.88671875" style="432"/>
    <col min="13898" max="13898" width="1" style="432" customWidth="1"/>
    <col min="13899" max="13939" width="0.88671875" style="432"/>
    <col min="13940" max="13940" width="0.88671875" style="432" customWidth="1"/>
    <col min="13941" max="14153" width="0.88671875" style="432"/>
    <col min="14154" max="14154" width="1" style="432" customWidth="1"/>
    <col min="14155" max="14195" width="0.88671875" style="432"/>
    <col min="14196" max="14196" width="0.88671875" style="432" customWidth="1"/>
    <col min="14197" max="14409" width="0.88671875" style="432"/>
    <col min="14410" max="14410" width="1" style="432" customWidth="1"/>
    <col min="14411" max="14451" width="0.88671875" style="432"/>
    <col min="14452" max="14452" width="0.88671875" style="432" customWidth="1"/>
    <col min="14453" max="14665" width="0.88671875" style="432"/>
    <col min="14666" max="14666" width="1" style="432" customWidth="1"/>
    <col min="14667" max="14707" width="0.88671875" style="432"/>
    <col min="14708" max="14708" width="0.88671875" style="432" customWidth="1"/>
    <col min="14709" max="14921" width="0.88671875" style="432"/>
    <col min="14922" max="14922" width="1" style="432" customWidth="1"/>
    <col min="14923" max="14963" width="0.88671875" style="432"/>
    <col min="14964" max="14964" width="0.88671875" style="432" customWidth="1"/>
    <col min="14965" max="15177" width="0.88671875" style="432"/>
    <col min="15178" max="15178" width="1" style="432" customWidth="1"/>
    <col min="15179" max="15219" width="0.88671875" style="432"/>
    <col min="15220" max="15220" width="0.88671875" style="432" customWidth="1"/>
    <col min="15221" max="15433" width="0.88671875" style="432"/>
    <col min="15434" max="15434" width="1" style="432" customWidth="1"/>
    <col min="15435" max="15475" width="0.88671875" style="432"/>
    <col min="15476" max="15476" width="0.88671875" style="432" customWidth="1"/>
    <col min="15477" max="15689" width="0.88671875" style="432"/>
    <col min="15690" max="15690" width="1" style="432" customWidth="1"/>
    <col min="15691" max="15731" width="0.88671875" style="432"/>
    <col min="15732" max="15732" width="0.88671875" style="432" customWidth="1"/>
    <col min="15733" max="15945" width="0.88671875" style="432"/>
    <col min="15946" max="15946" width="1" style="432" customWidth="1"/>
    <col min="15947" max="15987" width="0.88671875" style="432"/>
    <col min="15988" max="15988" width="0.88671875" style="432" customWidth="1"/>
    <col min="15989" max="16201" width="0.88671875" style="432"/>
    <col min="16202" max="16202" width="1" style="432" customWidth="1"/>
    <col min="16203" max="16243" width="0.88671875" style="432"/>
    <col min="16244" max="16244" width="0.88671875" style="432" customWidth="1"/>
    <col min="16245" max="16384" width="0.88671875" style="432"/>
  </cols>
  <sheetData>
    <row r="1" spans="1:155" s="421" customFormat="1" ht="7.8">
      <c r="EY1" s="422" t="s">
        <v>1536</v>
      </c>
    </row>
    <row r="2" spans="1:155" s="423" customFormat="1" ht="3.9" customHeight="1"/>
    <row r="3" spans="1:155" s="424" customFormat="1" ht="9.6">
      <c r="A3" s="1379" t="s">
        <v>1537</v>
      </c>
      <c r="B3" s="1379"/>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79"/>
      <c r="CJ3" s="1379"/>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1379"/>
      <c r="DG3" s="1379"/>
      <c r="DH3" s="1379"/>
      <c r="DI3" s="1379"/>
      <c r="DJ3" s="1379"/>
      <c r="DK3" s="1379"/>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79"/>
      <c r="EW3" s="1379"/>
      <c r="EX3" s="1379"/>
      <c r="EY3" s="1379"/>
    </row>
    <row r="4" spans="1:155" s="424" customFormat="1" ht="9.6">
      <c r="A4" s="1379" t="s">
        <v>1538</v>
      </c>
      <c r="B4" s="1379"/>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c r="AT4" s="1379"/>
      <c r="AU4" s="1379"/>
      <c r="AV4" s="1379"/>
      <c r="AW4" s="1379"/>
      <c r="AX4" s="1379"/>
      <c r="AY4" s="1379"/>
      <c r="AZ4" s="1379"/>
      <c r="BA4" s="1379"/>
      <c r="BB4" s="1379"/>
      <c r="BC4" s="1379"/>
      <c r="BD4" s="1379"/>
      <c r="BE4" s="1379"/>
      <c r="BF4" s="1379"/>
      <c r="BG4" s="1379"/>
      <c r="BH4" s="1379"/>
      <c r="BI4" s="1379"/>
      <c r="BJ4" s="1379"/>
      <c r="BK4" s="1379"/>
      <c r="BL4" s="1379"/>
      <c r="BM4" s="1379"/>
      <c r="BN4" s="1379"/>
      <c r="BO4" s="1379"/>
      <c r="BP4" s="1379"/>
      <c r="BQ4" s="1379"/>
      <c r="BR4" s="1379"/>
      <c r="BS4" s="1379"/>
      <c r="BT4" s="1379"/>
      <c r="BU4" s="1379"/>
      <c r="BV4" s="1379"/>
      <c r="BW4" s="1379"/>
      <c r="BX4" s="1379"/>
      <c r="BY4" s="1379"/>
      <c r="BZ4" s="1379"/>
      <c r="CA4" s="1379"/>
      <c r="CB4" s="1379"/>
      <c r="CC4" s="1379"/>
      <c r="CD4" s="1379"/>
      <c r="CE4" s="1379"/>
      <c r="CF4" s="1379"/>
      <c r="CG4" s="1379"/>
      <c r="CH4" s="1379"/>
      <c r="CI4" s="1379"/>
      <c r="CJ4" s="1379"/>
      <c r="CK4" s="1379"/>
      <c r="CL4" s="1379"/>
      <c r="CM4" s="1379"/>
      <c r="CN4" s="1379"/>
      <c r="CO4" s="1379"/>
      <c r="CP4" s="1379"/>
      <c r="CQ4" s="1379"/>
      <c r="CR4" s="1379"/>
      <c r="CS4" s="1379"/>
      <c r="CT4" s="1379"/>
      <c r="CU4" s="1379"/>
      <c r="CV4" s="1379"/>
      <c r="CW4" s="1379"/>
      <c r="CX4" s="1379"/>
      <c r="CY4" s="1379"/>
      <c r="CZ4" s="1379"/>
      <c r="DA4" s="1379"/>
      <c r="DB4" s="1379"/>
      <c r="DC4" s="1379"/>
      <c r="DD4" s="1379"/>
      <c r="DE4" s="1379"/>
      <c r="DF4" s="1379"/>
      <c r="DG4" s="1379"/>
      <c r="DH4" s="1379"/>
      <c r="DI4" s="1379"/>
      <c r="DJ4" s="1379"/>
      <c r="DK4" s="1379"/>
      <c r="DL4" s="1379"/>
      <c r="DM4" s="1379"/>
      <c r="DN4" s="1379"/>
      <c r="DO4" s="1379"/>
      <c r="DP4" s="1379"/>
      <c r="DQ4" s="1379"/>
      <c r="DR4" s="1379"/>
      <c r="DS4" s="1379"/>
      <c r="DT4" s="1379"/>
      <c r="DU4" s="1379"/>
      <c r="DV4" s="1379"/>
      <c r="DW4" s="1379"/>
      <c r="DX4" s="1379"/>
      <c r="DY4" s="1379"/>
      <c r="DZ4" s="1379"/>
      <c r="EA4" s="1379"/>
      <c r="EB4" s="1379"/>
      <c r="EC4" s="1379"/>
      <c r="ED4" s="1379"/>
      <c r="EE4" s="1379"/>
      <c r="EF4" s="1379"/>
      <c r="EG4" s="1379"/>
      <c r="EH4" s="1379"/>
      <c r="EI4" s="1379"/>
      <c r="EJ4" s="1379"/>
      <c r="EK4" s="1379"/>
      <c r="EL4" s="1379"/>
      <c r="EM4" s="1379"/>
      <c r="EN4" s="1379"/>
      <c r="EO4" s="1379"/>
      <c r="EP4" s="1379"/>
      <c r="EQ4" s="1379"/>
      <c r="ER4" s="1379"/>
      <c r="ES4" s="1379"/>
      <c r="ET4" s="1379"/>
      <c r="EU4" s="1379"/>
      <c r="EV4" s="1379"/>
      <c r="EW4" s="1379"/>
      <c r="EX4" s="1379"/>
      <c r="EY4" s="1379"/>
    </row>
    <row r="5" spans="1:155" s="423" customFormat="1" ht="6" customHeight="1"/>
    <row r="6" spans="1:155" s="425" customFormat="1" ht="7.8">
      <c r="A6" s="425" t="s">
        <v>1539</v>
      </c>
      <c r="AN6" s="425" t="s">
        <v>1540</v>
      </c>
    </row>
    <row r="7" spans="1:155" s="425" customFormat="1" ht="7.8">
      <c r="AN7" s="425" t="s">
        <v>1538</v>
      </c>
    </row>
    <row r="8" spans="1:155" s="425" customFormat="1" ht="7.8">
      <c r="A8" s="425" t="s">
        <v>1541</v>
      </c>
      <c r="AN8" s="425" t="s">
        <v>1542</v>
      </c>
    </row>
    <row r="9" spans="1:155" s="425" customFormat="1" ht="7.8">
      <c r="A9" s="425" t="s">
        <v>1543</v>
      </c>
      <c r="AN9" s="425" t="s">
        <v>1544</v>
      </c>
      <c r="EI9" s="426"/>
      <c r="EJ9" s="426"/>
      <c r="EK9" s="426"/>
      <c r="EL9" s="426"/>
      <c r="EM9" s="426"/>
      <c r="EN9" s="426"/>
      <c r="EO9" s="426"/>
      <c r="EP9" s="426"/>
      <c r="EQ9" s="426"/>
      <c r="ER9" s="426"/>
      <c r="ES9" s="426"/>
      <c r="ET9" s="426"/>
      <c r="EU9" s="426"/>
      <c r="EV9" s="426"/>
      <c r="EW9" s="426"/>
      <c r="EX9" s="426"/>
      <c r="EY9" s="426"/>
    </row>
    <row r="10" spans="1:155" s="424" customFormat="1" ht="4.5" customHeight="1">
      <c r="EI10" s="427"/>
      <c r="EJ10" s="427"/>
      <c r="EK10" s="427"/>
      <c r="EL10" s="427"/>
      <c r="EM10" s="427"/>
      <c r="EN10" s="427"/>
      <c r="EO10" s="427"/>
      <c r="EP10" s="427"/>
      <c r="EQ10" s="427"/>
      <c r="ER10" s="427"/>
      <c r="ES10" s="427"/>
      <c r="ET10" s="427"/>
      <c r="EU10" s="427"/>
      <c r="EV10" s="427"/>
      <c r="EW10" s="427"/>
      <c r="EX10" s="427"/>
      <c r="EY10" s="427"/>
    </row>
    <row r="11" spans="1:155" s="425" customFormat="1" ht="7.8">
      <c r="A11" s="425" t="s">
        <v>1545</v>
      </c>
      <c r="DN11" s="1380" t="s">
        <v>1546</v>
      </c>
      <c r="DO11" s="1380"/>
      <c r="DP11" s="1380"/>
      <c r="DQ11" s="1380"/>
      <c r="DR11" s="1380"/>
      <c r="DS11" s="1380"/>
      <c r="DT11" s="1380"/>
      <c r="DU11" s="1380"/>
      <c r="DV11" s="1380"/>
      <c r="DW11" s="1380"/>
      <c r="DX11" s="1380"/>
      <c r="DY11" s="1380"/>
      <c r="DZ11" s="1380"/>
      <c r="EA11" s="1380"/>
      <c r="EB11" s="1380"/>
      <c r="EC11" s="1380"/>
      <c r="ED11" s="1380"/>
      <c r="EE11" s="1380"/>
      <c r="EF11" s="1380"/>
      <c r="EG11" s="1380"/>
      <c r="EH11" s="1380"/>
      <c r="EI11" s="1380"/>
      <c r="EJ11" s="1380"/>
      <c r="EK11" s="1380"/>
      <c r="EL11" s="1380"/>
      <c r="EM11" s="1380"/>
      <c r="EN11" s="1380"/>
      <c r="EO11" s="1380"/>
      <c r="EP11" s="1380"/>
      <c r="EQ11" s="1380"/>
      <c r="ER11" s="1380"/>
      <c r="ES11" s="1380"/>
      <c r="ET11" s="1380"/>
      <c r="EU11" s="1380"/>
      <c r="EV11" s="1380"/>
      <c r="EW11" s="1380"/>
      <c r="EX11" s="1380"/>
      <c r="EY11" s="1380"/>
    </row>
    <row r="12" spans="1:155" s="425" customFormat="1" ht="7.8">
      <c r="A12" s="425" t="s">
        <v>1547</v>
      </c>
      <c r="DN12" s="1530" t="s">
        <v>224</v>
      </c>
      <c r="DO12" s="1530"/>
      <c r="DP12" s="1530"/>
      <c r="DQ12" s="1530"/>
      <c r="DR12" s="1530"/>
      <c r="DS12" s="1530"/>
      <c r="DT12" s="1530"/>
      <c r="DU12" s="1530"/>
      <c r="DV12" s="1530"/>
      <c r="DW12" s="1530"/>
      <c r="DX12" s="1530"/>
      <c r="DY12" s="1530"/>
      <c r="DZ12" s="1530"/>
      <c r="EA12" s="1530"/>
      <c r="EB12" s="1530"/>
      <c r="EC12" s="1530"/>
      <c r="ED12" s="1530"/>
      <c r="EE12" s="1530"/>
      <c r="EF12" s="1530"/>
      <c r="EG12" s="1530"/>
      <c r="EH12" s="1530"/>
      <c r="EI12" s="1530"/>
      <c r="EJ12" s="1530"/>
      <c r="EK12" s="1530"/>
      <c r="EL12" s="1530"/>
      <c r="EM12" s="1530"/>
      <c r="EN12" s="1530"/>
      <c r="EO12" s="1530"/>
      <c r="EP12" s="1530"/>
      <c r="EQ12" s="1530"/>
      <c r="ER12" s="1530"/>
      <c r="ES12" s="1530"/>
      <c r="ET12" s="1530"/>
      <c r="EU12" s="1530"/>
      <c r="EV12" s="1530"/>
      <c r="EW12" s="1530"/>
      <c r="EX12" s="1530"/>
      <c r="EY12" s="1530"/>
    </row>
    <row r="13" spans="1:155" s="425" customFormat="1" ht="7.8">
      <c r="A13" s="425" t="s">
        <v>1548</v>
      </c>
      <c r="DN13" s="1530" t="s">
        <v>1549</v>
      </c>
      <c r="DO13" s="1530"/>
      <c r="DP13" s="1530"/>
      <c r="DQ13" s="1530"/>
      <c r="DR13" s="1530"/>
      <c r="DS13" s="1530"/>
      <c r="DT13" s="1530"/>
      <c r="DU13" s="1530"/>
      <c r="DV13" s="1530"/>
      <c r="DW13" s="1530"/>
      <c r="DX13" s="1530"/>
      <c r="DY13" s="1530"/>
      <c r="DZ13" s="1530"/>
      <c r="EA13" s="1530"/>
      <c r="EB13" s="1530"/>
      <c r="EC13" s="1530"/>
      <c r="ED13" s="1530"/>
      <c r="EE13" s="1530"/>
      <c r="EF13" s="1530"/>
      <c r="EG13" s="1530"/>
      <c r="EH13" s="1530"/>
      <c r="EI13" s="1530"/>
      <c r="EJ13" s="1530"/>
      <c r="EK13" s="1530"/>
      <c r="EL13" s="1530"/>
      <c r="EM13" s="1530"/>
      <c r="EN13" s="1530"/>
      <c r="EO13" s="1530"/>
      <c r="EP13" s="1530"/>
      <c r="EQ13" s="1530"/>
      <c r="ER13" s="1530"/>
      <c r="ES13" s="1530"/>
      <c r="ET13" s="1530"/>
      <c r="EU13" s="1530"/>
      <c r="EV13" s="1530"/>
      <c r="EW13" s="1530"/>
      <c r="EX13" s="1530"/>
      <c r="EY13" s="1530"/>
    </row>
    <row r="14" spans="1:155" s="425" customFormat="1" ht="7.8">
      <c r="A14" s="425" t="s">
        <v>1550</v>
      </c>
      <c r="DN14" s="1530" t="s">
        <v>1551</v>
      </c>
      <c r="DO14" s="1530"/>
      <c r="DP14" s="1530"/>
      <c r="DQ14" s="1530"/>
      <c r="DR14" s="1530"/>
      <c r="DS14" s="1530"/>
      <c r="DT14" s="1530"/>
      <c r="DU14" s="1530"/>
      <c r="DV14" s="1530"/>
      <c r="DW14" s="1530"/>
      <c r="DX14" s="1530"/>
      <c r="DY14" s="1530"/>
      <c r="DZ14" s="1530"/>
      <c r="EA14" s="1530"/>
      <c r="EB14" s="1530"/>
      <c r="EC14" s="1530"/>
      <c r="ED14" s="1530"/>
      <c r="EE14" s="1530"/>
      <c r="EF14" s="1530"/>
      <c r="EG14" s="1530"/>
      <c r="EH14" s="1530"/>
      <c r="EI14" s="1530"/>
      <c r="EJ14" s="1530"/>
      <c r="EK14" s="1530"/>
      <c r="EL14" s="1530"/>
      <c r="EM14" s="1530"/>
      <c r="EN14" s="1530"/>
      <c r="EO14" s="1530"/>
      <c r="EP14" s="1530"/>
      <c r="EQ14" s="1530"/>
      <c r="ER14" s="1530"/>
      <c r="ES14" s="1530"/>
      <c r="ET14" s="1530"/>
      <c r="EU14" s="1530"/>
      <c r="EV14" s="1530"/>
      <c r="EW14" s="1530"/>
      <c r="EX14" s="1530"/>
      <c r="EY14" s="1530"/>
    </row>
    <row r="15" spans="1:155" s="425" customFormat="1" ht="7.8">
      <c r="A15" s="425" t="s">
        <v>1552</v>
      </c>
      <c r="DN15" s="1530" t="s">
        <v>1553</v>
      </c>
      <c r="DO15" s="1530"/>
      <c r="DP15" s="1530"/>
      <c r="DQ15" s="1530"/>
      <c r="DR15" s="1530"/>
      <c r="DS15" s="1530"/>
      <c r="DT15" s="1530"/>
      <c r="DU15" s="1530"/>
      <c r="DV15" s="1530"/>
      <c r="DW15" s="1530"/>
      <c r="DX15" s="1530"/>
      <c r="DY15" s="1530"/>
      <c r="DZ15" s="1530"/>
      <c r="EA15" s="1530"/>
      <c r="EB15" s="1530"/>
      <c r="EC15" s="1530"/>
      <c r="ED15" s="1530"/>
      <c r="EE15" s="1530"/>
      <c r="EF15" s="1530"/>
      <c r="EG15" s="1530"/>
      <c r="EH15" s="1530"/>
      <c r="EI15" s="1530"/>
      <c r="EJ15" s="1530"/>
      <c r="EK15" s="1530"/>
      <c r="EL15" s="1530"/>
      <c r="EM15" s="1530"/>
      <c r="EN15" s="1530"/>
      <c r="EO15" s="1530"/>
      <c r="EP15" s="1530"/>
      <c r="EQ15" s="1530"/>
      <c r="ER15" s="1530"/>
      <c r="ES15" s="1530"/>
      <c r="ET15" s="1530"/>
      <c r="EU15" s="1530"/>
      <c r="EV15" s="1530"/>
      <c r="EW15" s="1530"/>
      <c r="EX15" s="1530"/>
      <c r="EY15" s="1530"/>
    </row>
    <row r="16" spans="1:155" s="425" customFormat="1" ht="7.8">
      <c r="DN16" s="426"/>
      <c r="DO16" s="426"/>
      <c r="DP16" s="426"/>
      <c r="DQ16" s="426"/>
      <c r="DR16" s="426"/>
      <c r="DS16" s="426"/>
      <c r="DT16" s="426"/>
      <c r="DU16" s="426"/>
      <c r="DV16" s="426"/>
      <c r="DW16" s="426"/>
      <c r="DX16" s="426"/>
      <c r="DY16" s="426"/>
      <c r="DZ16" s="426"/>
      <c r="EA16" s="426"/>
      <c r="EB16" s="426"/>
      <c r="EC16" s="426"/>
      <c r="ED16" s="426"/>
      <c r="EE16" s="426"/>
      <c r="EF16" s="426"/>
      <c r="EG16" s="426"/>
      <c r="EH16" s="426"/>
      <c r="EI16" s="426"/>
      <c r="EJ16" s="426"/>
      <c r="EK16" s="426"/>
      <c r="EL16" s="426"/>
      <c r="EM16" s="426"/>
      <c r="EN16" s="426"/>
      <c r="EO16" s="426"/>
      <c r="EP16" s="426"/>
      <c r="EQ16" s="426"/>
      <c r="ER16" s="426"/>
      <c r="ES16" s="426"/>
      <c r="ET16" s="426"/>
      <c r="EU16" s="426"/>
      <c r="EV16" s="426"/>
      <c r="EW16" s="426"/>
      <c r="EX16" s="426"/>
      <c r="EY16" s="426"/>
    </row>
    <row r="17" spans="1:155" s="425" customFormat="1" ht="8.1" customHeight="1"/>
    <row r="18" spans="1:155" s="428" customFormat="1" ht="9" customHeight="1">
      <c r="A18" s="1478" t="s">
        <v>111</v>
      </c>
      <c r="B18" s="1479"/>
      <c r="C18" s="1479"/>
      <c r="D18" s="1479"/>
      <c r="E18" s="1479"/>
      <c r="F18" s="1479"/>
      <c r="G18" s="1479"/>
      <c r="H18" s="1479"/>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c r="AK18" s="1479"/>
      <c r="AL18" s="1479"/>
      <c r="AM18" s="1480"/>
      <c r="AN18" s="1478" t="s">
        <v>0</v>
      </c>
      <c r="AO18" s="1479"/>
      <c r="AP18" s="1479"/>
      <c r="AQ18" s="1479"/>
      <c r="AR18" s="1479"/>
      <c r="AS18" s="1479"/>
      <c r="AT18" s="1479"/>
      <c r="AU18" s="1480"/>
      <c r="AV18" s="1478" t="s">
        <v>1554</v>
      </c>
      <c r="AW18" s="1479"/>
      <c r="AX18" s="1479"/>
      <c r="AY18" s="1479"/>
      <c r="AZ18" s="1479"/>
      <c r="BA18" s="1480"/>
      <c r="BB18" s="1478" t="s">
        <v>1555</v>
      </c>
      <c r="BC18" s="1479"/>
      <c r="BD18" s="1479"/>
      <c r="BE18" s="1479"/>
      <c r="BF18" s="1479"/>
      <c r="BG18" s="1479"/>
      <c r="BH18" s="1479"/>
      <c r="BI18" s="1479"/>
      <c r="BJ18" s="1480"/>
      <c r="BK18" s="1481" t="s">
        <v>1556</v>
      </c>
      <c r="BL18" s="1481"/>
      <c r="BM18" s="1481"/>
      <c r="BN18" s="1481"/>
      <c r="BO18" s="1481"/>
      <c r="BP18" s="1481"/>
      <c r="BQ18" s="1481"/>
      <c r="BR18" s="1481"/>
      <c r="BS18" s="1481"/>
      <c r="BT18" s="1481" t="s">
        <v>1557</v>
      </c>
      <c r="BU18" s="1481"/>
      <c r="BV18" s="1481"/>
      <c r="BW18" s="1481"/>
      <c r="BX18" s="1481"/>
      <c r="BY18" s="1481"/>
      <c r="BZ18" s="1481"/>
      <c r="CA18" s="1481"/>
      <c r="CB18" s="1481"/>
      <c r="CC18" s="1481"/>
      <c r="CD18" s="1481"/>
      <c r="CE18" s="1481"/>
      <c r="CF18" s="1481"/>
      <c r="CG18" s="1481"/>
      <c r="CH18" s="1481"/>
      <c r="CI18" s="1481"/>
      <c r="CJ18" s="1481"/>
      <c r="CK18" s="1481"/>
      <c r="CL18" s="1481"/>
      <c r="CM18" s="1481"/>
      <c r="CN18" s="1481"/>
      <c r="CO18" s="1481"/>
      <c r="CP18" s="1481"/>
      <c r="CQ18" s="1481"/>
      <c r="CR18" s="1481"/>
      <c r="CS18" s="1481"/>
      <c r="CT18" s="1481"/>
      <c r="CU18" s="1481"/>
      <c r="CV18" s="1481" t="s">
        <v>1558</v>
      </c>
      <c r="CW18" s="1481"/>
      <c r="CX18" s="1481"/>
      <c r="CY18" s="1481"/>
      <c r="CZ18" s="1481"/>
      <c r="DA18" s="1481"/>
      <c r="DB18" s="1481"/>
      <c r="DC18" s="1481"/>
      <c r="DD18" s="1481"/>
      <c r="DE18" s="1481" t="s">
        <v>1559</v>
      </c>
      <c r="DF18" s="1481"/>
      <c r="DG18" s="1481"/>
      <c r="DH18" s="1481"/>
      <c r="DI18" s="1481"/>
      <c r="DJ18" s="1481"/>
      <c r="DK18" s="1481"/>
      <c r="DL18" s="1481"/>
      <c r="DM18" s="1481"/>
      <c r="DN18" s="1481" t="s">
        <v>1560</v>
      </c>
      <c r="DO18" s="1481"/>
      <c r="DP18" s="1481"/>
      <c r="DQ18" s="1481"/>
      <c r="DR18" s="1481"/>
      <c r="DS18" s="1481"/>
      <c r="DT18" s="1481"/>
      <c r="DU18" s="1481"/>
      <c r="DV18" s="1481"/>
      <c r="DW18" s="1481"/>
      <c r="DX18" s="1481"/>
      <c r="DY18" s="1481"/>
      <c r="DZ18" s="1481"/>
      <c r="EA18" s="1481"/>
      <c r="EB18" s="1481"/>
      <c r="EC18" s="1481"/>
      <c r="ED18" s="1481"/>
      <c r="EE18" s="1481"/>
      <c r="EF18" s="1481"/>
      <c r="EG18" s="1481"/>
      <c r="EH18" s="1481"/>
      <c r="EI18" s="1481"/>
      <c r="EJ18" s="1481"/>
      <c r="EK18" s="1481"/>
      <c r="EL18" s="1481"/>
      <c r="EM18" s="1481"/>
      <c r="EN18" s="1481"/>
      <c r="EO18" s="1481"/>
      <c r="EP18" s="1478" t="s">
        <v>1561</v>
      </c>
      <c r="EQ18" s="1479"/>
      <c r="ER18" s="1479"/>
      <c r="ES18" s="1479"/>
      <c r="ET18" s="1479"/>
      <c r="EU18" s="1479"/>
      <c r="EV18" s="1479"/>
      <c r="EW18" s="1479"/>
      <c r="EX18" s="1479"/>
      <c r="EY18" s="1480"/>
    </row>
    <row r="19" spans="1:155" s="428" customFormat="1" ht="66.75" customHeight="1">
      <c r="A19" s="1385"/>
      <c r="B19" s="1386"/>
      <c r="C19" s="1386"/>
      <c r="D19" s="1386"/>
      <c r="E19" s="1386"/>
      <c r="F19" s="1386"/>
      <c r="G19" s="1386"/>
      <c r="H19" s="1386"/>
      <c r="I19" s="1386"/>
      <c r="J19" s="1386"/>
      <c r="K19" s="1386"/>
      <c r="L19" s="1386"/>
      <c r="M19" s="1386"/>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c r="AL19" s="1386"/>
      <c r="AM19" s="1387"/>
      <c r="AN19" s="1385"/>
      <c r="AO19" s="1386"/>
      <c r="AP19" s="1386"/>
      <c r="AQ19" s="1386"/>
      <c r="AR19" s="1386"/>
      <c r="AS19" s="1386"/>
      <c r="AT19" s="1386"/>
      <c r="AU19" s="1387"/>
      <c r="AV19" s="1385"/>
      <c r="AW19" s="1386"/>
      <c r="AX19" s="1386"/>
      <c r="AY19" s="1386"/>
      <c r="AZ19" s="1386"/>
      <c r="BA19" s="1387"/>
      <c r="BB19" s="1385"/>
      <c r="BC19" s="1386"/>
      <c r="BD19" s="1386"/>
      <c r="BE19" s="1386"/>
      <c r="BF19" s="1386"/>
      <c r="BG19" s="1386"/>
      <c r="BH19" s="1386"/>
      <c r="BI19" s="1386"/>
      <c r="BJ19" s="1387"/>
      <c r="BK19" s="1481"/>
      <c r="BL19" s="1481"/>
      <c r="BM19" s="1481"/>
      <c r="BN19" s="1481"/>
      <c r="BO19" s="1481"/>
      <c r="BP19" s="1481"/>
      <c r="BQ19" s="1481"/>
      <c r="BR19" s="1481"/>
      <c r="BS19" s="1481"/>
      <c r="BT19" s="1481" t="s">
        <v>1562</v>
      </c>
      <c r="BU19" s="1481"/>
      <c r="BV19" s="1481"/>
      <c r="BW19" s="1481"/>
      <c r="BX19" s="1481"/>
      <c r="BY19" s="1481"/>
      <c r="BZ19" s="1481"/>
      <c r="CA19" s="1481" t="s">
        <v>1563</v>
      </c>
      <c r="CB19" s="1481"/>
      <c r="CC19" s="1481"/>
      <c r="CD19" s="1481"/>
      <c r="CE19" s="1481"/>
      <c r="CF19" s="1481"/>
      <c r="CG19" s="1481"/>
      <c r="CH19" s="1481" t="s">
        <v>1564</v>
      </c>
      <c r="CI19" s="1481"/>
      <c r="CJ19" s="1481"/>
      <c r="CK19" s="1481"/>
      <c r="CL19" s="1481"/>
      <c r="CM19" s="1481"/>
      <c r="CN19" s="1481"/>
      <c r="CO19" s="1481" t="s">
        <v>1565</v>
      </c>
      <c r="CP19" s="1481"/>
      <c r="CQ19" s="1481"/>
      <c r="CR19" s="1481"/>
      <c r="CS19" s="1481"/>
      <c r="CT19" s="1481"/>
      <c r="CU19" s="1481"/>
      <c r="CV19" s="1481"/>
      <c r="CW19" s="1481"/>
      <c r="CX19" s="1481"/>
      <c r="CY19" s="1481"/>
      <c r="CZ19" s="1481"/>
      <c r="DA19" s="1481"/>
      <c r="DB19" s="1481"/>
      <c r="DC19" s="1481"/>
      <c r="DD19" s="1481"/>
      <c r="DE19" s="1481"/>
      <c r="DF19" s="1481"/>
      <c r="DG19" s="1481"/>
      <c r="DH19" s="1481"/>
      <c r="DI19" s="1481"/>
      <c r="DJ19" s="1481"/>
      <c r="DK19" s="1481"/>
      <c r="DL19" s="1481"/>
      <c r="DM19" s="1481"/>
      <c r="DN19" s="1481" t="s">
        <v>1562</v>
      </c>
      <c r="DO19" s="1481"/>
      <c r="DP19" s="1481"/>
      <c r="DQ19" s="1481"/>
      <c r="DR19" s="1481"/>
      <c r="DS19" s="1481"/>
      <c r="DT19" s="1481"/>
      <c r="DU19" s="1481" t="s">
        <v>1563</v>
      </c>
      <c r="DV19" s="1481"/>
      <c r="DW19" s="1481"/>
      <c r="DX19" s="1481"/>
      <c r="DY19" s="1481"/>
      <c r="DZ19" s="1481"/>
      <c r="EA19" s="1481"/>
      <c r="EB19" s="1481" t="s">
        <v>1564</v>
      </c>
      <c r="EC19" s="1481"/>
      <c r="ED19" s="1481"/>
      <c r="EE19" s="1481"/>
      <c r="EF19" s="1481"/>
      <c r="EG19" s="1481"/>
      <c r="EH19" s="1481"/>
      <c r="EI19" s="1481" t="s">
        <v>1565</v>
      </c>
      <c r="EJ19" s="1481"/>
      <c r="EK19" s="1481"/>
      <c r="EL19" s="1481"/>
      <c r="EM19" s="1481"/>
      <c r="EN19" s="1481"/>
      <c r="EO19" s="1481"/>
      <c r="EP19" s="1385"/>
      <c r="EQ19" s="1386"/>
      <c r="ER19" s="1386"/>
      <c r="ES19" s="1386"/>
      <c r="ET19" s="1386"/>
      <c r="EU19" s="1386"/>
      <c r="EV19" s="1386"/>
      <c r="EW19" s="1386"/>
      <c r="EX19" s="1386"/>
      <c r="EY19" s="1387"/>
    </row>
    <row r="20" spans="1:155" s="429" customFormat="1" ht="18.75" customHeight="1">
      <c r="A20" s="1466">
        <v>1</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8"/>
      <c r="AN20" s="1470">
        <v>2</v>
      </c>
      <c r="AO20" s="1470"/>
      <c r="AP20" s="1470"/>
      <c r="AQ20" s="1470"/>
      <c r="AR20" s="1470"/>
      <c r="AS20" s="1470"/>
      <c r="AT20" s="1470"/>
      <c r="AU20" s="1470"/>
      <c r="AV20" s="1470">
        <v>3</v>
      </c>
      <c r="AW20" s="1470"/>
      <c r="AX20" s="1470"/>
      <c r="AY20" s="1470"/>
      <c r="AZ20" s="1470"/>
      <c r="BA20" s="1470"/>
      <c r="BB20" s="1470">
        <v>4</v>
      </c>
      <c r="BC20" s="1470"/>
      <c r="BD20" s="1470"/>
      <c r="BE20" s="1470"/>
      <c r="BF20" s="1470"/>
      <c r="BG20" s="1470"/>
      <c r="BH20" s="1470"/>
      <c r="BI20" s="1470"/>
      <c r="BJ20" s="1470"/>
      <c r="BK20" s="1470">
        <v>5</v>
      </c>
      <c r="BL20" s="1470"/>
      <c r="BM20" s="1470"/>
      <c r="BN20" s="1470"/>
      <c r="BO20" s="1470"/>
      <c r="BP20" s="1470"/>
      <c r="BQ20" s="1470"/>
      <c r="BR20" s="1470"/>
      <c r="BS20" s="1470"/>
      <c r="BT20" s="1470">
        <v>6</v>
      </c>
      <c r="BU20" s="1470"/>
      <c r="BV20" s="1470"/>
      <c r="BW20" s="1470"/>
      <c r="BX20" s="1470"/>
      <c r="BY20" s="1470"/>
      <c r="BZ20" s="1470"/>
      <c r="CA20" s="1470">
        <v>7</v>
      </c>
      <c r="CB20" s="1470"/>
      <c r="CC20" s="1470"/>
      <c r="CD20" s="1470"/>
      <c r="CE20" s="1470"/>
      <c r="CF20" s="1470"/>
      <c r="CG20" s="1470"/>
      <c r="CH20" s="1471" t="s">
        <v>1566</v>
      </c>
      <c r="CI20" s="1472"/>
      <c r="CJ20" s="1472"/>
      <c r="CK20" s="1472"/>
      <c r="CL20" s="1472"/>
      <c r="CM20" s="1472"/>
      <c r="CN20" s="1473"/>
      <c r="CO20" s="1470">
        <v>9</v>
      </c>
      <c r="CP20" s="1470"/>
      <c r="CQ20" s="1470"/>
      <c r="CR20" s="1470"/>
      <c r="CS20" s="1470"/>
      <c r="CT20" s="1470"/>
      <c r="CU20" s="1470"/>
      <c r="CV20" s="1470">
        <v>10</v>
      </c>
      <c r="CW20" s="1470"/>
      <c r="CX20" s="1470"/>
      <c r="CY20" s="1470"/>
      <c r="CZ20" s="1470"/>
      <c r="DA20" s="1470"/>
      <c r="DB20" s="1470"/>
      <c r="DC20" s="1470"/>
      <c r="DD20" s="1470"/>
      <c r="DE20" s="1470">
        <v>11</v>
      </c>
      <c r="DF20" s="1470"/>
      <c r="DG20" s="1470"/>
      <c r="DH20" s="1470"/>
      <c r="DI20" s="1470"/>
      <c r="DJ20" s="1470"/>
      <c r="DK20" s="1470"/>
      <c r="DL20" s="1470"/>
      <c r="DM20" s="1470"/>
      <c r="DN20" s="1470">
        <v>12</v>
      </c>
      <c r="DO20" s="1470"/>
      <c r="DP20" s="1470"/>
      <c r="DQ20" s="1470"/>
      <c r="DR20" s="1470"/>
      <c r="DS20" s="1470"/>
      <c r="DT20" s="1470"/>
      <c r="DU20" s="1470">
        <v>13</v>
      </c>
      <c r="DV20" s="1470"/>
      <c r="DW20" s="1470"/>
      <c r="DX20" s="1470"/>
      <c r="DY20" s="1470"/>
      <c r="DZ20" s="1470"/>
      <c r="EA20" s="1470"/>
      <c r="EB20" s="1471" t="s">
        <v>1567</v>
      </c>
      <c r="EC20" s="1472"/>
      <c r="ED20" s="1472"/>
      <c r="EE20" s="1472"/>
      <c r="EF20" s="1472"/>
      <c r="EG20" s="1472"/>
      <c r="EH20" s="1473"/>
      <c r="EI20" s="1466">
        <v>15</v>
      </c>
      <c r="EJ20" s="1467"/>
      <c r="EK20" s="1467"/>
      <c r="EL20" s="1467"/>
      <c r="EM20" s="1467"/>
      <c r="EN20" s="1467"/>
      <c r="EO20" s="1468"/>
      <c r="EP20" s="1470">
        <v>16</v>
      </c>
      <c r="EQ20" s="1470"/>
      <c r="ER20" s="1470"/>
      <c r="ES20" s="1470"/>
      <c r="ET20" s="1470"/>
      <c r="EU20" s="1470"/>
      <c r="EV20" s="1470"/>
      <c r="EW20" s="1470"/>
      <c r="EX20" s="1470"/>
      <c r="EY20" s="1470"/>
    </row>
    <row r="21" spans="1:155" s="430" customFormat="1" ht="16.5" customHeight="1">
      <c r="A21" s="1500" t="s">
        <v>1568</v>
      </c>
      <c r="B21" s="1501"/>
      <c r="C21" s="1501"/>
      <c r="D21" s="1501"/>
      <c r="E21" s="1501"/>
      <c r="F21" s="1501"/>
      <c r="G21" s="1501"/>
      <c r="H21" s="1501"/>
      <c r="I21" s="1501"/>
      <c r="J21" s="1501"/>
      <c r="K21" s="1501"/>
      <c r="L21" s="1501"/>
      <c r="M21" s="1501"/>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1"/>
      <c r="AJ21" s="1501"/>
      <c r="AK21" s="1501"/>
      <c r="AL21" s="1501"/>
      <c r="AM21" s="1502"/>
      <c r="AN21" s="1494" t="s">
        <v>121</v>
      </c>
      <c r="AO21" s="1495"/>
      <c r="AP21" s="1495"/>
      <c r="AQ21" s="1495"/>
      <c r="AR21" s="1495"/>
      <c r="AS21" s="1495"/>
      <c r="AT21" s="1495"/>
      <c r="AU21" s="1496"/>
      <c r="AV21" s="1497" t="s">
        <v>844</v>
      </c>
      <c r="AW21" s="1498"/>
      <c r="AX21" s="1498"/>
      <c r="AY21" s="1498"/>
      <c r="AZ21" s="1498"/>
      <c r="BA21" s="1499"/>
      <c r="BB21" s="1482">
        <f>CH21+CO21</f>
        <v>8510818</v>
      </c>
      <c r="BC21" s="1483"/>
      <c r="BD21" s="1483"/>
      <c r="BE21" s="1483"/>
      <c r="BF21" s="1483"/>
      <c r="BG21" s="1483"/>
      <c r="BH21" s="1483"/>
      <c r="BI21" s="1483"/>
      <c r="BJ21" s="1484"/>
      <c r="BK21" s="1482">
        <f t="shared" ref="BK21:BK38" si="0">BB21</f>
        <v>8510818</v>
      </c>
      <c r="BL21" s="1483"/>
      <c r="BM21" s="1483"/>
      <c r="BN21" s="1483"/>
      <c r="BO21" s="1483"/>
      <c r="BP21" s="1483"/>
      <c r="BQ21" s="1483"/>
      <c r="BR21" s="1483"/>
      <c r="BS21" s="1484"/>
      <c r="BT21" s="1482">
        <v>8304686</v>
      </c>
      <c r="BU21" s="1483"/>
      <c r="BV21" s="1483"/>
      <c r="BW21" s="1483"/>
      <c r="BX21" s="1483"/>
      <c r="BY21" s="1483"/>
      <c r="BZ21" s="1484"/>
      <c r="CA21" s="1482">
        <v>142554</v>
      </c>
      <c r="CB21" s="1483"/>
      <c r="CC21" s="1483"/>
      <c r="CD21" s="1483"/>
      <c r="CE21" s="1483"/>
      <c r="CF21" s="1483"/>
      <c r="CG21" s="1484"/>
      <c r="CH21" s="1475">
        <f>BT21+CA21</f>
        <v>8447240</v>
      </c>
      <c r="CI21" s="1476"/>
      <c r="CJ21" s="1476"/>
      <c r="CK21" s="1476"/>
      <c r="CL21" s="1476"/>
      <c r="CM21" s="1476"/>
      <c r="CN21" s="1477"/>
      <c r="CO21" s="1482">
        <v>63578</v>
      </c>
      <c r="CP21" s="1483"/>
      <c r="CQ21" s="1483"/>
      <c r="CR21" s="1483"/>
      <c r="CS21" s="1483"/>
      <c r="CT21" s="1483"/>
      <c r="CU21" s="1484"/>
      <c r="CV21" s="1482">
        <v>7436105</v>
      </c>
      <c r="CW21" s="1483"/>
      <c r="CX21" s="1483"/>
      <c r="CY21" s="1483"/>
      <c r="CZ21" s="1483"/>
      <c r="DA21" s="1483"/>
      <c r="DB21" s="1483"/>
      <c r="DC21" s="1483"/>
      <c r="DD21" s="1484"/>
      <c r="DE21" s="1482">
        <v>7436105</v>
      </c>
      <c r="DF21" s="1483"/>
      <c r="DG21" s="1483"/>
      <c r="DH21" s="1483"/>
      <c r="DI21" s="1483"/>
      <c r="DJ21" s="1483"/>
      <c r="DK21" s="1483"/>
      <c r="DL21" s="1483"/>
      <c r="DM21" s="1484"/>
      <c r="DN21" s="1482">
        <v>7161787</v>
      </c>
      <c r="DO21" s="1483"/>
      <c r="DP21" s="1483"/>
      <c r="DQ21" s="1483"/>
      <c r="DR21" s="1483"/>
      <c r="DS21" s="1483"/>
      <c r="DT21" s="1484"/>
      <c r="DU21" s="1482">
        <v>112442</v>
      </c>
      <c r="DV21" s="1483"/>
      <c r="DW21" s="1483"/>
      <c r="DX21" s="1483"/>
      <c r="DY21" s="1483"/>
      <c r="DZ21" s="1483"/>
      <c r="EA21" s="1484"/>
      <c r="EB21" s="1482">
        <v>7274229</v>
      </c>
      <c r="EC21" s="1483"/>
      <c r="ED21" s="1483"/>
      <c r="EE21" s="1483"/>
      <c r="EF21" s="1483"/>
      <c r="EG21" s="1483"/>
      <c r="EH21" s="1484"/>
      <c r="EI21" s="1482">
        <v>161876</v>
      </c>
      <c r="EJ21" s="1483"/>
      <c r="EK21" s="1483"/>
      <c r="EL21" s="1483"/>
      <c r="EM21" s="1483"/>
      <c r="EN21" s="1483"/>
      <c r="EO21" s="1484"/>
      <c r="EP21" s="1482"/>
      <c r="EQ21" s="1483"/>
      <c r="ER21" s="1483"/>
      <c r="ES21" s="1483"/>
      <c r="ET21" s="1483"/>
      <c r="EU21" s="1483"/>
      <c r="EV21" s="1483"/>
      <c r="EW21" s="1483"/>
      <c r="EX21" s="1483"/>
      <c r="EY21" s="1484"/>
    </row>
    <row r="22" spans="1:155" s="430" customFormat="1" ht="7.8">
      <c r="A22" s="1506" t="s">
        <v>1569</v>
      </c>
      <c r="B22" s="1507"/>
      <c r="C22" s="1507"/>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7"/>
      <c r="AJ22" s="1507"/>
      <c r="AK22" s="1507"/>
      <c r="AL22" s="1507"/>
      <c r="AM22" s="1508"/>
      <c r="AN22" s="1494" t="s">
        <v>121</v>
      </c>
      <c r="AO22" s="1495"/>
      <c r="AP22" s="1495"/>
      <c r="AQ22" s="1495"/>
      <c r="AR22" s="1495"/>
      <c r="AS22" s="1495"/>
      <c r="AT22" s="1495"/>
      <c r="AU22" s="1496"/>
      <c r="AV22" s="1497" t="s">
        <v>895</v>
      </c>
      <c r="AW22" s="1498"/>
      <c r="AX22" s="1498"/>
      <c r="AY22" s="1498"/>
      <c r="AZ22" s="1498"/>
      <c r="BA22" s="1499"/>
      <c r="BB22" s="1482">
        <f>CH22+CO22</f>
        <v>3541203</v>
      </c>
      <c r="BC22" s="1483"/>
      <c r="BD22" s="1483"/>
      <c r="BE22" s="1483"/>
      <c r="BF22" s="1483"/>
      <c r="BG22" s="1483"/>
      <c r="BH22" s="1483"/>
      <c r="BI22" s="1483"/>
      <c r="BJ22" s="1484"/>
      <c r="BK22" s="1482">
        <f t="shared" si="0"/>
        <v>3541203</v>
      </c>
      <c r="BL22" s="1483"/>
      <c r="BM22" s="1483"/>
      <c r="BN22" s="1483"/>
      <c r="BO22" s="1483"/>
      <c r="BP22" s="1483"/>
      <c r="BQ22" s="1483"/>
      <c r="BR22" s="1483"/>
      <c r="BS22" s="1484"/>
      <c r="BT22" s="1482">
        <f>BT23+BT24+BT29</f>
        <v>3531363</v>
      </c>
      <c r="BU22" s="1483"/>
      <c r="BV22" s="1483"/>
      <c r="BW22" s="1483"/>
      <c r="BX22" s="1483"/>
      <c r="BY22" s="1483"/>
      <c r="BZ22" s="1484"/>
      <c r="CA22" s="1482">
        <f>CA23+CA24+CA29</f>
        <v>4297</v>
      </c>
      <c r="CB22" s="1483"/>
      <c r="CC22" s="1483"/>
      <c r="CD22" s="1483"/>
      <c r="CE22" s="1483"/>
      <c r="CF22" s="1483"/>
      <c r="CG22" s="1484"/>
      <c r="CH22" s="1475">
        <f t="shared" ref="CH22:CH57" si="1">BT22+CA22</f>
        <v>3535660</v>
      </c>
      <c r="CI22" s="1476"/>
      <c r="CJ22" s="1476"/>
      <c r="CK22" s="1476"/>
      <c r="CL22" s="1476"/>
      <c r="CM22" s="1476"/>
      <c r="CN22" s="1477"/>
      <c r="CO22" s="1482">
        <f>CO23+CO24+CO29</f>
        <v>5543</v>
      </c>
      <c r="CP22" s="1483"/>
      <c r="CQ22" s="1483"/>
      <c r="CR22" s="1483"/>
      <c r="CS22" s="1483"/>
      <c r="CT22" s="1483"/>
      <c r="CU22" s="1484"/>
      <c r="CV22" s="1482">
        <v>2881703</v>
      </c>
      <c r="CW22" s="1483"/>
      <c r="CX22" s="1483"/>
      <c r="CY22" s="1483"/>
      <c r="CZ22" s="1483"/>
      <c r="DA22" s="1483"/>
      <c r="DB22" s="1483"/>
      <c r="DC22" s="1483"/>
      <c r="DD22" s="1484"/>
      <c r="DE22" s="1482">
        <v>2881703</v>
      </c>
      <c r="DF22" s="1483"/>
      <c r="DG22" s="1483"/>
      <c r="DH22" s="1483"/>
      <c r="DI22" s="1483"/>
      <c r="DJ22" s="1483"/>
      <c r="DK22" s="1483"/>
      <c r="DL22" s="1483"/>
      <c r="DM22" s="1484"/>
      <c r="DN22" s="1482">
        <v>2874270</v>
      </c>
      <c r="DO22" s="1483"/>
      <c r="DP22" s="1483"/>
      <c r="DQ22" s="1483"/>
      <c r="DR22" s="1483"/>
      <c r="DS22" s="1483"/>
      <c r="DT22" s="1484"/>
      <c r="DU22" s="1482">
        <v>3913</v>
      </c>
      <c r="DV22" s="1483"/>
      <c r="DW22" s="1483"/>
      <c r="DX22" s="1483"/>
      <c r="DY22" s="1483"/>
      <c r="DZ22" s="1483"/>
      <c r="EA22" s="1484"/>
      <c r="EB22" s="1482">
        <v>2878183</v>
      </c>
      <c r="EC22" s="1483"/>
      <c r="ED22" s="1483"/>
      <c r="EE22" s="1483"/>
      <c r="EF22" s="1483"/>
      <c r="EG22" s="1483"/>
      <c r="EH22" s="1484"/>
      <c r="EI22" s="1482">
        <v>3520</v>
      </c>
      <c r="EJ22" s="1483"/>
      <c r="EK22" s="1483"/>
      <c r="EL22" s="1483"/>
      <c r="EM22" s="1483"/>
      <c r="EN22" s="1483"/>
      <c r="EO22" s="1484"/>
      <c r="EP22" s="1482"/>
      <c r="EQ22" s="1483"/>
      <c r="ER22" s="1483"/>
      <c r="ES22" s="1483"/>
      <c r="ET22" s="1483"/>
      <c r="EU22" s="1483"/>
      <c r="EV22" s="1483"/>
      <c r="EW22" s="1483"/>
      <c r="EX22" s="1483"/>
      <c r="EY22" s="1484"/>
    </row>
    <row r="23" spans="1:155" s="430" customFormat="1" ht="7.8">
      <c r="A23" s="1485" t="s">
        <v>1570</v>
      </c>
      <c r="B23" s="1486"/>
      <c r="C23" s="1486"/>
      <c r="D23" s="1486"/>
      <c r="E23" s="1486"/>
      <c r="F23" s="1486"/>
      <c r="G23" s="1486"/>
      <c r="H23" s="1486"/>
      <c r="I23" s="1486"/>
      <c r="J23" s="1486"/>
      <c r="K23" s="1486"/>
      <c r="L23" s="1486"/>
      <c r="M23" s="1486"/>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c r="AL23" s="1486"/>
      <c r="AM23" s="1487"/>
      <c r="AN23" s="1494" t="s">
        <v>121</v>
      </c>
      <c r="AO23" s="1495"/>
      <c r="AP23" s="1495"/>
      <c r="AQ23" s="1495"/>
      <c r="AR23" s="1495"/>
      <c r="AS23" s="1495"/>
      <c r="AT23" s="1495"/>
      <c r="AU23" s="1496"/>
      <c r="AV23" s="1497" t="s">
        <v>900</v>
      </c>
      <c r="AW23" s="1498"/>
      <c r="AX23" s="1498"/>
      <c r="AY23" s="1498"/>
      <c r="AZ23" s="1498"/>
      <c r="BA23" s="1499"/>
      <c r="BB23" s="1482">
        <f>CH23+CO23</f>
        <v>315397</v>
      </c>
      <c r="BC23" s="1483"/>
      <c r="BD23" s="1483"/>
      <c r="BE23" s="1483"/>
      <c r="BF23" s="1483"/>
      <c r="BG23" s="1483"/>
      <c r="BH23" s="1483"/>
      <c r="BI23" s="1483"/>
      <c r="BJ23" s="1484"/>
      <c r="BK23" s="1482">
        <f t="shared" si="0"/>
        <v>315397</v>
      </c>
      <c r="BL23" s="1483"/>
      <c r="BM23" s="1483"/>
      <c r="BN23" s="1483"/>
      <c r="BO23" s="1483"/>
      <c r="BP23" s="1483"/>
      <c r="BQ23" s="1483"/>
      <c r="BR23" s="1483"/>
      <c r="BS23" s="1484"/>
      <c r="BT23" s="1482">
        <f>223179+82483</f>
        <v>305662</v>
      </c>
      <c r="BU23" s="1483"/>
      <c r="BV23" s="1483"/>
      <c r="BW23" s="1483"/>
      <c r="BX23" s="1483"/>
      <c r="BY23" s="1483"/>
      <c r="BZ23" s="1484"/>
      <c r="CA23" s="1482">
        <f>3709+497</f>
        <v>4206</v>
      </c>
      <c r="CB23" s="1483"/>
      <c r="CC23" s="1483"/>
      <c r="CD23" s="1483"/>
      <c r="CE23" s="1483"/>
      <c r="CF23" s="1483"/>
      <c r="CG23" s="1484"/>
      <c r="CH23" s="1475">
        <f t="shared" si="1"/>
        <v>309868</v>
      </c>
      <c r="CI23" s="1476"/>
      <c r="CJ23" s="1476"/>
      <c r="CK23" s="1476"/>
      <c r="CL23" s="1476"/>
      <c r="CM23" s="1476"/>
      <c r="CN23" s="1477"/>
      <c r="CO23" s="1482">
        <f>4165+1364</f>
        <v>5529</v>
      </c>
      <c r="CP23" s="1483"/>
      <c r="CQ23" s="1483"/>
      <c r="CR23" s="1483"/>
      <c r="CS23" s="1483"/>
      <c r="CT23" s="1483"/>
      <c r="CU23" s="1484"/>
      <c r="CV23" s="1482">
        <v>305116</v>
      </c>
      <c r="CW23" s="1483"/>
      <c r="CX23" s="1483"/>
      <c r="CY23" s="1483"/>
      <c r="CZ23" s="1483"/>
      <c r="DA23" s="1483"/>
      <c r="DB23" s="1483"/>
      <c r="DC23" s="1483"/>
      <c r="DD23" s="1484"/>
      <c r="DE23" s="1482">
        <v>305116</v>
      </c>
      <c r="DF23" s="1483"/>
      <c r="DG23" s="1483"/>
      <c r="DH23" s="1483"/>
      <c r="DI23" s="1483"/>
      <c r="DJ23" s="1483"/>
      <c r="DK23" s="1483"/>
      <c r="DL23" s="1483"/>
      <c r="DM23" s="1484"/>
      <c r="DN23" s="1482">
        <v>297782</v>
      </c>
      <c r="DO23" s="1483"/>
      <c r="DP23" s="1483"/>
      <c r="DQ23" s="1483"/>
      <c r="DR23" s="1483"/>
      <c r="DS23" s="1483"/>
      <c r="DT23" s="1484"/>
      <c r="DU23" s="1482">
        <v>3826</v>
      </c>
      <c r="DV23" s="1483"/>
      <c r="DW23" s="1483"/>
      <c r="DX23" s="1483"/>
      <c r="DY23" s="1483"/>
      <c r="DZ23" s="1483"/>
      <c r="EA23" s="1484"/>
      <c r="EB23" s="1482">
        <v>301608</v>
      </c>
      <c r="EC23" s="1483"/>
      <c r="ED23" s="1483"/>
      <c r="EE23" s="1483"/>
      <c r="EF23" s="1483"/>
      <c r="EG23" s="1483"/>
      <c r="EH23" s="1484"/>
      <c r="EI23" s="1482">
        <v>3508</v>
      </c>
      <c r="EJ23" s="1483"/>
      <c r="EK23" s="1483"/>
      <c r="EL23" s="1483"/>
      <c r="EM23" s="1483"/>
      <c r="EN23" s="1483"/>
      <c r="EO23" s="1484"/>
      <c r="EP23" s="1482"/>
      <c r="EQ23" s="1483"/>
      <c r="ER23" s="1483"/>
      <c r="ES23" s="1483"/>
      <c r="ET23" s="1483"/>
      <c r="EU23" s="1483"/>
      <c r="EV23" s="1483"/>
      <c r="EW23" s="1483"/>
      <c r="EX23" s="1483"/>
      <c r="EY23" s="1484"/>
    </row>
    <row r="24" spans="1:155" s="430" customFormat="1" ht="33.75" customHeight="1">
      <c r="A24" s="1485" t="s">
        <v>1571</v>
      </c>
      <c r="B24" s="1486"/>
      <c r="C24" s="1486"/>
      <c r="D24" s="1486"/>
      <c r="E24" s="1486"/>
      <c r="F24" s="1486"/>
      <c r="G24" s="1486"/>
      <c r="H24" s="1486"/>
      <c r="I24" s="1486"/>
      <c r="J24" s="1486"/>
      <c r="K24" s="1486"/>
      <c r="L24" s="1486"/>
      <c r="M24" s="1486"/>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c r="AL24" s="1486"/>
      <c r="AM24" s="1487"/>
      <c r="AN24" s="1494" t="s">
        <v>121</v>
      </c>
      <c r="AO24" s="1495"/>
      <c r="AP24" s="1495"/>
      <c r="AQ24" s="1495"/>
      <c r="AR24" s="1495"/>
      <c r="AS24" s="1495"/>
      <c r="AT24" s="1495"/>
      <c r="AU24" s="1496"/>
      <c r="AV24" s="1497" t="s">
        <v>905</v>
      </c>
      <c r="AW24" s="1498"/>
      <c r="AX24" s="1498"/>
      <c r="AY24" s="1498"/>
      <c r="AZ24" s="1498"/>
      <c r="BA24" s="1499"/>
      <c r="BB24" s="1482">
        <f>CH24+CO24</f>
        <v>3193462</v>
      </c>
      <c r="BC24" s="1483"/>
      <c r="BD24" s="1483"/>
      <c r="BE24" s="1483"/>
      <c r="BF24" s="1483"/>
      <c r="BG24" s="1483"/>
      <c r="BH24" s="1483"/>
      <c r="BI24" s="1483"/>
      <c r="BJ24" s="1484"/>
      <c r="BK24" s="1482">
        <f t="shared" si="0"/>
        <v>3193462</v>
      </c>
      <c r="BL24" s="1483"/>
      <c r="BM24" s="1483"/>
      <c r="BN24" s="1483"/>
      <c r="BO24" s="1483"/>
      <c r="BP24" s="1483"/>
      <c r="BQ24" s="1483"/>
      <c r="BR24" s="1483"/>
      <c r="BS24" s="1484"/>
      <c r="BT24" s="1482">
        <v>3193462</v>
      </c>
      <c r="BU24" s="1483"/>
      <c r="BV24" s="1483"/>
      <c r="BW24" s="1483"/>
      <c r="BX24" s="1483"/>
      <c r="BY24" s="1483"/>
      <c r="BZ24" s="1484"/>
      <c r="CA24" s="1482">
        <v>0</v>
      </c>
      <c r="CB24" s="1483"/>
      <c r="CC24" s="1483"/>
      <c r="CD24" s="1483"/>
      <c r="CE24" s="1483"/>
      <c r="CF24" s="1483"/>
      <c r="CG24" s="1484"/>
      <c r="CH24" s="1475">
        <f t="shared" si="1"/>
        <v>3193462</v>
      </c>
      <c r="CI24" s="1476"/>
      <c r="CJ24" s="1476"/>
      <c r="CK24" s="1476"/>
      <c r="CL24" s="1476"/>
      <c r="CM24" s="1476"/>
      <c r="CN24" s="1477"/>
      <c r="CO24" s="1482">
        <v>0</v>
      </c>
      <c r="CP24" s="1483"/>
      <c r="CQ24" s="1483"/>
      <c r="CR24" s="1483"/>
      <c r="CS24" s="1483"/>
      <c r="CT24" s="1483"/>
      <c r="CU24" s="1484"/>
      <c r="CV24" s="1482">
        <v>2547993</v>
      </c>
      <c r="CW24" s="1483"/>
      <c r="CX24" s="1483"/>
      <c r="CY24" s="1483"/>
      <c r="CZ24" s="1483"/>
      <c r="DA24" s="1483"/>
      <c r="DB24" s="1483"/>
      <c r="DC24" s="1483"/>
      <c r="DD24" s="1484"/>
      <c r="DE24" s="1482">
        <v>2547993</v>
      </c>
      <c r="DF24" s="1483"/>
      <c r="DG24" s="1483"/>
      <c r="DH24" s="1483"/>
      <c r="DI24" s="1483"/>
      <c r="DJ24" s="1483"/>
      <c r="DK24" s="1483"/>
      <c r="DL24" s="1483"/>
      <c r="DM24" s="1484"/>
      <c r="DN24" s="1482">
        <v>2547993</v>
      </c>
      <c r="DO24" s="1483"/>
      <c r="DP24" s="1483"/>
      <c r="DQ24" s="1483"/>
      <c r="DR24" s="1483"/>
      <c r="DS24" s="1483"/>
      <c r="DT24" s="1484"/>
      <c r="DU24" s="1482">
        <v>0</v>
      </c>
      <c r="DV24" s="1483"/>
      <c r="DW24" s="1483"/>
      <c r="DX24" s="1483"/>
      <c r="DY24" s="1483"/>
      <c r="DZ24" s="1483"/>
      <c r="EA24" s="1484"/>
      <c r="EB24" s="1482">
        <v>2547993</v>
      </c>
      <c r="EC24" s="1483"/>
      <c r="ED24" s="1483"/>
      <c r="EE24" s="1483"/>
      <c r="EF24" s="1483"/>
      <c r="EG24" s="1483"/>
      <c r="EH24" s="1484"/>
      <c r="EI24" s="1482">
        <v>0</v>
      </c>
      <c r="EJ24" s="1483"/>
      <c r="EK24" s="1483"/>
      <c r="EL24" s="1483"/>
      <c r="EM24" s="1483"/>
      <c r="EN24" s="1483"/>
      <c r="EO24" s="1484"/>
      <c r="EP24" s="1482"/>
      <c r="EQ24" s="1483"/>
      <c r="ER24" s="1483"/>
      <c r="ES24" s="1483"/>
      <c r="ET24" s="1483"/>
      <c r="EU24" s="1483"/>
      <c r="EV24" s="1483"/>
      <c r="EW24" s="1483"/>
      <c r="EX24" s="1483"/>
      <c r="EY24" s="1484"/>
    </row>
    <row r="25" spans="1:155" s="430" customFormat="1" ht="7.8">
      <c r="A25" s="1512" t="s">
        <v>1572</v>
      </c>
      <c r="B25" s="1513"/>
      <c r="C25" s="1513"/>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513"/>
      <c r="AM25" s="1514"/>
      <c r="AN25" s="1494" t="s">
        <v>121</v>
      </c>
      <c r="AO25" s="1495"/>
      <c r="AP25" s="1495"/>
      <c r="AQ25" s="1495"/>
      <c r="AR25" s="1495"/>
      <c r="AS25" s="1495"/>
      <c r="AT25" s="1495"/>
      <c r="AU25" s="1496"/>
      <c r="AV25" s="1497"/>
      <c r="AW25" s="1498"/>
      <c r="AX25" s="1498"/>
      <c r="AY25" s="1498"/>
      <c r="AZ25" s="1498"/>
      <c r="BA25" s="1499"/>
      <c r="BB25" s="1482"/>
      <c r="BC25" s="1483"/>
      <c r="BD25" s="1483"/>
      <c r="BE25" s="1483"/>
      <c r="BF25" s="1483"/>
      <c r="BG25" s="1483"/>
      <c r="BH25" s="1483"/>
      <c r="BI25" s="1483"/>
      <c r="BJ25" s="1484"/>
      <c r="BK25" s="1482">
        <f t="shared" si="0"/>
        <v>0</v>
      </c>
      <c r="BL25" s="1483"/>
      <c r="BM25" s="1483"/>
      <c r="BN25" s="1483"/>
      <c r="BO25" s="1483"/>
      <c r="BP25" s="1483"/>
      <c r="BQ25" s="1483"/>
      <c r="BR25" s="1483"/>
      <c r="BS25" s="1484"/>
      <c r="BT25" s="1482"/>
      <c r="BU25" s="1483"/>
      <c r="BV25" s="1483"/>
      <c r="BW25" s="1483"/>
      <c r="BX25" s="1483"/>
      <c r="BY25" s="1483"/>
      <c r="BZ25" s="1484"/>
      <c r="CA25" s="1482"/>
      <c r="CB25" s="1483"/>
      <c r="CC25" s="1483"/>
      <c r="CD25" s="1483"/>
      <c r="CE25" s="1483"/>
      <c r="CF25" s="1483"/>
      <c r="CG25" s="1484"/>
      <c r="CH25" s="1475">
        <f t="shared" si="1"/>
        <v>0</v>
      </c>
      <c r="CI25" s="1476"/>
      <c r="CJ25" s="1476"/>
      <c r="CK25" s="1476"/>
      <c r="CL25" s="1476"/>
      <c r="CM25" s="1476"/>
      <c r="CN25" s="1477"/>
      <c r="CO25" s="1482"/>
      <c r="CP25" s="1483"/>
      <c r="CQ25" s="1483"/>
      <c r="CR25" s="1483"/>
      <c r="CS25" s="1483"/>
      <c r="CT25" s="1483"/>
      <c r="CU25" s="1484"/>
      <c r="CV25" s="1482"/>
      <c r="CW25" s="1483"/>
      <c r="CX25" s="1483"/>
      <c r="CY25" s="1483"/>
      <c r="CZ25" s="1483"/>
      <c r="DA25" s="1483"/>
      <c r="DB25" s="1483"/>
      <c r="DC25" s="1483"/>
      <c r="DD25" s="1484"/>
      <c r="DE25" s="1482">
        <v>0</v>
      </c>
      <c r="DF25" s="1483"/>
      <c r="DG25" s="1483"/>
      <c r="DH25" s="1483"/>
      <c r="DI25" s="1483"/>
      <c r="DJ25" s="1483"/>
      <c r="DK25" s="1483"/>
      <c r="DL25" s="1483"/>
      <c r="DM25" s="1484"/>
      <c r="DN25" s="1482"/>
      <c r="DO25" s="1483"/>
      <c r="DP25" s="1483"/>
      <c r="DQ25" s="1483"/>
      <c r="DR25" s="1483"/>
      <c r="DS25" s="1483"/>
      <c r="DT25" s="1484"/>
      <c r="DU25" s="1482"/>
      <c r="DV25" s="1483"/>
      <c r="DW25" s="1483"/>
      <c r="DX25" s="1483"/>
      <c r="DY25" s="1483"/>
      <c r="DZ25" s="1483"/>
      <c r="EA25" s="1484"/>
      <c r="EB25" s="1482">
        <v>0</v>
      </c>
      <c r="EC25" s="1483"/>
      <c r="ED25" s="1483"/>
      <c r="EE25" s="1483"/>
      <c r="EF25" s="1483"/>
      <c r="EG25" s="1483"/>
      <c r="EH25" s="1484"/>
      <c r="EI25" s="1482"/>
      <c r="EJ25" s="1483"/>
      <c r="EK25" s="1483"/>
      <c r="EL25" s="1483"/>
      <c r="EM25" s="1483"/>
      <c r="EN25" s="1483"/>
      <c r="EO25" s="1484"/>
      <c r="EP25" s="1482"/>
      <c r="EQ25" s="1483"/>
      <c r="ER25" s="1483"/>
      <c r="ES25" s="1483"/>
      <c r="ET25" s="1483"/>
      <c r="EU25" s="1483"/>
      <c r="EV25" s="1483"/>
      <c r="EW25" s="1483"/>
      <c r="EX25" s="1483"/>
      <c r="EY25" s="1484"/>
    </row>
    <row r="26" spans="1:155" s="430" customFormat="1" ht="7.8">
      <c r="A26" s="1512" t="s">
        <v>1573</v>
      </c>
      <c r="B26" s="1513"/>
      <c r="C26" s="1513"/>
      <c r="D26" s="1513"/>
      <c r="E26" s="1513"/>
      <c r="F26" s="1513"/>
      <c r="G26" s="1513"/>
      <c r="H26" s="1513"/>
      <c r="I26" s="1513"/>
      <c r="J26" s="1513"/>
      <c r="K26" s="1513"/>
      <c r="L26" s="1513"/>
      <c r="M26" s="1513"/>
      <c r="N26" s="1513"/>
      <c r="O26" s="1513"/>
      <c r="P26" s="1513"/>
      <c r="Q26" s="1513"/>
      <c r="R26" s="1513"/>
      <c r="S26" s="1513"/>
      <c r="T26" s="1513"/>
      <c r="U26" s="1513"/>
      <c r="V26" s="1513"/>
      <c r="W26" s="1513"/>
      <c r="X26" s="1513"/>
      <c r="Y26" s="1513"/>
      <c r="Z26" s="1513"/>
      <c r="AA26" s="1513"/>
      <c r="AB26" s="1513"/>
      <c r="AC26" s="1513"/>
      <c r="AD26" s="1513"/>
      <c r="AE26" s="1513"/>
      <c r="AF26" s="1513"/>
      <c r="AG26" s="1513"/>
      <c r="AH26" s="1513"/>
      <c r="AI26" s="1513"/>
      <c r="AJ26" s="1513"/>
      <c r="AK26" s="1513"/>
      <c r="AL26" s="1513"/>
      <c r="AM26" s="1514"/>
      <c r="AN26" s="1494" t="s">
        <v>121</v>
      </c>
      <c r="AO26" s="1495"/>
      <c r="AP26" s="1495"/>
      <c r="AQ26" s="1495"/>
      <c r="AR26" s="1495"/>
      <c r="AS26" s="1495"/>
      <c r="AT26" s="1495"/>
      <c r="AU26" s="1496"/>
      <c r="AV26" s="1497"/>
      <c r="AW26" s="1498"/>
      <c r="AX26" s="1498"/>
      <c r="AY26" s="1498"/>
      <c r="AZ26" s="1498"/>
      <c r="BA26" s="1499"/>
      <c r="BB26" s="1482"/>
      <c r="BC26" s="1483"/>
      <c r="BD26" s="1483"/>
      <c r="BE26" s="1483"/>
      <c r="BF26" s="1483"/>
      <c r="BG26" s="1483"/>
      <c r="BH26" s="1483"/>
      <c r="BI26" s="1483"/>
      <c r="BJ26" s="1484"/>
      <c r="BK26" s="1482">
        <f t="shared" si="0"/>
        <v>0</v>
      </c>
      <c r="BL26" s="1483"/>
      <c r="BM26" s="1483"/>
      <c r="BN26" s="1483"/>
      <c r="BO26" s="1483"/>
      <c r="BP26" s="1483"/>
      <c r="BQ26" s="1483"/>
      <c r="BR26" s="1483"/>
      <c r="BS26" s="1484"/>
      <c r="BT26" s="1482"/>
      <c r="BU26" s="1483"/>
      <c r="BV26" s="1483"/>
      <c r="BW26" s="1483"/>
      <c r="BX26" s="1483"/>
      <c r="BY26" s="1483"/>
      <c r="BZ26" s="1484"/>
      <c r="CA26" s="1482"/>
      <c r="CB26" s="1483"/>
      <c r="CC26" s="1483"/>
      <c r="CD26" s="1483"/>
      <c r="CE26" s="1483"/>
      <c r="CF26" s="1483"/>
      <c r="CG26" s="1484"/>
      <c r="CH26" s="1475">
        <f t="shared" si="1"/>
        <v>0</v>
      </c>
      <c r="CI26" s="1476"/>
      <c r="CJ26" s="1476"/>
      <c r="CK26" s="1476"/>
      <c r="CL26" s="1476"/>
      <c r="CM26" s="1476"/>
      <c r="CN26" s="1477"/>
      <c r="CO26" s="1482"/>
      <c r="CP26" s="1483"/>
      <c r="CQ26" s="1483"/>
      <c r="CR26" s="1483"/>
      <c r="CS26" s="1483"/>
      <c r="CT26" s="1483"/>
      <c r="CU26" s="1484"/>
      <c r="CV26" s="1482"/>
      <c r="CW26" s="1483"/>
      <c r="CX26" s="1483"/>
      <c r="CY26" s="1483"/>
      <c r="CZ26" s="1483"/>
      <c r="DA26" s="1483"/>
      <c r="DB26" s="1483"/>
      <c r="DC26" s="1483"/>
      <c r="DD26" s="1484"/>
      <c r="DE26" s="1482">
        <v>0</v>
      </c>
      <c r="DF26" s="1483"/>
      <c r="DG26" s="1483"/>
      <c r="DH26" s="1483"/>
      <c r="DI26" s="1483"/>
      <c r="DJ26" s="1483"/>
      <c r="DK26" s="1483"/>
      <c r="DL26" s="1483"/>
      <c r="DM26" s="1484"/>
      <c r="DN26" s="1482"/>
      <c r="DO26" s="1483"/>
      <c r="DP26" s="1483"/>
      <c r="DQ26" s="1483"/>
      <c r="DR26" s="1483"/>
      <c r="DS26" s="1483"/>
      <c r="DT26" s="1484"/>
      <c r="DU26" s="1482"/>
      <c r="DV26" s="1483"/>
      <c r="DW26" s="1483"/>
      <c r="DX26" s="1483"/>
      <c r="DY26" s="1483"/>
      <c r="DZ26" s="1483"/>
      <c r="EA26" s="1484"/>
      <c r="EB26" s="1482">
        <v>0</v>
      </c>
      <c r="EC26" s="1483"/>
      <c r="ED26" s="1483"/>
      <c r="EE26" s="1483"/>
      <c r="EF26" s="1483"/>
      <c r="EG26" s="1483"/>
      <c r="EH26" s="1484"/>
      <c r="EI26" s="1482"/>
      <c r="EJ26" s="1483"/>
      <c r="EK26" s="1483"/>
      <c r="EL26" s="1483"/>
      <c r="EM26" s="1483"/>
      <c r="EN26" s="1483"/>
      <c r="EO26" s="1484"/>
      <c r="EP26" s="1482"/>
      <c r="EQ26" s="1483"/>
      <c r="ER26" s="1483"/>
      <c r="ES26" s="1483"/>
      <c r="ET26" s="1483"/>
      <c r="EU26" s="1483"/>
      <c r="EV26" s="1483"/>
      <c r="EW26" s="1483"/>
      <c r="EX26" s="1483"/>
      <c r="EY26" s="1484"/>
    </row>
    <row r="27" spans="1:155" s="430" customFormat="1" ht="7.8">
      <c r="A27" s="1512" t="s">
        <v>1574</v>
      </c>
      <c r="B27" s="1513"/>
      <c r="C27" s="1513"/>
      <c r="D27" s="1513"/>
      <c r="E27" s="1513"/>
      <c r="F27" s="1513"/>
      <c r="G27" s="1513"/>
      <c r="H27" s="1513"/>
      <c r="I27" s="1513"/>
      <c r="J27" s="1513"/>
      <c r="K27" s="1513"/>
      <c r="L27" s="1513"/>
      <c r="M27" s="1513"/>
      <c r="N27" s="1513"/>
      <c r="O27" s="1513"/>
      <c r="P27" s="1513"/>
      <c r="Q27" s="1513"/>
      <c r="R27" s="1513"/>
      <c r="S27" s="1513"/>
      <c r="T27" s="1513"/>
      <c r="U27" s="1513"/>
      <c r="V27" s="1513"/>
      <c r="W27" s="1513"/>
      <c r="X27" s="1513"/>
      <c r="Y27" s="1513"/>
      <c r="Z27" s="1513"/>
      <c r="AA27" s="1513"/>
      <c r="AB27" s="1513"/>
      <c r="AC27" s="1513"/>
      <c r="AD27" s="1513"/>
      <c r="AE27" s="1513"/>
      <c r="AF27" s="1513"/>
      <c r="AG27" s="1513"/>
      <c r="AH27" s="1513"/>
      <c r="AI27" s="1513"/>
      <c r="AJ27" s="1513"/>
      <c r="AK27" s="1513"/>
      <c r="AL27" s="1513"/>
      <c r="AM27" s="1514"/>
      <c r="AN27" s="1494" t="s">
        <v>121</v>
      </c>
      <c r="AO27" s="1495"/>
      <c r="AP27" s="1495"/>
      <c r="AQ27" s="1495"/>
      <c r="AR27" s="1495"/>
      <c r="AS27" s="1495"/>
      <c r="AT27" s="1495"/>
      <c r="AU27" s="1496"/>
      <c r="AV27" s="1497"/>
      <c r="AW27" s="1498"/>
      <c r="AX27" s="1498"/>
      <c r="AY27" s="1498"/>
      <c r="AZ27" s="1498"/>
      <c r="BA27" s="1499"/>
      <c r="BB27" s="1482"/>
      <c r="BC27" s="1483"/>
      <c r="BD27" s="1483"/>
      <c r="BE27" s="1483"/>
      <c r="BF27" s="1483"/>
      <c r="BG27" s="1483"/>
      <c r="BH27" s="1483"/>
      <c r="BI27" s="1483"/>
      <c r="BJ27" s="1484"/>
      <c r="BK27" s="1482">
        <f t="shared" si="0"/>
        <v>0</v>
      </c>
      <c r="BL27" s="1483"/>
      <c r="BM27" s="1483"/>
      <c r="BN27" s="1483"/>
      <c r="BO27" s="1483"/>
      <c r="BP27" s="1483"/>
      <c r="BQ27" s="1483"/>
      <c r="BR27" s="1483"/>
      <c r="BS27" s="1484"/>
      <c r="BT27" s="1482"/>
      <c r="BU27" s="1483"/>
      <c r="BV27" s="1483"/>
      <c r="BW27" s="1483"/>
      <c r="BX27" s="1483"/>
      <c r="BY27" s="1483"/>
      <c r="BZ27" s="1484"/>
      <c r="CA27" s="1482"/>
      <c r="CB27" s="1483"/>
      <c r="CC27" s="1483"/>
      <c r="CD27" s="1483"/>
      <c r="CE27" s="1483"/>
      <c r="CF27" s="1483"/>
      <c r="CG27" s="1484"/>
      <c r="CH27" s="1475">
        <f t="shared" si="1"/>
        <v>0</v>
      </c>
      <c r="CI27" s="1476"/>
      <c r="CJ27" s="1476"/>
      <c r="CK27" s="1476"/>
      <c r="CL27" s="1476"/>
      <c r="CM27" s="1476"/>
      <c r="CN27" s="1477"/>
      <c r="CO27" s="1482"/>
      <c r="CP27" s="1483"/>
      <c r="CQ27" s="1483"/>
      <c r="CR27" s="1483"/>
      <c r="CS27" s="1483"/>
      <c r="CT27" s="1483"/>
      <c r="CU27" s="1484"/>
      <c r="CV27" s="1482"/>
      <c r="CW27" s="1483"/>
      <c r="CX27" s="1483"/>
      <c r="CY27" s="1483"/>
      <c r="CZ27" s="1483"/>
      <c r="DA27" s="1483"/>
      <c r="DB27" s="1483"/>
      <c r="DC27" s="1483"/>
      <c r="DD27" s="1484"/>
      <c r="DE27" s="1482">
        <v>0</v>
      </c>
      <c r="DF27" s="1483"/>
      <c r="DG27" s="1483"/>
      <c r="DH27" s="1483"/>
      <c r="DI27" s="1483"/>
      <c r="DJ27" s="1483"/>
      <c r="DK27" s="1483"/>
      <c r="DL27" s="1483"/>
      <c r="DM27" s="1484"/>
      <c r="DN27" s="1482"/>
      <c r="DO27" s="1483"/>
      <c r="DP27" s="1483"/>
      <c r="DQ27" s="1483"/>
      <c r="DR27" s="1483"/>
      <c r="DS27" s="1483"/>
      <c r="DT27" s="1484"/>
      <c r="DU27" s="1482"/>
      <c r="DV27" s="1483"/>
      <c r="DW27" s="1483"/>
      <c r="DX27" s="1483"/>
      <c r="DY27" s="1483"/>
      <c r="DZ27" s="1483"/>
      <c r="EA27" s="1484"/>
      <c r="EB27" s="1482">
        <v>0</v>
      </c>
      <c r="EC27" s="1483"/>
      <c r="ED27" s="1483"/>
      <c r="EE27" s="1483"/>
      <c r="EF27" s="1483"/>
      <c r="EG27" s="1483"/>
      <c r="EH27" s="1484"/>
      <c r="EI27" s="1482"/>
      <c r="EJ27" s="1483"/>
      <c r="EK27" s="1483"/>
      <c r="EL27" s="1483"/>
      <c r="EM27" s="1483"/>
      <c r="EN27" s="1483"/>
      <c r="EO27" s="1484"/>
      <c r="EP27" s="1482"/>
      <c r="EQ27" s="1483"/>
      <c r="ER27" s="1483"/>
      <c r="ES27" s="1483"/>
      <c r="ET27" s="1483"/>
      <c r="EU27" s="1483"/>
      <c r="EV27" s="1483"/>
      <c r="EW27" s="1483"/>
      <c r="EX27" s="1483"/>
      <c r="EY27" s="1484"/>
    </row>
    <row r="28" spans="1:155" s="430" customFormat="1" ht="7.8">
      <c r="A28" s="1512" t="s">
        <v>1575</v>
      </c>
      <c r="B28" s="1513"/>
      <c r="C28" s="1513"/>
      <c r="D28" s="1513"/>
      <c r="E28" s="1513"/>
      <c r="F28" s="1513"/>
      <c r="G28" s="1513"/>
      <c r="H28" s="1513"/>
      <c r="I28" s="1513"/>
      <c r="J28" s="1513"/>
      <c r="K28" s="1513"/>
      <c r="L28" s="1513"/>
      <c r="M28" s="1513"/>
      <c r="N28" s="1513"/>
      <c r="O28" s="1513"/>
      <c r="P28" s="1513"/>
      <c r="Q28" s="1513"/>
      <c r="R28" s="1513"/>
      <c r="S28" s="1513"/>
      <c r="T28" s="1513"/>
      <c r="U28" s="1513"/>
      <c r="V28" s="1513"/>
      <c r="W28" s="1513"/>
      <c r="X28" s="1513"/>
      <c r="Y28" s="1513"/>
      <c r="Z28" s="1513"/>
      <c r="AA28" s="1513"/>
      <c r="AB28" s="1513"/>
      <c r="AC28" s="1513"/>
      <c r="AD28" s="1513"/>
      <c r="AE28" s="1513"/>
      <c r="AF28" s="1513"/>
      <c r="AG28" s="1513"/>
      <c r="AH28" s="1513"/>
      <c r="AI28" s="1513"/>
      <c r="AJ28" s="1513"/>
      <c r="AK28" s="1513"/>
      <c r="AL28" s="1513"/>
      <c r="AM28" s="1514"/>
      <c r="AN28" s="1494" t="s">
        <v>121</v>
      </c>
      <c r="AO28" s="1495"/>
      <c r="AP28" s="1495"/>
      <c r="AQ28" s="1495"/>
      <c r="AR28" s="1495"/>
      <c r="AS28" s="1495"/>
      <c r="AT28" s="1495"/>
      <c r="AU28" s="1496"/>
      <c r="AV28" s="1497"/>
      <c r="AW28" s="1498"/>
      <c r="AX28" s="1498"/>
      <c r="AY28" s="1498"/>
      <c r="AZ28" s="1498"/>
      <c r="BA28" s="1499"/>
      <c r="BB28" s="1482"/>
      <c r="BC28" s="1483"/>
      <c r="BD28" s="1483"/>
      <c r="BE28" s="1483"/>
      <c r="BF28" s="1483"/>
      <c r="BG28" s="1483"/>
      <c r="BH28" s="1483"/>
      <c r="BI28" s="1483"/>
      <c r="BJ28" s="1484"/>
      <c r="BK28" s="1482">
        <f t="shared" si="0"/>
        <v>0</v>
      </c>
      <c r="BL28" s="1483"/>
      <c r="BM28" s="1483"/>
      <c r="BN28" s="1483"/>
      <c r="BO28" s="1483"/>
      <c r="BP28" s="1483"/>
      <c r="BQ28" s="1483"/>
      <c r="BR28" s="1483"/>
      <c r="BS28" s="1484"/>
      <c r="BT28" s="1482"/>
      <c r="BU28" s="1483"/>
      <c r="BV28" s="1483"/>
      <c r="BW28" s="1483"/>
      <c r="BX28" s="1483"/>
      <c r="BY28" s="1483"/>
      <c r="BZ28" s="1484"/>
      <c r="CA28" s="1482"/>
      <c r="CB28" s="1483"/>
      <c r="CC28" s="1483"/>
      <c r="CD28" s="1483"/>
      <c r="CE28" s="1483"/>
      <c r="CF28" s="1483"/>
      <c r="CG28" s="1484"/>
      <c r="CH28" s="1475">
        <f t="shared" si="1"/>
        <v>0</v>
      </c>
      <c r="CI28" s="1476"/>
      <c r="CJ28" s="1476"/>
      <c r="CK28" s="1476"/>
      <c r="CL28" s="1476"/>
      <c r="CM28" s="1476"/>
      <c r="CN28" s="1477"/>
      <c r="CO28" s="1482"/>
      <c r="CP28" s="1483"/>
      <c r="CQ28" s="1483"/>
      <c r="CR28" s="1483"/>
      <c r="CS28" s="1483"/>
      <c r="CT28" s="1483"/>
      <c r="CU28" s="1484"/>
      <c r="CV28" s="1482"/>
      <c r="CW28" s="1483"/>
      <c r="CX28" s="1483"/>
      <c r="CY28" s="1483"/>
      <c r="CZ28" s="1483"/>
      <c r="DA28" s="1483"/>
      <c r="DB28" s="1483"/>
      <c r="DC28" s="1483"/>
      <c r="DD28" s="1484"/>
      <c r="DE28" s="1482">
        <v>0</v>
      </c>
      <c r="DF28" s="1483"/>
      <c r="DG28" s="1483"/>
      <c r="DH28" s="1483"/>
      <c r="DI28" s="1483"/>
      <c r="DJ28" s="1483"/>
      <c r="DK28" s="1483"/>
      <c r="DL28" s="1483"/>
      <c r="DM28" s="1484"/>
      <c r="DN28" s="1482"/>
      <c r="DO28" s="1483"/>
      <c r="DP28" s="1483"/>
      <c r="DQ28" s="1483"/>
      <c r="DR28" s="1483"/>
      <c r="DS28" s="1483"/>
      <c r="DT28" s="1484"/>
      <c r="DU28" s="1482"/>
      <c r="DV28" s="1483"/>
      <c r="DW28" s="1483"/>
      <c r="DX28" s="1483"/>
      <c r="DY28" s="1483"/>
      <c r="DZ28" s="1483"/>
      <c r="EA28" s="1484"/>
      <c r="EB28" s="1482">
        <v>0</v>
      </c>
      <c r="EC28" s="1483"/>
      <c r="ED28" s="1483"/>
      <c r="EE28" s="1483"/>
      <c r="EF28" s="1483"/>
      <c r="EG28" s="1483"/>
      <c r="EH28" s="1484"/>
      <c r="EI28" s="1482"/>
      <c r="EJ28" s="1483"/>
      <c r="EK28" s="1483"/>
      <c r="EL28" s="1483"/>
      <c r="EM28" s="1483"/>
      <c r="EN28" s="1483"/>
      <c r="EO28" s="1484"/>
      <c r="EP28" s="1482"/>
      <c r="EQ28" s="1483"/>
      <c r="ER28" s="1483"/>
      <c r="ES28" s="1483"/>
      <c r="ET28" s="1483"/>
      <c r="EU28" s="1483"/>
      <c r="EV28" s="1483"/>
      <c r="EW28" s="1483"/>
      <c r="EX28" s="1483"/>
      <c r="EY28" s="1484"/>
    </row>
    <row r="29" spans="1:155" s="430" customFormat="1" ht="16.5" customHeight="1">
      <c r="A29" s="1485" t="s">
        <v>1576</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7"/>
      <c r="AN29" s="1494" t="s">
        <v>121</v>
      </c>
      <c r="AO29" s="1495"/>
      <c r="AP29" s="1495"/>
      <c r="AQ29" s="1495"/>
      <c r="AR29" s="1495"/>
      <c r="AS29" s="1495"/>
      <c r="AT29" s="1495"/>
      <c r="AU29" s="1496"/>
      <c r="AV29" s="1497" t="s">
        <v>910</v>
      </c>
      <c r="AW29" s="1498"/>
      <c r="AX29" s="1498"/>
      <c r="AY29" s="1498"/>
      <c r="AZ29" s="1498"/>
      <c r="BA29" s="1499"/>
      <c r="BB29" s="1482">
        <f>CH29+CO29</f>
        <v>32344</v>
      </c>
      <c r="BC29" s="1483"/>
      <c r="BD29" s="1483"/>
      <c r="BE29" s="1483"/>
      <c r="BF29" s="1483"/>
      <c r="BG29" s="1483"/>
      <c r="BH29" s="1483"/>
      <c r="BI29" s="1483"/>
      <c r="BJ29" s="1484"/>
      <c r="BK29" s="1482">
        <f t="shared" si="0"/>
        <v>32344</v>
      </c>
      <c r="BL29" s="1483"/>
      <c r="BM29" s="1483"/>
      <c r="BN29" s="1483"/>
      <c r="BO29" s="1483"/>
      <c r="BP29" s="1483"/>
      <c r="BQ29" s="1483"/>
      <c r="BR29" s="1483"/>
      <c r="BS29" s="1484"/>
      <c r="BT29" s="1482">
        <f>32239</f>
        <v>32239</v>
      </c>
      <c r="BU29" s="1483"/>
      <c r="BV29" s="1483"/>
      <c r="BW29" s="1483"/>
      <c r="BX29" s="1483"/>
      <c r="BY29" s="1483"/>
      <c r="BZ29" s="1484"/>
      <c r="CA29" s="1482">
        <f>91</f>
        <v>91</v>
      </c>
      <c r="CB29" s="1483"/>
      <c r="CC29" s="1483"/>
      <c r="CD29" s="1483"/>
      <c r="CE29" s="1483"/>
      <c r="CF29" s="1483"/>
      <c r="CG29" s="1484"/>
      <c r="CH29" s="1475">
        <f t="shared" si="1"/>
        <v>32330</v>
      </c>
      <c r="CI29" s="1476"/>
      <c r="CJ29" s="1476"/>
      <c r="CK29" s="1476"/>
      <c r="CL29" s="1476"/>
      <c r="CM29" s="1476"/>
      <c r="CN29" s="1477"/>
      <c r="CO29" s="1482">
        <f>14</f>
        <v>14</v>
      </c>
      <c r="CP29" s="1483"/>
      <c r="CQ29" s="1483"/>
      <c r="CR29" s="1483"/>
      <c r="CS29" s="1483"/>
      <c r="CT29" s="1483"/>
      <c r="CU29" s="1484"/>
      <c r="CV29" s="1482">
        <v>28594</v>
      </c>
      <c r="CW29" s="1483"/>
      <c r="CX29" s="1483"/>
      <c r="CY29" s="1483"/>
      <c r="CZ29" s="1483"/>
      <c r="DA29" s="1483"/>
      <c r="DB29" s="1483"/>
      <c r="DC29" s="1483"/>
      <c r="DD29" s="1484"/>
      <c r="DE29" s="1482">
        <v>28594</v>
      </c>
      <c r="DF29" s="1483"/>
      <c r="DG29" s="1483"/>
      <c r="DH29" s="1483"/>
      <c r="DI29" s="1483"/>
      <c r="DJ29" s="1483"/>
      <c r="DK29" s="1483"/>
      <c r="DL29" s="1483"/>
      <c r="DM29" s="1484"/>
      <c r="DN29" s="1482">
        <v>28495</v>
      </c>
      <c r="DO29" s="1483"/>
      <c r="DP29" s="1483"/>
      <c r="DQ29" s="1483"/>
      <c r="DR29" s="1483"/>
      <c r="DS29" s="1483"/>
      <c r="DT29" s="1484"/>
      <c r="DU29" s="1482">
        <v>87</v>
      </c>
      <c r="DV29" s="1483"/>
      <c r="DW29" s="1483"/>
      <c r="DX29" s="1483"/>
      <c r="DY29" s="1483"/>
      <c r="DZ29" s="1483"/>
      <c r="EA29" s="1484"/>
      <c r="EB29" s="1482">
        <v>28582</v>
      </c>
      <c r="EC29" s="1483"/>
      <c r="ED29" s="1483"/>
      <c r="EE29" s="1483"/>
      <c r="EF29" s="1483"/>
      <c r="EG29" s="1483"/>
      <c r="EH29" s="1484"/>
      <c r="EI29" s="1482">
        <v>12</v>
      </c>
      <c r="EJ29" s="1483"/>
      <c r="EK29" s="1483"/>
      <c r="EL29" s="1483"/>
      <c r="EM29" s="1483"/>
      <c r="EN29" s="1483"/>
      <c r="EO29" s="1484"/>
      <c r="EP29" s="1482"/>
      <c r="EQ29" s="1483"/>
      <c r="ER29" s="1483"/>
      <c r="ES29" s="1483"/>
      <c r="ET29" s="1483"/>
      <c r="EU29" s="1483"/>
      <c r="EV29" s="1483"/>
      <c r="EW29" s="1483"/>
      <c r="EX29" s="1483"/>
      <c r="EY29" s="1484"/>
    </row>
    <row r="30" spans="1:155" s="430" customFormat="1" ht="16.5" customHeight="1">
      <c r="A30" s="1506" t="s">
        <v>1577</v>
      </c>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8"/>
      <c r="AN30" s="1494" t="s">
        <v>121</v>
      </c>
      <c r="AO30" s="1495"/>
      <c r="AP30" s="1495"/>
      <c r="AQ30" s="1495"/>
      <c r="AR30" s="1495"/>
      <c r="AS30" s="1495"/>
      <c r="AT30" s="1495"/>
      <c r="AU30" s="1496"/>
      <c r="AV30" s="1497" t="s">
        <v>940</v>
      </c>
      <c r="AW30" s="1498"/>
      <c r="AX30" s="1498"/>
      <c r="AY30" s="1498"/>
      <c r="AZ30" s="1498"/>
      <c r="BA30" s="1499"/>
      <c r="BB30" s="1482">
        <f>CH30+CO30</f>
        <v>213269</v>
      </c>
      <c r="BC30" s="1483"/>
      <c r="BD30" s="1483"/>
      <c r="BE30" s="1483"/>
      <c r="BF30" s="1483"/>
      <c r="BG30" s="1483"/>
      <c r="BH30" s="1483"/>
      <c r="BI30" s="1483"/>
      <c r="BJ30" s="1484"/>
      <c r="BK30" s="1482">
        <f t="shared" si="0"/>
        <v>213269</v>
      </c>
      <c r="BL30" s="1483"/>
      <c r="BM30" s="1483"/>
      <c r="BN30" s="1483"/>
      <c r="BO30" s="1483"/>
      <c r="BP30" s="1483"/>
      <c r="BQ30" s="1483"/>
      <c r="BR30" s="1483"/>
      <c r="BS30" s="1484"/>
      <c r="BT30" s="1482">
        <f>BT31+BT34</f>
        <v>212423</v>
      </c>
      <c r="BU30" s="1483"/>
      <c r="BV30" s="1483"/>
      <c r="BW30" s="1483"/>
      <c r="BX30" s="1483"/>
      <c r="BY30" s="1483"/>
      <c r="BZ30" s="1484"/>
      <c r="CA30" s="1482">
        <f>CA31+CA34</f>
        <v>679</v>
      </c>
      <c r="CB30" s="1483"/>
      <c r="CC30" s="1483"/>
      <c r="CD30" s="1483"/>
      <c r="CE30" s="1483"/>
      <c r="CF30" s="1483"/>
      <c r="CG30" s="1484"/>
      <c r="CH30" s="1475">
        <f t="shared" si="1"/>
        <v>213102</v>
      </c>
      <c r="CI30" s="1476"/>
      <c r="CJ30" s="1476"/>
      <c r="CK30" s="1476"/>
      <c r="CL30" s="1476"/>
      <c r="CM30" s="1476"/>
      <c r="CN30" s="1477"/>
      <c r="CO30" s="1482">
        <f>CO31+CO34</f>
        <v>167</v>
      </c>
      <c r="CP30" s="1483"/>
      <c r="CQ30" s="1483"/>
      <c r="CR30" s="1483"/>
      <c r="CS30" s="1483"/>
      <c r="CT30" s="1483"/>
      <c r="CU30" s="1484"/>
      <c r="CV30" s="1482">
        <v>136668</v>
      </c>
      <c r="CW30" s="1483"/>
      <c r="CX30" s="1483"/>
      <c r="CY30" s="1483"/>
      <c r="CZ30" s="1483"/>
      <c r="DA30" s="1483"/>
      <c r="DB30" s="1483"/>
      <c r="DC30" s="1483"/>
      <c r="DD30" s="1484"/>
      <c r="DE30" s="1482">
        <v>136668</v>
      </c>
      <c r="DF30" s="1483"/>
      <c r="DG30" s="1483"/>
      <c r="DH30" s="1483"/>
      <c r="DI30" s="1483"/>
      <c r="DJ30" s="1483"/>
      <c r="DK30" s="1483"/>
      <c r="DL30" s="1483"/>
      <c r="DM30" s="1484"/>
      <c r="DN30" s="1482">
        <v>134414</v>
      </c>
      <c r="DO30" s="1483"/>
      <c r="DP30" s="1483"/>
      <c r="DQ30" s="1483"/>
      <c r="DR30" s="1483"/>
      <c r="DS30" s="1483"/>
      <c r="DT30" s="1484"/>
      <c r="DU30" s="1482">
        <v>1970</v>
      </c>
      <c r="DV30" s="1483"/>
      <c r="DW30" s="1483"/>
      <c r="DX30" s="1483"/>
      <c r="DY30" s="1483"/>
      <c r="DZ30" s="1483"/>
      <c r="EA30" s="1484"/>
      <c r="EB30" s="1482">
        <v>136384</v>
      </c>
      <c r="EC30" s="1483"/>
      <c r="ED30" s="1483"/>
      <c r="EE30" s="1483"/>
      <c r="EF30" s="1483"/>
      <c r="EG30" s="1483"/>
      <c r="EH30" s="1484"/>
      <c r="EI30" s="1482">
        <v>284</v>
      </c>
      <c r="EJ30" s="1483"/>
      <c r="EK30" s="1483"/>
      <c r="EL30" s="1483"/>
      <c r="EM30" s="1483"/>
      <c r="EN30" s="1483"/>
      <c r="EO30" s="1484"/>
      <c r="EP30" s="1482"/>
      <c r="EQ30" s="1483"/>
      <c r="ER30" s="1483"/>
      <c r="ES30" s="1483"/>
      <c r="ET30" s="1483"/>
      <c r="EU30" s="1483"/>
      <c r="EV30" s="1483"/>
      <c r="EW30" s="1483"/>
      <c r="EX30" s="1483"/>
      <c r="EY30" s="1484"/>
    </row>
    <row r="31" spans="1:155" s="430" customFormat="1" ht="7.8">
      <c r="A31" s="1485" t="s">
        <v>1034</v>
      </c>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7"/>
      <c r="AN31" s="1494" t="s">
        <v>121</v>
      </c>
      <c r="AO31" s="1495"/>
      <c r="AP31" s="1495"/>
      <c r="AQ31" s="1495"/>
      <c r="AR31" s="1495"/>
      <c r="AS31" s="1495"/>
      <c r="AT31" s="1495"/>
      <c r="AU31" s="1496"/>
      <c r="AV31" s="1497" t="s">
        <v>945</v>
      </c>
      <c r="AW31" s="1498"/>
      <c r="AX31" s="1498"/>
      <c r="AY31" s="1498"/>
      <c r="AZ31" s="1498"/>
      <c r="BA31" s="1499"/>
      <c r="BB31" s="1482">
        <f>CH31+CO31</f>
        <v>5017</v>
      </c>
      <c r="BC31" s="1483"/>
      <c r="BD31" s="1483"/>
      <c r="BE31" s="1483"/>
      <c r="BF31" s="1483"/>
      <c r="BG31" s="1483"/>
      <c r="BH31" s="1483"/>
      <c r="BI31" s="1483"/>
      <c r="BJ31" s="1484"/>
      <c r="BK31" s="1482">
        <f t="shared" si="0"/>
        <v>5017</v>
      </c>
      <c r="BL31" s="1483"/>
      <c r="BM31" s="1483"/>
      <c r="BN31" s="1483"/>
      <c r="BO31" s="1483"/>
      <c r="BP31" s="1483"/>
      <c r="BQ31" s="1483"/>
      <c r="BR31" s="1483"/>
      <c r="BS31" s="1484"/>
      <c r="BT31" s="1482">
        <f>1995+3014</f>
        <v>5009</v>
      </c>
      <c r="BU31" s="1483"/>
      <c r="BV31" s="1483"/>
      <c r="BW31" s="1483"/>
      <c r="BX31" s="1483"/>
      <c r="BY31" s="1483"/>
      <c r="BZ31" s="1484"/>
      <c r="CA31" s="1482">
        <f>7</f>
        <v>7</v>
      </c>
      <c r="CB31" s="1483"/>
      <c r="CC31" s="1483"/>
      <c r="CD31" s="1483"/>
      <c r="CE31" s="1483"/>
      <c r="CF31" s="1483"/>
      <c r="CG31" s="1484"/>
      <c r="CH31" s="1475">
        <f t="shared" si="1"/>
        <v>5016</v>
      </c>
      <c r="CI31" s="1476"/>
      <c r="CJ31" s="1476"/>
      <c r="CK31" s="1476"/>
      <c r="CL31" s="1476"/>
      <c r="CM31" s="1476"/>
      <c r="CN31" s="1477"/>
      <c r="CO31" s="1482">
        <f>1</f>
        <v>1</v>
      </c>
      <c r="CP31" s="1483"/>
      <c r="CQ31" s="1483"/>
      <c r="CR31" s="1483"/>
      <c r="CS31" s="1483"/>
      <c r="CT31" s="1483"/>
      <c r="CU31" s="1484"/>
      <c r="CV31" s="1482">
        <v>5332</v>
      </c>
      <c r="CW31" s="1483"/>
      <c r="CX31" s="1483"/>
      <c r="CY31" s="1483"/>
      <c r="CZ31" s="1483"/>
      <c r="DA31" s="1483"/>
      <c r="DB31" s="1483"/>
      <c r="DC31" s="1483"/>
      <c r="DD31" s="1484"/>
      <c r="DE31" s="1482">
        <v>5332</v>
      </c>
      <c r="DF31" s="1483"/>
      <c r="DG31" s="1483"/>
      <c r="DH31" s="1483"/>
      <c r="DI31" s="1483"/>
      <c r="DJ31" s="1483"/>
      <c r="DK31" s="1483"/>
      <c r="DL31" s="1483"/>
      <c r="DM31" s="1484"/>
      <c r="DN31" s="1482">
        <v>5325</v>
      </c>
      <c r="DO31" s="1483"/>
      <c r="DP31" s="1483"/>
      <c r="DQ31" s="1483"/>
      <c r="DR31" s="1483"/>
      <c r="DS31" s="1483"/>
      <c r="DT31" s="1484"/>
      <c r="DU31" s="1482">
        <v>6</v>
      </c>
      <c r="DV31" s="1483"/>
      <c r="DW31" s="1483"/>
      <c r="DX31" s="1483"/>
      <c r="DY31" s="1483"/>
      <c r="DZ31" s="1483"/>
      <c r="EA31" s="1484"/>
      <c r="EB31" s="1482">
        <v>5331</v>
      </c>
      <c r="EC31" s="1483"/>
      <c r="ED31" s="1483"/>
      <c r="EE31" s="1483"/>
      <c r="EF31" s="1483"/>
      <c r="EG31" s="1483"/>
      <c r="EH31" s="1484"/>
      <c r="EI31" s="1482">
        <v>1</v>
      </c>
      <c r="EJ31" s="1483"/>
      <c r="EK31" s="1483"/>
      <c r="EL31" s="1483"/>
      <c r="EM31" s="1483"/>
      <c r="EN31" s="1483"/>
      <c r="EO31" s="1484"/>
      <c r="EP31" s="1482"/>
      <c r="EQ31" s="1483"/>
      <c r="ER31" s="1483"/>
      <c r="ES31" s="1483"/>
      <c r="ET31" s="1483"/>
      <c r="EU31" s="1483"/>
      <c r="EV31" s="1483"/>
      <c r="EW31" s="1483"/>
      <c r="EX31" s="1483"/>
      <c r="EY31" s="1484"/>
    </row>
    <row r="32" spans="1:155" s="430" customFormat="1" ht="7.8">
      <c r="A32" s="1485" t="s">
        <v>1578</v>
      </c>
      <c r="B32" s="1486"/>
      <c r="C32" s="1486"/>
      <c r="D32" s="1486"/>
      <c r="E32" s="1486"/>
      <c r="F32" s="1486"/>
      <c r="G32" s="1486"/>
      <c r="H32" s="1486"/>
      <c r="I32" s="1486"/>
      <c r="J32" s="1486"/>
      <c r="K32" s="1486"/>
      <c r="L32" s="1486"/>
      <c r="M32" s="1486"/>
      <c r="N32" s="1486"/>
      <c r="O32" s="1486"/>
      <c r="P32" s="1486"/>
      <c r="Q32" s="1486"/>
      <c r="R32" s="1486"/>
      <c r="S32" s="1486"/>
      <c r="T32" s="1486"/>
      <c r="U32" s="1486"/>
      <c r="V32" s="1486"/>
      <c r="W32" s="1486"/>
      <c r="X32" s="1486"/>
      <c r="Y32" s="1486"/>
      <c r="Z32" s="1486"/>
      <c r="AA32" s="1486"/>
      <c r="AB32" s="1486"/>
      <c r="AC32" s="1486"/>
      <c r="AD32" s="1486"/>
      <c r="AE32" s="1486"/>
      <c r="AF32" s="1486"/>
      <c r="AG32" s="1486"/>
      <c r="AH32" s="1486"/>
      <c r="AI32" s="1486"/>
      <c r="AJ32" s="1486"/>
      <c r="AK32" s="1486"/>
      <c r="AL32" s="1486"/>
      <c r="AM32" s="1487"/>
      <c r="AN32" s="1494" t="s">
        <v>121</v>
      </c>
      <c r="AO32" s="1495"/>
      <c r="AP32" s="1495"/>
      <c r="AQ32" s="1495"/>
      <c r="AR32" s="1495"/>
      <c r="AS32" s="1495"/>
      <c r="AT32" s="1495"/>
      <c r="AU32" s="1496"/>
      <c r="AV32" s="1497" t="s">
        <v>949</v>
      </c>
      <c r="AW32" s="1498"/>
      <c r="AX32" s="1498"/>
      <c r="AY32" s="1498"/>
      <c r="AZ32" s="1498"/>
      <c r="BA32" s="1499"/>
      <c r="BB32" s="1482"/>
      <c r="BC32" s="1483"/>
      <c r="BD32" s="1483"/>
      <c r="BE32" s="1483"/>
      <c r="BF32" s="1483"/>
      <c r="BG32" s="1483"/>
      <c r="BH32" s="1483"/>
      <c r="BI32" s="1483"/>
      <c r="BJ32" s="1484"/>
      <c r="BK32" s="1482">
        <f t="shared" si="0"/>
        <v>0</v>
      </c>
      <c r="BL32" s="1483"/>
      <c r="BM32" s="1483"/>
      <c r="BN32" s="1483"/>
      <c r="BO32" s="1483"/>
      <c r="BP32" s="1483"/>
      <c r="BQ32" s="1483"/>
      <c r="BR32" s="1483"/>
      <c r="BS32" s="1484"/>
      <c r="BT32" s="1482"/>
      <c r="BU32" s="1483"/>
      <c r="BV32" s="1483"/>
      <c r="BW32" s="1483"/>
      <c r="BX32" s="1483"/>
      <c r="BY32" s="1483"/>
      <c r="BZ32" s="1484"/>
      <c r="CA32" s="1482"/>
      <c r="CB32" s="1483"/>
      <c r="CC32" s="1483"/>
      <c r="CD32" s="1483"/>
      <c r="CE32" s="1483"/>
      <c r="CF32" s="1483"/>
      <c r="CG32" s="1484"/>
      <c r="CH32" s="1475">
        <f t="shared" si="1"/>
        <v>0</v>
      </c>
      <c r="CI32" s="1476"/>
      <c r="CJ32" s="1476"/>
      <c r="CK32" s="1476"/>
      <c r="CL32" s="1476"/>
      <c r="CM32" s="1476"/>
      <c r="CN32" s="1477"/>
      <c r="CO32" s="1482"/>
      <c r="CP32" s="1483"/>
      <c r="CQ32" s="1483"/>
      <c r="CR32" s="1483"/>
      <c r="CS32" s="1483"/>
      <c r="CT32" s="1483"/>
      <c r="CU32" s="1484"/>
      <c r="CV32" s="1482"/>
      <c r="CW32" s="1483"/>
      <c r="CX32" s="1483"/>
      <c r="CY32" s="1483"/>
      <c r="CZ32" s="1483"/>
      <c r="DA32" s="1483"/>
      <c r="DB32" s="1483"/>
      <c r="DC32" s="1483"/>
      <c r="DD32" s="1484"/>
      <c r="DE32" s="1482">
        <v>0</v>
      </c>
      <c r="DF32" s="1483"/>
      <c r="DG32" s="1483"/>
      <c r="DH32" s="1483"/>
      <c r="DI32" s="1483"/>
      <c r="DJ32" s="1483"/>
      <c r="DK32" s="1483"/>
      <c r="DL32" s="1483"/>
      <c r="DM32" s="1484"/>
      <c r="DN32" s="1482"/>
      <c r="DO32" s="1483"/>
      <c r="DP32" s="1483"/>
      <c r="DQ32" s="1483"/>
      <c r="DR32" s="1483"/>
      <c r="DS32" s="1483"/>
      <c r="DT32" s="1484"/>
      <c r="DU32" s="1482"/>
      <c r="DV32" s="1483"/>
      <c r="DW32" s="1483"/>
      <c r="DX32" s="1483"/>
      <c r="DY32" s="1483"/>
      <c r="DZ32" s="1483"/>
      <c r="EA32" s="1484"/>
      <c r="EB32" s="1482">
        <v>0</v>
      </c>
      <c r="EC32" s="1483"/>
      <c r="ED32" s="1483"/>
      <c r="EE32" s="1483"/>
      <c r="EF32" s="1483"/>
      <c r="EG32" s="1483"/>
      <c r="EH32" s="1484"/>
      <c r="EI32" s="1482"/>
      <c r="EJ32" s="1483"/>
      <c r="EK32" s="1483"/>
      <c r="EL32" s="1483"/>
      <c r="EM32" s="1483"/>
      <c r="EN32" s="1483"/>
      <c r="EO32" s="1484"/>
      <c r="EP32" s="1482"/>
      <c r="EQ32" s="1483"/>
      <c r="ER32" s="1483"/>
      <c r="ES32" s="1483"/>
      <c r="ET32" s="1483"/>
      <c r="EU32" s="1483"/>
      <c r="EV32" s="1483"/>
      <c r="EW32" s="1483"/>
      <c r="EX32" s="1483"/>
      <c r="EY32" s="1484"/>
    </row>
    <row r="33" spans="1:155" s="430" customFormat="1" ht="16.5" customHeight="1">
      <c r="A33" s="1485" t="s">
        <v>1579</v>
      </c>
      <c r="B33" s="1486"/>
      <c r="C33" s="1486"/>
      <c r="D33" s="1486"/>
      <c r="E33" s="1486"/>
      <c r="F33" s="1486"/>
      <c r="G33" s="1486"/>
      <c r="H33" s="1486"/>
      <c r="I33" s="1486"/>
      <c r="J33" s="1486"/>
      <c r="K33" s="1486"/>
      <c r="L33" s="1486"/>
      <c r="M33" s="1486"/>
      <c r="N33" s="1486"/>
      <c r="O33" s="1486"/>
      <c r="P33" s="1486"/>
      <c r="Q33" s="1486"/>
      <c r="R33" s="1486"/>
      <c r="S33" s="1486"/>
      <c r="T33" s="1486"/>
      <c r="U33" s="1486"/>
      <c r="V33" s="1486"/>
      <c r="W33" s="1486"/>
      <c r="X33" s="1486"/>
      <c r="Y33" s="1486"/>
      <c r="Z33" s="1486"/>
      <c r="AA33" s="1486"/>
      <c r="AB33" s="1486"/>
      <c r="AC33" s="1486"/>
      <c r="AD33" s="1486"/>
      <c r="AE33" s="1486"/>
      <c r="AF33" s="1486"/>
      <c r="AG33" s="1486"/>
      <c r="AH33" s="1486"/>
      <c r="AI33" s="1486"/>
      <c r="AJ33" s="1486"/>
      <c r="AK33" s="1486"/>
      <c r="AL33" s="1486"/>
      <c r="AM33" s="1487"/>
      <c r="AN33" s="1494" t="s">
        <v>121</v>
      </c>
      <c r="AO33" s="1495"/>
      <c r="AP33" s="1495"/>
      <c r="AQ33" s="1495"/>
      <c r="AR33" s="1495"/>
      <c r="AS33" s="1495"/>
      <c r="AT33" s="1495"/>
      <c r="AU33" s="1496"/>
      <c r="AV33" s="1497" t="s">
        <v>953</v>
      </c>
      <c r="AW33" s="1498"/>
      <c r="AX33" s="1498"/>
      <c r="AY33" s="1498"/>
      <c r="AZ33" s="1498"/>
      <c r="BA33" s="1499"/>
      <c r="BB33" s="1482"/>
      <c r="BC33" s="1483"/>
      <c r="BD33" s="1483"/>
      <c r="BE33" s="1483"/>
      <c r="BF33" s="1483"/>
      <c r="BG33" s="1483"/>
      <c r="BH33" s="1483"/>
      <c r="BI33" s="1483"/>
      <c r="BJ33" s="1484"/>
      <c r="BK33" s="1482">
        <f t="shared" si="0"/>
        <v>0</v>
      </c>
      <c r="BL33" s="1483"/>
      <c r="BM33" s="1483"/>
      <c r="BN33" s="1483"/>
      <c r="BO33" s="1483"/>
      <c r="BP33" s="1483"/>
      <c r="BQ33" s="1483"/>
      <c r="BR33" s="1483"/>
      <c r="BS33" s="1484"/>
      <c r="BT33" s="1482"/>
      <c r="BU33" s="1483"/>
      <c r="BV33" s="1483"/>
      <c r="BW33" s="1483"/>
      <c r="BX33" s="1483"/>
      <c r="BY33" s="1483"/>
      <c r="BZ33" s="1484"/>
      <c r="CA33" s="1482"/>
      <c r="CB33" s="1483"/>
      <c r="CC33" s="1483"/>
      <c r="CD33" s="1483"/>
      <c r="CE33" s="1483"/>
      <c r="CF33" s="1483"/>
      <c r="CG33" s="1484"/>
      <c r="CH33" s="1475">
        <f t="shared" si="1"/>
        <v>0</v>
      </c>
      <c r="CI33" s="1476"/>
      <c r="CJ33" s="1476"/>
      <c r="CK33" s="1476"/>
      <c r="CL33" s="1476"/>
      <c r="CM33" s="1476"/>
      <c r="CN33" s="1477"/>
      <c r="CO33" s="1482"/>
      <c r="CP33" s="1483"/>
      <c r="CQ33" s="1483"/>
      <c r="CR33" s="1483"/>
      <c r="CS33" s="1483"/>
      <c r="CT33" s="1483"/>
      <c r="CU33" s="1484"/>
      <c r="CV33" s="1482"/>
      <c r="CW33" s="1483"/>
      <c r="CX33" s="1483"/>
      <c r="CY33" s="1483"/>
      <c r="CZ33" s="1483"/>
      <c r="DA33" s="1483"/>
      <c r="DB33" s="1483"/>
      <c r="DC33" s="1483"/>
      <c r="DD33" s="1484"/>
      <c r="DE33" s="1482">
        <v>0</v>
      </c>
      <c r="DF33" s="1483"/>
      <c r="DG33" s="1483"/>
      <c r="DH33" s="1483"/>
      <c r="DI33" s="1483"/>
      <c r="DJ33" s="1483"/>
      <c r="DK33" s="1483"/>
      <c r="DL33" s="1483"/>
      <c r="DM33" s="1484"/>
      <c r="DN33" s="1482"/>
      <c r="DO33" s="1483"/>
      <c r="DP33" s="1483"/>
      <c r="DQ33" s="1483"/>
      <c r="DR33" s="1483"/>
      <c r="DS33" s="1483"/>
      <c r="DT33" s="1484"/>
      <c r="DU33" s="1482"/>
      <c r="DV33" s="1483"/>
      <c r="DW33" s="1483"/>
      <c r="DX33" s="1483"/>
      <c r="DY33" s="1483"/>
      <c r="DZ33" s="1483"/>
      <c r="EA33" s="1484"/>
      <c r="EB33" s="1482">
        <v>0</v>
      </c>
      <c r="EC33" s="1483"/>
      <c r="ED33" s="1483"/>
      <c r="EE33" s="1483"/>
      <c r="EF33" s="1483"/>
      <c r="EG33" s="1483"/>
      <c r="EH33" s="1484"/>
      <c r="EI33" s="1482"/>
      <c r="EJ33" s="1483"/>
      <c r="EK33" s="1483"/>
      <c r="EL33" s="1483"/>
      <c r="EM33" s="1483"/>
      <c r="EN33" s="1483"/>
      <c r="EO33" s="1484"/>
      <c r="EP33" s="1482"/>
      <c r="EQ33" s="1483"/>
      <c r="ER33" s="1483"/>
      <c r="ES33" s="1483"/>
      <c r="ET33" s="1483"/>
      <c r="EU33" s="1483"/>
      <c r="EV33" s="1483"/>
      <c r="EW33" s="1483"/>
      <c r="EX33" s="1483"/>
      <c r="EY33" s="1484"/>
    </row>
    <row r="34" spans="1:155" s="430" customFormat="1" ht="16.5" customHeight="1">
      <c r="A34" s="1485" t="s">
        <v>1580</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7"/>
      <c r="AN34" s="1494" t="s">
        <v>121</v>
      </c>
      <c r="AO34" s="1495"/>
      <c r="AP34" s="1495"/>
      <c r="AQ34" s="1495"/>
      <c r="AR34" s="1495"/>
      <c r="AS34" s="1495"/>
      <c r="AT34" s="1495"/>
      <c r="AU34" s="1496"/>
      <c r="AV34" s="1497" t="s">
        <v>958</v>
      </c>
      <c r="AW34" s="1498"/>
      <c r="AX34" s="1498"/>
      <c r="AY34" s="1498"/>
      <c r="AZ34" s="1498"/>
      <c r="BA34" s="1499"/>
      <c r="BB34" s="1482">
        <f>CH34+CO34</f>
        <v>208252</v>
      </c>
      <c r="BC34" s="1483"/>
      <c r="BD34" s="1483"/>
      <c r="BE34" s="1483"/>
      <c r="BF34" s="1483"/>
      <c r="BG34" s="1483"/>
      <c r="BH34" s="1483"/>
      <c r="BI34" s="1483"/>
      <c r="BJ34" s="1484"/>
      <c r="BK34" s="1482">
        <f t="shared" si="0"/>
        <v>208252</v>
      </c>
      <c r="BL34" s="1483"/>
      <c r="BM34" s="1483"/>
      <c r="BN34" s="1483"/>
      <c r="BO34" s="1483"/>
      <c r="BP34" s="1483"/>
      <c r="BQ34" s="1483"/>
      <c r="BR34" s="1483"/>
      <c r="BS34" s="1484"/>
      <c r="BT34" s="1482">
        <f>193159+14255</f>
        <v>207414</v>
      </c>
      <c r="BU34" s="1483"/>
      <c r="BV34" s="1483"/>
      <c r="BW34" s="1483"/>
      <c r="BX34" s="1483"/>
      <c r="BY34" s="1483"/>
      <c r="BZ34" s="1484"/>
      <c r="CA34" s="1482">
        <f>672</f>
        <v>672</v>
      </c>
      <c r="CB34" s="1483"/>
      <c r="CC34" s="1483"/>
      <c r="CD34" s="1483"/>
      <c r="CE34" s="1483"/>
      <c r="CF34" s="1483"/>
      <c r="CG34" s="1484"/>
      <c r="CH34" s="1475">
        <f t="shared" si="1"/>
        <v>208086</v>
      </c>
      <c r="CI34" s="1476"/>
      <c r="CJ34" s="1476"/>
      <c r="CK34" s="1476"/>
      <c r="CL34" s="1476"/>
      <c r="CM34" s="1476"/>
      <c r="CN34" s="1477"/>
      <c r="CO34" s="1482">
        <f>166</f>
        <v>166</v>
      </c>
      <c r="CP34" s="1483"/>
      <c r="CQ34" s="1483"/>
      <c r="CR34" s="1483"/>
      <c r="CS34" s="1483"/>
      <c r="CT34" s="1483"/>
      <c r="CU34" s="1484"/>
      <c r="CV34" s="1482">
        <v>131336</v>
      </c>
      <c r="CW34" s="1483"/>
      <c r="CX34" s="1483"/>
      <c r="CY34" s="1483"/>
      <c r="CZ34" s="1483"/>
      <c r="DA34" s="1483"/>
      <c r="DB34" s="1483"/>
      <c r="DC34" s="1483"/>
      <c r="DD34" s="1484"/>
      <c r="DE34" s="1482">
        <v>131336</v>
      </c>
      <c r="DF34" s="1483"/>
      <c r="DG34" s="1483"/>
      <c r="DH34" s="1483"/>
      <c r="DI34" s="1483"/>
      <c r="DJ34" s="1483"/>
      <c r="DK34" s="1483"/>
      <c r="DL34" s="1483"/>
      <c r="DM34" s="1484"/>
      <c r="DN34" s="1482">
        <v>129089</v>
      </c>
      <c r="DO34" s="1483"/>
      <c r="DP34" s="1483"/>
      <c r="DQ34" s="1483"/>
      <c r="DR34" s="1483"/>
      <c r="DS34" s="1483"/>
      <c r="DT34" s="1484"/>
      <c r="DU34" s="1482">
        <v>1964</v>
      </c>
      <c r="DV34" s="1483"/>
      <c r="DW34" s="1483"/>
      <c r="DX34" s="1483"/>
      <c r="DY34" s="1483"/>
      <c r="DZ34" s="1483"/>
      <c r="EA34" s="1484"/>
      <c r="EB34" s="1482">
        <v>131053</v>
      </c>
      <c r="EC34" s="1483"/>
      <c r="ED34" s="1483"/>
      <c r="EE34" s="1483"/>
      <c r="EF34" s="1483"/>
      <c r="EG34" s="1483"/>
      <c r="EH34" s="1484"/>
      <c r="EI34" s="1482">
        <v>283</v>
      </c>
      <c r="EJ34" s="1483"/>
      <c r="EK34" s="1483"/>
      <c r="EL34" s="1483"/>
      <c r="EM34" s="1483"/>
      <c r="EN34" s="1483"/>
      <c r="EO34" s="1484"/>
      <c r="EP34" s="1482"/>
      <c r="EQ34" s="1483"/>
      <c r="ER34" s="1483"/>
      <c r="ES34" s="1483"/>
      <c r="ET34" s="1483"/>
      <c r="EU34" s="1483"/>
      <c r="EV34" s="1483"/>
      <c r="EW34" s="1483"/>
      <c r="EX34" s="1483"/>
      <c r="EY34" s="1484"/>
    </row>
    <row r="35" spans="1:155" s="430" customFormat="1" ht="7.8">
      <c r="A35" s="1506" t="s">
        <v>544</v>
      </c>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8"/>
      <c r="AN35" s="1494" t="s">
        <v>121</v>
      </c>
      <c r="AO35" s="1495"/>
      <c r="AP35" s="1495"/>
      <c r="AQ35" s="1495"/>
      <c r="AR35" s="1495"/>
      <c r="AS35" s="1495"/>
      <c r="AT35" s="1495"/>
      <c r="AU35" s="1496"/>
      <c r="AV35" s="1497" t="s">
        <v>987</v>
      </c>
      <c r="AW35" s="1498"/>
      <c r="AX35" s="1498"/>
      <c r="AY35" s="1498"/>
      <c r="AZ35" s="1498"/>
      <c r="BA35" s="1499"/>
      <c r="BB35" s="1482">
        <f>CH35+CO35</f>
        <v>1011203</v>
      </c>
      <c r="BC35" s="1483"/>
      <c r="BD35" s="1483"/>
      <c r="BE35" s="1483"/>
      <c r="BF35" s="1483"/>
      <c r="BG35" s="1483"/>
      <c r="BH35" s="1483"/>
      <c r="BI35" s="1483"/>
      <c r="BJ35" s="1484"/>
      <c r="BK35" s="1482">
        <f>BB35</f>
        <v>1011203</v>
      </c>
      <c r="BL35" s="1483"/>
      <c r="BM35" s="1483"/>
      <c r="BN35" s="1483"/>
      <c r="BO35" s="1483"/>
      <c r="BP35" s="1483"/>
      <c r="BQ35" s="1483"/>
      <c r="BR35" s="1483"/>
      <c r="BS35" s="1484"/>
      <c r="BT35" s="1482">
        <f>813756+139843</f>
        <v>953599</v>
      </c>
      <c r="BU35" s="1483"/>
      <c r="BV35" s="1483"/>
      <c r="BW35" s="1483"/>
      <c r="BX35" s="1483"/>
      <c r="BY35" s="1483"/>
      <c r="BZ35" s="1484"/>
      <c r="CA35" s="1482">
        <f>37545</f>
        <v>37545</v>
      </c>
      <c r="CB35" s="1483"/>
      <c r="CC35" s="1483"/>
      <c r="CD35" s="1483"/>
      <c r="CE35" s="1483"/>
      <c r="CF35" s="1483"/>
      <c r="CG35" s="1484"/>
      <c r="CH35" s="1475">
        <f t="shared" si="1"/>
        <v>991144</v>
      </c>
      <c r="CI35" s="1476"/>
      <c r="CJ35" s="1476"/>
      <c r="CK35" s="1476"/>
      <c r="CL35" s="1476"/>
      <c r="CM35" s="1476"/>
      <c r="CN35" s="1477"/>
      <c r="CO35" s="1482">
        <f>20059</f>
        <v>20059</v>
      </c>
      <c r="CP35" s="1483"/>
      <c r="CQ35" s="1483"/>
      <c r="CR35" s="1483"/>
      <c r="CS35" s="1483"/>
      <c r="CT35" s="1483"/>
      <c r="CU35" s="1484"/>
      <c r="CV35" s="1482">
        <v>942292</v>
      </c>
      <c r="CW35" s="1483"/>
      <c r="CX35" s="1483"/>
      <c r="CY35" s="1483"/>
      <c r="CZ35" s="1483"/>
      <c r="DA35" s="1483"/>
      <c r="DB35" s="1483"/>
      <c r="DC35" s="1483"/>
      <c r="DD35" s="1484"/>
      <c r="DE35" s="1482">
        <v>942292</v>
      </c>
      <c r="DF35" s="1483"/>
      <c r="DG35" s="1483"/>
      <c r="DH35" s="1483"/>
      <c r="DI35" s="1483"/>
      <c r="DJ35" s="1483"/>
      <c r="DK35" s="1483"/>
      <c r="DL35" s="1483"/>
      <c r="DM35" s="1484"/>
      <c r="DN35" s="1482">
        <v>886228</v>
      </c>
      <c r="DO35" s="1483"/>
      <c r="DP35" s="1483"/>
      <c r="DQ35" s="1483"/>
      <c r="DR35" s="1483"/>
      <c r="DS35" s="1483"/>
      <c r="DT35" s="1484"/>
      <c r="DU35" s="1482">
        <v>33752</v>
      </c>
      <c r="DV35" s="1483"/>
      <c r="DW35" s="1483"/>
      <c r="DX35" s="1483"/>
      <c r="DY35" s="1483"/>
      <c r="DZ35" s="1483"/>
      <c r="EA35" s="1484"/>
      <c r="EB35" s="1482">
        <v>919980</v>
      </c>
      <c r="EC35" s="1483"/>
      <c r="ED35" s="1483"/>
      <c r="EE35" s="1483"/>
      <c r="EF35" s="1483"/>
      <c r="EG35" s="1483"/>
      <c r="EH35" s="1484"/>
      <c r="EI35" s="1482">
        <v>22312</v>
      </c>
      <c r="EJ35" s="1483"/>
      <c r="EK35" s="1483"/>
      <c r="EL35" s="1483"/>
      <c r="EM35" s="1483"/>
      <c r="EN35" s="1483"/>
      <c r="EO35" s="1484"/>
      <c r="EP35" s="1482"/>
      <c r="EQ35" s="1483"/>
      <c r="ER35" s="1483"/>
      <c r="ES35" s="1483"/>
      <c r="ET35" s="1483"/>
      <c r="EU35" s="1483"/>
      <c r="EV35" s="1483"/>
      <c r="EW35" s="1483"/>
      <c r="EX35" s="1483"/>
      <c r="EY35" s="1484"/>
    </row>
    <row r="36" spans="1:155" s="430" customFormat="1" ht="7.8">
      <c r="A36" s="1518" t="s">
        <v>1581</v>
      </c>
      <c r="B36" s="1519"/>
      <c r="C36" s="1519"/>
      <c r="D36" s="1519"/>
      <c r="E36" s="1519"/>
      <c r="F36" s="1519"/>
      <c r="G36" s="1519"/>
      <c r="H36" s="1519"/>
      <c r="I36" s="1519"/>
      <c r="J36" s="1519"/>
      <c r="K36" s="1519"/>
      <c r="L36" s="1519"/>
      <c r="M36" s="1519"/>
      <c r="N36" s="1519"/>
      <c r="O36" s="1519"/>
      <c r="P36" s="1519"/>
      <c r="Q36" s="1519"/>
      <c r="R36" s="1519"/>
      <c r="S36" s="1519"/>
      <c r="T36" s="1519"/>
      <c r="U36" s="1519"/>
      <c r="V36" s="1519"/>
      <c r="W36" s="1519"/>
      <c r="X36" s="1519"/>
      <c r="Y36" s="1519"/>
      <c r="Z36" s="1519"/>
      <c r="AA36" s="1519"/>
      <c r="AB36" s="1519"/>
      <c r="AC36" s="1519"/>
      <c r="AD36" s="1519"/>
      <c r="AE36" s="1519"/>
      <c r="AF36" s="1519"/>
      <c r="AG36" s="1519"/>
      <c r="AH36" s="1519"/>
      <c r="AI36" s="1519"/>
      <c r="AJ36" s="1519"/>
      <c r="AK36" s="1519"/>
      <c r="AL36" s="1519"/>
      <c r="AM36" s="1520"/>
      <c r="AN36" s="1521" t="s">
        <v>121</v>
      </c>
      <c r="AO36" s="1522"/>
      <c r="AP36" s="1522"/>
      <c r="AQ36" s="1522"/>
      <c r="AR36" s="1522"/>
      <c r="AS36" s="1522"/>
      <c r="AT36" s="1522"/>
      <c r="AU36" s="1523"/>
      <c r="AV36" s="1524"/>
      <c r="AW36" s="1525"/>
      <c r="AX36" s="1525"/>
      <c r="AY36" s="1525"/>
      <c r="AZ36" s="1525"/>
      <c r="BA36" s="1526"/>
      <c r="BB36" s="1515">
        <f>CH36+CO36</f>
        <v>312618</v>
      </c>
      <c r="BC36" s="1516"/>
      <c r="BD36" s="1516"/>
      <c r="BE36" s="1516"/>
      <c r="BF36" s="1516"/>
      <c r="BG36" s="1516"/>
      <c r="BH36" s="1516"/>
      <c r="BI36" s="1516"/>
      <c r="BJ36" s="1517"/>
      <c r="BK36" s="1515">
        <f>BB36</f>
        <v>312618</v>
      </c>
      <c r="BL36" s="1516"/>
      <c r="BM36" s="1516"/>
      <c r="BN36" s="1516"/>
      <c r="BO36" s="1516"/>
      <c r="BP36" s="1516"/>
      <c r="BQ36" s="1516"/>
      <c r="BR36" s="1516"/>
      <c r="BS36" s="1517"/>
      <c r="BT36" s="1515">
        <v>298152</v>
      </c>
      <c r="BU36" s="1516"/>
      <c r="BV36" s="1516"/>
      <c r="BW36" s="1516"/>
      <c r="BX36" s="1516"/>
      <c r="BY36" s="1516"/>
      <c r="BZ36" s="1517"/>
      <c r="CA36" s="1515">
        <v>11444</v>
      </c>
      <c r="CB36" s="1516"/>
      <c r="CC36" s="1516"/>
      <c r="CD36" s="1516"/>
      <c r="CE36" s="1516"/>
      <c r="CF36" s="1516"/>
      <c r="CG36" s="1517"/>
      <c r="CH36" s="1527">
        <f t="shared" si="1"/>
        <v>309596</v>
      </c>
      <c r="CI36" s="1528"/>
      <c r="CJ36" s="1528"/>
      <c r="CK36" s="1528"/>
      <c r="CL36" s="1528"/>
      <c r="CM36" s="1528"/>
      <c r="CN36" s="1529"/>
      <c r="CO36" s="1515">
        <v>3022</v>
      </c>
      <c r="CP36" s="1516"/>
      <c r="CQ36" s="1516"/>
      <c r="CR36" s="1516"/>
      <c r="CS36" s="1516"/>
      <c r="CT36" s="1516"/>
      <c r="CU36" s="1517"/>
      <c r="CV36" s="1515">
        <f>EB36+EI36</f>
        <v>289913</v>
      </c>
      <c r="CW36" s="1516"/>
      <c r="CX36" s="1516"/>
      <c r="CY36" s="1516"/>
      <c r="CZ36" s="1516"/>
      <c r="DA36" s="1516"/>
      <c r="DB36" s="1516"/>
      <c r="DC36" s="1516"/>
      <c r="DD36" s="1517"/>
      <c r="DE36" s="1515">
        <f>CV36</f>
        <v>289913</v>
      </c>
      <c r="DF36" s="1516"/>
      <c r="DG36" s="1516"/>
      <c r="DH36" s="1516"/>
      <c r="DI36" s="1516"/>
      <c r="DJ36" s="1516"/>
      <c r="DK36" s="1516"/>
      <c r="DL36" s="1516"/>
      <c r="DM36" s="1517"/>
      <c r="DN36" s="1515">
        <v>279154</v>
      </c>
      <c r="DO36" s="1516"/>
      <c r="DP36" s="1516"/>
      <c r="DQ36" s="1516"/>
      <c r="DR36" s="1516"/>
      <c r="DS36" s="1516"/>
      <c r="DT36" s="1517"/>
      <c r="DU36" s="1515">
        <v>7438</v>
      </c>
      <c r="DV36" s="1516"/>
      <c r="DW36" s="1516"/>
      <c r="DX36" s="1516"/>
      <c r="DY36" s="1516"/>
      <c r="DZ36" s="1516"/>
      <c r="EA36" s="1517"/>
      <c r="EB36" s="1515">
        <f t="shared" ref="EB36:EB42" si="2">DN36+DU36</f>
        <v>286592</v>
      </c>
      <c r="EC36" s="1516"/>
      <c r="ED36" s="1516"/>
      <c r="EE36" s="1516"/>
      <c r="EF36" s="1516"/>
      <c r="EG36" s="1516"/>
      <c r="EH36" s="1517"/>
      <c r="EI36" s="1515">
        <v>3321</v>
      </c>
      <c r="EJ36" s="1516"/>
      <c r="EK36" s="1516"/>
      <c r="EL36" s="1516"/>
      <c r="EM36" s="1516"/>
      <c r="EN36" s="1516"/>
      <c r="EO36" s="1517"/>
      <c r="EP36" s="1515"/>
      <c r="EQ36" s="1516"/>
      <c r="ER36" s="1516"/>
      <c r="ES36" s="1516"/>
      <c r="ET36" s="1516"/>
      <c r="EU36" s="1516"/>
      <c r="EV36" s="1516"/>
      <c r="EW36" s="1516"/>
      <c r="EX36" s="1516"/>
      <c r="EY36" s="1517"/>
    </row>
    <row r="37" spans="1:155" s="430" customFormat="1" ht="7.8">
      <c r="A37" s="1518" t="s">
        <v>1582</v>
      </c>
      <c r="B37" s="1519"/>
      <c r="C37" s="1519"/>
      <c r="D37" s="1519"/>
      <c r="E37" s="1519"/>
      <c r="F37" s="1519"/>
      <c r="G37" s="1519"/>
      <c r="H37" s="1519"/>
      <c r="I37" s="1519"/>
      <c r="J37" s="1519"/>
      <c r="K37" s="1519"/>
      <c r="L37" s="1519"/>
      <c r="M37" s="1519"/>
      <c r="N37" s="1519"/>
      <c r="O37" s="1519"/>
      <c r="P37" s="1519"/>
      <c r="Q37" s="1519"/>
      <c r="R37" s="1519"/>
      <c r="S37" s="1519"/>
      <c r="T37" s="1519"/>
      <c r="U37" s="1519"/>
      <c r="V37" s="1519"/>
      <c r="W37" s="1519"/>
      <c r="X37" s="1519"/>
      <c r="Y37" s="1519"/>
      <c r="Z37" s="1519"/>
      <c r="AA37" s="1519"/>
      <c r="AB37" s="1519"/>
      <c r="AC37" s="1519"/>
      <c r="AD37" s="1519"/>
      <c r="AE37" s="1519"/>
      <c r="AF37" s="1519"/>
      <c r="AG37" s="1519"/>
      <c r="AH37" s="1519"/>
      <c r="AI37" s="1519"/>
      <c r="AJ37" s="1519"/>
      <c r="AK37" s="1519"/>
      <c r="AL37" s="1519"/>
      <c r="AM37" s="1520"/>
      <c r="AN37" s="1521" t="s">
        <v>121</v>
      </c>
      <c r="AO37" s="1522"/>
      <c r="AP37" s="1522"/>
      <c r="AQ37" s="1522"/>
      <c r="AR37" s="1522"/>
      <c r="AS37" s="1522"/>
      <c r="AT37" s="1522"/>
      <c r="AU37" s="1523"/>
      <c r="AV37" s="1524"/>
      <c r="AW37" s="1525"/>
      <c r="AX37" s="1525"/>
      <c r="AY37" s="1525"/>
      <c r="AZ37" s="1525"/>
      <c r="BA37" s="1526"/>
      <c r="BB37" s="1515">
        <f>CH37+CO37</f>
        <v>263437</v>
      </c>
      <c r="BC37" s="1516"/>
      <c r="BD37" s="1516"/>
      <c r="BE37" s="1516"/>
      <c r="BF37" s="1516"/>
      <c r="BG37" s="1516"/>
      <c r="BH37" s="1516"/>
      <c r="BI37" s="1516"/>
      <c r="BJ37" s="1517"/>
      <c r="BK37" s="1515">
        <f t="shared" si="0"/>
        <v>263437</v>
      </c>
      <c r="BL37" s="1516"/>
      <c r="BM37" s="1516"/>
      <c r="BN37" s="1516"/>
      <c r="BO37" s="1516"/>
      <c r="BP37" s="1516"/>
      <c r="BQ37" s="1516"/>
      <c r="BR37" s="1516"/>
      <c r="BS37" s="1517"/>
      <c r="BT37" s="1515">
        <v>234860</v>
      </c>
      <c r="BU37" s="1516"/>
      <c r="BV37" s="1516"/>
      <c r="BW37" s="1516"/>
      <c r="BX37" s="1516"/>
      <c r="BY37" s="1516"/>
      <c r="BZ37" s="1517"/>
      <c r="CA37" s="1515">
        <v>22720</v>
      </c>
      <c r="CB37" s="1516"/>
      <c r="CC37" s="1516"/>
      <c r="CD37" s="1516"/>
      <c r="CE37" s="1516"/>
      <c r="CF37" s="1516"/>
      <c r="CG37" s="1517"/>
      <c r="CH37" s="1527">
        <f t="shared" si="1"/>
        <v>257580</v>
      </c>
      <c r="CI37" s="1528"/>
      <c r="CJ37" s="1528"/>
      <c r="CK37" s="1528"/>
      <c r="CL37" s="1528"/>
      <c r="CM37" s="1528"/>
      <c r="CN37" s="1529"/>
      <c r="CO37" s="1515">
        <v>5857</v>
      </c>
      <c r="CP37" s="1516"/>
      <c r="CQ37" s="1516"/>
      <c r="CR37" s="1516"/>
      <c r="CS37" s="1516"/>
      <c r="CT37" s="1516"/>
      <c r="CU37" s="1517"/>
      <c r="CV37" s="1515">
        <f>EB37+EI37</f>
        <v>249644</v>
      </c>
      <c r="CW37" s="1516"/>
      <c r="CX37" s="1516"/>
      <c r="CY37" s="1516"/>
      <c r="CZ37" s="1516"/>
      <c r="DA37" s="1516"/>
      <c r="DB37" s="1516"/>
      <c r="DC37" s="1516"/>
      <c r="DD37" s="1517"/>
      <c r="DE37" s="1515">
        <f>CV37</f>
        <v>249644</v>
      </c>
      <c r="DF37" s="1516"/>
      <c r="DG37" s="1516"/>
      <c r="DH37" s="1516"/>
      <c r="DI37" s="1516"/>
      <c r="DJ37" s="1516"/>
      <c r="DK37" s="1516"/>
      <c r="DL37" s="1516"/>
      <c r="DM37" s="1517"/>
      <c r="DN37" s="1515">
        <v>221661</v>
      </c>
      <c r="DO37" s="1516"/>
      <c r="DP37" s="1516"/>
      <c r="DQ37" s="1516"/>
      <c r="DR37" s="1516"/>
      <c r="DS37" s="1516"/>
      <c r="DT37" s="1517"/>
      <c r="DU37" s="1515">
        <v>22127</v>
      </c>
      <c r="DV37" s="1516"/>
      <c r="DW37" s="1516"/>
      <c r="DX37" s="1516"/>
      <c r="DY37" s="1516"/>
      <c r="DZ37" s="1516"/>
      <c r="EA37" s="1517"/>
      <c r="EB37" s="1515">
        <f t="shared" si="2"/>
        <v>243788</v>
      </c>
      <c r="EC37" s="1516"/>
      <c r="ED37" s="1516"/>
      <c r="EE37" s="1516"/>
      <c r="EF37" s="1516"/>
      <c r="EG37" s="1516"/>
      <c r="EH37" s="1517"/>
      <c r="EI37" s="1515">
        <v>5856</v>
      </c>
      <c r="EJ37" s="1516"/>
      <c r="EK37" s="1516"/>
      <c r="EL37" s="1516"/>
      <c r="EM37" s="1516"/>
      <c r="EN37" s="1516"/>
      <c r="EO37" s="1517"/>
      <c r="EP37" s="1515"/>
      <c r="EQ37" s="1516"/>
      <c r="ER37" s="1516"/>
      <c r="ES37" s="1516"/>
      <c r="ET37" s="1516"/>
      <c r="EU37" s="1516"/>
      <c r="EV37" s="1516"/>
      <c r="EW37" s="1516"/>
      <c r="EX37" s="1516"/>
      <c r="EY37" s="1517"/>
    </row>
    <row r="38" spans="1:155" s="430" customFormat="1" ht="7.8">
      <c r="A38" s="1518" t="s">
        <v>1583</v>
      </c>
      <c r="B38" s="1519"/>
      <c r="C38" s="1519"/>
      <c r="D38" s="1519"/>
      <c r="E38" s="1519"/>
      <c r="F38" s="1519"/>
      <c r="G38" s="1519"/>
      <c r="H38" s="1519"/>
      <c r="I38" s="1519"/>
      <c r="J38" s="1519"/>
      <c r="K38" s="1519"/>
      <c r="L38" s="1519"/>
      <c r="M38" s="1519"/>
      <c r="N38" s="1519"/>
      <c r="O38" s="1519"/>
      <c r="P38" s="1519"/>
      <c r="Q38" s="1519"/>
      <c r="R38" s="1519"/>
      <c r="S38" s="1519"/>
      <c r="T38" s="1519"/>
      <c r="U38" s="1519"/>
      <c r="V38" s="1519"/>
      <c r="W38" s="1519"/>
      <c r="X38" s="1519"/>
      <c r="Y38" s="1519"/>
      <c r="Z38" s="1519"/>
      <c r="AA38" s="1519"/>
      <c r="AB38" s="1519"/>
      <c r="AC38" s="1519"/>
      <c r="AD38" s="1519"/>
      <c r="AE38" s="1519"/>
      <c r="AF38" s="1519"/>
      <c r="AG38" s="1519"/>
      <c r="AH38" s="1519"/>
      <c r="AI38" s="1519"/>
      <c r="AJ38" s="1519"/>
      <c r="AK38" s="1519"/>
      <c r="AL38" s="1519"/>
      <c r="AM38" s="1520"/>
      <c r="AN38" s="1521" t="s">
        <v>121</v>
      </c>
      <c r="AO38" s="1522"/>
      <c r="AP38" s="1522"/>
      <c r="AQ38" s="1522"/>
      <c r="AR38" s="1522"/>
      <c r="AS38" s="1522"/>
      <c r="AT38" s="1522"/>
      <c r="AU38" s="1523"/>
      <c r="AV38" s="1524"/>
      <c r="AW38" s="1525"/>
      <c r="AX38" s="1525"/>
      <c r="AY38" s="1525"/>
      <c r="AZ38" s="1525"/>
      <c r="BA38" s="1526"/>
      <c r="BB38" s="1515">
        <f>CH38+CO38</f>
        <v>435148</v>
      </c>
      <c r="BC38" s="1516"/>
      <c r="BD38" s="1516"/>
      <c r="BE38" s="1516"/>
      <c r="BF38" s="1516"/>
      <c r="BG38" s="1516"/>
      <c r="BH38" s="1516"/>
      <c r="BI38" s="1516"/>
      <c r="BJ38" s="1517"/>
      <c r="BK38" s="1515">
        <f t="shared" si="0"/>
        <v>435148</v>
      </c>
      <c r="BL38" s="1516"/>
      <c r="BM38" s="1516"/>
      <c r="BN38" s="1516"/>
      <c r="BO38" s="1516"/>
      <c r="BP38" s="1516"/>
      <c r="BQ38" s="1516"/>
      <c r="BR38" s="1516"/>
      <c r="BS38" s="1517"/>
      <c r="BT38" s="1515">
        <f>BT35-BT36-BT37</f>
        <v>420587</v>
      </c>
      <c r="BU38" s="1516"/>
      <c r="BV38" s="1516"/>
      <c r="BW38" s="1516"/>
      <c r="BX38" s="1516"/>
      <c r="BY38" s="1516"/>
      <c r="BZ38" s="1517"/>
      <c r="CA38" s="1515">
        <f>CA35-CA36-CA37</f>
        <v>3381</v>
      </c>
      <c r="CB38" s="1516"/>
      <c r="CC38" s="1516"/>
      <c r="CD38" s="1516"/>
      <c r="CE38" s="1516"/>
      <c r="CF38" s="1516"/>
      <c r="CG38" s="1517"/>
      <c r="CH38" s="1527">
        <f t="shared" si="1"/>
        <v>423968</v>
      </c>
      <c r="CI38" s="1528"/>
      <c r="CJ38" s="1528"/>
      <c r="CK38" s="1528"/>
      <c r="CL38" s="1528"/>
      <c r="CM38" s="1528"/>
      <c r="CN38" s="1529"/>
      <c r="CO38" s="1515">
        <f>CO35-CO36-CO37</f>
        <v>11180</v>
      </c>
      <c r="CP38" s="1516"/>
      <c r="CQ38" s="1516"/>
      <c r="CR38" s="1516"/>
      <c r="CS38" s="1516"/>
      <c r="CT38" s="1516"/>
      <c r="CU38" s="1517"/>
      <c r="CV38" s="1515">
        <f>EB38+EI38</f>
        <v>402735</v>
      </c>
      <c r="CW38" s="1516"/>
      <c r="CX38" s="1516"/>
      <c r="CY38" s="1516"/>
      <c r="CZ38" s="1516"/>
      <c r="DA38" s="1516"/>
      <c r="DB38" s="1516"/>
      <c r="DC38" s="1516"/>
      <c r="DD38" s="1517"/>
      <c r="DE38" s="1515">
        <f>CV38</f>
        <v>402735</v>
      </c>
      <c r="DF38" s="1516"/>
      <c r="DG38" s="1516"/>
      <c r="DH38" s="1516"/>
      <c r="DI38" s="1516"/>
      <c r="DJ38" s="1516"/>
      <c r="DK38" s="1516"/>
      <c r="DL38" s="1516"/>
      <c r="DM38" s="1517"/>
      <c r="DN38" s="1515">
        <v>385413</v>
      </c>
      <c r="DO38" s="1516"/>
      <c r="DP38" s="1516"/>
      <c r="DQ38" s="1516"/>
      <c r="DR38" s="1516"/>
      <c r="DS38" s="1516"/>
      <c r="DT38" s="1517"/>
      <c r="DU38" s="1515">
        <v>4187</v>
      </c>
      <c r="DV38" s="1516"/>
      <c r="DW38" s="1516"/>
      <c r="DX38" s="1516"/>
      <c r="DY38" s="1516"/>
      <c r="DZ38" s="1516"/>
      <c r="EA38" s="1517"/>
      <c r="EB38" s="1515">
        <f t="shared" si="2"/>
        <v>389600</v>
      </c>
      <c r="EC38" s="1516"/>
      <c r="ED38" s="1516"/>
      <c r="EE38" s="1516"/>
      <c r="EF38" s="1516"/>
      <c r="EG38" s="1516"/>
      <c r="EH38" s="1517"/>
      <c r="EI38" s="1515">
        <v>13135</v>
      </c>
      <c r="EJ38" s="1516"/>
      <c r="EK38" s="1516"/>
      <c r="EL38" s="1516"/>
      <c r="EM38" s="1516"/>
      <c r="EN38" s="1516"/>
      <c r="EO38" s="1517"/>
      <c r="EP38" s="1515"/>
      <c r="EQ38" s="1516"/>
      <c r="ER38" s="1516"/>
      <c r="ES38" s="1516"/>
      <c r="ET38" s="1516"/>
      <c r="EU38" s="1516"/>
      <c r="EV38" s="1516"/>
      <c r="EW38" s="1516"/>
      <c r="EX38" s="1516"/>
      <c r="EY38" s="1517"/>
    </row>
    <row r="39" spans="1:155" s="430" customFormat="1" ht="16.5" customHeight="1">
      <c r="A39" s="1509" t="s">
        <v>1584</v>
      </c>
      <c r="B39" s="1510"/>
      <c r="C39" s="1510"/>
      <c r="D39" s="1510"/>
      <c r="E39" s="1510"/>
      <c r="F39" s="1510"/>
      <c r="G39" s="1510"/>
      <c r="H39" s="1510"/>
      <c r="I39" s="1510"/>
      <c r="J39" s="1510"/>
      <c r="K39" s="1510"/>
      <c r="L39" s="1510"/>
      <c r="M39" s="1510"/>
      <c r="N39" s="1510"/>
      <c r="O39" s="1510"/>
      <c r="P39" s="1510"/>
      <c r="Q39" s="1510"/>
      <c r="R39" s="1510"/>
      <c r="S39" s="1510"/>
      <c r="T39" s="1510"/>
      <c r="U39" s="1510"/>
      <c r="V39" s="1510"/>
      <c r="W39" s="1510"/>
      <c r="X39" s="1510"/>
      <c r="Y39" s="1510"/>
      <c r="Z39" s="1510"/>
      <c r="AA39" s="1510"/>
      <c r="AB39" s="1510"/>
      <c r="AC39" s="1510"/>
      <c r="AD39" s="1510"/>
      <c r="AE39" s="1510"/>
      <c r="AF39" s="1510"/>
      <c r="AG39" s="1510"/>
      <c r="AH39" s="1510"/>
      <c r="AI39" s="1510"/>
      <c r="AJ39" s="1510"/>
      <c r="AK39" s="1510"/>
      <c r="AL39" s="1510"/>
      <c r="AM39" s="1511"/>
      <c r="AN39" s="1494" t="s">
        <v>1585</v>
      </c>
      <c r="AO39" s="1495"/>
      <c r="AP39" s="1495"/>
      <c r="AQ39" s="1495"/>
      <c r="AR39" s="1495"/>
      <c r="AS39" s="1495"/>
      <c r="AT39" s="1495"/>
      <c r="AU39" s="1496"/>
      <c r="AV39" s="1497"/>
      <c r="AW39" s="1498"/>
      <c r="AX39" s="1498"/>
      <c r="AY39" s="1498"/>
      <c r="AZ39" s="1498"/>
      <c r="BA39" s="1499"/>
      <c r="BB39" s="1482">
        <v>3065</v>
      </c>
      <c r="BC39" s="1483"/>
      <c r="BD39" s="1483"/>
      <c r="BE39" s="1483"/>
      <c r="BF39" s="1483"/>
      <c r="BG39" s="1483"/>
      <c r="BH39" s="1483"/>
      <c r="BI39" s="1483"/>
      <c r="BJ39" s="1484"/>
      <c r="BK39" s="1482">
        <v>3065</v>
      </c>
      <c r="BL39" s="1483"/>
      <c r="BM39" s="1483"/>
      <c r="BN39" s="1483"/>
      <c r="BO39" s="1483"/>
      <c r="BP39" s="1483"/>
      <c r="BQ39" s="1483"/>
      <c r="BR39" s="1483"/>
      <c r="BS39" s="1484"/>
      <c r="BT39" s="1482">
        <v>2903</v>
      </c>
      <c r="BU39" s="1483"/>
      <c r="BV39" s="1483"/>
      <c r="BW39" s="1483"/>
      <c r="BX39" s="1483"/>
      <c r="BY39" s="1483"/>
      <c r="BZ39" s="1484"/>
      <c r="CA39" s="1482">
        <v>116</v>
      </c>
      <c r="CB39" s="1483"/>
      <c r="CC39" s="1483"/>
      <c r="CD39" s="1483"/>
      <c r="CE39" s="1483"/>
      <c r="CF39" s="1483"/>
      <c r="CG39" s="1484"/>
      <c r="CH39" s="1475">
        <f t="shared" si="1"/>
        <v>3019</v>
      </c>
      <c r="CI39" s="1476"/>
      <c r="CJ39" s="1476"/>
      <c r="CK39" s="1476"/>
      <c r="CL39" s="1476"/>
      <c r="CM39" s="1476"/>
      <c r="CN39" s="1477"/>
      <c r="CO39" s="1482">
        <v>46</v>
      </c>
      <c r="CP39" s="1483"/>
      <c r="CQ39" s="1483"/>
      <c r="CR39" s="1483"/>
      <c r="CS39" s="1483"/>
      <c r="CT39" s="1483"/>
      <c r="CU39" s="1484"/>
      <c r="CV39" s="1482">
        <v>2949</v>
      </c>
      <c r="CW39" s="1483"/>
      <c r="CX39" s="1483"/>
      <c r="CY39" s="1483"/>
      <c r="CZ39" s="1483"/>
      <c r="DA39" s="1483"/>
      <c r="DB39" s="1483"/>
      <c r="DC39" s="1483"/>
      <c r="DD39" s="1484"/>
      <c r="DE39" s="1482">
        <v>2949</v>
      </c>
      <c r="DF39" s="1483"/>
      <c r="DG39" s="1483"/>
      <c r="DH39" s="1483"/>
      <c r="DI39" s="1483"/>
      <c r="DJ39" s="1483"/>
      <c r="DK39" s="1483"/>
      <c r="DL39" s="1483"/>
      <c r="DM39" s="1484"/>
      <c r="DN39" s="1482">
        <v>2785</v>
      </c>
      <c r="DO39" s="1483"/>
      <c r="DP39" s="1483"/>
      <c r="DQ39" s="1483"/>
      <c r="DR39" s="1483"/>
      <c r="DS39" s="1483"/>
      <c r="DT39" s="1484"/>
      <c r="DU39" s="1482">
        <v>109</v>
      </c>
      <c r="DV39" s="1483"/>
      <c r="DW39" s="1483"/>
      <c r="DX39" s="1483"/>
      <c r="DY39" s="1483"/>
      <c r="DZ39" s="1483"/>
      <c r="EA39" s="1484"/>
      <c r="EB39" s="1475">
        <f t="shared" si="2"/>
        <v>2894</v>
      </c>
      <c r="EC39" s="1476"/>
      <c r="ED39" s="1476"/>
      <c r="EE39" s="1476"/>
      <c r="EF39" s="1476"/>
      <c r="EG39" s="1476"/>
      <c r="EH39" s="1477"/>
      <c r="EI39" s="1482">
        <v>55</v>
      </c>
      <c r="EJ39" s="1483"/>
      <c r="EK39" s="1483"/>
      <c r="EL39" s="1483"/>
      <c r="EM39" s="1483"/>
      <c r="EN39" s="1483"/>
      <c r="EO39" s="1484"/>
      <c r="EP39" s="1482"/>
      <c r="EQ39" s="1483"/>
      <c r="ER39" s="1483"/>
      <c r="ES39" s="1483"/>
      <c r="ET39" s="1483"/>
      <c r="EU39" s="1483"/>
      <c r="EV39" s="1483"/>
      <c r="EW39" s="1483"/>
      <c r="EX39" s="1483"/>
      <c r="EY39" s="1484"/>
    </row>
    <row r="40" spans="1:155" s="430" customFormat="1" ht="7.8">
      <c r="A40" s="1512" t="s">
        <v>1581</v>
      </c>
      <c r="B40" s="1513"/>
      <c r="C40" s="1513"/>
      <c r="D40" s="1513"/>
      <c r="E40" s="1513"/>
      <c r="F40" s="1513"/>
      <c r="G40" s="1513"/>
      <c r="H40" s="1513"/>
      <c r="I40" s="1513"/>
      <c r="J40" s="1513"/>
      <c r="K40" s="1513"/>
      <c r="L40" s="1513"/>
      <c r="M40" s="1513"/>
      <c r="N40" s="1513"/>
      <c r="O40" s="1513"/>
      <c r="P40" s="1513"/>
      <c r="Q40" s="1513"/>
      <c r="R40" s="1513"/>
      <c r="S40" s="1513"/>
      <c r="T40" s="1513"/>
      <c r="U40" s="1513"/>
      <c r="V40" s="1513"/>
      <c r="W40" s="1513"/>
      <c r="X40" s="1513"/>
      <c r="Y40" s="1513"/>
      <c r="Z40" s="1513"/>
      <c r="AA40" s="1513"/>
      <c r="AB40" s="1513"/>
      <c r="AC40" s="1513"/>
      <c r="AD40" s="1513"/>
      <c r="AE40" s="1513"/>
      <c r="AF40" s="1513"/>
      <c r="AG40" s="1513"/>
      <c r="AH40" s="1513"/>
      <c r="AI40" s="1513"/>
      <c r="AJ40" s="1513"/>
      <c r="AK40" s="1513"/>
      <c r="AL40" s="1513"/>
      <c r="AM40" s="1514"/>
      <c r="AN40" s="1494" t="s">
        <v>1585</v>
      </c>
      <c r="AO40" s="1495"/>
      <c r="AP40" s="1495"/>
      <c r="AQ40" s="1495"/>
      <c r="AR40" s="1495"/>
      <c r="AS40" s="1495"/>
      <c r="AT40" s="1495"/>
      <c r="AU40" s="1496"/>
      <c r="AV40" s="1497"/>
      <c r="AW40" s="1498"/>
      <c r="AX40" s="1498"/>
      <c r="AY40" s="1498"/>
      <c r="AZ40" s="1498"/>
      <c r="BA40" s="1499"/>
      <c r="BB40" s="1482">
        <v>524</v>
      </c>
      <c r="BC40" s="1483"/>
      <c r="BD40" s="1483"/>
      <c r="BE40" s="1483"/>
      <c r="BF40" s="1483"/>
      <c r="BG40" s="1483"/>
      <c r="BH40" s="1483"/>
      <c r="BI40" s="1483"/>
      <c r="BJ40" s="1484"/>
      <c r="BK40" s="1482">
        <v>524</v>
      </c>
      <c r="BL40" s="1483"/>
      <c r="BM40" s="1483"/>
      <c r="BN40" s="1483"/>
      <c r="BO40" s="1483"/>
      <c r="BP40" s="1483"/>
      <c r="BQ40" s="1483"/>
      <c r="BR40" s="1483"/>
      <c r="BS40" s="1484"/>
      <c r="BT40" s="1482">
        <v>496</v>
      </c>
      <c r="BU40" s="1483"/>
      <c r="BV40" s="1483"/>
      <c r="BW40" s="1483"/>
      <c r="BX40" s="1483"/>
      <c r="BY40" s="1483"/>
      <c r="BZ40" s="1484"/>
      <c r="CA40" s="1482">
        <v>22</v>
      </c>
      <c r="CB40" s="1483"/>
      <c r="CC40" s="1483"/>
      <c r="CD40" s="1483"/>
      <c r="CE40" s="1483"/>
      <c r="CF40" s="1483"/>
      <c r="CG40" s="1484"/>
      <c r="CH40" s="1475">
        <f t="shared" si="1"/>
        <v>518</v>
      </c>
      <c r="CI40" s="1476"/>
      <c r="CJ40" s="1476"/>
      <c r="CK40" s="1476"/>
      <c r="CL40" s="1476"/>
      <c r="CM40" s="1476"/>
      <c r="CN40" s="1477"/>
      <c r="CO40" s="1482">
        <v>6</v>
      </c>
      <c r="CP40" s="1483"/>
      <c r="CQ40" s="1483"/>
      <c r="CR40" s="1483"/>
      <c r="CS40" s="1483"/>
      <c r="CT40" s="1483"/>
      <c r="CU40" s="1484"/>
      <c r="CV40" s="1482">
        <v>490</v>
      </c>
      <c r="CW40" s="1483"/>
      <c r="CX40" s="1483"/>
      <c r="CY40" s="1483"/>
      <c r="CZ40" s="1483"/>
      <c r="DA40" s="1483"/>
      <c r="DB40" s="1483"/>
      <c r="DC40" s="1483"/>
      <c r="DD40" s="1484"/>
      <c r="DE40" s="1482">
        <v>490</v>
      </c>
      <c r="DF40" s="1483"/>
      <c r="DG40" s="1483"/>
      <c r="DH40" s="1483"/>
      <c r="DI40" s="1483"/>
      <c r="DJ40" s="1483"/>
      <c r="DK40" s="1483"/>
      <c r="DL40" s="1483"/>
      <c r="DM40" s="1484"/>
      <c r="DN40" s="1482">
        <v>465</v>
      </c>
      <c r="DO40" s="1483"/>
      <c r="DP40" s="1483"/>
      <c r="DQ40" s="1483"/>
      <c r="DR40" s="1483"/>
      <c r="DS40" s="1483"/>
      <c r="DT40" s="1484"/>
      <c r="DU40" s="1482">
        <v>19</v>
      </c>
      <c r="DV40" s="1483"/>
      <c r="DW40" s="1483"/>
      <c r="DX40" s="1483"/>
      <c r="DY40" s="1483"/>
      <c r="DZ40" s="1483"/>
      <c r="EA40" s="1484"/>
      <c r="EB40" s="1475">
        <f t="shared" si="2"/>
        <v>484</v>
      </c>
      <c r="EC40" s="1476"/>
      <c r="ED40" s="1476"/>
      <c r="EE40" s="1476"/>
      <c r="EF40" s="1476"/>
      <c r="EG40" s="1476"/>
      <c r="EH40" s="1477"/>
      <c r="EI40" s="1482">
        <v>6</v>
      </c>
      <c r="EJ40" s="1483"/>
      <c r="EK40" s="1483"/>
      <c r="EL40" s="1483"/>
      <c r="EM40" s="1483"/>
      <c r="EN40" s="1483"/>
      <c r="EO40" s="1484"/>
      <c r="EP40" s="1482"/>
      <c r="EQ40" s="1483"/>
      <c r="ER40" s="1483"/>
      <c r="ES40" s="1483"/>
      <c r="ET40" s="1483"/>
      <c r="EU40" s="1483"/>
      <c r="EV40" s="1483"/>
      <c r="EW40" s="1483"/>
      <c r="EX40" s="1483"/>
      <c r="EY40" s="1484"/>
    </row>
    <row r="41" spans="1:155" s="430" customFormat="1" ht="7.8">
      <c r="A41" s="1512" t="s">
        <v>1582</v>
      </c>
      <c r="B41" s="1513"/>
      <c r="C41" s="1513"/>
      <c r="D41" s="1513"/>
      <c r="E41" s="1513"/>
      <c r="F41" s="1513"/>
      <c r="G41" s="1513"/>
      <c r="H41" s="1513"/>
      <c r="I41" s="1513"/>
      <c r="J41" s="1513"/>
      <c r="K41" s="1513"/>
      <c r="L41" s="1513"/>
      <c r="M41" s="1513"/>
      <c r="N41" s="1513"/>
      <c r="O41" s="1513"/>
      <c r="P41" s="1513"/>
      <c r="Q41" s="1513"/>
      <c r="R41" s="1513"/>
      <c r="S41" s="1513"/>
      <c r="T41" s="1513"/>
      <c r="U41" s="1513"/>
      <c r="V41" s="1513"/>
      <c r="W41" s="1513"/>
      <c r="X41" s="1513"/>
      <c r="Y41" s="1513"/>
      <c r="Z41" s="1513"/>
      <c r="AA41" s="1513"/>
      <c r="AB41" s="1513"/>
      <c r="AC41" s="1513"/>
      <c r="AD41" s="1513"/>
      <c r="AE41" s="1513"/>
      <c r="AF41" s="1513"/>
      <c r="AG41" s="1513"/>
      <c r="AH41" s="1513"/>
      <c r="AI41" s="1513"/>
      <c r="AJ41" s="1513"/>
      <c r="AK41" s="1513"/>
      <c r="AL41" s="1513"/>
      <c r="AM41" s="1514"/>
      <c r="AN41" s="1494" t="s">
        <v>1585</v>
      </c>
      <c r="AO41" s="1495"/>
      <c r="AP41" s="1495"/>
      <c r="AQ41" s="1495"/>
      <c r="AR41" s="1495"/>
      <c r="AS41" s="1495"/>
      <c r="AT41" s="1495"/>
      <c r="AU41" s="1496"/>
      <c r="AV41" s="1497"/>
      <c r="AW41" s="1498"/>
      <c r="AX41" s="1498"/>
      <c r="AY41" s="1498"/>
      <c r="AZ41" s="1498"/>
      <c r="BA41" s="1499"/>
      <c r="BB41" s="1482">
        <v>832</v>
      </c>
      <c r="BC41" s="1483"/>
      <c r="BD41" s="1483"/>
      <c r="BE41" s="1483"/>
      <c r="BF41" s="1483"/>
      <c r="BG41" s="1483"/>
      <c r="BH41" s="1483"/>
      <c r="BI41" s="1483"/>
      <c r="BJ41" s="1484"/>
      <c r="BK41" s="1482">
        <v>832</v>
      </c>
      <c r="BL41" s="1483"/>
      <c r="BM41" s="1483"/>
      <c r="BN41" s="1483"/>
      <c r="BO41" s="1483"/>
      <c r="BP41" s="1483"/>
      <c r="BQ41" s="1483"/>
      <c r="BR41" s="1483"/>
      <c r="BS41" s="1484"/>
      <c r="BT41" s="1482">
        <v>739</v>
      </c>
      <c r="BU41" s="1483"/>
      <c r="BV41" s="1483"/>
      <c r="BW41" s="1483"/>
      <c r="BX41" s="1483"/>
      <c r="BY41" s="1483"/>
      <c r="BZ41" s="1484"/>
      <c r="CA41" s="1482">
        <v>78</v>
      </c>
      <c r="CB41" s="1483"/>
      <c r="CC41" s="1483"/>
      <c r="CD41" s="1483"/>
      <c r="CE41" s="1483"/>
      <c r="CF41" s="1483"/>
      <c r="CG41" s="1484"/>
      <c r="CH41" s="1475">
        <f t="shared" si="1"/>
        <v>817</v>
      </c>
      <c r="CI41" s="1476"/>
      <c r="CJ41" s="1476"/>
      <c r="CK41" s="1476"/>
      <c r="CL41" s="1476"/>
      <c r="CM41" s="1476"/>
      <c r="CN41" s="1477"/>
      <c r="CO41" s="1482">
        <v>15</v>
      </c>
      <c r="CP41" s="1483"/>
      <c r="CQ41" s="1483"/>
      <c r="CR41" s="1483"/>
      <c r="CS41" s="1483"/>
      <c r="CT41" s="1483"/>
      <c r="CU41" s="1484"/>
      <c r="CV41" s="1482">
        <v>817</v>
      </c>
      <c r="CW41" s="1483"/>
      <c r="CX41" s="1483"/>
      <c r="CY41" s="1483"/>
      <c r="CZ41" s="1483"/>
      <c r="DA41" s="1483"/>
      <c r="DB41" s="1483"/>
      <c r="DC41" s="1483"/>
      <c r="DD41" s="1484"/>
      <c r="DE41" s="1482">
        <v>817</v>
      </c>
      <c r="DF41" s="1483"/>
      <c r="DG41" s="1483"/>
      <c r="DH41" s="1483"/>
      <c r="DI41" s="1483"/>
      <c r="DJ41" s="1483"/>
      <c r="DK41" s="1483"/>
      <c r="DL41" s="1483"/>
      <c r="DM41" s="1484"/>
      <c r="DN41" s="1482">
        <v>727</v>
      </c>
      <c r="DO41" s="1483"/>
      <c r="DP41" s="1483"/>
      <c r="DQ41" s="1483"/>
      <c r="DR41" s="1483"/>
      <c r="DS41" s="1483"/>
      <c r="DT41" s="1484"/>
      <c r="DU41" s="1482">
        <v>72</v>
      </c>
      <c r="DV41" s="1483"/>
      <c r="DW41" s="1483"/>
      <c r="DX41" s="1483"/>
      <c r="DY41" s="1483"/>
      <c r="DZ41" s="1483"/>
      <c r="EA41" s="1484"/>
      <c r="EB41" s="1475">
        <f t="shared" si="2"/>
        <v>799</v>
      </c>
      <c r="EC41" s="1476"/>
      <c r="ED41" s="1476"/>
      <c r="EE41" s="1476"/>
      <c r="EF41" s="1476"/>
      <c r="EG41" s="1476"/>
      <c r="EH41" s="1477"/>
      <c r="EI41" s="1482">
        <v>18</v>
      </c>
      <c r="EJ41" s="1483"/>
      <c r="EK41" s="1483"/>
      <c r="EL41" s="1483"/>
      <c r="EM41" s="1483"/>
      <c r="EN41" s="1483"/>
      <c r="EO41" s="1484"/>
      <c r="EP41" s="1482"/>
      <c r="EQ41" s="1483"/>
      <c r="ER41" s="1483"/>
      <c r="ES41" s="1483"/>
      <c r="ET41" s="1483"/>
      <c r="EU41" s="1483"/>
      <c r="EV41" s="1483"/>
      <c r="EW41" s="1483"/>
      <c r="EX41" s="1483"/>
      <c r="EY41" s="1484"/>
    </row>
    <row r="42" spans="1:155" s="430" customFormat="1" ht="7.8">
      <c r="A42" s="1512" t="s">
        <v>1583</v>
      </c>
      <c r="B42" s="1513"/>
      <c r="C42" s="1513"/>
      <c r="D42" s="1513"/>
      <c r="E42" s="1513"/>
      <c r="F42" s="1513"/>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513"/>
      <c r="AM42" s="1514"/>
      <c r="AN42" s="1494" t="s">
        <v>1585</v>
      </c>
      <c r="AO42" s="1495"/>
      <c r="AP42" s="1495"/>
      <c r="AQ42" s="1495"/>
      <c r="AR42" s="1495"/>
      <c r="AS42" s="1495"/>
      <c r="AT42" s="1495"/>
      <c r="AU42" s="1496"/>
      <c r="AV42" s="1497"/>
      <c r="AW42" s="1498"/>
      <c r="AX42" s="1498"/>
      <c r="AY42" s="1498"/>
      <c r="AZ42" s="1498"/>
      <c r="BA42" s="1499"/>
      <c r="BB42" s="1482">
        <v>1709</v>
      </c>
      <c r="BC42" s="1483"/>
      <c r="BD42" s="1483"/>
      <c r="BE42" s="1483"/>
      <c r="BF42" s="1483"/>
      <c r="BG42" s="1483"/>
      <c r="BH42" s="1483"/>
      <c r="BI42" s="1483"/>
      <c r="BJ42" s="1484"/>
      <c r="BK42" s="1482">
        <v>1709</v>
      </c>
      <c r="BL42" s="1483"/>
      <c r="BM42" s="1483"/>
      <c r="BN42" s="1483"/>
      <c r="BO42" s="1483"/>
      <c r="BP42" s="1483"/>
      <c r="BQ42" s="1483"/>
      <c r="BR42" s="1483"/>
      <c r="BS42" s="1484"/>
      <c r="BT42" s="1482">
        <v>1668</v>
      </c>
      <c r="BU42" s="1483"/>
      <c r="BV42" s="1483"/>
      <c r="BW42" s="1483"/>
      <c r="BX42" s="1483"/>
      <c r="BY42" s="1483"/>
      <c r="BZ42" s="1484"/>
      <c r="CA42" s="1482">
        <v>16</v>
      </c>
      <c r="CB42" s="1483"/>
      <c r="CC42" s="1483"/>
      <c r="CD42" s="1483"/>
      <c r="CE42" s="1483"/>
      <c r="CF42" s="1483"/>
      <c r="CG42" s="1484"/>
      <c r="CH42" s="1475">
        <f t="shared" si="1"/>
        <v>1684</v>
      </c>
      <c r="CI42" s="1476"/>
      <c r="CJ42" s="1476"/>
      <c r="CK42" s="1476"/>
      <c r="CL42" s="1476"/>
      <c r="CM42" s="1476"/>
      <c r="CN42" s="1477"/>
      <c r="CO42" s="1482">
        <v>25</v>
      </c>
      <c r="CP42" s="1483"/>
      <c r="CQ42" s="1483"/>
      <c r="CR42" s="1483"/>
      <c r="CS42" s="1483"/>
      <c r="CT42" s="1483"/>
      <c r="CU42" s="1484"/>
      <c r="CV42" s="1482">
        <v>1642</v>
      </c>
      <c r="CW42" s="1483"/>
      <c r="CX42" s="1483"/>
      <c r="CY42" s="1483"/>
      <c r="CZ42" s="1483"/>
      <c r="DA42" s="1483"/>
      <c r="DB42" s="1483"/>
      <c r="DC42" s="1483"/>
      <c r="DD42" s="1484"/>
      <c r="DE42" s="1482">
        <v>1642</v>
      </c>
      <c r="DF42" s="1483"/>
      <c r="DG42" s="1483"/>
      <c r="DH42" s="1483"/>
      <c r="DI42" s="1483"/>
      <c r="DJ42" s="1483"/>
      <c r="DK42" s="1483"/>
      <c r="DL42" s="1483"/>
      <c r="DM42" s="1484"/>
      <c r="DN42" s="1482">
        <v>1593</v>
      </c>
      <c r="DO42" s="1483"/>
      <c r="DP42" s="1483"/>
      <c r="DQ42" s="1483"/>
      <c r="DR42" s="1483"/>
      <c r="DS42" s="1483"/>
      <c r="DT42" s="1484"/>
      <c r="DU42" s="1482">
        <v>18</v>
      </c>
      <c r="DV42" s="1483"/>
      <c r="DW42" s="1483"/>
      <c r="DX42" s="1483"/>
      <c r="DY42" s="1483"/>
      <c r="DZ42" s="1483"/>
      <c r="EA42" s="1484"/>
      <c r="EB42" s="1475">
        <f t="shared" si="2"/>
        <v>1611</v>
      </c>
      <c r="EC42" s="1476"/>
      <c r="ED42" s="1476"/>
      <c r="EE42" s="1476"/>
      <c r="EF42" s="1476"/>
      <c r="EG42" s="1476"/>
      <c r="EH42" s="1477"/>
      <c r="EI42" s="1482">
        <v>31</v>
      </c>
      <c r="EJ42" s="1483"/>
      <c r="EK42" s="1483"/>
      <c r="EL42" s="1483"/>
      <c r="EM42" s="1483"/>
      <c r="EN42" s="1483"/>
      <c r="EO42" s="1484"/>
      <c r="EP42" s="1482"/>
      <c r="EQ42" s="1483"/>
      <c r="ER42" s="1483"/>
      <c r="ES42" s="1483"/>
      <c r="ET42" s="1483"/>
      <c r="EU42" s="1483"/>
      <c r="EV42" s="1483"/>
      <c r="EW42" s="1483"/>
      <c r="EX42" s="1483"/>
      <c r="EY42" s="1484"/>
    </row>
    <row r="43" spans="1:155" s="430" customFormat="1" ht="41.25" customHeight="1">
      <c r="A43" s="1506" t="s">
        <v>1586</v>
      </c>
      <c r="B43" s="1507"/>
      <c r="C43" s="1507"/>
      <c r="D43" s="1507"/>
      <c r="E43" s="1507"/>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1507"/>
      <c r="AM43" s="1508"/>
      <c r="AN43" s="1494" t="s">
        <v>121</v>
      </c>
      <c r="AO43" s="1495"/>
      <c r="AP43" s="1495"/>
      <c r="AQ43" s="1495"/>
      <c r="AR43" s="1495"/>
      <c r="AS43" s="1495"/>
      <c r="AT43" s="1495"/>
      <c r="AU43" s="1496"/>
      <c r="AV43" s="1497" t="s">
        <v>1035</v>
      </c>
      <c r="AW43" s="1498"/>
      <c r="AX43" s="1498"/>
      <c r="AY43" s="1498"/>
      <c r="AZ43" s="1498"/>
      <c r="BA43" s="1499"/>
      <c r="BB43" s="1482">
        <f t="shared" ref="BB43:BB57" si="3">CH43+CO43</f>
        <v>292804</v>
      </c>
      <c r="BC43" s="1483"/>
      <c r="BD43" s="1483"/>
      <c r="BE43" s="1483"/>
      <c r="BF43" s="1483"/>
      <c r="BG43" s="1483"/>
      <c r="BH43" s="1483"/>
      <c r="BI43" s="1483"/>
      <c r="BJ43" s="1484"/>
      <c r="BK43" s="1482">
        <f t="shared" ref="BK43:BK57" si="4">BB43</f>
        <v>292804</v>
      </c>
      <c r="BL43" s="1483"/>
      <c r="BM43" s="1483"/>
      <c r="BN43" s="1483"/>
      <c r="BO43" s="1483"/>
      <c r="BP43" s="1483"/>
      <c r="BQ43" s="1483"/>
      <c r="BR43" s="1483"/>
      <c r="BS43" s="1484"/>
      <c r="BT43" s="1482">
        <f>233651+42070-1</f>
        <v>275720</v>
      </c>
      <c r="BU43" s="1483"/>
      <c r="BV43" s="1483"/>
      <c r="BW43" s="1483"/>
      <c r="BX43" s="1483"/>
      <c r="BY43" s="1483"/>
      <c r="BZ43" s="1484"/>
      <c r="CA43" s="1482">
        <f>11038</f>
        <v>11038</v>
      </c>
      <c r="CB43" s="1483"/>
      <c r="CC43" s="1483"/>
      <c r="CD43" s="1483"/>
      <c r="CE43" s="1483"/>
      <c r="CF43" s="1483"/>
      <c r="CG43" s="1484"/>
      <c r="CH43" s="1475">
        <f t="shared" si="1"/>
        <v>286758</v>
      </c>
      <c r="CI43" s="1476"/>
      <c r="CJ43" s="1476"/>
      <c r="CK43" s="1476"/>
      <c r="CL43" s="1476"/>
      <c r="CM43" s="1476"/>
      <c r="CN43" s="1477"/>
      <c r="CO43" s="1482">
        <f>6046</f>
        <v>6046</v>
      </c>
      <c r="CP43" s="1483"/>
      <c r="CQ43" s="1483"/>
      <c r="CR43" s="1483"/>
      <c r="CS43" s="1483"/>
      <c r="CT43" s="1483"/>
      <c r="CU43" s="1484"/>
      <c r="CV43" s="1482">
        <v>265772</v>
      </c>
      <c r="CW43" s="1483"/>
      <c r="CX43" s="1483"/>
      <c r="CY43" s="1483"/>
      <c r="CZ43" s="1483"/>
      <c r="DA43" s="1483"/>
      <c r="DB43" s="1483"/>
      <c r="DC43" s="1483"/>
      <c r="DD43" s="1484"/>
      <c r="DE43" s="1482">
        <v>265772</v>
      </c>
      <c r="DF43" s="1483"/>
      <c r="DG43" s="1483"/>
      <c r="DH43" s="1483"/>
      <c r="DI43" s="1483"/>
      <c r="DJ43" s="1483"/>
      <c r="DK43" s="1483"/>
      <c r="DL43" s="1483"/>
      <c r="DM43" s="1484"/>
      <c r="DN43" s="1482">
        <v>249162</v>
      </c>
      <c r="DO43" s="1483"/>
      <c r="DP43" s="1483"/>
      <c r="DQ43" s="1483"/>
      <c r="DR43" s="1483"/>
      <c r="DS43" s="1483"/>
      <c r="DT43" s="1484"/>
      <c r="DU43" s="1482">
        <v>9887</v>
      </c>
      <c r="DV43" s="1483"/>
      <c r="DW43" s="1483"/>
      <c r="DX43" s="1483"/>
      <c r="DY43" s="1483"/>
      <c r="DZ43" s="1483"/>
      <c r="EA43" s="1484"/>
      <c r="EB43" s="1482">
        <v>259049</v>
      </c>
      <c r="EC43" s="1483"/>
      <c r="ED43" s="1483"/>
      <c r="EE43" s="1483"/>
      <c r="EF43" s="1483"/>
      <c r="EG43" s="1483"/>
      <c r="EH43" s="1484"/>
      <c r="EI43" s="1482">
        <v>6723</v>
      </c>
      <c r="EJ43" s="1483"/>
      <c r="EK43" s="1483"/>
      <c r="EL43" s="1483"/>
      <c r="EM43" s="1483"/>
      <c r="EN43" s="1483"/>
      <c r="EO43" s="1484"/>
      <c r="EP43" s="1482"/>
      <c r="EQ43" s="1483"/>
      <c r="ER43" s="1483"/>
      <c r="ES43" s="1483"/>
      <c r="ET43" s="1483"/>
      <c r="EU43" s="1483"/>
      <c r="EV43" s="1483"/>
      <c r="EW43" s="1483"/>
      <c r="EX43" s="1483"/>
      <c r="EY43" s="1484"/>
    </row>
    <row r="44" spans="1:155" s="430" customFormat="1" ht="7.8">
      <c r="A44" s="1506" t="s">
        <v>1587</v>
      </c>
      <c r="B44" s="1507"/>
      <c r="C44" s="1507"/>
      <c r="D44" s="1507"/>
      <c r="E44" s="1507"/>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1507"/>
      <c r="AM44" s="1508"/>
      <c r="AN44" s="1494" t="s">
        <v>121</v>
      </c>
      <c r="AO44" s="1495"/>
      <c r="AP44" s="1495"/>
      <c r="AQ44" s="1495"/>
      <c r="AR44" s="1495"/>
      <c r="AS44" s="1495"/>
      <c r="AT44" s="1495"/>
      <c r="AU44" s="1496"/>
      <c r="AV44" s="1497" t="s">
        <v>1086</v>
      </c>
      <c r="AW44" s="1498"/>
      <c r="AX44" s="1498"/>
      <c r="AY44" s="1498"/>
      <c r="AZ44" s="1498"/>
      <c r="BA44" s="1499"/>
      <c r="BB44" s="1482">
        <f t="shared" si="3"/>
        <v>360666</v>
      </c>
      <c r="BC44" s="1483"/>
      <c r="BD44" s="1483"/>
      <c r="BE44" s="1483"/>
      <c r="BF44" s="1483"/>
      <c r="BG44" s="1483"/>
      <c r="BH44" s="1483"/>
      <c r="BI44" s="1483"/>
      <c r="BJ44" s="1484"/>
      <c r="BK44" s="1482">
        <f t="shared" si="4"/>
        <v>360666</v>
      </c>
      <c r="BL44" s="1483"/>
      <c r="BM44" s="1483"/>
      <c r="BN44" s="1483"/>
      <c r="BO44" s="1483"/>
      <c r="BP44" s="1483"/>
      <c r="BQ44" s="1483"/>
      <c r="BR44" s="1483"/>
      <c r="BS44" s="1484"/>
      <c r="BT44" s="1482">
        <f>350787+9307+1</f>
        <v>360095</v>
      </c>
      <c r="BU44" s="1483"/>
      <c r="BV44" s="1483"/>
      <c r="BW44" s="1483"/>
      <c r="BX44" s="1483"/>
      <c r="BY44" s="1483"/>
      <c r="BZ44" s="1484"/>
      <c r="CA44" s="1482">
        <f>444+19</f>
        <v>463</v>
      </c>
      <c r="CB44" s="1483"/>
      <c r="CC44" s="1483"/>
      <c r="CD44" s="1483"/>
      <c r="CE44" s="1483"/>
      <c r="CF44" s="1483"/>
      <c r="CG44" s="1484"/>
      <c r="CH44" s="1475">
        <f t="shared" si="1"/>
        <v>360558</v>
      </c>
      <c r="CI44" s="1476"/>
      <c r="CJ44" s="1476"/>
      <c r="CK44" s="1476"/>
      <c r="CL44" s="1476"/>
      <c r="CM44" s="1476"/>
      <c r="CN44" s="1477"/>
      <c r="CO44" s="1482">
        <f>108</f>
        <v>108</v>
      </c>
      <c r="CP44" s="1483"/>
      <c r="CQ44" s="1483"/>
      <c r="CR44" s="1483"/>
      <c r="CS44" s="1483"/>
      <c r="CT44" s="1483"/>
      <c r="CU44" s="1484"/>
      <c r="CV44" s="1482">
        <v>321771</v>
      </c>
      <c r="CW44" s="1483"/>
      <c r="CX44" s="1483"/>
      <c r="CY44" s="1483"/>
      <c r="CZ44" s="1483"/>
      <c r="DA44" s="1483"/>
      <c r="DB44" s="1483"/>
      <c r="DC44" s="1483"/>
      <c r="DD44" s="1484"/>
      <c r="DE44" s="1482">
        <v>321771</v>
      </c>
      <c r="DF44" s="1483"/>
      <c r="DG44" s="1483"/>
      <c r="DH44" s="1483"/>
      <c r="DI44" s="1483"/>
      <c r="DJ44" s="1483"/>
      <c r="DK44" s="1483"/>
      <c r="DL44" s="1483"/>
      <c r="DM44" s="1484"/>
      <c r="DN44" s="1482">
        <v>320484</v>
      </c>
      <c r="DO44" s="1483"/>
      <c r="DP44" s="1483"/>
      <c r="DQ44" s="1483"/>
      <c r="DR44" s="1483"/>
      <c r="DS44" s="1483"/>
      <c r="DT44" s="1484"/>
      <c r="DU44" s="1482">
        <v>1196</v>
      </c>
      <c r="DV44" s="1483"/>
      <c r="DW44" s="1483"/>
      <c r="DX44" s="1483"/>
      <c r="DY44" s="1483"/>
      <c r="DZ44" s="1483"/>
      <c r="EA44" s="1484"/>
      <c r="EB44" s="1482">
        <v>321680</v>
      </c>
      <c r="EC44" s="1483"/>
      <c r="ED44" s="1483"/>
      <c r="EE44" s="1483"/>
      <c r="EF44" s="1483"/>
      <c r="EG44" s="1483"/>
      <c r="EH44" s="1484"/>
      <c r="EI44" s="1482">
        <v>91</v>
      </c>
      <c r="EJ44" s="1483"/>
      <c r="EK44" s="1483"/>
      <c r="EL44" s="1483"/>
      <c r="EM44" s="1483"/>
      <c r="EN44" s="1483"/>
      <c r="EO44" s="1484"/>
      <c r="EP44" s="1482"/>
      <c r="EQ44" s="1483"/>
      <c r="ER44" s="1483"/>
      <c r="ES44" s="1483"/>
      <c r="ET44" s="1483"/>
      <c r="EU44" s="1483"/>
      <c r="EV44" s="1483"/>
      <c r="EW44" s="1483"/>
      <c r="EX44" s="1483"/>
      <c r="EY44" s="1484"/>
    </row>
    <row r="45" spans="1:155" s="430" customFormat="1" ht="7.8">
      <c r="A45" s="1506" t="s">
        <v>1588</v>
      </c>
      <c r="B45" s="1507"/>
      <c r="C45" s="1507"/>
      <c r="D45" s="1507"/>
      <c r="E45" s="1507"/>
      <c r="F45" s="1507"/>
      <c r="G45" s="1507"/>
      <c r="H45" s="1507"/>
      <c r="I45" s="1507"/>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c r="AI45" s="1507"/>
      <c r="AJ45" s="1507"/>
      <c r="AK45" s="1507"/>
      <c r="AL45" s="1507"/>
      <c r="AM45" s="1508"/>
      <c r="AN45" s="1488" t="s">
        <v>121</v>
      </c>
      <c r="AO45" s="1489"/>
      <c r="AP45" s="1489"/>
      <c r="AQ45" s="1489"/>
      <c r="AR45" s="1489"/>
      <c r="AS45" s="1489"/>
      <c r="AT45" s="1489"/>
      <c r="AU45" s="1490"/>
      <c r="AV45" s="1491" t="s">
        <v>1143</v>
      </c>
      <c r="AW45" s="1492"/>
      <c r="AX45" s="1492"/>
      <c r="AY45" s="1492"/>
      <c r="AZ45" s="1492"/>
      <c r="BA45" s="1493"/>
      <c r="BB45" s="1482">
        <f t="shared" si="3"/>
        <v>1269643</v>
      </c>
      <c r="BC45" s="1483"/>
      <c r="BD45" s="1483"/>
      <c r="BE45" s="1483"/>
      <c r="BF45" s="1483"/>
      <c r="BG45" s="1483"/>
      <c r="BH45" s="1483"/>
      <c r="BI45" s="1483"/>
      <c r="BJ45" s="1484"/>
      <c r="BK45" s="1482">
        <f t="shared" si="4"/>
        <v>1269643</v>
      </c>
      <c r="BL45" s="1483"/>
      <c r="BM45" s="1483"/>
      <c r="BN45" s="1483"/>
      <c r="BO45" s="1483"/>
      <c r="BP45" s="1483"/>
      <c r="BQ45" s="1483"/>
      <c r="BR45" s="1483"/>
      <c r="BS45" s="1484"/>
      <c r="BT45" s="1475">
        <f>BT46+BT47</f>
        <v>1267299</v>
      </c>
      <c r="BU45" s="1476"/>
      <c r="BV45" s="1476"/>
      <c r="BW45" s="1476"/>
      <c r="BX45" s="1476"/>
      <c r="BY45" s="1476"/>
      <c r="BZ45" s="1477"/>
      <c r="CA45" s="1475">
        <f>CA46+CA47</f>
        <v>1964</v>
      </c>
      <c r="CB45" s="1476"/>
      <c r="CC45" s="1476"/>
      <c r="CD45" s="1476"/>
      <c r="CE45" s="1476"/>
      <c r="CF45" s="1476"/>
      <c r="CG45" s="1477"/>
      <c r="CH45" s="1475">
        <f t="shared" si="1"/>
        <v>1269263</v>
      </c>
      <c r="CI45" s="1476"/>
      <c r="CJ45" s="1476"/>
      <c r="CK45" s="1476"/>
      <c r="CL45" s="1476"/>
      <c r="CM45" s="1476"/>
      <c r="CN45" s="1477"/>
      <c r="CO45" s="1475">
        <f>CO46+CO47</f>
        <v>380</v>
      </c>
      <c r="CP45" s="1476"/>
      <c r="CQ45" s="1476"/>
      <c r="CR45" s="1476"/>
      <c r="CS45" s="1476"/>
      <c r="CT45" s="1476"/>
      <c r="CU45" s="1477"/>
      <c r="CV45" s="1482">
        <v>1365276</v>
      </c>
      <c r="CW45" s="1483"/>
      <c r="CX45" s="1483"/>
      <c r="CY45" s="1483"/>
      <c r="CZ45" s="1483"/>
      <c r="DA45" s="1483"/>
      <c r="DB45" s="1483"/>
      <c r="DC45" s="1483"/>
      <c r="DD45" s="1484"/>
      <c r="DE45" s="1482">
        <v>1365276</v>
      </c>
      <c r="DF45" s="1483"/>
      <c r="DG45" s="1483"/>
      <c r="DH45" s="1483"/>
      <c r="DI45" s="1483"/>
      <c r="DJ45" s="1483"/>
      <c r="DK45" s="1483"/>
      <c r="DL45" s="1483"/>
      <c r="DM45" s="1484"/>
      <c r="DN45" s="1475">
        <v>1362823</v>
      </c>
      <c r="DO45" s="1476"/>
      <c r="DP45" s="1476"/>
      <c r="DQ45" s="1476"/>
      <c r="DR45" s="1476"/>
      <c r="DS45" s="1476"/>
      <c r="DT45" s="1477"/>
      <c r="DU45" s="1475">
        <v>2063</v>
      </c>
      <c r="DV45" s="1476"/>
      <c r="DW45" s="1476"/>
      <c r="DX45" s="1476"/>
      <c r="DY45" s="1476"/>
      <c r="DZ45" s="1476"/>
      <c r="EA45" s="1477"/>
      <c r="EB45" s="1482">
        <v>1364886</v>
      </c>
      <c r="EC45" s="1483"/>
      <c r="ED45" s="1483"/>
      <c r="EE45" s="1483"/>
      <c r="EF45" s="1483"/>
      <c r="EG45" s="1483"/>
      <c r="EH45" s="1484"/>
      <c r="EI45" s="1475">
        <v>390</v>
      </c>
      <c r="EJ45" s="1476"/>
      <c r="EK45" s="1476"/>
      <c r="EL45" s="1476"/>
      <c r="EM45" s="1476"/>
      <c r="EN45" s="1476"/>
      <c r="EO45" s="1477"/>
      <c r="EP45" s="1482"/>
      <c r="EQ45" s="1483"/>
      <c r="ER45" s="1483"/>
      <c r="ES45" s="1483"/>
      <c r="ET45" s="1483"/>
      <c r="EU45" s="1483"/>
      <c r="EV45" s="1483"/>
      <c r="EW45" s="1483"/>
      <c r="EX45" s="1483"/>
      <c r="EY45" s="1484"/>
    </row>
    <row r="46" spans="1:155" s="430" customFormat="1" ht="7.8">
      <c r="A46" s="1509" t="s">
        <v>1589</v>
      </c>
      <c r="B46" s="1510"/>
      <c r="C46" s="1510"/>
      <c r="D46" s="1510"/>
      <c r="E46" s="1510"/>
      <c r="F46" s="1510"/>
      <c r="G46" s="1510"/>
      <c r="H46" s="1510"/>
      <c r="I46" s="1510"/>
      <c r="J46" s="1510"/>
      <c r="K46" s="1510"/>
      <c r="L46" s="1510"/>
      <c r="M46" s="1510"/>
      <c r="N46" s="1510"/>
      <c r="O46" s="1510"/>
      <c r="P46" s="1510"/>
      <c r="Q46" s="1510"/>
      <c r="R46" s="1510"/>
      <c r="S46" s="1510"/>
      <c r="T46" s="1510"/>
      <c r="U46" s="1510"/>
      <c r="V46" s="1510"/>
      <c r="W46" s="1510"/>
      <c r="X46" s="1510"/>
      <c r="Y46" s="1510"/>
      <c r="Z46" s="1510"/>
      <c r="AA46" s="1510"/>
      <c r="AB46" s="1510"/>
      <c r="AC46" s="1510"/>
      <c r="AD46" s="1510"/>
      <c r="AE46" s="1510"/>
      <c r="AF46" s="1510"/>
      <c r="AG46" s="1510"/>
      <c r="AH46" s="1510"/>
      <c r="AI46" s="1510"/>
      <c r="AJ46" s="1510"/>
      <c r="AK46" s="1510"/>
      <c r="AL46" s="1510"/>
      <c r="AM46" s="1511"/>
      <c r="AN46" s="1494" t="s">
        <v>121</v>
      </c>
      <c r="AO46" s="1495"/>
      <c r="AP46" s="1495"/>
      <c r="AQ46" s="1495"/>
      <c r="AR46" s="1495"/>
      <c r="AS46" s="1495"/>
      <c r="AT46" s="1495"/>
      <c r="AU46" s="1496"/>
      <c r="AV46" s="1497" t="s">
        <v>1148</v>
      </c>
      <c r="AW46" s="1498"/>
      <c r="AX46" s="1498"/>
      <c r="AY46" s="1498"/>
      <c r="AZ46" s="1498"/>
      <c r="BA46" s="1499"/>
      <c r="BB46" s="1482">
        <f t="shared" si="3"/>
        <v>401017</v>
      </c>
      <c r="BC46" s="1483"/>
      <c r="BD46" s="1483"/>
      <c r="BE46" s="1483"/>
      <c r="BF46" s="1483"/>
      <c r="BG46" s="1483"/>
      <c r="BH46" s="1483"/>
      <c r="BI46" s="1483"/>
      <c r="BJ46" s="1484"/>
      <c r="BK46" s="1482">
        <f t="shared" si="4"/>
        <v>401017</v>
      </c>
      <c r="BL46" s="1483"/>
      <c r="BM46" s="1483"/>
      <c r="BN46" s="1483"/>
      <c r="BO46" s="1483"/>
      <c r="BP46" s="1483"/>
      <c r="BQ46" s="1483"/>
      <c r="BR46" s="1483"/>
      <c r="BS46" s="1484"/>
      <c r="BT46" s="1482">
        <f>376221+22463</f>
        <v>398684</v>
      </c>
      <c r="BU46" s="1483"/>
      <c r="BV46" s="1483"/>
      <c r="BW46" s="1483"/>
      <c r="BX46" s="1483"/>
      <c r="BY46" s="1483"/>
      <c r="BZ46" s="1484"/>
      <c r="CA46" s="1482">
        <f>1955</f>
        <v>1955</v>
      </c>
      <c r="CB46" s="1483"/>
      <c r="CC46" s="1483"/>
      <c r="CD46" s="1483"/>
      <c r="CE46" s="1483"/>
      <c r="CF46" s="1483"/>
      <c r="CG46" s="1484"/>
      <c r="CH46" s="1475">
        <f t="shared" si="1"/>
        <v>400639</v>
      </c>
      <c r="CI46" s="1476"/>
      <c r="CJ46" s="1476"/>
      <c r="CK46" s="1476"/>
      <c r="CL46" s="1476"/>
      <c r="CM46" s="1476"/>
      <c r="CN46" s="1477"/>
      <c r="CO46" s="1482">
        <f>378</f>
        <v>378</v>
      </c>
      <c r="CP46" s="1483"/>
      <c r="CQ46" s="1483"/>
      <c r="CR46" s="1483"/>
      <c r="CS46" s="1483"/>
      <c r="CT46" s="1483"/>
      <c r="CU46" s="1484"/>
      <c r="CV46" s="1482">
        <v>367751</v>
      </c>
      <c r="CW46" s="1483"/>
      <c r="CX46" s="1483"/>
      <c r="CY46" s="1483"/>
      <c r="CZ46" s="1483"/>
      <c r="DA46" s="1483"/>
      <c r="DB46" s="1483"/>
      <c r="DC46" s="1483"/>
      <c r="DD46" s="1484"/>
      <c r="DE46" s="1482">
        <v>367751</v>
      </c>
      <c r="DF46" s="1483"/>
      <c r="DG46" s="1483"/>
      <c r="DH46" s="1483"/>
      <c r="DI46" s="1483"/>
      <c r="DJ46" s="1483"/>
      <c r="DK46" s="1483"/>
      <c r="DL46" s="1483"/>
      <c r="DM46" s="1484"/>
      <c r="DN46" s="1482">
        <v>365312</v>
      </c>
      <c r="DO46" s="1483"/>
      <c r="DP46" s="1483"/>
      <c r="DQ46" s="1483"/>
      <c r="DR46" s="1483"/>
      <c r="DS46" s="1483"/>
      <c r="DT46" s="1484"/>
      <c r="DU46" s="1482">
        <v>2051</v>
      </c>
      <c r="DV46" s="1483"/>
      <c r="DW46" s="1483"/>
      <c r="DX46" s="1483"/>
      <c r="DY46" s="1483"/>
      <c r="DZ46" s="1483"/>
      <c r="EA46" s="1484"/>
      <c r="EB46" s="1482">
        <v>367363</v>
      </c>
      <c r="EC46" s="1483"/>
      <c r="ED46" s="1483"/>
      <c r="EE46" s="1483"/>
      <c r="EF46" s="1483"/>
      <c r="EG46" s="1483"/>
      <c r="EH46" s="1484"/>
      <c r="EI46" s="1482">
        <v>388</v>
      </c>
      <c r="EJ46" s="1483"/>
      <c r="EK46" s="1483"/>
      <c r="EL46" s="1483"/>
      <c r="EM46" s="1483"/>
      <c r="EN46" s="1483"/>
      <c r="EO46" s="1484"/>
      <c r="EP46" s="1482"/>
      <c r="EQ46" s="1483"/>
      <c r="ER46" s="1483"/>
      <c r="ES46" s="1483"/>
      <c r="ET46" s="1483"/>
      <c r="EU46" s="1483"/>
      <c r="EV46" s="1483"/>
      <c r="EW46" s="1483"/>
      <c r="EX46" s="1483"/>
      <c r="EY46" s="1484"/>
    </row>
    <row r="47" spans="1:155" s="430" customFormat="1" ht="7.8">
      <c r="A47" s="1509" t="s">
        <v>1590</v>
      </c>
      <c r="B47" s="1510"/>
      <c r="C47" s="1510"/>
      <c r="D47" s="1510"/>
      <c r="E47" s="1510"/>
      <c r="F47" s="1510"/>
      <c r="G47" s="1510"/>
      <c r="H47" s="1510"/>
      <c r="I47" s="1510"/>
      <c r="J47" s="1510"/>
      <c r="K47" s="1510"/>
      <c r="L47" s="1510"/>
      <c r="M47" s="1510"/>
      <c r="N47" s="1510"/>
      <c r="O47" s="1510"/>
      <c r="P47" s="1510"/>
      <c r="Q47" s="1510"/>
      <c r="R47" s="1510"/>
      <c r="S47" s="1510"/>
      <c r="T47" s="1510"/>
      <c r="U47" s="1510"/>
      <c r="V47" s="1510"/>
      <c r="W47" s="1510"/>
      <c r="X47" s="1510"/>
      <c r="Y47" s="1510"/>
      <c r="Z47" s="1510"/>
      <c r="AA47" s="1510"/>
      <c r="AB47" s="1510"/>
      <c r="AC47" s="1510"/>
      <c r="AD47" s="1510"/>
      <c r="AE47" s="1510"/>
      <c r="AF47" s="1510"/>
      <c r="AG47" s="1510"/>
      <c r="AH47" s="1510"/>
      <c r="AI47" s="1510"/>
      <c r="AJ47" s="1510"/>
      <c r="AK47" s="1510"/>
      <c r="AL47" s="1510"/>
      <c r="AM47" s="1511"/>
      <c r="AN47" s="1494" t="s">
        <v>121</v>
      </c>
      <c r="AO47" s="1495"/>
      <c r="AP47" s="1495"/>
      <c r="AQ47" s="1495"/>
      <c r="AR47" s="1495"/>
      <c r="AS47" s="1495"/>
      <c r="AT47" s="1495"/>
      <c r="AU47" s="1496"/>
      <c r="AV47" s="1497" t="s">
        <v>1155</v>
      </c>
      <c r="AW47" s="1498"/>
      <c r="AX47" s="1498"/>
      <c r="AY47" s="1498"/>
      <c r="AZ47" s="1498"/>
      <c r="BA47" s="1499"/>
      <c r="BB47" s="1482">
        <f t="shared" si="3"/>
        <v>868626</v>
      </c>
      <c r="BC47" s="1483"/>
      <c r="BD47" s="1483"/>
      <c r="BE47" s="1483"/>
      <c r="BF47" s="1483"/>
      <c r="BG47" s="1483"/>
      <c r="BH47" s="1483"/>
      <c r="BI47" s="1483"/>
      <c r="BJ47" s="1484"/>
      <c r="BK47" s="1482">
        <f t="shared" si="4"/>
        <v>868626</v>
      </c>
      <c r="BL47" s="1483"/>
      <c r="BM47" s="1483"/>
      <c r="BN47" s="1483"/>
      <c r="BO47" s="1483"/>
      <c r="BP47" s="1483"/>
      <c r="BQ47" s="1483"/>
      <c r="BR47" s="1483"/>
      <c r="BS47" s="1484"/>
      <c r="BT47" s="1482">
        <f>792945+75670</f>
        <v>868615</v>
      </c>
      <c r="BU47" s="1483"/>
      <c r="BV47" s="1483"/>
      <c r="BW47" s="1483"/>
      <c r="BX47" s="1483"/>
      <c r="BY47" s="1483"/>
      <c r="BZ47" s="1484"/>
      <c r="CA47" s="1482">
        <v>9</v>
      </c>
      <c r="CB47" s="1483"/>
      <c r="CC47" s="1483"/>
      <c r="CD47" s="1483"/>
      <c r="CE47" s="1483"/>
      <c r="CF47" s="1483"/>
      <c r="CG47" s="1484"/>
      <c r="CH47" s="1475">
        <f t="shared" si="1"/>
        <v>868624</v>
      </c>
      <c r="CI47" s="1476"/>
      <c r="CJ47" s="1476"/>
      <c r="CK47" s="1476"/>
      <c r="CL47" s="1476"/>
      <c r="CM47" s="1476"/>
      <c r="CN47" s="1477"/>
      <c r="CO47" s="1482">
        <f>2</f>
        <v>2</v>
      </c>
      <c r="CP47" s="1483"/>
      <c r="CQ47" s="1483"/>
      <c r="CR47" s="1483"/>
      <c r="CS47" s="1483"/>
      <c r="CT47" s="1483"/>
      <c r="CU47" s="1484"/>
      <c r="CV47" s="1482">
        <v>997525</v>
      </c>
      <c r="CW47" s="1483"/>
      <c r="CX47" s="1483"/>
      <c r="CY47" s="1483"/>
      <c r="CZ47" s="1483"/>
      <c r="DA47" s="1483"/>
      <c r="DB47" s="1483"/>
      <c r="DC47" s="1483"/>
      <c r="DD47" s="1484"/>
      <c r="DE47" s="1482">
        <v>997525</v>
      </c>
      <c r="DF47" s="1483"/>
      <c r="DG47" s="1483"/>
      <c r="DH47" s="1483"/>
      <c r="DI47" s="1483"/>
      <c r="DJ47" s="1483"/>
      <c r="DK47" s="1483"/>
      <c r="DL47" s="1483"/>
      <c r="DM47" s="1484"/>
      <c r="DN47" s="1482">
        <v>997511</v>
      </c>
      <c r="DO47" s="1483"/>
      <c r="DP47" s="1483"/>
      <c r="DQ47" s="1483"/>
      <c r="DR47" s="1483"/>
      <c r="DS47" s="1483"/>
      <c r="DT47" s="1484"/>
      <c r="DU47" s="1482">
        <v>12</v>
      </c>
      <c r="DV47" s="1483"/>
      <c r="DW47" s="1483"/>
      <c r="DX47" s="1483"/>
      <c r="DY47" s="1483"/>
      <c r="DZ47" s="1483"/>
      <c r="EA47" s="1484"/>
      <c r="EB47" s="1482">
        <v>997523</v>
      </c>
      <c r="EC47" s="1483"/>
      <c r="ED47" s="1483"/>
      <c r="EE47" s="1483"/>
      <c r="EF47" s="1483"/>
      <c r="EG47" s="1483"/>
      <c r="EH47" s="1484"/>
      <c r="EI47" s="1482">
        <v>2</v>
      </c>
      <c r="EJ47" s="1483"/>
      <c r="EK47" s="1483"/>
      <c r="EL47" s="1483"/>
      <c r="EM47" s="1483"/>
      <c r="EN47" s="1483"/>
      <c r="EO47" s="1484"/>
      <c r="EP47" s="1482"/>
      <c r="EQ47" s="1483"/>
      <c r="ER47" s="1483"/>
      <c r="ES47" s="1483"/>
      <c r="ET47" s="1483"/>
      <c r="EU47" s="1483"/>
      <c r="EV47" s="1483"/>
      <c r="EW47" s="1483"/>
      <c r="EX47" s="1483"/>
      <c r="EY47" s="1484"/>
    </row>
    <row r="48" spans="1:155" s="430" customFormat="1" ht="16.5" customHeight="1">
      <c r="A48" s="1506" t="s">
        <v>1591</v>
      </c>
      <c r="B48" s="1507"/>
      <c r="C48" s="1507"/>
      <c r="D48" s="1507"/>
      <c r="E48" s="1507"/>
      <c r="F48" s="1507"/>
      <c r="G48" s="1507"/>
      <c r="H48" s="1507"/>
      <c r="I48" s="1507"/>
      <c r="J48" s="1507"/>
      <c r="K48" s="1507"/>
      <c r="L48" s="1507"/>
      <c r="M48" s="1507"/>
      <c r="N48" s="1507"/>
      <c r="O48" s="1507"/>
      <c r="P48" s="1507"/>
      <c r="Q48" s="1507"/>
      <c r="R48" s="1507"/>
      <c r="S48" s="1507"/>
      <c r="T48" s="1507"/>
      <c r="U48" s="1507"/>
      <c r="V48" s="1507"/>
      <c r="W48" s="1507"/>
      <c r="X48" s="1507"/>
      <c r="Y48" s="1507"/>
      <c r="Z48" s="1507"/>
      <c r="AA48" s="1507"/>
      <c r="AB48" s="1507"/>
      <c r="AC48" s="1507"/>
      <c r="AD48" s="1507"/>
      <c r="AE48" s="1507"/>
      <c r="AF48" s="1507"/>
      <c r="AG48" s="1507"/>
      <c r="AH48" s="1507"/>
      <c r="AI48" s="1507"/>
      <c r="AJ48" s="1507"/>
      <c r="AK48" s="1507"/>
      <c r="AL48" s="1507"/>
      <c r="AM48" s="1508"/>
      <c r="AN48" s="1494" t="s">
        <v>121</v>
      </c>
      <c r="AO48" s="1495"/>
      <c r="AP48" s="1495"/>
      <c r="AQ48" s="1495"/>
      <c r="AR48" s="1495"/>
      <c r="AS48" s="1495"/>
      <c r="AT48" s="1495"/>
      <c r="AU48" s="1496"/>
      <c r="AV48" s="1497" t="s">
        <v>1195</v>
      </c>
      <c r="AW48" s="1498"/>
      <c r="AX48" s="1498"/>
      <c r="AY48" s="1498"/>
      <c r="AZ48" s="1498"/>
      <c r="BA48" s="1499"/>
      <c r="BB48" s="1482">
        <f t="shared" si="3"/>
        <v>46492</v>
      </c>
      <c r="BC48" s="1483"/>
      <c r="BD48" s="1483"/>
      <c r="BE48" s="1483"/>
      <c r="BF48" s="1483"/>
      <c r="BG48" s="1483"/>
      <c r="BH48" s="1483"/>
      <c r="BI48" s="1483"/>
      <c r="BJ48" s="1484"/>
      <c r="BK48" s="1482">
        <f t="shared" si="4"/>
        <v>46492</v>
      </c>
      <c r="BL48" s="1483"/>
      <c r="BM48" s="1483"/>
      <c r="BN48" s="1483"/>
      <c r="BO48" s="1483"/>
      <c r="BP48" s="1483"/>
      <c r="BQ48" s="1483"/>
      <c r="BR48" s="1483"/>
      <c r="BS48" s="1484"/>
      <c r="BT48" s="1482">
        <f>43768+1439</f>
        <v>45207</v>
      </c>
      <c r="BU48" s="1483"/>
      <c r="BV48" s="1483"/>
      <c r="BW48" s="1483"/>
      <c r="BX48" s="1483"/>
      <c r="BY48" s="1483"/>
      <c r="BZ48" s="1484"/>
      <c r="CA48" s="1482">
        <f>1185</f>
        <v>1185</v>
      </c>
      <c r="CB48" s="1483"/>
      <c r="CC48" s="1483"/>
      <c r="CD48" s="1483"/>
      <c r="CE48" s="1483"/>
      <c r="CF48" s="1483"/>
      <c r="CG48" s="1484"/>
      <c r="CH48" s="1475">
        <f t="shared" si="1"/>
        <v>46392</v>
      </c>
      <c r="CI48" s="1476"/>
      <c r="CJ48" s="1476"/>
      <c r="CK48" s="1476"/>
      <c r="CL48" s="1476"/>
      <c r="CM48" s="1476"/>
      <c r="CN48" s="1477"/>
      <c r="CO48" s="1482">
        <f>100</f>
        <v>100</v>
      </c>
      <c r="CP48" s="1483"/>
      <c r="CQ48" s="1483"/>
      <c r="CR48" s="1483"/>
      <c r="CS48" s="1483"/>
      <c r="CT48" s="1483"/>
      <c r="CU48" s="1484"/>
      <c r="CV48" s="1482">
        <v>39437</v>
      </c>
      <c r="CW48" s="1483"/>
      <c r="CX48" s="1483"/>
      <c r="CY48" s="1483"/>
      <c r="CZ48" s="1483"/>
      <c r="DA48" s="1483"/>
      <c r="DB48" s="1483"/>
      <c r="DC48" s="1483"/>
      <c r="DD48" s="1484"/>
      <c r="DE48" s="1482">
        <v>39437</v>
      </c>
      <c r="DF48" s="1483"/>
      <c r="DG48" s="1483"/>
      <c r="DH48" s="1483"/>
      <c r="DI48" s="1483"/>
      <c r="DJ48" s="1483"/>
      <c r="DK48" s="1483"/>
      <c r="DL48" s="1483"/>
      <c r="DM48" s="1484"/>
      <c r="DN48" s="1482">
        <v>38018</v>
      </c>
      <c r="DO48" s="1483"/>
      <c r="DP48" s="1483"/>
      <c r="DQ48" s="1483"/>
      <c r="DR48" s="1483"/>
      <c r="DS48" s="1483"/>
      <c r="DT48" s="1484"/>
      <c r="DU48" s="1482">
        <v>1323</v>
      </c>
      <c r="DV48" s="1483"/>
      <c r="DW48" s="1483"/>
      <c r="DX48" s="1483"/>
      <c r="DY48" s="1483"/>
      <c r="DZ48" s="1483"/>
      <c r="EA48" s="1484"/>
      <c r="EB48" s="1482">
        <v>39341</v>
      </c>
      <c r="EC48" s="1483"/>
      <c r="ED48" s="1483"/>
      <c r="EE48" s="1483"/>
      <c r="EF48" s="1483"/>
      <c r="EG48" s="1483"/>
      <c r="EH48" s="1484"/>
      <c r="EI48" s="1482">
        <v>96</v>
      </c>
      <c r="EJ48" s="1483"/>
      <c r="EK48" s="1483"/>
      <c r="EL48" s="1483"/>
      <c r="EM48" s="1483"/>
      <c r="EN48" s="1483"/>
      <c r="EO48" s="1484"/>
      <c r="EP48" s="1482"/>
      <c r="EQ48" s="1483"/>
      <c r="ER48" s="1483"/>
      <c r="ES48" s="1483"/>
      <c r="ET48" s="1483"/>
      <c r="EU48" s="1483"/>
      <c r="EV48" s="1483"/>
      <c r="EW48" s="1483"/>
      <c r="EX48" s="1483"/>
      <c r="EY48" s="1484"/>
    </row>
    <row r="49" spans="1:155" s="430" customFormat="1" ht="16.5" customHeight="1">
      <c r="A49" s="1506" t="s">
        <v>1592</v>
      </c>
      <c r="B49" s="1507"/>
      <c r="C49" s="1507"/>
      <c r="D49" s="1507"/>
      <c r="E49" s="1507"/>
      <c r="F49" s="1507"/>
      <c r="G49" s="1507"/>
      <c r="H49" s="1507"/>
      <c r="I49" s="1507"/>
      <c r="J49" s="1507"/>
      <c r="K49" s="1507"/>
      <c r="L49" s="1507"/>
      <c r="M49" s="1507"/>
      <c r="N49" s="1507"/>
      <c r="O49" s="1507"/>
      <c r="P49" s="1507"/>
      <c r="Q49" s="1507"/>
      <c r="R49" s="1507"/>
      <c r="S49" s="1507"/>
      <c r="T49" s="1507"/>
      <c r="U49" s="1507"/>
      <c r="V49" s="1507"/>
      <c r="W49" s="1507"/>
      <c r="X49" s="1507"/>
      <c r="Y49" s="1507"/>
      <c r="Z49" s="1507"/>
      <c r="AA49" s="1507"/>
      <c r="AB49" s="1507"/>
      <c r="AC49" s="1507"/>
      <c r="AD49" s="1507"/>
      <c r="AE49" s="1507"/>
      <c r="AF49" s="1507"/>
      <c r="AG49" s="1507"/>
      <c r="AH49" s="1507"/>
      <c r="AI49" s="1507"/>
      <c r="AJ49" s="1507"/>
      <c r="AK49" s="1507"/>
      <c r="AL49" s="1507"/>
      <c r="AM49" s="1508"/>
      <c r="AN49" s="1494" t="s">
        <v>121</v>
      </c>
      <c r="AO49" s="1495"/>
      <c r="AP49" s="1495"/>
      <c r="AQ49" s="1495"/>
      <c r="AR49" s="1495"/>
      <c r="AS49" s="1495"/>
      <c r="AT49" s="1495"/>
      <c r="AU49" s="1496"/>
      <c r="AV49" s="1497" t="s">
        <v>1281</v>
      </c>
      <c r="AW49" s="1498"/>
      <c r="AX49" s="1498"/>
      <c r="AY49" s="1498"/>
      <c r="AZ49" s="1498"/>
      <c r="BA49" s="1499"/>
      <c r="BB49" s="1482">
        <f t="shared" si="3"/>
        <v>605590</v>
      </c>
      <c r="BC49" s="1483"/>
      <c r="BD49" s="1483"/>
      <c r="BE49" s="1483"/>
      <c r="BF49" s="1483"/>
      <c r="BG49" s="1483"/>
      <c r="BH49" s="1483"/>
      <c r="BI49" s="1483"/>
      <c r="BJ49" s="1484"/>
      <c r="BK49" s="1482">
        <f t="shared" si="4"/>
        <v>605590</v>
      </c>
      <c r="BL49" s="1483"/>
      <c r="BM49" s="1483"/>
      <c r="BN49" s="1483"/>
      <c r="BO49" s="1483"/>
      <c r="BP49" s="1483"/>
      <c r="BQ49" s="1483"/>
      <c r="BR49" s="1483"/>
      <c r="BS49" s="1484"/>
      <c r="BT49" s="1482">
        <v>596159</v>
      </c>
      <c r="BU49" s="1483"/>
      <c r="BV49" s="1483"/>
      <c r="BW49" s="1483"/>
      <c r="BX49" s="1483"/>
      <c r="BY49" s="1483"/>
      <c r="BZ49" s="1484"/>
      <c r="CA49" s="1482">
        <v>8020</v>
      </c>
      <c r="CB49" s="1483"/>
      <c r="CC49" s="1483"/>
      <c r="CD49" s="1483"/>
      <c r="CE49" s="1483"/>
      <c r="CF49" s="1483"/>
      <c r="CG49" s="1484"/>
      <c r="CH49" s="1475">
        <f t="shared" si="1"/>
        <v>604179</v>
      </c>
      <c r="CI49" s="1476"/>
      <c r="CJ49" s="1476"/>
      <c r="CK49" s="1476"/>
      <c r="CL49" s="1476"/>
      <c r="CM49" s="1476"/>
      <c r="CN49" s="1477"/>
      <c r="CO49" s="1482">
        <v>1411</v>
      </c>
      <c r="CP49" s="1483"/>
      <c r="CQ49" s="1483"/>
      <c r="CR49" s="1483"/>
      <c r="CS49" s="1483"/>
      <c r="CT49" s="1483"/>
      <c r="CU49" s="1484"/>
      <c r="CV49" s="1482">
        <v>427242</v>
      </c>
      <c r="CW49" s="1483"/>
      <c r="CX49" s="1483"/>
      <c r="CY49" s="1483"/>
      <c r="CZ49" s="1483"/>
      <c r="DA49" s="1483"/>
      <c r="DB49" s="1483"/>
      <c r="DC49" s="1483"/>
      <c r="DD49" s="1484"/>
      <c r="DE49" s="1482">
        <v>427242</v>
      </c>
      <c r="DF49" s="1483"/>
      <c r="DG49" s="1483"/>
      <c r="DH49" s="1483"/>
      <c r="DI49" s="1483"/>
      <c r="DJ49" s="1483"/>
      <c r="DK49" s="1483"/>
      <c r="DL49" s="1483"/>
      <c r="DM49" s="1484"/>
      <c r="DN49" s="1482">
        <v>419796</v>
      </c>
      <c r="DO49" s="1483"/>
      <c r="DP49" s="1483"/>
      <c r="DQ49" s="1483"/>
      <c r="DR49" s="1483"/>
      <c r="DS49" s="1483"/>
      <c r="DT49" s="1484"/>
      <c r="DU49" s="1482">
        <v>2842</v>
      </c>
      <c r="DV49" s="1483"/>
      <c r="DW49" s="1483"/>
      <c r="DX49" s="1483"/>
      <c r="DY49" s="1483"/>
      <c r="DZ49" s="1483"/>
      <c r="EA49" s="1484"/>
      <c r="EB49" s="1482">
        <v>422638</v>
      </c>
      <c r="EC49" s="1483"/>
      <c r="ED49" s="1483"/>
      <c r="EE49" s="1483"/>
      <c r="EF49" s="1483"/>
      <c r="EG49" s="1483"/>
      <c r="EH49" s="1484"/>
      <c r="EI49" s="1482">
        <v>4604</v>
      </c>
      <c r="EJ49" s="1483"/>
      <c r="EK49" s="1483"/>
      <c r="EL49" s="1483"/>
      <c r="EM49" s="1483"/>
      <c r="EN49" s="1483"/>
      <c r="EO49" s="1484"/>
      <c r="EP49" s="1482"/>
      <c r="EQ49" s="1483"/>
      <c r="ER49" s="1483"/>
      <c r="ES49" s="1483"/>
      <c r="ET49" s="1483"/>
      <c r="EU49" s="1483"/>
      <c r="EV49" s="1483"/>
      <c r="EW49" s="1483"/>
      <c r="EX49" s="1483"/>
      <c r="EY49" s="1484"/>
    </row>
    <row r="50" spans="1:155" s="430" customFormat="1" ht="7.8">
      <c r="A50" s="1506" t="s">
        <v>1305</v>
      </c>
      <c r="B50" s="1507"/>
      <c r="C50" s="1507"/>
      <c r="D50" s="1507"/>
      <c r="E50" s="1507"/>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1507"/>
      <c r="AB50" s="1507"/>
      <c r="AC50" s="1507"/>
      <c r="AD50" s="1507"/>
      <c r="AE50" s="1507"/>
      <c r="AF50" s="1507"/>
      <c r="AG50" s="1507"/>
      <c r="AH50" s="1507"/>
      <c r="AI50" s="1507"/>
      <c r="AJ50" s="1507"/>
      <c r="AK50" s="1507"/>
      <c r="AL50" s="1507"/>
      <c r="AM50" s="1508"/>
      <c r="AN50" s="1494" t="s">
        <v>121</v>
      </c>
      <c r="AO50" s="1495"/>
      <c r="AP50" s="1495"/>
      <c r="AQ50" s="1495"/>
      <c r="AR50" s="1495"/>
      <c r="AS50" s="1495"/>
      <c r="AT50" s="1495"/>
      <c r="AU50" s="1496"/>
      <c r="AV50" s="1497" t="s">
        <v>1331</v>
      </c>
      <c r="AW50" s="1498"/>
      <c r="AX50" s="1498"/>
      <c r="AY50" s="1498"/>
      <c r="AZ50" s="1498"/>
      <c r="BA50" s="1499"/>
      <c r="BB50" s="1482">
        <f t="shared" si="3"/>
        <v>270529</v>
      </c>
      <c r="BC50" s="1483"/>
      <c r="BD50" s="1483"/>
      <c r="BE50" s="1483"/>
      <c r="BF50" s="1483"/>
      <c r="BG50" s="1483"/>
      <c r="BH50" s="1483"/>
      <c r="BI50" s="1483"/>
      <c r="BJ50" s="1484"/>
      <c r="BK50" s="1482">
        <f>BB50</f>
        <v>270529</v>
      </c>
      <c r="BL50" s="1483"/>
      <c r="BM50" s="1483"/>
      <c r="BN50" s="1483"/>
      <c r="BO50" s="1483"/>
      <c r="BP50" s="1483"/>
      <c r="BQ50" s="1483"/>
      <c r="BR50" s="1483"/>
      <c r="BS50" s="1484"/>
      <c r="BT50" s="1482">
        <f>BT21-BT22-BT30-BT35-BT43-BT44-BT45-BT48-BT49-BT51</f>
        <v>254694</v>
      </c>
      <c r="BU50" s="1483"/>
      <c r="BV50" s="1483"/>
      <c r="BW50" s="1483"/>
      <c r="BX50" s="1483"/>
      <c r="BY50" s="1483"/>
      <c r="BZ50" s="1484"/>
      <c r="CA50" s="1482">
        <f>CA21-CA22-CA30-CA35-CA43-CA44-CA45-CA48-CA49-CA51</f>
        <v>14498</v>
      </c>
      <c r="CB50" s="1483"/>
      <c r="CC50" s="1483"/>
      <c r="CD50" s="1483"/>
      <c r="CE50" s="1483"/>
      <c r="CF50" s="1483"/>
      <c r="CG50" s="1484"/>
      <c r="CH50" s="1475">
        <f t="shared" si="1"/>
        <v>269192</v>
      </c>
      <c r="CI50" s="1476"/>
      <c r="CJ50" s="1476"/>
      <c r="CK50" s="1476"/>
      <c r="CL50" s="1476"/>
      <c r="CM50" s="1476"/>
      <c r="CN50" s="1477"/>
      <c r="CO50" s="1482">
        <f>CO21-CO22-CO30-CO35-CO43-CO44-CO45-CO48-CO49-CO51</f>
        <v>1337</v>
      </c>
      <c r="CP50" s="1483"/>
      <c r="CQ50" s="1483"/>
      <c r="CR50" s="1483"/>
      <c r="CS50" s="1483"/>
      <c r="CT50" s="1483"/>
      <c r="CU50" s="1484"/>
      <c r="CV50" s="1482">
        <v>368383</v>
      </c>
      <c r="CW50" s="1483"/>
      <c r="CX50" s="1483"/>
      <c r="CY50" s="1483"/>
      <c r="CZ50" s="1483"/>
      <c r="DA50" s="1483"/>
      <c r="DB50" s="1483"/>
      <c r="DC50" s="1483"/>
      <c r="DD50" s="1484"/>
      <c r="DE50" s="1482">
        <v>368383</v>
      </c>
      <c r="DF50" s="1483"/>
      <c r="DG50" s="1483"/>
      <c r="DH50" s="1483"/>
      <c r="DI50" s="1483"/>
      <c r="DJ50" s="1483"/>
      <c r="DK50" s="1483"/>
      <c r="DL50" s="1483"/>
      <c r="DM50" s="1484"/>
      <c r="DN50" s="1482">
        <v>356935</v>
      </c>
      <c r="DO50" s="1483"/>
      <c r="DP50" s="1483"/>
      <c r="DQ50" s="1483"/>
      <c r="DR50" s="1483"/>
      <c r="DS50" s="1483"/>
      <c r="DT50" s="1484"/>
      <c r="DU50" s="1482">
        <v>9985</v>
      </c>
      <c r="DV50" s="1483"/>
      <c r="DW50" s="1483"/>
      <c r="DX50" s="1483"/>
      <c r="DY50" s="1483"/>
      <c r="DZ50" s="1483"/>
      <c r="EA50" s="1484"/>
      <c r="EB50" s="1482">
        <v>366920</v>
      </c>
      <c r="EC50" s="1483"/>
      <c r="ED50" s="1483"/>
      <c r="EE50" s="1483"/>
      <c r="EF50" s="1483"/>
      <c r="EG50" s="1483"/>
      <c r="EH50" s="1484"/>
      <c r="EI50" s="1482">
        <v>1463</v>
      </c>
      <c r="EJ50" s="1483"/>
      <c r="EK50" s="1483"/>
      <c r="EL50" s="1483"/>
      <c r="EM50" s="1483"/>
      <c r="EN50" s="1483"/>
      <c r="EO50" s="1484"/>
      <c r="EP50" s="1482"/>
      <c r="EQ50" s="1483"/>
      <c r="ER50" s="1483"/>
      <c r="ES50" s="1483"/>
      <c r="ET50" s="1483"/>
      <c r="EU50" s="1483"/>
      <c r="EV50" s="1483"/>
      <c r="EW50" s="1483"/>
      <c r="EX50" s="1483"/>
      <c r="EY50" s="1484"/>
    </row>
    <row r="51" spans="1:155" s="430" customFormat="1" ht="16.5" customHeight="1">
      <c r="A51" s="1500" t="s">
        <v>1593</v>
      </c>
      <c r="B51" s="1501"/>
      <c r="C51" s="1501"/>
      <c r="D51" s="1501"/>
      <c r="E51" s="1501"/>
      <c r="F51" s="1501"/>
      <c r="G51" s="1501"/>
      <c r="H51" s="1501"/>
      <c r="I51" s="1501"/>
      <c r="J51" s="1501"/>
      <c r="K51" s="1501"/>
      <c r="L51" s="1501"/>
      <c r="M51" s="1501"/>
      <c r="N51" s="1501"/>
      <c r="O51" s="1501"/>
      <c r="P51" s="1501"/>
      <c r="Q51" s="1501"/>
      <c r="R51" s="1501"/>
      <c r="S51" s="1501"/>
      <c r="T51" s="1501"/>
      <c r="U51" s="1501"/>
      <c r="V51" s="1501"/>
      <c r="W51" s="1501"/>
      <c r="X51" s="1501"/>
      <c r="Y51" s="1501"/>
      <c r="Z51" s="1501"/>
      <c r="AA51" s="1501"/>
      <c r="AB51" s="1501"/>
      <c r="AC51" s="1501"/>
      <c r="AD51" s="1501"/>
      <c r="AE51" s="1501"/>
      <c r="AF51" s="1501"/>
      <c r="AG51" s="1501"/>
      <c r="AH51" s="1501"/>
      <c r="AI51" s="1501"/>
      <c r="AJ51" s="1501"/>
      <c r="AK51" s="1501"/>
      <c r="AL51" s="1501"/>
      <c r="AM51" s="1502"/>
      <c r="AN51" s="1488" t="s">
        <v>121</v>
      </c>
      <c r="AO51" s="1489"/>
      <c r="AP51" s="1489"/>
      <c r="AQ51" s="1489"/>
      <c r="AR51" s="1489"/>
      <c r="AS51" s="1489"/>
      <c r="AT51" s="1489"/>
      <c r="AU51" s="1490"/>
      <c r="AV51" s="1491" t="s">
        <v>1594</v>
      </c>
      <c r="AW51" s="1492"/>
      <c r="AX51" s="1492"/>
      <c r="AY51" s="1492"/>
      <c r="AZ51" s="1492"/>
      <c r="BA51" s="1493"/>
      <c r="BB51" s="1482">
        <f t="shared" si="3"/>
        <v>899419</v>
      </c>
      <c r="BC51" s="1483"/>
      <c r="BD51" s="1483"/>
      <c r="BE51" s="1483"/>
      <c r="BF51" s="1483"/>
      <c r="BG51" s="1483"/>
      <c r="BH51" s="1483"/>
      <c r="BI51" s="1483"/>
      <c r="BJ51" s="1484"/>
      <c r="BK51" s="1482">
        <f t="shared" si="4"/>
        <v>899419</v>
      </c>
      <c r="BL51" s="1483"/>
      <c r="BM51" s="1483"/>
      <c r="BN51" s="1483"/>
      <c r="BO51" s="1483"/>
      <c r="BP51" s="1483"/>
      <c r="BQ51" s="1483"/>
      <c r="BR51" s="1483"/>
      <c r="BS51" s="1484"/>
      <c r="BT51" s="1475">
        <f>BT52+BT53+BT54+BT55+BT56</f>
        <v>808127</v>
      </c>
      <c r="BU51" s="1476"/>
      <c r="BV51" s="1476"/>
      <c r="BW51" s="1476"/>
      <c r="BX51" s="1476"/>
      <c r="BY51" s="1476"/>
      <c r="BZ51" s="1477"/>
      <c r="CA51" s="1475">
        <f>CA52+CA53+CA54+CA55+CA56</f>
        <v>62865</v>
      </c>
      <c r="CB51" s="1476"/>
      <c r="CC51" s="1476"/>
      <c r="CD51" s="1476"/>
      <c r="CE51" s="1476"/>
      <c r="CF51" s="1476"/>
      <c r="CG51" s="1477"/>
      <c r="CH51" s="1475">
        <f t="shared" si="1"/>
        <v>870992</v>
      </c>
      <c r="CI51" s="1476"/>
      <c r="CJ51" s="1476"/>
      <c r="CK51" s="1476"/>
      <c r="CL51" s="1476"/>
      <c r="CM51" s="1476"/>
      <c r="CN51" s="1477"/>
      <c r="CO51" s="1475">
        <f>CO52+CO53+CO54+CO55+CO56</f>
        <v>28427</v>
      </c>
      <c r="CP51" s="1476"/>
      <c r="CQ51" s="1476"/>
      <c r="CR51" s="1476"/>
      <c r="CS51" s="1476"/>
      <c r="CT51" s="1476"/>
      <c r="CU51" s="1477"/>
      <c r="CV51" s="1482">
        <v>687561</v>
      </c>
      <c r="CW51" s="1483"/>
      <c r="CX51" s="1483"/>
      <c r="CY51" s="1483"/>
      <c r="CZ51" s="1483"/>
      <c r="DA51" s="1483"/>
      <c r="DB51" s="1483"/>
      <c r="DC51" s="1483"/>
      <c r="DD51" s="1484"/>
      <c r="DE51" s="1482">
        <v>687561</v>
      </c>
      <c r="DF51" s="1483"/>
      <c r="DG51" s="1483"/>
      <c r="DH51" s="1483"/>
      <c r="DI51" s="1483"/>
      <c r="DJ51" s="1483"/>
      <c r="DK51" s="1483"/>
      <c r="DL51" s="1483"/>
      <c r="DM51" s="1484"/>
      <c r="DN51" s="1475">
        <v>519657</v>
      </c>
      <c r="DO51" s="1476"/>
      <c r="DP51" s="1476"/>
      <c r="DQ51" s="1476"/>
      <c r="DR51" s="1476"/>
      <c r="DS51" s="1476"/>
      <c r="DT51" s="1477"/>
      <c r="DU51" s="1475">
        <v>45511</v>
      </c>
      <c r="DV51" s="1476"/>
      <c r="DW51" s="1476"/>
      <c r="DX51" s="1476"/>
      <c r="DY51" s="1476"/>
      <c r="DZ51" s="1476"/>
      <c r="EA51" s="1477"/>
      <c r="EB51" s="1482">
        <v>565168</v>
      </c>
      <c r="EC51" s="1483"/>
      <c r="ED51" s="1483"/>
      <c r="EE51" s="1483"/>
      <c r="EF51" s="1483"/>
      <c r="EG51" s="1483"/>
      <c r="EH51" s="1484"/>
      <c r="EI51" s="1475">
        <v>122393</v>
      </c>
      <c r="EJ51" s="1476"/>
      <c r="EK51" s="1476"/>
      <c r="EL51" s="1476"/>
      <c r="EM51" s="1476"/>
      <c r="EN51" s="1476"/>
      <c r="EO51" s="1477"/>
      <c r="EP51" s="1482"/>
      <c r="EQ51" s="1483"/>
      <c r="ER51" s="1483"/>
      <c r="ES51" s="1483"/>
      <c r="ET51" s="1483"/>
      <c r="EU51" s="1483"/>
      <c r="EV51" s="1483"/>
      <c r="EW51" s="1483"/>
      <c r="EX51" s="1483"/>
      <c r="EY51" s="1484"/>
    </row>
    <row r="52" spans="1:155" s="430" customFormat="1" ht="7.8">
      <c r="A52" s="1506" t="s">
        <v>1595</v>
      </c>
      <c r="B52" s="1507"/>
      <c r="C52" s="1507"/>
      <c r="D52" s="1507"/>
      <c r="E52" s="1507"/>
      <c r="F52" s="1507"/>
      <c r="G52" s="1507"/>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c r="AI52" s="1507"/>
      <c r="AJ52" s="1507"/>
      <c r="AK52" s="1507"/>
      <c r="AL52" s="1507"/>
      <c r="AM52" s="1508"/>
      <c r="AN52" s="1488" t="s">
        <v>121</v>
      </c>
      <c r="AO52" s="1489"/>
      <c r="AP52" s="1489"/>
      <c r="AQ52" s="1489"/>
      <c r="AR52" s="1489"/>
      <c r="AS52" s="1489"/>
      <c r="AT52" s="1489"/>
      <c r="AU52" s="1490"/>
      <c r="AV52" s="1491" t="s">
        <v>1404</v>
      </c>
      <c r="AW52" s="1492"/>
      <c r="AX52" s="1492"/>
      <c r="AY52" s="1492"/>
      <c r="AZ52" s="1492"/>
      <c r="BA52" s="1493"/>
      <c r="BB52" s="1482">
        <f t="shared" si="3"/>
        <v>0</v>
      </c>
      <c r="BC52" s="1483"/>
      <c r="BD52" s="1483"/>
      <c r="BE52" s="1483"/>
      <c r="BF52" s="1483"/>
      <c r="BG52" s="1483"/>
      <c r="BH52" s="1483"/>
      <c r="BI52" s="1483"/>
      <c r="BJ52" s="1484"/>
      <c r="BK52" s="1482">
        <f t="shared" si="4"/>
        <v>0</v>
      </c>
      <c r="BL52" s="1483"/>
      <c r="BM52" s="1483"/>
      <c r="BN52" s="1483"/>
      <c r="BO52" s="1483"/>
      <c r="BP52" s="1483"/>
      <c r="BQ52" s="1483"/>
      <c r="BR52" s="1483"/>
      <c r="BS52" s="1484"/>
      <c r="BT52" s="1475"/>
      <c r="BU52" s="1476"/>
      <c r="BV52" s="1476"/>
      <c r="BW52" s="1476"/>
      <c r="BX52" s="1476"/>
      <c r="BY52" s="1476"/>
      <c r="BZ52" s="1477"/>
      <c r="CA52" s="1475"/>
      <c r="CB52" s="1476"/>
      <c r="CC52" s="1476"/>
      <c r="CD52" s="1476"/>
      <c r="CE52" s="1476"/>
      <c r="CF52" s="1476"/>
      <c r="CG52" s="1477"/>
      <c r="CH52" s="1475">
        <f t="shared" si="1"/>
        <v>0</v>
      </c>
      <c r="CI52" s="1476"/>
      <c r="CJ52" s="1476"/>
      <c r="CK52" s="1476"/>
      <c r="CL52" s="1476"/>
      <c r="CM52" s="1476"/>
      <c r="CN52" s="1477"/>
      <c r="CO52" s="1475"/>
      <c r="CP52" s="1476"/>
      <c r="CQ52" s="1476"/>
      <c r="CR52" s="1476"/>
      <c r="CS52" s="1476"/>
      <c r="CT52" s="1476"/>
      <c r="CU52" s="1477"/>
      <c r="CV52" s="1482">
        <v>0</v>
      </c>
      <c r="CW52" s="1483"/>
      <c r="CX52" s="1483"/>
      <c r="CY52" s="1483"/>
      <c r="CZ52" s="1483"/>
      <c r="DA52" s="1483"/>
      <c r="DB52" s="1483"/>
      <c r="DC52" s="1483"/>
      <c r="DD52" s="1484"/>
      <c r="DE52" s="1482">
        <v>0</v>
      </c>
      <c r="DF52" s="1483"/>
      <c r="DG52" s="1483"/>
      <c r="DH52" s="1483"/>
      <c r="DI52" s="1483"/>
      <c r="DJ52" s="1483"/>
      <c r="DK52" s="1483"/>
      <c r="DL52" s="1483"/>
      <c r="DM52" s="1484"/>
      <c r="DN52" s="1475"/>
      <c r="DO52" s="1476"/>
      <c r="DP52" s="1476"/>
      <c r="DQ52" s="1476"/>
      <c r="DR52" s="1476"/>
      <c r="DS52" s="1476"/>
      <c r="DT52" s="1477"/>
      <c r="DU52" s="1475"/>
      <c r="DV52" s="1476"/>
      <c r="DW52" s="1476"/>
      <c r="DX52" s="1476"/>
      <c r="DY52" s="1476"/>
      <c r="DZ52" s="1476"/>
      <c r="EA52" s="1477"/>
      <c r="EB52" s="1482">
        <v>0</v>
      </c>
      <c r="EC52" s="1483"/>
      <c r="ED52" s="1483"/>
      <c r="EE52" s="1483"/>
      <c r="EF52" s="1483"/>
      <c r="EG52" s="1483"/>
      <c r="EH52" s="1484"/>
      <c r="EI52" s="1475"/>
      <c r="EJ52" s="1476"/>
      <c r="EK52" s="1476"/>
      <c r="EL52" s="1476"/>
      <c r="EM52" s="1476"/>
      <c r="EN52" s="1476"/>
      <c r="EO52" s="1477"/>
      <c r="EP52" s="1482"/>
      <c r="EQ52" s="1483"/>
      <c r="ER52" s="1483"/>
      <c r="ES52" s="1483"/>
      <c r="ET52" s="1483"/>
      <c r="EU52" s="1483"/>
      <c r="EV52" s="1483"/>
      <c r="EW52" s="1483"/>
      <c r="EX52" s="1483"/>
      <c r="EY52" s="1484"/>
    </row>
    <row r="53" spans="1:155" s="430" customFormat="1" ht="7.8">
      <c r="A53" s="1506" t="s">
        <v>1596</v>
      </c>
      <c r="B53" s="1507"/>
      <c r="C53" s="1507"/>
      <c r="D53" s="1507"/>
      <c r="E53" s="1507"/>
      <c r="F53" s="1507"/>
      <c r="G53" s="1507"/>
      <c r="H53" s="1507"/>
      <c r="I53" s="1507"/>
      <c r="J53" s="1507"/>
      <c r="K53" s="1507"/>
      <c r="L53" s="1507"/>
      <c r="M53" s="1507"/>
      <c r="N53" s="1507"/>
      <c r="O53" s="1507"/>
      <c r="P53" s="1507"/>
      <c r="Q53" s="1507"/>
      <c r="R53" s="1507"/>
      <c r="S53" s="1507"/>
      <c r="T53" s="1507"/>
      <c r="U53" s="1507"/>
      <c r="V53" s="1507"/>
      <c r="W53" s="1507"/>
      <c r="X53" s="1507"/>
      <c r="Y53" s="1507"/>
      <c r="Z53" s="1507"/>
      <c r="AA53" s="1507"/>
      <c r="AB53" s="1507"/>
      <c r="AC53" s="1507"/>
      <c r="AD53" s="1507"/>
      <c r="AE53" s="1507"/>
      <c r="AF53" s="1507"/>
      <c r="AG53" s="1507"/>
      <c r="AH53" s="1507"/>
      <c r="AI53" s="1507"/>
      <c r="AJ53" s="1507"/>
      <c r="AK53" s="1507"/>
      <c r="AL53" s="1507"/>
      <c r="AM53" s="1508"/>
      <c r="AN53" s="1488" t="s">
        <v>121</v>
      </c>
      <c r="AO53" s="1489"/>
      <c r="AP53" s="1489"/>
      <c r="AQ53" s="1489"/>
      <c r="AR53" s="1489"/>
      <c r="AS53" s="1489"/>
      <c r="AT53" s="1489"/>
      <c r="AU53" s="1490"/>
      <c r="AV53" s="1491" t="s">
        <v>1248</v>
      </c>
      <c r="AW53" s="1492"/>
      <c r="AX53" s="1492"/>
      <c r="AY53" s="1492"/>
      <c r="AZ53" s="1492"/>
      <c r="BA53" s="1493"/>
      <c r="BB53" s="1482">
        <f t="shared" si="3"/>
        <v>0</v>
      </c>
      <c r="BC53" s="1483"/>
      <c r="BD53" s="1483"/>
      <c r="BE53" s="1483"/>
      <c r="BF53" s="1483"/>
      <c r="BG53" s="1483"/>
      <c r="BH53" s="1483"/>
      <c r="BI53" s="1483"/>
      <c r="BJ53" s="1484"/>
      <c r="BK53" s="1482">
        <f t="shared" si="4"/>
        <v>0</v>
      </c>
      <c r="BL53" s="1483"/>
      <c r="BM53" s="1483"/>
      <c r="BN53" s="1483"/>
      <c r="BO53" s="1483"/>
      <c r="BP53" s="1483"/>
      <c r="BQ53" s="1483"/>
      <c r="BR53" s="1483"/>
      <c r="BS53" s="1484"/>
      <c r="BT53" s="1475"/>
      <c r="BU53" s="1476"/>
      <c r="BV53" s="1476"/>
      <c r="BW53" s="1476"/>
      <c r="BX53" s="1476"/>
      <c r="BY53" s="1476"/>
      <c r="BZ53" s="1477"/>
      <c r="CA53" s="1475"/>
      <c r="CB53" s="1476"/>
      <c r="CC53" s="1476"/>
      <c r="CD53" s="1476"/>
      <c r="CE53" s="1476"/>
      <c r="CF53" s="1476"/>
      <c r="CG53" s="1477"/>
      <c r="CH53" s="1475">
        <f t="shared" si="1"/>
        <v>0</v>
      </c>
      <c r="CI53" s="1476"/>
      <c r="CJ53" s="1476"/>
      <c r="CK53" s="1476"/>
      <c r="CL53" s="1476"/>
      <c r="CM53" s="1476"/>
      <c r="CN53" s="1477"/>
      <c r="CO53" s="1475"/>
      <c r="CP53" s="1476"/>
      <c r="CQ53" s="1476"/>
      <c r="CR53" s="1476"/>
      <c r="CS53" s="1476"/>
      <c r="CT53" s="1476"/>
      <c r="CU53" s="1477"/>
      <c r="CV53" s="1482">
        <v>0</v>
      </c>
      <c r="CW53" s="1483"/>
      <c r="CX53" s="1483"/>
      <c r="CY53" s="1483"/>
      <c r="CZ53" s="1483"/>
      <c r="DA53" s="1483"/>
      <c r="DB53" s="1483"/>
      <c r="DC53" s="1483"/>
      <c r="DD53" s="1484"/>
      <c r="DE53" s="1482">
        <v>0</v>
      </c>
      <c r="DF53" s="1483"/>
      <c r="DG53" s="1483"/>
      <c r="DH53" s="1483"/>
      <c r="DI53" s="1483"/>
      <c r="DJ53" s="1483"/>
      <c r="DK53" s="1483"/>
      <c r="DL53" s="1483"/>
      <c r="DM53" s="1484"/>
      <c r="DN53" s="1475"/>
      <c r="DO53" s="1476"/>
      <c r="DP53" s="1476"/>
      <c r="DQ53" s="1476"/>
      <c r="DR53" s="1476"/>
      <c r="DS53" s="1476"/>
      <c r="DT53" s="1477"/>
      <c r="DU53" s="1475"/>
      <c r="DV53" s="1476"/>
      <c r="DW53" s="1476"/>
      <c r="DX53" s="1476"/>
      <c r="DY53" s="1476"/>
      <c r="DZ53" s="1476"/>
      <c r="EA53" s="1477"/>
      <c r="EB53" s="1482">
        <v>0</v>
      </c>
      <c r="EC53" s="1483"/>
      <c r="ED53" s="1483"/>
      <c r="EE53" s="1483"/>
      <c r="EF53" s="1483"/>
      <c r="EG53" s="1483"/>
      <c r="EH53" s="1484"/>
      <c r="EI53" s="1475"/>
      <c r="EJ53" s="1476"/>
      <c r="EK53" s="1476"/>
      <c r="EL53" s="1476"/>
      <c r="EM53" s="1476"/>
      <c r="EN53" s="1476"/>
      <c r="EO53" s="1477"/>
      <c r="EP53" s="1482"/>
      <c r="EQ53" s="1483"/>
      <c r="ER53" s="1483"/>
      <c r="ES53" s="1483"/>
      <c r="ET53" s="1483"/>
      <c r="EU53" s="1483"/>
      <c r="EV53" s="1483"/>
      <c r="EW53" s="1483"/>
      <c r="EX53" s="1483"/>
      <c r="EY53" s="1484"/>
    </row>
    <row r="54" spans="1:155" s="430" customFormat="1" ht="7.8">
      <c r="A54" s="1506" t="s">
        <v>1597</v>
      </c>
      <c r="B54" s="1507"/>
      <c r="C54" s="1507"/>
      <c r="D54" s="1507"/>
      <c r="E54" s="1507"/>
      <c r="F54" s="1507"/>
      <c r="G54" s="1507"/>
      <c r="H54" s="1507"/>
      <c r="I54" s="1507"/>
      <c r="J54" s="1507"/>
      <c r="K54" s="1507"/>
      <c r="L54" s="1507"/>
      <c r="M54" s="1507"/>
      <c r="N54" s="1507"/>
      <c r="O54" s="1507"/>
      <c r="P54" s="1507"/>
      <c r="Q54" s="1507"/>
      <c r="R54" s="1507"/>
      <c r="S54" s="1507"/>
      <c r="T54" s="1507"/>
      <c r="U54" s="1507"/>
      <c r="V54" s="1507"/>
      <c r="W54" s="1507"/>
      <c r="X54" s="1507"/>
      <c r="Y54" s="1507"/>
      <c r="Z54" s="1507"/>
      <c r="AA54" s="1507"/>
      <c r="AB54" s="1507"/>
      <c r="AC54" s="1507"/>
      <c r="AD54" s="1507"/>
      <c r="AE54" s="1507"/>
      <c r="AF54" s="1507"/>
      <c r="AG54" s="1507"/>
      <c r="AH54" s="1507"/>
      <c r="AI54" s="1507"/>
      <c r="AJ54" s="1507"/>
      <c r="AK54" s="1507"/>
      <c r="AL54" s="1507"/>
      <c r="AM54" s="1508"/>
      <c r="AN54" s="1488" t="s">
        <v>121</v>
      </c>
      <c r="AO54" s="1489"/>
      <c r="AP54" s="1489"/>
      <c r="AQ54" s="1489"/>
      <c r="AR54" s="1489"/>
      <c r="AS54" s="1489"/>
      <c r="AT54" s="1489"/>
      <c r="AU54" s="1490"/>
      <c r="AV54" s="1491" t="s">
        <v>1598</v>
      </c>
      <c r="AW54" s="1492"/>
      <c r="AX54" s="1492"/>
      <c r="AY54" s="1492"/>
      <c r="AZ54" s="1492"/>
      <c r="BA54" s="1493"/>
      <c r="BB54" s="1482">
        <f t="shared" si="3"/>
        <v>0</v>
      </c>
      <c r="BC54" s="1483"/>
      <c r="BD54" s="1483"/>
      <c r="BE54" s="1483"/>
      <c r="BF54" s="1483"/>
      <c r="BG54" s="1483"/>
      <c r="BH54" s="1483"/>
      <c r="BI54" s="1483"/>
      <c r="BJ54" s="1484"/>
      <c r="BK54" s="1482">
        <f t="shared" si="4"/>
        <v>0</v>
      </c>
      <c r="BL54" s="1483"/>
      <c r="BM54" s="1483"/>
      <c r="BN54" s="1483"/>
      <c r="BO54" s="1483"/>
      <c r="BP54" s="1483"/>
      <c r="BQ54" s="1483"/>
      <c r="BR54" s="1483"/>
      <c r="BS54" s="1484"/>
      <c r="BT54" s="1475"/>
      <c r="BU54" s="1476"/>
      <c r="BV54" s="1476"/>
      <c r="BW54" s="1476"/>
      <c r="BX54" s="1476"/>
      <c r="BY54" s="1476"/>
      <c r="BZ54" s="1477"/>
      <c r="CA54" s="1475"/>
      <c r="CB54" s="1476"/>
      <c r="CC54" s="1476"/>
      <c r="CD54" s="1476"/>
      <c r="CE54" s="1476"/>
      <c r="CF54" s="1476"/>
      <c r="CG54" s="1477"/>
      <c r="CH54" s="1475">
        <f t="shared" si="1"/>
        <v>0</v>
      </c>
      <c r="CI54" s="1476"/>
      <c r="CJ54" s="1476"/>
      <c r="CK54" s="1476"/>
      <c r="CL54" s="1476"/>
      <c r="CM54" s="1476"/>
      <c r="CN54" s="1477"/>
      <c r="CO54" s="1475"/>
      <c r="CP54" s="1476"/>
      <c r="CQ54" s="1476"/>
      <c r="CR54" s="1476"/>
      <c r="CS54" s="1476"/>
      <c r="CT54" s="1476"/>
      <c r="CU54" s="1477"/>
      <c r="CV54" s="1482">
        <v>0</v>
      </c>
      <c r="CW54" s="1483"/>
      <c r="CX54" s="1483"/>
      <c r="CY54" s="1483"/>
      <c r="CZ54" s="1483"/>
      <c r="DA54" s="1483"/>
      <c r="DB54" s="1483"/>
      <c r="DC54" s="1483"/>
      <c r="DD54" s="1484"/>
      <c r="DE54" s="1482">
        <v>0</v>
      </c>
      <c r="DF54" s="1483"/>
      <c r="DG54" s="1483"/>
      <c r="DH54" s="1483"/>
      <c r="DI54" s="1483"/>
      <c r="DJ54" s="1483"/>
      <c r="DK54" s="1483"/>
      <c r="DL54" s="1483"/>
      <c r="DM54" s="1484"/>
      <c r="DN54" s="1475"/>
      <c r="DO54" s="1476"/>
      <c r="DP54" s="1476"/>
      <c r="DQ54" s="1476"/>
      <c r="DR54" s="1476"/>
      <c r="DS54" s="1476"/>
      <c r="DT54" s="1477"/>
      <c r="DU54" s="1475"/>
      <c r="DV54" s="1476"/>
      <c r="DW54" s="1476"/>
      <c r="DX54" s="1476"/>
      <c r="DY54" s="1476"/>
      <c r="DZ54" s="1476"/>
      <c r="EA54" s="1477"/>
      <c r="EB54" s="1482">
        <v>0</v>
      </c>
      <c r="EC54" s="1483"/>
      <c r="ED54" s="1483"/>
      <c r="EE54" s="1483"/>
      <c r="EF54" s="1483"/>
      <c r="EG54" s="1483"/>
      <c r="EH54" s="1484"/>
      <c r="EI54" s="1475"/>
      <c r="EJ54" s="1476"/>
      <c r="EK54" s="1476"/>
      <c r="EL54" s="1476"/>
      <c r="EM54" s="1476"/>
      <c r="EN54" s="1476"/>
      <c r="EO54" s="1477"/>
      <c r="EP54" s="1482"/>
      <c r="EQ54" s="1483"/>
      <c r="ER54" s="1483"/>
      <c r="ES54" s="1483"/>
      <c r="ET54" s="1483"/>
      <c r="EU54" s="1483"/>
      <c r="EV54" s="1483"/>
      <c r="EW54" s="1483"/>
      <c r="EX54" s="1483"/>
      <c r="EY54" s="1484"/>
    </row>
    <row r="55" spans="1:155" s="430" customFormat="1" ht="7.8">
      <c r="A55" s="1506" t="s">
        <v>1599</v>
      </c>
      <c r="B55" s="1507"/>
      <c r="C55" s="1507"/>
      <c r="D55" s="1507"/>
      <c r="E55" s="1507"/>
      <c r="F55" s="1507"/>
      <c r="G55" s="1507"/>
      <c r="H55" s="1507"/>
      <c r="I55" s="1507"/>
      <c r="J55" s="1507"/>
      <c r="K55" s="1507"/>
      <c r="L55" s="1507"/>
      <c r="M55" s="1507"/>
      <c r="N55" s="1507"/>
      <c r="O55" s="1507"/>
      <c r="P55" s="1507"/>
      <c r="Q55" s="1507"/>
      <c r="R55" s="1507"/>
      <c r="S55" s="1507"/>
      <c r="T55" s="1507"/>
      <c r="U55" s="1507"/>
      <c r="V55" s="1507"/>
      <c r="W55" s="1507"/>
      <c r="X55" s="1507"/>
      <c r="Y55" s="1507"/>
      <c r="Z55" s="1507"/>
      <c r="AA55" s="1507"/>
      <c r="AB55" s="1507"/>
      <c r="AC55" s="1507"/>
      <c r="AD55" s="1507"/>
      <c r="AE55" s="1507"/>
      <c r="AF55" s="1507"/>
      <c r="AG55" s="1507"/>
      <c r="AH55" s="1507"/>
      <c r="AI55" s="1507"/>
      <c r="AJ55" s="1507"/>
      <c r="AK55" s="1507"/>
      <c r="AL55" s="1507"/>
      <c r="AM55" s="1508"/>
      <c r="AN55" s="1488" t="s">
        <v>121</v>
      </c>
      <c r="AO55" s="1489"/>
      <c r="AP55" s="1489"/>
      <c r="AQ55" s="1489"/>
      <c r="AR55" s="1489"/>
      <c r="AS55" s="1489"/>
      <c r="AT55" s="1489"/>
      <c r="AU55" s="1490"/>
      <c r="AV55" s="1491" t="s">
        <v>1600</v>
      </c>
      <c r="AW55" s="1492"/>
      <c r="AX55" s="1492"/>
      <c r="AY55" s="1492"/>
      <c r="AZ55" s="1492"/>
      <c r="BA55" s="1493"/>
      <c r="BB55" s="1482">
        <f t="shared" si="3"/>
        <v>90062</v>
      </c>
      <c r="BC55" s="1483"/>
      <c r="BD55" s="1483"/>
      <c r="BE55" s="1483"/>
      <c r="BF55" s="1483"/>
      <c r="BG55" s="1483"/>
      <c r="BH55" s="1483"/>
      <c r="BI55" s="1483"/>
      <c r="BJ55" s="1484"/>
      <c r="BK55" s="1482">
        <f t="shared" si="4"/>
        <v>90062</v>
      </c>
      <c r="BL55" s="1483"/>
      <c r="BM55" s="1483"/>
      <c r="BN55" s="1483"/>
      <c r="BO55" s="1483"/>
      <c r="BP55" s="1483"/>
      <c r="BQ55" s="1483"/>
      <c r="BR55" s="1483"/>
      <c r="BS55" s="1484"/>
      <c r="BT55" s="1475">
        <v>77588</v>
      </c>
      <c r="BU55" s="1476"/>
      <c r="BV55" s="1476"/>
      <c r="BW55" s="1476"/>
      <c r="BX55" s="1476"/>
      <c r="BY55" s="1476"/>
      <c r="BZ55" s="1477"/>
      <c r="CA55" s="1475">
        <v>11412</v>
      </c>
      <c r="CB55" s="1476"/>
      <c r="CC55" s="1476"/>
      <c r="CD55" s="1476"/>
      <c r="CE55" s="1476"/>
      <c r="CF55" s="1476"/>
      <c r="CG55" s="1477"/>
      <c r="CH55" s="1475">
        <f t="shared" si="1"/>
        <v>89000</v>
      </c>
      <c r="CI55" s="1476"/>
      <c r="CJ55" s="1476"/>
      <c r="CK55" s="1476"/>
      <c r="CL55" s="1476"/>
      <c r="CM55" s="1476"/>
      <c r="CN55" s="1477"/>
      <c r="CO55" s="1475">
        <v>1062</v>
      </c>
      <c r="CP55" s="1476"/>
      <c r="CQ55" s="1476"/>
      <c r="CR55" s="1476"/>
      <c r="CS55" s="1476"/>
      <c r="CT55" s="1476"/>
      <c r="CU55" s="1477"/>
      <c r="CV55" s="1482">
        <v>82436</v>
      </c>
      <c r="CW55" s="1483"/>
      <c r="CX55" s="1483"/>
      <c r="CY55" s="1483"/>
      <c r="CZ55" s="1483"/>
      <c r="DA55" s="1483"/>
      <c r="DB55" s="1483"/>
      <c r="DC55" s="1483"/>
      <c r="DD55" s="1484"/>
      <c r="DE55" s="1482">
        <v>82436</v>
      </c>
      <c r="DF55" s="1483"/>
      <c r="DG55" s="1483"/>
      <c r="DH55" s="1483"/>
      <c r="DI55" s="1483"/>
      <c r="DJ55" s="1483"/>
      <c r="DK55" s="1483"/>
      <c r="DL55" s="1483"/>
      <c r="DM55" s="1484"/>
      <c r="DN55" s="1475">
        <v>70210</v>
      </c>
      <c r="DO55" s="1476"/>
      <c r="DP55" s="1476"/>
      <c r="DQ55" s="1476"/>
      <c r="DR55" s="1476"/>
      <c r="DS55" s="1476"/>
      <c r="DT55" s="1477"/>
      <c r="DU55" s="1475">
        <v>4182</v>
      </c>
      <c r="DV55" s="1476"/>
      <c r="DW55" s="1476"/>
      <c r="DX55" s="1476"/>
      <c r="DY55" s="1476"/>
      <c r="DZ55" s="1476"/>
      <c r="EA55" s="1477"/>
      <c r="EB55" s="1482">
        <v>74392</v>
      </c>
      <c r="EC55" s="1483"/>
      <c r="ED55" s="1483"/>
      <c r="EE55" s="1483"/>
      <c r="EF55" s="1483"/>
      <c r="EG55" s="1483"/>
      <c r="EH55" s="1484"/>
      <c r="EI55" s="1475">
        <v>8044</v>
      </c>
      <c r="EJ55" s="1476"/>
      <c r="EK55" s="1476"/>
      <c r="EL55" s="1476"/>
      <c r="EM55" s="1476"/>
      <c r="EN55" s="1476"/>
      <c r="EO55" s="1477"/>
      <c r="EP55" s="1482"/>
      <c r="EQ55" s="1483"/>
      <c r="ER55" s="1483"/>
      <c r="ES55" s="1483"/>
      <c r="ET55" s="1483"/>
      <c r="EU55" s="1483"/>
      <c r="EV55" s="1483"/>
      <c r="EW55" s="1483"/>
      <c r="EX55" s="1483"/>
      <c r="EY55" s="1484"/>
    </row>
    <row r="56" spans="1:155" s="430" customFormat="1" ht="7.8">
      <c r="A56" s="1506" t="s">
        <v>1601</v>
      </c>
      <c r="B56" s="1507"/>
      <c r="C56" s="1507"/>
      <c r="D56" s="1507"/>
      <c r="E56" s="1507"/>
      <c r="F56" s="1507"/>
      <c r="G56" s="1507"/>
      <c r="H56" s="1507"/>
      <c r="I56" s="1507"/>
      <c r="J56" s="1507"/>
      <c r="K56" s="1507"/>
      <c r="L56" s="1507"/>
      <c r="M56" s="1507"/>
      <c r="N56" s="1507"/>
      <c r="O56" s="1507"/>
      <c r="P56" s="1507"/>
      <c r="Q56" s="1507"/>
      <c r="R56" s="1507"/>
      <c r="S56" s="1507"/>
      <c r="T56" s="1507"/>
      <c r="U56" s="1507"/>
      <c r="V56" s="1507"/>
      <c r="W56" s="1507"/>
      <c r="X56" s="1507"/>
      <c r="Y56" s="1507"/>
      <c r="Z56" s="1507"/>
      <c r="AA56" s="1507"/>
      <c r="AB56" s="1507"/>
      <c r="AC56" s="1507"/>
      <c r="AD56" s="1507"/>
      <c r="AE56" s="1507"/>
      <c r="AF56" s="1507"/>
      <c r="AG56" s="1507"/>
      <c r="AH56" s="1507"/>
      <c r="AI56" s="1507"/>
      <c r="AJ56" s="1507"/>
      <c r="AK56" s="1507"/>
      <c r="AL56" s="1507"/>
      <c r="AM56" s="1508"/>
      <c r="AN56" s="1488" t="s">
        <v>121</v>
      </c>
      <c r="AO56" s="1489"/>
      <c r="AP56" s="1489"/>
      <c r="AQ56" s="1489"/>
      <c r="AR56" s="1489"/>
      <c r="AS56" s="1489"/>
      <c r="AT56" s="1489"/>
      <c r="AU56" s="1490"/>
      <c r="AV56" s="1491" t="s">
        <v>1602</v>
      </c>
      <c r="AW56" s="1492"/>
      <c r="AX56" s="1492"/>
      <c r="AY56" s="1492"/>
      <c r="AZ56" s="1492"/>
      <c r="BA56" s="1493"/>
      <c r="BB56" s="1482">
        <f t="shared" si="3"/>
        <v>809357</v>
      </c>
      <c r="BC56" s="1483"/>
      <c r="BD56" s="1483"/>
      <c r="BE56" s="1483"/>
      <c r="BF56" s="1483"/>
      <c r="BG56" s="1483"/>
      <c r="BH56" s="1483"/>
      <c r="BI56" s="1483"/>
      <c r="BJ56" s="1484"/>
      <c r="BK56" s="1482">
        <f>BB56</f>
        <v>809357</v>
      </c>
      <c r="BL56" s="1483"/>
      <c r="BM56" s="1483"/>
      <c r="BN56" s="1483"/>
      <c r="BO56" s="1483"/>
      <c r="BP56" s="1483"/>
      <c r="BQ56" s="1483"/>
      <c r="BR56" s="1483"/>
      <c r="BS56" s="1484"/>
      <c r="BT56" s="1475">
        <f>808127-BT55</f>
        <v>730539</v>
      </c>
      <c r="BU56" s="1476"/>
      <c r="BV56" s="1476"/>
      <c r="BW56" s="1476"/>
      <c r="BX56" s="1476"/>
      <c r="BY56" s="1476"/>
      <c r="BZ56" s="1477"/>
      <c r="CA56" s="1475">
        <f>62865-CA55</f>
        <v>51453</v>
      </c>
      <c r="CB56" s="1476"/>
      <c r="CC56" s="1476"/>
      <c r="CD56" s="1476"/>
      <c r="CE56" s="1476"/>
      <c r="CF56" s="1476"/>
      <c r="CG56" s="1477"/>
      <c r="CH56" s="1475">
        <f t="shared" si="1"/>
        <v>781992</v>
      </c>
      <c r="CI56" s="1476"/>
      <c r="CJ56" s="1476"/>
      <c r="CK56" s="1476"/>
      <c r="CL56" s="1476"/>
      <c r="CM56" s="1476"/>
      <c r="CN56" s="1477"/>
      <c r="CO56" s="1475">
        <f>28427-CO55</f>
        <v>27365</v>
      </c>
      <c r="CP56" s="1476"/>
      <c r="CQ56" s="1476"/>
      <c r="CR56" s="1476"/>
      <c r="CS56" s="1476"/>
      <c r="CT56" s="1476"/>
      <c r="CU56" s="1477"/>
      <c r="CV56" s="1482">
        <v>605125</v>
      </c>
      <c r="CW56" s="1483"/>
      <c r="CX56" s="1483"/>
      <c r="CY56" s="1483"/>
      <c r="CZ56" s="1483"/>
      <c r="DA56" s="1483"/>
      <c r="DB56" s="1483"/>
      <c r="DC56" s="1483"/>
      <c r="DD56" s="1484"/>
      <c r="DE56" s="1482">
        <v>605125</v>
      </c>
      <c r="DF56" s="1483"/>
      <c r="DG56" s="1483"/>
      <c r="DH56" s="1483"/>
      <c r="DI56" s="1483"/>
      <c r="DJ56" s="1483"/>
      <c r="DK56" s="1483"/>
      <c r="DL56" s="1483"/>
      <c r="DM56" s="1484"/>
      <c r="DN56" s="1475">
        <v>449447</v>
      </c>
      <c r="DO56" s="1476"/>
      <c r="DP56" s="1476"/>
      <c r="DQ56" s="1476"/>
      <c r="DR56" s="1476"/>
      <c r="DS56" s="1476"/>
      <c r="DT56" s="1477"/>
      <c r="DU56" s="1475">
        <v>41329</v>
      </c>
      <c r="DV56" s="1476"/>
      <c r="DW56" s="1476"/>
      <c r="DX56" s="1476"/>
      <c r="DY56" s="1476"/>
      <c r="DZ56" s="1476"/>
      <c r="EA56" s="1477"/>
      <c r="EB56" s="1482">
        <v>490776</v>
      </c>
      <c r="EC56" s="1483"/>
      <c r="ED56" s="1483"/>
      <c r="EE56" s="1483"/>
      <c r="EF56" s="1483"/>
      <c r="EG56" s="1483"/>
      <c r="EH56" s="1484"/>
      <c r="EI56" s="1475">
        <v>114349</v>
      </c>
      <c r="EJ56" s="1476"/>
      <c r="EK56" s="1476"/>
      <c r="EL56" s="1476"/>
      <c r="EM56" s="1476"/>
      <c r="EN56" s="1476"/>
      <c r="EO56" s="1477"/>
      <c r="EP56" s="1482"/>
      <c r="EQ56" s="1483"/>
      <c r="ER56" s="1483"/>
      <c r="ES56" s="1483"/>
      <c r="ET56" s="1483"/>
      <c r="EU56" s="1483"/>
      <c r="EV56" s="1483"/>
      <c r="EW56" s="1483"/>
      <c r="EX56" s="1483"/>
      <c r="EY56" s="1484"/>
    </row>
    <row r="57" spans="1:155" s="430" customFormat="1" ht="7.8">
      <c r="A57" s="1500" t="s">
        <v>1603</v>
      </c>
      <c r="B57" s="1501"/>
      <c r="C57" s="1501"/>
      <c r="D57" s="1501"/>
      <c r="E57" s="1501"/>
      <c r="F57" s="1501"/>
      <c r="G57" s="1501"/>
      <c r="H57" s="1501"/>
      <c r="I57" s="1501"/>
      <c r="J57" s="1501"/>
      <c r="K57" s="1501"/>
      <c r="L57" s="1501"/>
      <c r="M57" s="1501"/>
      <c r="N57" s="1501"/>
      <c r="O57" s="1501"/>
      <c r="P57" s="1501"/>
      <c r="Q57" s="1501"/>
      <c r="R57" s="1501"/>
      <c r="S57" s="1501"/>
      <c r="T57" s="1501"/>
      <c r="U57" s="1501"/>
      <c r="V57" s="1501"/>
      <c r="W57" s="1501"/>
      <c r="X57" s="1501"/>
      <c r="Y57" s="1501"/>
      <c r="Z57" s="1501"/>
      <c r="AA57" s="1501"/>
      <c r="AB57" s="1501"/>
      <c r="AC57" s="1501"/>
      <c r="AD57" s="1501"/>
      <c r="AE57" s="1501"/>
      <c r="AF57" s="1501"/>
      <c r="AG57" s="1501"/>
      <c r="AH57" s="1501"/>
      <c r="AI57" s="1501"/>
      <c r="AJ57" s="1501"/>
      <c r="AK57" s="1501"/>
      <c r="AL57" s="1501"/>
      <c r="AM57" s="1502"/>
      <c r="AN57" s="1488" t="s">
        <v>121</v>
      </c>
      <c r="AO57" s="1489"/>
      <c r="AP57" s="1489"/>
      <c r="AQ57" s="1489"/>
      <c r="AR57" s="1489"/>
      <c r="AS57" s="1489"/>
      <c r="AT57" s="1489"/>
      <c r="AU57" s="1490"/>
      <c r="AV57" s="1491" t="s">
        <v>1604</v>
      </c>
      <c r="AW57" s="1492"/>
      <c r="AX57" s="1492"/>
      <c r="AY57" s="1492"/>
      <c r="AZ57" s="1492"/>
      <c r="BA57" s="1493"/>
      <c r="BB57" s="1482">
        <f t="shared" si="3"/>
        <v>134033</v>
      </c>
      <c r="BC57" s="1483"/>
      <c r="BD57" s="1483"/>
      <c r="BE57" s="1483"/>
      <c r="BF57" s="1483"/>
      <c r="BG57" s="1483"/>
      <c r="BH57" s="1483"/>
      <c r="BI57" s="1483"/>
      <c r="BJ57" s="1484"/>
      <c r="BK57" s="1482">
        <f t="shared" si="4"/>
        <v>134033</v>
      </c>
      <c r="BL57" s="1483"/>
      <c r="BM57" s="1483"/>
      <c r="BN57" s="1483"/>
      <c r="BO57" s="1483"/>
      <c r="BP57" s="1483"/>
      <c r="BQ57" s="1483"/>
      <c r="BR57" s="1483"/>
      <c r="BS57" s="1484"/>
      <c r="BT57" s="1475">
        <v>74496</v>
      </c>
      <c r="BU57" s="1476"/>
      <c r="BV57" s="1476"/>
      <c r="BW57" s="1476"/>
      <c r="BX57" s="1476"/>
      <c r="BY57" s="1476"/>
      <c r="BZ57" s="1477"/>
      <c r="CA57" s="1475">
        <v>45788</v>
      </c>
      <c r="CB57" s="1476"/>
      <c r="CC57" s="1476"/>
      <c r="CD57" s="1476"/>
      <c r="CE57" s="1476"/>
      <c r="CF57" s="1476"/>
      <c r="CG57" s="1477"/>
      <c r="CH57" s="1475">
        <f t="shared" si="1"/>
        <v>120284</v>
      </c>
      <c r="CI57" s="1476"/>
      <c r="CJ57" s="1476"/>
      <c r="CK57" s="1476"/>
      <c r="CL57" s="1476"/>
      <c r="CM57" s="1476"/>
      <c r="CN57" s="1477"/>
      <c r="CO57" s="1475">
        <v>13749</v>
      </c>
      <c r="CP57" s="1476"/>
      <c r="CQ57" s="1476"/>
      <c r="CR57" s="1476"/>
      <c r="CS57" s="1476"/>
      <c r="CT57" s="1476"/>
      <c r="CU57" s="1477"/>
      <c r="CV57" s="1482">
        <v>14303</v>
      </c>
      <c r="CW57" s="1483"/>
      <c r="CX57" s="1483"/>
      <c r="CY57" s="1483"/>
      <c r="CZ57" s="1483"/>
      <c r="DA57" s="1483"/>
      <c r="DB57" s="1483"/>
      <c r="DC57" s="1483"/>
      <c r="DD57" s="1484"/>
      <c r="DE57" s="1482">
        <v>14303</v>
      </c>
      <c r="DF57" s="1483"/>
      <c r="DG57" s="1483"/>
      <c r="DH57" s="1483"/>
      <c r="DI57" s="1483"/>
      <c r="DJ57" s="1483"/>
      <c r="DK57" s="1483"/>
      <c r="DL57" s="1483"/>
      <c r="DM57" s="1484"/>
      <c r="DN57" s="1475">
        <v>-33146</v>
      </c>
      <c r="DO57" s="1476"/>
      <c r="DP57" s="1476"/>
      <c r="DQ57" s="1476"/>
      <c r="DR57" s="1476"/>
      <c r="DS57" s="1476"/>
      <c r="DT57" s="1477"/>
      <c r="DU57" s="1475">
        <v>39681</v>
      </c>
      <c r="DV57" s="1476"/>
      <c r="DW57" s="1476"/>
      <c r="DX57" s="1476"/>
      <c r="DY57" s="1476"/>
      <c r="DZ57" s="1476"/>
      <c r="EA57" s="1477"/>
      <c r="EB57" s="1482">
        <v>6535</v>
      </c>
      <c r="EC57" s="1483"/>
      <c r="ED57" s="1483"/>
      <c r="EE57" s="1483"/>
      <c r="EF57" s="1483"/>
      <c r="EG57" s="1483"/>
      <c r="EH57" s="1484"/>
      <c r="EI57" s="1475">
        <v>7768</v>
      </c>
      <c r="EJ57" s="1476"/>
      <c r="EK57" s="1476"/>
      <c r="EL57" s="1476"/>
      <c r="EM57" s="1476"/>
      <c r="EN57" s="1476"/>
      <c r="EO57" s="1477"/>
      <c r="EP57" s="1482"/>
      <c r="EQ57" s="1483"/>
      <c r="ER57" s="1483"/>
      <c r="ES57" s="1483"/>
      <c r="ET57" s="1483"/>
      <c r="EU57" s="1483"/>
      <c r="EV57" s="1483"/>
      <c r="EW57" s="1483"/>
      <c r="EX57" s="1483"/>
      <c r="EY57" s="1484"/>
    </row>
    <row r="58" spans="1:155" s="431" customFormat="1" ht="7.8">
      <c r="A58" s="1503" t="s">
        <v>1605</v>
      </c>
      <c r="B58" s="1504"/>
      <c r="C58" s="1504"/>
      <c r="D58" s="1504"/>
      <c r="E58" s="1504"/>
      <c r="F58" s="1504"/>
      <c r="G58" s="1504"/>
      <c r="H58" s="1504"/>
      <c r="I58" s="1504"/>
      <c r="J58" s="1504"/>
      <c r="K58" s="1504"/>
      <c r="L58" s="1504"/>
      <c r="M58" s="1504"/>
      <c r="N58" s="1504"/>
      <c r="O58" s="1504"/>
      <c r="P58" s="1504"/>
      <c r="Q58" s="1504"/>
      <c r="R58" s="1504"/>
      <c r="S58" s="1504"/>
      <c r="T58" s="1504"/>
      <c r="U58" s="1504"/>
      <c r="V58" s="1504"/>
      <c r="W58" s="1504"/>
      <c r="X58" s="1504"/>
      <c r="Y58" s="1504"/>
      <c r="Z58" s="1504"/>
      <c r="AA58" s="1504"/>
      <c r="AB58" s="1504"/>
      <c r="AC58" s="1504"/>
      <c r="AD58" s="1504"/>
      <c r="AE58" s="1504"/>
      <c r="AF58" s="1504"/>
      <c r="AG58" s="1504"/>
      <c r="AH58" s="1504"/>
      <c r="AI58" s="1504"/>
      <c r="AJ58" s="1504"/>
      <c r="AK58" s="1504"/>
      <c r="AL58" s="1504"/>
      <c r="AM58" s="1504"/>
      <c r="AN58" s="1504"/>
      <c r="AO58" s="1504"/>
      <c r="AP58" s="1504"/>
      <c r="AQ58" s="1504"/>
      <c r="AR58" s="1504"/>
      <c r="AS58" s="1504"/>
      <c r="AT58" s="1504"/>
      <c r="AU58" s="1504"/>
      <c r="AV58" s="1504"/>
      <c r="AW58" s="1504"/>
      <c r="AX58" s="1504"/>
      <c r="AY58" s="1504"/>
      <c r="AZ58" s="1504"/>
      <c r="BA58" s="1504"/>
      <c r="BB58" s="1504"/>
      <c r="BC58" s="1504"/>
      <c r="BD58" s="1504"/>
      <c r="BE58" s="1504"/>
      <c r="BF58" s="1504"/>
      <c r="BG58" s="1504"/>
      <c r="BH58" s="1504"/>
      <c r="BI58" s="1504"/>
      <c r="BJ58" s="1504"/>
      <c r="BK58" s="1504"/>
      <c r="BL58" s="1504"/>
      <c r="BM58" s="1504"/>
      <c r="BN58" s="1504"/>
      <c r="BO58" s="1504"/>
      <c r="BP58" s="1504"/>
      <c r="BQ58" s="1504"/>
      <c r="BR58" s="1504"/>
      <c r="BS58" s="1504"/>
      <c r="BT58" s="1504"/>
      <c r="BU58" s="1504"/>
      <c r="BV58" s="1504"/>
      <c r="BW58" s="1504"/>
      <c r="BX58" s="1504"/>
      <c r="BY58" s="1504"/>
      <c r="BZ58" s="1504"/>
      <c r="CA58" s="1504"/>
      <c r="CB58" s="1504"/>
      <c r="CC58" s="1504"/>
      <c r="CD58" s="1504"/>
      <c r="CE58" s="1504"/>
      <c r="CF58" s="1504"/>
      <c r="CG58" s="1504"/>
      <c r="CH58" s="1504"/>
      <c r="CI58" s="1504"/>
      <c r="CJ58" s="1504"/>
      <c r="CK58" s="1504"/>
      <c r="CL58" s="1504"/>
      <c r="CM58" s="1504"/>
      <c r="CN58" s="1504"/>
      <c r="CO58" s="1504"/>
      <c r="CP58" s="1504"/>
      <c r="CQ58" s="1504"/>
      <c r="CR58" s="1504"/>
      <c r="CS58" s="1504"/>
      <c r="CT58" s="1504"/>
      <c r="CU58" s="1504"/>
      <c r="CV58" s="1504"/>
      <c r="CW58" s="1504"/>
      <c r="CX58" s="1504"/>
      <c r="CY58" s="1504"/>
      <c r="CZ58" s="1504"/>
      <c r="DA58" s="1504"/>
      <c r="DB58" s="1504"/>
      <c r="DC58" s="1504"/>
      <c r="DD58" s="1504"/>
      <c r="DE58" s="1504"/>
      <c r="DF58" s="1504"/>
      <c r="DG58" s="1504"/>
      <c r="DH58" s="1504"/>
      <c r="DI58" s="1504"/>
      <c r="DJ58" s="1504"/>
      <c r="DK58" s="1504"/>
      <c r="DL58" s="1504"/>
      <c r="DM58" s="1504"/>
      <c r="DN58" s="1504"/>
      <c r="DO58" s="1504"/>
      <c r="DP58" s="1504"/>
      <c r="DQ58" s="1504"/>
      <c r="DR58" s="1504"/>
      <c r="DS58" s="1504"/>
      <c r="DT58" s="1504"/>
      <c r="DU58" s="1504"/>
      <c r="DV58" s="1504"/>
      <c r="DW58" s="1504"/>
      <c r="DX58" s="1504"/>
      <c r="DY58" s="1504"/>
      <c r="DZ58" s="1504"/>
      <c r="EA58" s="1504"/>
      <c r="EB58" s="1504"/>
      <c r="EC58" s="1504"/>
      <c r="ED58" s="1504"/>
      <c r="EE58" s="1504"/>
      <c r="EF58" s="1504"/>
      <c r="EG58" s="1504"/>
      <c r="EH58" s="1504"/>
      <c r="EI58" s="1504"/>
      <c r="EJ58" s="1504"/>
      <c r="EK58" s="1504"/>
      <c r="EL58" s="1504"/>
      <c r="EM58" s="1504"/>
      <c r="EN58" s="1504"/>
      <c r="EO58" s="1504"/>
      <c r="EP58" s="1504"/>
      <c r="EQ58" s="1504"/>
      <c r="ER58" s="1504"/>
      <c r="ES58" s="1504"/>
      <c r="ET58" s="1504"/>
      <c r="EU58" s="1504"/>
      <c r="EV58" s="1504"/>
      <c r="EW58" s="1504"/>
      <c r="EX58" s="1504"/>
      <c r="EY58" s="1505"/>
    </row>
    <row r="59" spans="1:155" s="430" customFormat="1" ht="7.8">
      <c r="A59" s="1500" t="s">
        <v>1606</v>
      </c>
      <c r="B59" s="1501"/>
      <c r="C59" s="1501"/>
      <c r="D59" s="1501"/>
      <c r="E59" s="1501"/>
      <c r="F59" s="1501"/>
      <c r="G59" s="1501"/>
      <c r="H59" s="1501"/>
      <c r="I59" s="1501"/>
      <c r="J59" s="1501"/>
      <c r="K59" s="1501"/>
      <c r="L59" s="1501"/>
      <c r="M59" s="1501"/>
      <c r="N59" s="1501"/>
      <c r="O59" s="1501"/>
      <c r="P59" s="1501"/>
      <c r="Q59" s="1501"/>
      <c r="R59" s="1501"/>
      <c r="S59" s="1501"/>
      <c r="T59" s="1501"/>
      <c r="U59" s="1501"/>
      <c r="V59" s="1501"/>
      <c r="W59" s="1501"/>
      <c r="X59" s="1501"/>
      <c r="Y59" s="1501"/>
      <c r="Z59" s="1501"/>
      <c r="AA59" s="1501"/>
      <c r="AB59" s="1501"/>
      <c r="AC59" s="1501"/>
      <c r="AD59" s="1501"/>
      <c r="AE59" s="1501"/>
      <c r="AF59" s="1501"/>
      <c r="AG59" s="1501"/>
      <c r="AH59" s="1501"/>
      <c r="AI59" s="1501"/>
      <c r="AJ59" s="1501"/>
      <c r="AK59" s="1501"/>
      <c r="AL59" s="1501"/>
      <c r="AM59" s="1502"/>
      <c r="AN59" s="1494" t="s">
        <v>121</v>
      </c>
      <c r="AO59" s="1495"/>
      <c r="AP59" s="1495"/>
      <c r="AQ59" s="1495"/>
      <c r="AR59" s="1495"/>
      <c r="AS59" s="1495"/>
      <c r="AT59" s="1495"/>
      <c r="AU59" s="1496"/>
      <c r="AV59" s="1497" t="s">
        <v>1607</v>
      </c>
      <c r="AW59" s="1498"/>
      <c r="AX59" s="1498"/>
      <c r="AY59" s="1498"/>
      <c r="AZ59" s="1498"/>
      <c r="BA59" s="1499"/>
      <c r="BB59" s="1482">
        <f>BT59+CA59+CO59</f>
        <v>7672390</v>
      </c>
      <c r="BC59" s="1483"/>
      <c r="BD59" s="1483"/>
      <c r="BE59" s="1483"/>
      <c r="BF59" s="1483"/>
      <c r="BG59" s="1483"/>
      <c r="BH59" s="1483"/>
      <c r="BI59" s="1483"/>
      <c r="BJ59" s="1484"/>
      <c r="BK59" s="1475">
        <f>BB59</f>
        <v>7672390</v>
      </c>
      <c r="BL59" s="1476"/>
      <c r="BM59" s="1476"/>
      <c r="BN59" s="1476"/>
      <c r="BO59" s="1476"/>
      <c r="BP59" s="1476"/>
      <c r="BQ59" s="1476"/>
      <c r="BR59" s="1476"/>
      <c r="BS59" s="1477"/>
      <c r="BT59" s="1482">
        <f>BT21-BT60</f>
        <v>7482370</v>
      </c>
      <c r="BU59" s="1483"/>
      <c r="BV59" s="1483"/>
      <c r="BW59" s="1483"/>
      <c r="BX59" s="1483"/>
      <c r="BY59" s="1483"/>
      <c r="BZ59" s="1484"/>
      <c r="CA59" s="1482">
        <f>CA21-CA60</f>
        <v>128778</v>
      </c>
      <c r="CB59" s="1483"/>
      <c r="CC59" s="1483"/>
      <c r="CD59" s="1483"/>
      <c r="CE59" s="1483"/>
      <c r="CF59" s="1483"/>
      <c r="CG59" s="1484"/>
      <c r="CH59" s="1482">
        <f>BT59+CA59</f>
        <v>7611148</v>
      </c>
      <c r="CI59" s="1483"/>
      <c r="CJ59" s="1483"/>
      <c r="CK59" s="1483"/>
      <c r="CL59" s="1483"/>
      <c r="CM59" s="1483"/>
      <c r="CN59" s="1484"/>
      <c r="CO59" s="1482">
        <f>CO21-CO60</f>
        <v>61242</v>
      </c>
      <c r="CP59" s="1483"/>
      <c r="CQ59" s="1483"/>
      <c r="CR59" s="1483"/>
      <c r="CS59" s="1483"/>
      <c r="CT59" s="1483"/>
      <c r="CU59" s="1484"/>
      <c r="CV59" s="1482">
        <v>6613917</v>
      </c>
      <c r="CW59" s="1483"/>
      <c r="CX59" s="1483"/>
      <c r="CY59" s="1483"/>
      <c r="CZ59" s="1483"/>
      <c r="DA59" s="1483"/>
      <c r="DB59" s="1483"/>
      <c r="DC59" s="1483"/>
      <c r="DD59" s="1484"/>
      <c r="DE59" s="1482">
        <v>6613917</v>
      </c>
      <c r="DF59" s="1483"/>
      <c r="DG59" s="1483"/>
      <c r="DH59" s="1483"/>
      <c r="DI59" s="1483"/>
      <c r="DJ59" s="1483"/>
      <c r="DK59" s="1483"/>
      <c r="DL59" s="1483"/>
      <c r="DM59" s="1484"/>
      <c r="DN59" s="1482">
        <v>6358209</v>
      </c>
      <c r="DO59" s="1483"/>
      <c r="DP59" s="1483"/>
      <c r="DQ59" s="1483"/>
      <c r="DR59" s="1483"/>
      <c r="DS59" s="1483"/>
      <c r="DT59" s="1484"/>
      <c r="DU59" s="1482">
        <v>96343</v>
      </c>
      <c r="DV59" s="1483"/>
      <c r="DW59" s="1483"/>
      <c r="DX59" s="1483"/>
      <c r="DY59" s="1483"/>
      <c r="DZ59" s="1483"/>
      <c r="EA59" s="1484"/>
      <c r="EB59" s="1482">
        <v>6454552</v>
      </c>
      <c r="EC59" s="1483"/>
      <c r="ED59" s="1483"/>
      <c r="EE59" s="1483"/>
      <c r="EF59" s="1483"/>
      <c r="EG59" s="1483"/>
      <c r="EH59" s="1484"/>
      <c r="EI59" s="1482">
        <v>159365</v>
      </c>
      <c r="EJ59" s="1483"/>
      <c r="EK59" s="1483"/>
      <c r="EL59" s="1483"/>
      <c r="EM59" s="1483"/>
      <c r="EN59" s="1483"/>
      <c r="EO59" s="1484"/>
      <c r="EP59" s="1482"/>
      <c r="EQ59" s="1483"/>
      <c r="ER59" s="1483"/>
      <c r="ES59" s="1483"/>
      <c r="ET59" s="1483"/>
      <c r="EU59" s="1483"/>
      <c r="EV59" s="1483"/>
      <c r="EW59" s="1483"/>
      <c r="EX59" s="1483"/>
      <c r="EY59" s="1484"/>
    </row>
    <row r="60" spans="1:155" s="430" customFormat="1" ht="7.8">
      <c r="A60" s="1500" t="s">
        <v>1608</v>
      </c>
      <c r="B60" s="1501"/>
      <c r="C60" s="1501"/>
      <c r="D60" s="1501"/>
      <c r="E60" s="1501"/>
      <c r="F60" s="1501"/>
      <c r="G60" s="1501"/>
      <c r="H60" s="1501"/>
      <c r="I60" s="1501"/>
      <c r="J60" s="1501"/>
      <c r="K60" s="1501"/>
      <c r="L60" s="1501"/>
      <c r="M60" s="1501"/>
      <c r="N60" s="1501"/>
      <c r="O60" s="1501"/>
      <c r="P60" s="1501"/>
      <c r="Q60" s="1501"/>
      <c r="R60" s="1501"/>
      <c r="S60" s="1501"/>
      <c r="T60" s="1501"/>
      <c r="U60" s="1501"/>
      <c r="V60" s="1501"/>
      <c r="W60" s="1501"/>
      <c r="X60" s="1501"/>
      <c r="Y60" s="1501"/>
      <c r="Z60" s="1501"/>
      <c r="AA60" s="1501"/>
      <c r="AB60" s="1501"/>
      <c r="AC60" s="1501"/>
      <c r="AD60" s="1501"/>
      <c r="AE60" s="1501"/>
      <c r="AF60" s="1501"/>
      <c r="AG60" s="1501"/>
      <c r="AH60" s="1501"/>
      <c r="AI60" s="1501"/>
      <c r="AJ60" s="1501"/>
      <c r="AK60" s="1501"/>
      <c r="AL60" s="1501"/>
      <c r="AM60" s="1502"/>
      <c r="AN60" s="1494" t="s">
        <v>121</v>
      </c>
      <c r="AO60" s="1495"/>
      <c r="AP60" s="1495"/>
      <c r="AQ60" s="1495"/>
      <c r="AR60" s="1495"/>
      <c r="AS60" s="1495"/>
      <c r="AT60" s="1495"/>
      <c r="AU60" s="1496"/>
      <c r="AV60" s="1497" t="s">
        <v>1609</v>
      </c>
      <c r="AW60" s="1498"/>
      <c r="AX60" s="1498"/>
      <c r="AY60" s="1498"/>
      <c r="AZ60" s="1498"/>
      <c r="BA60" s="1499"/>
      <c r="BB60" s="1482">
        <f>BT60+CA60+CO60</f>
        <v>838428</v>
      </c>
      <c r="BC60" s="1483"/>
      <c r="BD60" s="1483"/>
      <c r="BE60" s="1483"/>
      <c r="BF60" s="1483"/>
      <c r="BG60" s="1483"/>
      <c r="BH60" s="1483"/>
      <c r="BI60" s="1483"/>
      <c r="BJ60" s="1484"/>
      <c r="BK60" s="1475">
        <f>BB60</f>
        <v>838428</v>
      </c>
      <c r="BL60" s="1476"/>
      <c r="BM60" s="1476"/>
      <c r="BN60" s="1476"/>
      <c r="BO60" s="1476"/>
      <c r="BP60" s="1476"/>
      <c r="BQ60" s="1476"/>
      <c r="BR60" s="1476"/>
      <c r="BS60" s="1477"/>
      <c r="BT60" s="1482">
        <v>822316</v>
      </c>
      <c r="BU60" s="1483"/>
      <c r="BV60" s="1483"/>
      <c r="BW60" s="1483"/>
      <c r="BX60" s="1483"/>
      <c r="BY60" s="1483"/>
      <c r="BZ60" s="1484"/>
      <c r="CA60" s="1482">
        <v>13776</v>
      </c>
      <c r="CB60" s="1483"/>
      <c r="CC60" s="1483"/>
      <c r="CD60" s="1483"/>
      <c r="CE60" s="1483"/>
      <c r="CF60" s="1483"/>
      <c r="CG60" s="1484"/>
      <c r="CH60" s="1482">
        <f t="shared" ref="CH60:CH66" si="5">BT60+CA60</f>
        <v>836092</v>
      </c>
      <c r="CI60" s="1483"/>
      <c r="CJ60" s="1483"/>
      <c r="CK60" s="1483"/>
      <c r="CL60" s="1483"/>
      <c r="CM60" s="1483"/>
      <c r="CN60" s="1484"/>
      <c r="CO60" s="1482">
        <v>2336</v>
      </c>
      <c r="CP60" s="1483"/>
      <c r="CQ60" s="1483"/>
      <c r="CR60" s="1483"/>
      <c r="CS60" s="1483"/>
      <c r="CT60" s="1483"/>
      <c r="CU60" s="1484"/>
      <c r="CV60" s="1482">
        <v>822188</v>
      </c>
      <c r="CW60" s="1483"/>
      <c r="CX60" s="1483"/>
      <c r="CY60" s="1483"/>
      <c r="CZ60" s="1483"/>
      <c r="DA60" s="1483"/>
      <c r="DB60" s="1483"/>
      <c r="DC60" s="1483"/>
      <c r="DD60" s="1484"/>
      <c r="DE60" s="1482">
        <v>822188</v>
      </c>
      <c r="DF60" s="1483"/>
      <c r="DG60" s="1483"/>
      <c r="DH60" s="1483"/>
      <c r="DI60" s="1483"/>
      <c r="DJ60" s="1483"/>
      <c r="DK60" s="1483"/>
      <c r="DL60" s="1483"/>
      <c r="DM60" s="1484"/>
      <c r="DN60" s="1482">
        <v>803578</v>
      </c>
      <c r="DO60" s="1483"/>
      <c r="DP60" s="1483"/>
      <c r="DQ60" s="1483"/>
      <c r="DR60" s="1483"/>
      <c r="DS60" s="1483"/>
      <c r="DT60" s="1484"/>
      <c r="DU60" s="1482">
        <v>16099</v>
      </c>
      <c r="DV60" s="1483"/>
      <c r="DW60" s="1483"/>
      <c r="DX60" s="1483"/>
      <c r="DY60" s="1483"/>
      <c r="DZ60" s="1483"/>
      <c r="EA60" s="1484"/>
      <c r="EB60" s="1482">
        <v>819677</v>
      </c>
      <c r="EC60" s="1483"/>
      <c r="ED60" s="1483"/>
      <c r="EE60" s="1483"/>
      <c r="EF60" s="1483"/>
      <c r="EG60" s="1483"/>
      <c r="EH60" s="1484"/>
      <c r="EI60" s="1482">
        <v>2511</v>
      </c>
      <c r="EJ60" s="1483"/>
      <c r="EK60" s="1483"/>
      <c r="EL60" s="1483"/>
      <c r="EM60" s="1483"/>
      <c r="EN60" s="1483"/>
      <c r="EO60" s="1484"/>
      <c r="EP60" s="1482"/>
      <c r="EQ60" s="1483"/>
      <c r="ER60" s="1483"/>
      <c r="ES60" s="1483"/>
      <c r="ET60" s="1483"/>
      <c r="EU60" s="1483"/>
      <c r="EV60" s="1483"/>
      <c r="EW60" s="1483"/>
      <c r="EX60" s="1483"/>
      <c r="EY60" s="1484"/>
    </row>
    <row r="61" spans="1:155" s="430" customFormat="1" ht="24.75" customHeight="1">
      <c r="A61" s="1500" t="s">
        <v>1610</v>
      </c>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2"/>
      <c r="AN61" s="1488" t="s">
        <v>121</v>
      </c>
      <c r="AO61" s="1489"/>
      <c r="AP61" s="1489"/>
      <c r="AQ61" s="1489"/>
      <c r="AR61" s="1489"/>
      <c r="AS61" s="1489"/>
      <c r="AT61" s="1489"/>
      <c r="AU61" s="1490"/>
      <c r="AV61" s="1491" t="s">
        <v>1611</v>
      </c>
      <c r="AW61" s="1492"/>
      <c r="AX61" s="1492"/>
      <c r="AY61" s="1492"/>
      <c r="AZ61" s="1492"/>
      <c r="BA61" s="1493"/>
      <c r="BB61" s="1482">
        <f t="shared" ref="BB61:BB67" si="6">BT61+CA61+CO61</f>
        <v>0</v>
      </c>
      <c r="BC61" s="1483"/>
      <c r="BD61" s="1483"/>
      <c r="BE61" s="1483"/>
      <c r="BF61" s="1483"/>
      <c r="BG61" s="1483"/>
      <c r="BH61" s="1483"/>
      <c r="BI61" s="1483"/>
      <c r="BJ61" s="1484"/>
      <c r="BK61" s="1475">
        <f>BB61</f>
        <v>0</v>
      </c>
      <c r="BL61" s="1476"/>
      <c r="BM61" s="1476"/>
      <c r="BN61" s="1476"/>
      <c r="BO61" s="1476"/>
      <c r="BP61" s="1476"/>
      <c r="BQ61" s="1476"/>
      <c r="BR61" s="1476"/>
      <c r="BS61" s="1477"/>
      <c r="BT61" s="1475"/>
      <c r="BU61" s="1476"/>
      <c r="BV61" s="1476"/>
      <c r="BW61" s="1476"/>
      <c r="BX61" s="1476"/>
      <c r="BY61" s="1476"/>
      <c r="BZ61" s="1477"/>
      <c r="CA61" s="1475"/>
      <c r="CB61" s="1476"/>
      <c r="CC61" s="1476"/>
      <c r="CD61" s="1476"/>
      <c r="CE61" s="1476"/>
      <c r="CF61" s="1476"/>
      <c r="CG61" s="1477"/>
      <c r="CH61" s="1482">
        <f t="shared" si="5"/>
        <v>0</v>
      </c>
      <c r="CI61" s="1483"/>
      <c r="CJ61" s="1483"/>
      <c r="CK61" s="1483"/>
      <c r="CL61" s="1483"/>
      <c r="CM61" s="1483"/>
      <c r="CN61" s="1484"/>
      <c r="CO61" s="1475">
        <v>0</v>
      </c>
      <c r="CP61" s="1476"/>
      <c r="CQ61" s="1476"/>
      <c r="CR61" s="1476"/>
      <c r="CS61" s="1476"/>
      <c r="CT61" s="1476"/>
      <c r="CU61" s="1477"/>
      <c r="CV61" s="1482">
        <v>704586</v>
      </c>
      <c r="CW61" s="1483"/>
      <c r="CX61" s="1483"/>
      <c r="CY61" s="1483"/>
      <c r="CZ61" s="1483"/>
      <c r="DA61" s="1483"/>
      <c r="DB61" s="1483"/>
      <c r="DC61" s="1483"/>
      <c r="DD61" s="1484"/>
      <c r="DE61" s="1482">
        <v>704586</v>
      </c>
      <c r="DF61" s="1483"/>
      <c r="DG61" s="1483"/>
      <c r="DH61" s="1483"/>
      <c r="DI61" s="1483"/>
      <c r="DJ61" s="1483"/>
      <c r="DK61" s="1483"/>
      <c r="DL61" s="1483"/>
      <c r="DM61" s="1484"/>
      <c r="DN61" s="1475">
        <v>384568</v>
      </c>
      <c r="DO61" s="1476"/>
      <c r="DP61" s="1476"/>
      <c r="DQ61" s="1476"/>
      <c r="DR61" s="1476"/>
      <c r="DS61" s="1476"/>
      <c r="DT61" s="1477"/>
      <c r="DU61" s="1475">
        <v>320018</v>
      </c>
      <c r="DV61" s="1476"/>
      <c r="DW61" s="1476"/>
      <c r="DX61" s="1476"/>
      <c r="DY61" s="1476"/>
      <c r="DZ61" s="1476"/>
      <c r="EA61" s="1477"/>
      <c r="EB61" s="1482">
        <v>704586</v>
      </c>
      <c r="EC61" s="1483"/>
      <c r="ED61" s="1483"/>
      <c r="EE61" s="1483"/>
      <c r="EF61" s="1483"/>
      <c r="EG61" s="1483"/>
      <c r="EH61" s="1484"/>
      <c r="EI61" s="1475">
        <v>0</v>
      </c>
      <c r="EJ61" s="1476"/>
      <c r="EK61" s="1476"/>
      <c r="EL61" s="1476"/>
      <c r="EM61" s="1476"/>
      <c r="EN61" s="1476"/>
      <c r="EO61" s="1477"/>
      <c r="EP61" s="1475"/>
      <c r="EQ61" s="1476"/>
      <c r="ER61" s="1476"/>
      <c r="ES61" s="1476"/>
      <c r="ET61" s="1476"/>
      <c r="EU61" s="1476"/>
      <c r="EV61" s="1476"/>
      <c r="EW61" s="1476"/>
      <c r="EX61" s="1476"/>
      <c r="EY61" s="1477"/>
    </row>
    <row r="62" spans="1:155" s="430" customFormat="1" ht="16.5" customHeight="1">
      <c r="A62" s="1500" t="s">
        <v>1612</v>
      </c>
      <c r="B62" s="1501"/>
      <c r="C62" s="1501"/>
      <c r="D62" s="1501"/>
      <c r="E62" s="1501"/>
      <c r="F62" s="1501"/>
      <c r="G62" s="1501"/>
      <c r="H62" s="1501"/>
      <c r="I62" s="1501"/>
      <c r="J62" s="1501"/>
      <c r="K62" s="1501"/>
      <c r="L62" s="1501"/>
      <c r="M62" s="1501"/>
      <c r="N62" s="1501"/>
      <c r="O62" s="1501"/>
      <c r="P62" s="1501"/>
      <c r="Q62" s="1501"/>
      <c r="R62" s="1501"/>
      <c r="S62" s="1501"/>
      <c r="T62" s="1501"/>
      <c r="U62" s="1501"/>
      <c r="V62" s="1501"/>
      <c r="W62" s="1501"/>
      <c r="X62" s="1501"/>
      <c r="Y62" s="1501"/>
      <c r="Z62" s="1501"/>
      <c r="AA62" s="1501"/>
      <c r="AB62" s="1501"/>
      <c r="AC62" s="1501"/>
      <c r="AD62" s="1501"/>
      <c r="AE62" s="1501"/>
      <c r="AF62" s="1501"/>
      <c r="AG62" s="1501"/>
      <c r="AH62" s="1501"/>
      <c r="AI62" s="1501"/>
      <c r="AJ62" s="1501"/>
      <c r="AK62" s="1501"/>
      <c r="AL62" s="1501"/>
      <c r="AM62" s="1502"/>
      <c r="AN62" s="1494" t="s">
        <v>121</v>
      </c>
      <c r="AO62" s="1495"/>
      <c r="AP62" s="1495"/>
      <c r="AQ62" s="1495"/>
      <c r="AR62" s="1495"/>
      <c r="AS62" s="1495"/>
      <c r="AT62" s="1495"/>
      <c r="AU62" s="1496"/>
      <c r="AV62" s="1497" t="s">
        <v>1613</v>
      </c>
      <c r="AW62" s="1498"/>
      <c r="AX62" s="1498"/>
      <c r="AY62" s="1498"/>
      <c r="AZ62" s="1498"/>
      <c r="BA62" s="1499"/>
      <c r="BB62" s="1482">
        <f t="shared" si="6"/>
        <v>356129</v>
      </c>
      <c r="BC62" s="1483"/>
      <c r="BD62" s="1483"/>
      <c r="BE62" s="1483"/>
      <c r="BF62" s="1483"/>
      <c r="BG62" s="1483"/>
      <c r="BH62" s="1483"/>
      <c r="BI62" s="1483"/>
      <c r="BJ62" s="1484"/>
      <c r="BK62" s="1482">
        <f>BB62</f>
        <v>356129</v>
      </c>
      <c r="BL62" s="1483"/>
      <c r="BM62" s="1483"/>
      <c r="BN62" s="1483"/>
      <c r="BO62" s="1483"/>
      <c r="BP62" s="1483"/>
      <c r="BQ62" s="1483"/>
      <c r="BR62" s="1483"/>
      <c r="BS62" s="1484"/>
      <c r="BT62" s="1482">
        <f>BT63+BT64+BT65+BT66</f>
        <v>354910</v>
      </c>
      <c r="BU62" s="1483"/>
      <c r="BV62" s="1483"/>
      <c r="BW62" s="1483"/>
      <c r="BX62" s="1483"/>
      <c r="BY62" s="1483"/>
      <c r="BZ62" s="1484"/>
      <c r="CA62" s="1482">
        <f>CA63+CA64+CA65+CA66</f>
        <v>997</v>
      </c>
      <c r="CB62" s="1483"/>
      <c r="CC62" s="1483"/>
      <c r="CD62" s="1483"/>
      <c r="CE62" s="1483"/>
      <c r="CF62" s="1483"/>
      <c r="CG62" s="1484"/>
      <c r="CH62" s="1482">
        <f t="shared" si="5"/>
        <v>355907</v>
      </c>
      <c r="CI62" s="1483"/>
      <c r="CJ62" s="1483"/>
      <c r="CK62" s="1483"/>
      <c r="CL62" s="1483"/>
      <c r="CM62" s="1483"/>
      <c r="CN62" s="1484"/>
      <c r="CO62" s="1482">
        <f>CO63+CO64+CO65+CO66</f>
        <v>222</v>
      </c>
      <c r="CP62" s="1483"/>
      <c r="CQ62" s="1483"/>
      <c r="CR62" s="1483"/>
      <c r="CS62" s="1483"/>
      <c r="CT62" s="1483"/>
      <c r="CU62" s="1484"/>
      <c r="CV62" s="1482">
        <v>295052</v>
      </c>
      <c r="CW62" s="1483"/>
      <c r="CX62" s="1483"/>
      <c r="CY62" s="1483"/>
      <c r="CZ62" s="1483"/>
      <c r="DA62" s="1483"/>
      <c r="DB62" s="1483"/>
      <c r="DC62" s="1483"/>
      <c r="DD62" s="1484"/>
      <c r="DE62" s="1482">
        <v>295052</v>
      </c>
      <c r="DF62" s="1483"/>
      <c r="DG62" s="1483"/>
      <c r="DH62" s="1483"/>
      <c r="DI62" s="1483"/>
      <c r="DJ62" s="1483"/>
      <c r="DK62" s="1483"/>
      <c r="DL62" s="1483"/>
      <c r="DM62" s="1484"/>
      <c r="DN62" s="1482">
        <v>292234</v>
      </c>
      <c r="DO62" s="1483"/>
      <c r="DP62" s="1483"/>
      <c r="DQ62" s="1483"/>
      <c r="DR62" s="1483"/>
      <c r="DS62" s="1483"/>
      <c r="DT62" s="1484"/>
      <c r="DU62" s="1482">
        <v>2383</v>
      </c>
      <c r="DV62" s="1483"/>
      <c r="DW62" s="1483"/>
      <c r="DX62" s="1483"/>
      <c r="DY62" s="1483"/>
      <c r="DZ62" s="1483"/>
      <c r="EA62" s="1484"/>
      <c r="EB62" s="1482">
        <v>294617</v>
      </c>
      <c r="EC62" s="1483"/>
      <c r="ED62" s="1483"/>
      <c r="EE62" s="1483"/>
      <c r="EF62" s="1483"/>
      <c r="EG62" s="1483"/>
      <c r="EH62" s="1484"/>
      <c r="EI62" s="1482">
        <v>435</v>
      </c>
      <c r="EJ62" s="1483"/>
      <c r="EK62" s="1483"/>
      <c r="EL62" s="1483"/>
      <c r="EM62" s="1483"/>
      <c r="EN62" s="1483"/>
      <c r="EO62" s="1484"/>
      <c r="EP62" s="1475"/>
      <c r="EQ62" s="1476"/>
      <c r="ER62" s="1476"/>
      <c r="ES62" s="1476"/>
      <c r="ET62" s="1476"/>
      <c r="EU62" s="1476"/>
      <c r="EV62" s="1476"/>
      <c r="EW62" s="1476"/>
      <c r="EX62" s="1476"/>
      <c r="EY62" s="1477"/>
    </row>
    <row r="63" spans="1:155" s="430" customFormat="1" ht="8.1" customHeight="1">
      <c r="A63" s="1485" t="s">
        <v>1614</v>
      </c>
      <c r="B63" s="1486"/>
      <c r="C63" s="1486"/>
      <c r="D63" s="1486"/>
      <c r="E63" s="1486"/>
      <c r="F63" s="1486"/>
      <c r="G63" s="1486"/>
      <c r="H63" s="1486"/>
      <c r="I63" s="1486"/>
      <c r="J63" s="1486"/>
      <c r="K63" s="1486"/>
      <c r="L63" s="1486"/>
      <c r="M63" s="1486"/>
      <c r="N63" s="1486"/>
      <c r="O63" s="1486"/>
      <c r="P63" s="1486"/>
      <c r="Q63" s="1486"/>
      <c r="R63" s="1486"/>
      <c r="S63" s="1486"/>
      <c r="T63" s="1486"/>
      <c r="U63" s="1486"/>
      <c r="V63" s="1486"/>
      <c r="W63" s="1486"/>
      <c r="X63" s="1486"/>
      <c r="Y63" s="1486"/>
      <c r="Z63" s="1486"/>
      <c r="AA63" s="1486"/>
      <c r="AB63" s="1486"/>
      <c r="AC63" s="1486"/>
      <c r="AD63" s="1486"/>
      <c r="AE63" s="1486"/>
      <c r="AF63" s="1486"/>
      <c r="AG63" s="1486"/>
      <c r="AH63" s="1486"/>
      <c r="AI63" s="1486"/>
      <c r="AJ63" s="1486"/>
      <c r="AK63" s="1486"/>
      <c r="AL63" s="1486"/>
      <c r="AM63" s="1487"/>
      <c r="AN63" s="1494" t="s">
        <v>121</v>
      </c>
      <c r="AO63" s="1495"/>
      <c r="AP63" s="1495"/>
      <c r="AQ63" s="1495"/>
      <c r="AR63" s="1495"/>
      <c r="AS63" s="1495"/>
      <c r="AT63" s="1495"/>
      <c r="AU63" s="1496"/>
      <c r="AV63" s="1497"/>
      <c r="AW63" s="1498"/>
      <c r="AX63" s="1498"/>
      <c r="AY63" s="1498"/>
      <c r="AZ63" s="1498"/>
      <c r="BA63" s="1499"/>
      <c r="BB63" s="1482">
        <f t="shared" si="6"/>
        <v>147877</v>
      </c>
      <c r="BC63" s="1483"/>
      <c r="BD63" s="1483"/>
      <c r="BE63" s="1483"/>
      <c r="BF63" s="1483"/>
      <c r="BG63" s="1483"/>
      <c r="BH63" s="1483"/>
      <c r="BI63" s="1483"/>
      <c r="BJ63" s="1484"/>
      <c r="BK63" s="1482">
        <f>BB63</f>
        <v>147877</v>
      </c>
      <c r="BL63" s="1483"/>
      <c r="BM63" s="1483"/>
      <c r="BN63" s="1483"/>
      <c r="BO63" s="1483"/>
      <c r="BP63" s="1483"/>
      <c r="BQ63" s="1483"/>
      <c r="BR63" s="1483"/>
      <c r="BS63" s="1484"/>
      <c r="BT63" s="1482">
        <f>131488+16063-55</f>
        <v>147496</v>
      </c>
      <c r="BU63" s="1483"/>
      <c r="BV63" s="1483"/>
      <c r="BW63" s="1483"/>
      <c r="BX63" s="1483"/>
      <c r="BY63" s="1483"/>
      <c r="BZ63" s="1484"/>
      <c r="CA63" s="1482">
        <f>325</f>
        <v>325</v>
      </c>
      <c r="CB63" s="1483"/>
      <c r="CC63" s="1483"/>
      <c r="CD63" s="1483"/>
      <c r="CE63" s="1483"/>
      <c r="CF63" s="1483"/>
      <c r="CG63" s="1484"/>
      <c r="CH63" s="1482">
        <f t="shared" si="5"/>
        <v>147821</v>
      </c>
      <c r="CI63" s="1483"/>
      <c r="CJ63" s="1483"/>
      <c r="CK63" s="1483"/>
      <c r="CL63" s="1483"/>
      <c r="CM63" s="1483"/>
      <c r="CN63" s="1484"/>
      <c r="CO63" s="1482">
        <f>56</f>
        <v>56</v>
      </c>
      <c r="CP63" s="1483"/>
      <c r="CQ63" s="1483"/>
      <c r="CR63" s="1483"/>
      <c r="CS63" s="1483"/>
      <c r="CT63" s="1483"/>
      <c r="CU63" s="1484"/>
      <c r="CV63" s="1482">
        <v>163716</v>
      </c>
      <c r="CW63" s="1483"/>
      <c r="CX63" s="1483"/>
      <c r="CY63" s="1483"/>
      <c r="CZ63" s="1483"/>
      <c r="DA63" s="1483"/>
      <c r="DB63" s="1483"/>
      <c r="DC63" s="1483"/>
      <c r="DD63" s="1484"/>
      <c r="DE63" s="1482">
        <v>163716</v>
      </c>
      <c r="DF63" s="1483"/>
      <c r="DG63" s="1483"/>
      <c r="DH63" s="1483"/>
      <c r="DI63" s="1483"/>
      <c r="DJ63" s="1483"/>
      <c r="DK63" s="1483"/>
      <c r="DL63" s="1483"/>
      <c r="DM63" s="1484"/>
      <c r="DN63" s="1482">
        <v>163145</v>
      </c>
      <c r="DO63" s="1483"/>
      <c r="DP63" s="1483"/>
      <c r="DQ63" s="1483"/>
      <c r="DR63" s="1483"/>
      <c r="DS63" s="1483"/>
      <c r="DT63" s="1484"/>
      <c r="DU63" s="1482">
        <v>419</v>
      </c>
      <c r="DV63" s="1483"/>
      <c r="DW63" s="1483"/>
      <c r="DX63" s="1483"/>
      <c r="DY63" s="1483"/>
      <c r="DZ63" s="1483"/>
      <c r="EA63" s="1484"/>
      <c r="EB63" s="1482">
        <v>163564</v>
      </c>
      <c r="EC63" s="1483"/>
      <c r="ED63" s="1483"/>
      <c r="EE63" s="1483"/>
      <c r="EF63" s="1483"/>
      <c r="EG63" s="1483"/>
      <c r="EH63" s="1484"/>
      <c r="EI63" s="1482">
        <v>152</v>
      </c>
      <c r="EJ63" s="1483"/>
      <c r="EK63" s="1483"/>
      <c r="EL63" s="1483"/>
      <c r="EM63" s="1483"/>
      <c r="EN63" s="1483"/>
      <c r="EO63" s="1484"/>
      <c r="EP63" s="1475"/>
      <c r="EQ63" s="1476"/>
      <c r="ER63" s="1476"/>
      <c r="ES63" s="1476"/>
      <c r="ET63" s="1476"/>
      <c r="EU63" s="1476"/>
      <c r="EV63" s="1476"/>
      <c r="EW63" s="1476"/>
      <c r="EX63" s="1476"/>
      <c r="EY63" s="1477"/>
    </row>
    <row r="64" spans="1:155" s="430" customFormat="1" ht="7.8">
      <c r="A64" s="1485" t="s">
        <v>1615</v>
      </c>
      <c r="B64" s="1486"/>
      <c r="C64" s="1486"/>
      <c r="D64" s="1486"/>
      <c r="E64" s="1486"/>
      <c r="F64" s="1486"/>
      <c r="G64" s="1486"/>
      <c r="H64" s="1486"/>
      <c r="I64" s="1486"/>
      <c r="J64" s="1486"/>
      <c r="K64" s="1486"/>
      <c r="L64" s="1486"/>
      <c r="M64" s="1486"/>
      <c r="N64" s="1486"/>
      <c r="O64" s="1486"/>
      <c r="P64" s="1486"/>
      <c r="Q64" s="1486"/>
      <c r="R64" s="1486"/>
      <c r="S64" s="1486"/>
      <c r="T64" s="1486"/>
      <c r="U64" s="1486"/>
      <c r="V64" s="1486"/>
      <c r="W64" s="1486"/>
      <c r="X64" s="1486"/>
      <c r="Y64" s="1486"/>
      <c r="Z64" s="1486"/>
      <c r="AA64" s="1486"/>
      <c r="AB64" s="1486"/>
      <c r="AC64" s="1486"/>
      <c r="AD64" s="1486"/>
      <c r="AE64" s="1486"/>
      <c r="AF64" s="1486"/>
      <c r="AG64" s="1486"/>
      <c r="AH64" s="1486"/>
      <c r="AI64" s="1486"/>
      <c r="AJ64" s="1486"/>
      <c r="AK64" s="1486"/>
      <c r="AL64" s="1486"/>
      <c r="AM64" s="1487"/>
      <c r="AN64" s="1494" t="s">
        <v>121</v>
      </c>
      <c r="AO64" s="1495"/>
      <c r="AP64" s="1495"/>
      <c r="AQ64" s="1495"/>
      <c r="AR64" s="1495"/>
      <c r="AS64" s="1495"/>
      <c r="AT64" s="1495"/>
      <c r="AU64" s="1496"/>
      <c r="AV64" s="1497"/>
      <c r="AW64" s="1498"/>
      <c r="AX64" s="1498"/>
      <c r="AY64" s="1498"/>
      <c r="AZ64" s="1498"/>
      <c r="BA64" s="1499"/>
      <c r="BB64" s="1482">
        <f t="shared" si="6"/>
        <v>0</v>
      </c>
      <c r="BC64" s="1483"/>
      <c r="BD64" s="1483"/>
      <c r="BE64" s="1483"/>
      <c r="BF64" s="1483"/>
      <c r="BG64" s="1483"/>
      <c r="BH64" s="1483"/>
      <c r="BI64" s="1483"/>
      <c r="BJ64" s="1484"/>
      <c r="BK64" s="1482">
        <v>0</v>
      </c>
      <c r="BL64" s="1483"/>
      <c r="BM64" s="1483"/>
      <c r="BN64" s="1483"/>
      <c r="BO64" s="1483"/>
      <c r="BP64" s="1483"/>
      <c r="BQ64" s="1483"/>
      <c r="BR64" s="1483"/>
      <c r="BS64" s="1484"/>
      <c r="BT64" s="1482">
        <v>0</v>
      </c>
      <c r="BU64" s="1483"/>
      <c r="BV64" s="1483"/>
      <c r="BW64" s="1483"/>
      <c r="BX64" s="1483"/>
      <c r="BY64" s="1483"/>
      <c r="BZ64" s="1484"/>
      <c r="CA64" s="1482">
        <v>0</v>
      </c>
      <c r="CB64" s="1483"/>
      <c r="CC64" s="1483"/>
      <c r="CD64" s="1483"/>
      <c r="CE64" s="1483"/>
      <c r="CF64" s="1483"/>
      <c r="CG64" s="1484"/>
      <c r="CH64" s="1482">
        <f t="shared" si="5"/>
        <v>0</v>
      </c>
      <c r="CI64" s="1483"/>
      <c r="CJ64" s="1483"/>
      <c r="CK64" s="1483"/>
      <c r="CL64" s="1483"/>
      <c r="CM64" s="1483"/>
      <c r="CN64" s="1484"/>
      <c r="CO64" s="1482">
        <v>0</v>
      </c>
      <c r="CP64" s="1483"/>
      <c r="CQ64" s="1483"/>
      <c r="CR64" s="1483"/>
      <c r="CS64" s="1483"/>
      <c r="CT64" s="1483"/>
      <c r="CU64" s="1484"/>
      <c r="CV64" s="1482">
        <v>0</v>
      </c>
      <c r="CW64" s="1483"/>
      <c r="CX64" s="1483"/>
      <c r="CY64" s="1483"/>
      <c r="CZ64" s="1483"/>
      <c r="DA64" s="1483"/>
      <c r="DB64" s="1483"/>
      <c r="DC64" s="1483"/>
      <c r="DD64" s="1484"/>
      <c r="DE64" s="1482">
        <v>0</v>
      </c>
      <c r="DF64" s="1483"/>
      <c r="DG64" s="1483"/>
      <c r="DH64" s="1483"/>
      <c r="DI64" s="1483"/>
      <c r="DJ64" s="1483"/>
      <c r="DK64" s="1483"/>
      <c r="DL64" s="1483"/>
      <c r="DM64" s="1484"/>
      <c r="DN64" s="1482">
        <v>0</v>
      </c>
      <c r="DO64" s="1483"/>
      <c r="DP64" s="1483"/>
      <c r="DQ64" s="1483"/>
      <c r="DR64" s="1483"/>
      <c r="DS64" s="1483"/>
      <c r="DT64" s="1484"/>
      <c r="DU64" s="1482">
        <v>0</v>
      </c>
      <c r="DV64" s="1483"/>
      <c r="DW64" s="1483"/>
      <c r="DX64" s="1483"/>
      <c r="DY64" s="1483"/>
      <c r="DZ64" s="1483"/>
      <c r="EA64" s="1484"/>
      <c r="EB64" s="1482">
        <v>0</v>
      </c>
      <c r="EC64" s="1483"/>
      <c r="ED64" s="1483"/>
      <c r="EE64" s="1483"/>
      <c r="EF64" s="1483"/>
      <c r="EG64" s="1483"/>
      <c r="EH64" s="1484"/>
      <c r="EI64" s="1482">
        <v>0</v>
      </c>
      <c r="EJ64" s="1483"/>
      <c r="EK64" s="1483"/>
      <c r="EL64" s="1483"/>
      <c r="EM64" s="1483"/>
      <c r="EN64" s="1483"/>
      <c r="EO64" s="1484"/>
      <c r="EP64" s="1475"/>
      <c r="EQ64" s="1476"/>
      <c r="ER64" s="1476"/>
      <c r="ES64" s="1476"/>
      <c r="ET64" s="1476"/>
      <c r="EU64" s="1476"/>
      <c r="EV64" s="1476"/>
      <c r="EW64" s="1476"/>
      <c r="EX64" s="1476"/>
      <c r="EY64" s="1477"/>
    </row>
    <row r="65" spans="1:155" s="430" customFormat="1" ht="16.5" customHeight="1">
      <c r="A65" s="1485" t="s">
        <v>1616</v>
      </c>
      <c r="B65" s="1486"/>
      <c r="C65" s="1486"/>
      <c r="D65" s="1486"/>
      <c r="E65" s="1486"/>
      <c r="F65" s="1486"/>
      <c r="G65" s="1486"/>
      <c r="H65" s="1486"/>
      <c r="I65" s="1486"/>
      <c r="J65" s="1486"/>
      <c r="K65" s="1486"/>
      <c r="L65" s="1486"/>
      <c r="M65" s="1486"/>
      <c r="N65" s="1486"/>
      <c r="O65" s="1486"/>
      <c r="P65" s="1486"/>
      <c r="Q65" s="1486"/>
      <c r="R65" s="1486"/>
      <c r="S65" s="1486"/>
      <c r="T65" s="1486"/>
      <c r="U65" s="1486"/>
      <c r="V65" s="1486"/>
      <c r="W65" s="1486"/>
      <c r="X65" s="1486"/>
      <c r="Y65" s="1486"/>
      <c r="Z65" s="1486"/>
      <c r="AA65" s="1486"/>
      <c r="AB65" s="1486"/>
      <c r="AC65" s="1486"/>
      <c r="AD65" s="1486"/>
      <c r="AE65" s="1486"/>
      <c r="AF65" s="1486"/>
      <c r="AG65" s="1486"/>
      <c r="AH65" s="1486"/>
      <c r="AI65" s="1486"/>
      <c r="AJ65" s="1486"/>
      <c r="AK65" s="1486"/>
      <c r="AL65" s="1486"/>
      <c r="AM65" s="1487"/>
      <c r="AN65" s="1488" t="s">
        <v>121</v>
      </c>
      <c r="AO65" s="1489"/>
      <c r="AP65" s="1489"/>
      <c r="AQ65" s="1489"/>
      <c r="AR65" s="1489"/>
      <c r="AS65" s="1489"/>
      <c r="AT65" s="1489"/>
      <c r="AU65" s="1490"/>
      <c r="AV65" s="1491"/>
      <c r="AW65" s="1492"/>
      <c r="AX65" s="1492"/>
      <c r="AY65" s="1492"/>
      <c r="AZ65" s="1492"/>
      <c r="BA65" s="1493"/>
      <c r="BB65" s="1482">
        <f t="shared" si="6"/>
        <v>208252</v>
      </c>
      <c r="BC65" s="1483"/>
      <c r="BD65" s="1483"/>
      <c r="BE65" s="1483"/>
      <c r="BF65" s="1483"/>
      <c r="BG65" s="1483"/>
      <c r="BH65" s="1483"/>
      <c r="BI65" s="1483"/>
      <c r="BJ65" s="1484"/>
      <c r="BK65" s="1475">
        <f>BB65</f>
        <v>208252</v>
      </c>
      <c r="BL65" s="1476"/>
      <c r="BM65" s="1476"/>
      <c r="BN65" s="1476"/>
      <c r="BO65" s="1476"/>
      <c r="BP65" s="1476"/>
      <c r="BQ65" s="1476"/>
      <c r="BR65" s="1476"/>
      <c r="BS65" s="1477"/>
      <c r="BT65" s="1482">
        <f>BT34</f>
        <v>207414</v>
      </c>
      <c r="BU65" s="1483"/>
      <c r="BV65" s="1483"/>
      <c r="BW65" s="1483"/>
      <c r="BX65" s="1483"/>
      <c r="BY65" s="1483"/>
      <c r="BZ65" s="1484"/>
      <c r="CA65" s="1482">
        <f>CA34</f>
        <v>672</v>
      </c>
      <c r="CB65" s="1483"/>
      <c r="CC65" s="1483"/>
      <c r="CD65" s="1483"/>
      <c r="CE65" s="1483"/>
      <c r="CF65" s="1483"/>
      <c r="CG65" s="1484"/>
      <c r="CH65" s="1482">
        <f t="shared" si="5"/>
        <v>208086</v>
      </c>
      <c r="CI65" s="1483"/>
      <c r="CJ65" s="1483"/>
      <c r="CK65" s="1483"/>
      <c r="CL65" s="1483"/>
      <c r="CM65" s="1483"/>
      <c r="CN65" s="1484"/>
      <c r="CO65" s="1482">
        <f>CO34</f>
        <v>166</v>
      </c>
      <c r="CP65" s="1483"/>
      <c r="CQ65" s="1483"/>
      <c r="CR65" s="1483"/>
      <c r="CS65" s="1483"/>
      <c r="CT65" s="1483"/>
      <c r="CU65" s="1484"/>
      <c r="CV65" s="1482">
        <v>131336</v>
      </c>
      <c r="CW65" s="1483"/>
      <c r="CX65" s="1483"/>
      <c r="CY65" s="1483"/>
      <c r="CZ65" s="1483"/>
      <c r="DA65" s="1483"/>
      <c r="DB65" s="1483"/>
      <c r="DC65" s="1483"/>
      <c r="DD65" s="1484"/>
      <c r="DE65" s="1482">
        <v>131336</v>
      </c>
      <c r="DF65" s="1483"/>
      <c r="DG65" s="1483"/>
      <c r="DH65" s="1483"/>
      <c r="DI65" s="1483"/>
      <c r="DJ65" s="1483"/>
      <c r="DK65" s="1483"/>
      <c r="DL65" s="1483"/>
      <c r="DM65" s="1484"/>
      <c r="DN65" s="1475">
        <v>129089</v>
      </c>
      <c r="DO65" s="1476"/>
      <c r="DP65" s="1476"/>
      <c r="DQ65" s="1476"/>
      <c r="DR65" s="1476"/>
      <c r="DS65" s="1476"/>
      <c r="DT65" s="1477"/>
      <c r="DU65" s="1475">
        <v>1964</v>
      </c>
      <c r="DV65" s="1476"/>
      <c r="DW65" s="1476"/>
      <c r="DX65" s="1476"/>
      <c r="DY65" s="1476"/>
      <c r="DZ65" s="1476"/>
      <c r="EA65" s="1477"/>
      <c r="EB65" s="1482">
        <v>131053</v>
      </c>
      <c r="EC65" s="1483"/>
      <c r="ED65" s="1483"/>
      <c r="EE65" s="1483"/>
      <c r="EF65" s="1483"/>
      <c r="EG65" s="1483"/>
      <c r="EH65" s="1484"/>
      <c r="EI65" s="1475">
        <v>283</v>
      </c>
      <c r="EJ65" s="1476"/>
      <c r="EK65" s="1476"/>
      <c r="EL65" s="1476"/>
      <c r="EM65" s="1476"/>
      <c r="EN65" s="1476"/>
      <c r="EO65" s="1477"/>
      <c r="EP65" s="1475"/>
      <c r="EQ65" s="1476"/>
      <c r="ER65" s="1476"/>
      <c r="ES65" s="1476"/>
      <c r="ET65" s="1476"/>
      <c r="EU65" s="1476"/>
      <c r="EV65" s="1476"/>
      <c r="EW65" s="1476"/>
      <c r="EX65" s="1476"/>
      <c r="EY65" s="1477"/>
    </row>
    <row r="66" spans="1:155" s="430" customFormat="1" ht="8.1" customHeight="1">
      <c r="A66" s="1485" t="s">
        <v>1617</v>
      </c>
      <c r="B66" s="1486"/>
      <c r="C66" s="1486"/>
      <c r="D66" s="1486"/>
      <c r="E66" s="1486"/>
      <c r="F66" s="1486"/>
      <c r="G66" s="1486"/>
      <c r="H66" s="1486"/>
      <c r="I66" s="1486"/>
      <c r="J66" s="1486"/>
      <c r="K66" s="1486"/>
      <c r="L66" s="1486"/>
      <c r="M66" s="1486"/>
      <c r="N66" s="1486"/>
      <c r="O66" s="1486"/>
      <c r="P66" s="1486"/>
      <c r="Q66" s="1486"/>
      <c r="R66" s="1486"/>
      <c r="S66" s="1486"/>
      <c r="T66" s="1486"/>
      <c r="U66" s="1486"/>
      <c r="V66" s="1486"/>
      <c r="W66" s="1486"/>
      <c r="X66" s="1486"/>
      <c r="Y66" s="1486"/>
      <c r="Z66" s="1486"/>
      <c r="AA66" s="1486"/>
      <c r="AB66" s="1486"/>
      <c r="AC66" s="1486"/>
      <c r="AD66" s="1486"/>
      <c r="AE66" s="1486"/>
      <c r="AF66" s="1486"/>
      <c r="AG66" s="1486"/>
      <c r="AH66" s="1486"/>
      <c r="AI66" s="1486"/>
      <c r="AJ66" s="1486"/>
      <c r="AK66" s="1486"/>
      <c r="AL66" s="1486"/>
      <c r="AM66" s="1487"/>
      <c r="AN66" s="1494" t="s">
        <v>121</v>
      </c>
      <c r="AO66" s="1495"/>
      <c r="AP66" s="1495"/>
      <c r="AQ66" s="1495"/>
      <c r="AR66" s="1495"/>
      <c r="AS66" s="1495"/>
      <c r="AT66" s="1495"/>
      <c r="AU66" s="1496"/>
      <c r="AV66" s="1497"/>
      <c r="AW66" s="1498"/>
      <c r="AX66" s="1498"/>
      <c r="AY66" s="1498"/>
      <c r="AZ66" s="1498"/>
      <c r="BA66" s="1499"/>
      <c r="BB66" s="1482">
        <f t="shared" si="6"/>
        <v>0</v>
      </c>
      <c r="BC66" s="1483"/>
      <c r="BD66" s="1483"/>
      <c r="BE66" s="1483"/>
      <c r="BF66" s="1483"/>
      <c r="BG66" s="1483"/>
      <c r="BH66" s="1483"/>
      <c r="BI66" s="1483"/>
      <c r="BJ66" s="1484"/>
      <c r="BK66" s="1482">
        <f>BB66</f>
        <v>0</v>
      </c>
      <c r="BL66" s="1483"/>
      <c r="BM66" s="1483"/>
      <c r="BN66" s="1483"/>
      <c r="BO66" s="1483"/>
      <c r="BP66" s="1483"/>
      <c r="BQ66" s="1483"/>
      <c r="BR66" s="1483"/>
      <c r="BS66" s="1484"/>
      <c r="BT66" s="1475"/>
      <c r="BU66" s="1476"/>
      <c r="BV66" s="1476"/>
      <c r="BW66" s="1476"/>
      <c r="BX66" s="1476"/>
      <c r="BY66" s="1476"/>
      <c r="BZ66" s="1477"/>
      <c r="CA66" s="1482"/>
      <c r="CB66" s="1483"/>
      <c r="CC66" s="1483"/>
      <c r="CD66" s="1483"/>
      <c r="CE66" s="1483"/>
      <c r="CF66" s="1483"/>
      <c r="CG66" s="1484"/>
      <c r="CH66" s="1482">
        <f t="shared" si="5"/>
        <v>0</v>
      </c>
      <c r="CI66" s="1483"/>
      <c r="CJ66" s="1483"/>
      <c r="CK66" s="1483"/>
      <c r="CL66" s="1483"/>
      <c r="CM66" s="1483"/>
      <c r="CN66" s="1484"/>
      <c r="CO66" s="1482">
        <v>0</v>
      </c>
      <c r="CP66" s="1483"/>
      <c r="CQ66" s="1483"/>
      <c r="CR66" s="1483"/>
      <c r="CS66" s="1483"/>
      <c r="CT66" s="1483"/>
      <c r="CU66" s="1484"/>
      <c r="CV66" s="1482">
        <v>0</v>
      </c>
      <c r="CW66" s="1483"/>
      <c r="CX66" s="1483"/>
      <c r="CY66" s="1483"/>
      <c r="CZ66" s="1483"/>
      <c r="DA66" s="1483"/>
      <c r="DB66" s="1483"/>
      <c r="DC66" s="1483"/>
      <c r="DD66" s="1484"/>
      <c r="DE66" s="1482">
        <v>0</v>
      </c>
      <c r="DF66" s="1483"/>
      <c r="DG66" s="1483"/>
      <c r="DH66" s="1483"/>
      <c r="DI66" s="1483"/>
      <c r="DJ66" s="1483"/>
      <c r="DK66" s="1483"/>
      <c r="DL66" s="1483"/>
      <c r="DM66" s="1484"/>
      <c r="DN66" s="1482"/>
      <c r="DO66" s="1483"/>
      <c r="DP66" s="1483"/>
      <c r="DQ66" s="1483"/>
      <c r="DR66" s="1483"/>
      <c r="DS66" s="1483"/>
      <c r="DT66" s="1484"/>
      <c r="DU66" s="1482"/>
      <c r="DV66" s="1483"/>
      <c r="DW66" s="1483"/>
      <c r="DX66" s="1483"/>
      <c r="DY66" s="1483"/>
      <c r="DZ66" s="1483"/>
      <c r="EA66" s="1484"/>
      <c r="EB66" s="1482">
        <v>0</v>
      </c>
      <c r="EC66" s="1483"/>
      <c r="ED66" s="1483"/>
      <c r="EE66" s="1483"/>
      <c r="EF66" s="1483"/>
      <c r="EG66" s="1483"/>
      <c r="EH66" s="1484"/>
      <c r="EI66" s="1482">
        <v>0</v>
      </c>
      <c r="EJ66" s="1483"/>
      <c r="EK66" s="1483"/>
      <c r="EL66" s="1483"/>
      <c r="EM66" s="1483"/>
      <c r="EN66" s="1483"/>
      <c r="EO66" s="1484"/>
      <c r="EP66" s="1482"/>
      <c r="EQ66" s="1483"/>
      <c r="ER66" s="1483"/>
      <c r="ES66" s="1483"/>
      <c r="ET66" s="1483"/>
      <c r="EU66" s="1483"/>
      <c r="EV66" s="1483"/>
      <c r="EW66" s="1483"/>
      <c r="EX66" s="1483"/>
      <c r="EY66" s="1484"/>
    </row>
    <row r="67" spans="1:155" s="430" customFormat="1" ht="24.75" customHeight="1">
      <c r="A67" s="1485" t="s">
        <v>1618</v>
      </c>
      <c r="B67" s="1486"/>
      <c r="C67" s="1486"/>
      <c r="D67" s="1486"/>
      <c r="E67" s="1486"/>
      <c r="F67" s="1486"/>
      <c r="G67" s="1486"/>
      <c r="H67" s="1486"/>
      <c r="I67" s="1486"/>
      <c r="J67" s="1486"/>
      <c r="K67" s="1486"/>
      <c r="L67" s="1486"/>
      <c r="M67" s="1486"/>
      <c r="N67" s="1486"/>
      <c r="O67" s="1486"/>
      <c r="P67" s="1486"/>
      <c r="Q67" s="1486"/>
      <c r="R67" s="1486"/>
      <c r="S67" s="1486"/>
      <c r="T67" s="1486"/>
      <c r="U67" s="1486"/>
      <c r="V67" s="1486"/>
      <c r="W67" s="1486"/>
      <c r="X67" s="1486"/>
      <c r="Y67" s="1486"/>
      <c r="Z67" s="1486"/>
      <c r="AA67" s="1486"/>
      <c r="AB67" s="1486"/>
      <c r="AC67" s="1486"/>
      <c r="AD67" s="1486"/>
      <c r="AE67" s="1486"/>
      <c r="AF67" s="1486"/>
      <c r="AG67" s="1486"/>
      <c r="AH67" s="1486"/>
      <c r="AI67" s="1486"/>
      <c r="AJ67" s="1486"/>
      <c r="AK67" s="1486"/>
      <c r="AL67" s="1486"/>
      <c r="AM67" s="1487"/>
      <c r="AN67" s="1488" t="s">
        <v>121</v>
      </c>
      <c r="AO67" s="1489"/>
      <c r="AP67" s="1489"/>
      <c r="AQ67" s="1489"/>
      <c r="AR67" s="1489"/>
      <c r="AS67" s="1489"/>
      <c r="AT67" s="1489"/>
      <c r="AU67" s="1490"/>
      <c r="AV67" s="1491" t="s">
        <v>1619</v>
      </c>
      <c r="AW67" s="1492"/>
      <c r="AX67" s="1492"/>
      <c r="AY67" s="1492"/>
      <c r="AZ67" s="1492"/>
      <c r="BA67" s="1493"/>
      <c r="BB67" s="1463">
        <f t="shared" si="6"/>
        <v>0</v>
      </c>
      <c r="BC67" s="1463"/>
      <c r="BD67" s="1463"/>
      <c r="BE67" s="1463"/>
      <c r="BF67" s="1463"/>
      <c r="BG67" s="1463"/>
      <c r="BH67" s="1463"/>
      <c r="BI67" s="1463"/>
      <c r="BJ67" s="1463"/>
      <c r="BK67" s="1475">
        <f>BB67</f>
        <v>0</v>
      </c>
      <c r="BL67" s="1476"/>
      <c r="BM67" s="1476"/>
      <c r="BN67" s="1476"/>
      <c r="BO67" s="1476"/>
      <c r="BP67" s="1476"/>
      <c r="BQ67" s="1476"/>
      <c r="BR67" s="1476"/>
      <c r="BS67" s="1477"/>
      <c r="BT67" s="1463"/>
      <c r="BU67" s="1463"/>
      <c r="BV67" s="1463"/>
      <c r="BW67" s="1463"/>
      <c r="BX67" s="1463"/>
      <c r="BY67" s="1463"/>
      <c r="BZ67" s="1463"/>
      <c r="CA67" s="1475"/>
      <c r="CB67" s="1476"/>
      <c r="CC67" s="1476"/>
      <c r="CD67" s="1476"/>
      <c r="CE67" s="1476"/>
      <c r="CF67" s="1476"/>
      <c r="CG67" s="1477"/>
      <c r="CH67" s="1475">
        <f>BT67+CA67</f>
        <v>0</v>
      </c>
      <c r="CI67" s="1476"/>
      <c r="CJ67" s="1476"/>
      <c r="CK67" s="1476"/>
      <c r="CL67" s="1476"/>
      <c r="CM67" s="1476"/>
      <c r="CN67" s="1477"/>
      <c r="CO67" s="1475">
        <v>0</v>
      </c>
      <c r="CP67" s="1476"/>
      <c r="CQ67" s="1476"/>
      <c r="CR67" s="1476"/>
      <c r="CS67" s="1476"/>
      <c r="CT67" s="1476"/>
      <c r="CU67" s="1477"/>
      <c r="CV67" s="1475">
        <v>0</v>
      </c>
      <c r="CW67" s="1476"/>
      <c r="CX67" s="1476"/>
      <c r="CY67" s="1476"/>
      <c r="CZ67" s="1476"/>
      <c r="DA67" s="1476"/>
      <c r="DB67" s="1476"/>
      <c r="DC67" s="1476"/>
      <c r="DD67" s="1477"/>
      <c r="DE67" s="1475">
        <v>0</v>
      </c>
      <c r="DF67" s="1476"/>
      <c r="DG67" s="1476"/>
      <c r="DH67" s="1476"/>
      <c r="DI67" s="1476"/>
      <c r="DJ67" s="1476"/>
      <c r="DK67" s="1476"/>
      <c r="DL67" s="1476"/>
      <c r="DM67" s="1477"/>
      <c r="DN67" s="1475"/>
      <c r="DO67" s="1476"/>
      <c r="DP67" s="1476"/>
      <c r="DQ67" s="1476"/>
      <c r="DR67" s="1476"/>
      <c r="DS67" s="1476"/>
      <c r="DT67" s="1477"/>
      <c r="DU67" s="1475"/>
      <c r="DV67" s="1476"/>
      <c r="DW67" s="1476"/>
      <c r="DX67" s="1476"/>
      <c r="DY67" s="1476"/>
      <c r="DZ67" s="1476"/>
      <c r="EA67" s="1477"/>
      <c r="EB67" s="1463">
        <v>0</v>
      </c>
      <c r="EC67" s="1463"/>
      <c r="ED67" s="1463"/>
      <c r="EE67" s="1463"/>
      <c r="EF67" s="1463"/>
      <c r="EG67" s="1463"/>
      <c r="EH67" s="1463"/>
      <c r="EI67" s="1475">
        <v>0</v>
      </c>
      <c r="EJ67" s="1476"/>
      <c r="EK67" s="1476"/>
      <c r="EL67" s="1476"/>
      <c r="EM67" s="1476"/>
      <c r="EN67" s="1476"/>
      <c r="EO67" s="1477"/>
      <c r="EP67" s="1475"/>
      <c r="EQ67" s="1476"/>
      <c r="ER67" s="1476"/>
      <c r="ES67" s="1476"/>
      <c r="ET67" s="1476"/>
      <c r="EU67" s="1476"/>
      <c r="EV67" s="1476"/>
      <c r="EW67" s="1476"/>
      <c r="EX67" s="1476"/>
      <c r="EY67" s="1477"/>
    </row>
    <row r="68" spans="1:155" ht="3" customHeight="1"/>
    <row r="69" spans="1:155" s="421" customFormat="1" ht="8.1" customHeight="1">
      <c r="A69" s="433" t="s">
        <v>1620</v>
      </c>
    </row>
    <row r="70" spans="1:155" s="425" customFormat="1" ht="8.1" customHeight="1">
      <c r="A70" s="434" t="s">
        <v>1621</v>
      </c>
    </row>
    <row r="71" spans="1:155" s="425" customFormat="1" ht="8.1" customHeight="1">
      <c r="A71" s="434" t="s">
        <v>1622</v>
      </c>
    </row>
    <row r="72" spans="1:155" s="421" customFormat="1" ht="8.25" customHeight="1">
      <c r="A72" s="433" t="s">
        <v>1623</v>
      </c>
    </row>
    <row r="73" spans="1:155" s="421" customFormat="1" ht="9" customHeight="1">
      <c r="A73" s="435"/>
      <c r="EY73" s="422" t="s">
        <v>1624</v>
      </c>
    </row>
    <row r="74" spans="1:155" s="436" customFormat="1" ht="8.1" customHeight="1">
      <c r="A74" s="1448" t="s">
        <v>1625</v>
      </c>
      <c r="B74" s="1448"/>
      <c r="C74" s="1448"/>
      <c r="D74" s="1448"/>
      <c r="E74" s="1448"/>
      <c r="F74" s="1448"/>
      <c r="G74" s="1448"/>
      <c r="H74" s="1448"/>
      <c r="I74" s="1448"/>
      <c r="J74" s="1448"/>
      <c r="K74" s="1448"/>
      <c r="L74" s="1448"/>
      <c r="M74" s="1448"/>
      <c r="N74" s="1448"/>
      <c r="O74" s="1448"/>
      <c r="P74" s="1448"/>
      <c r="Q74" s="1448"/>
      <c r="R74" s="1448"/>
      <c r="S74" s="1448"/>
      <c r="T74" s="1448"/>
      <c r="U74" s="1448"/>
      <c r="V74" s="1448"/>
      <c r="W74" s="1448"/>
      <c r="X74" s="1448"/>
      <c r="Y74" s="1448"/>
      <c r="Z74" s="1448"/>
      <c r="AA74" s="1448"/>
      <c r="AB74" s="1448"/>
      <c r="AC74" s="1448"/>
      <c r="AD74" s="1448"/>
      <c r="AE74" s="1448"/>
      <c r="AF74" s="1448"/>
      <c r="AG74" s="1448"/>
      <c r="AH74" s="1448"/>
      <c r="AI74" s="1448"/>
      <c r="AJ74" s="1448"/>
      <c r="AK74" s="1448"/>
      <c r="AL74" s="1448"/>
      <c r="AM74" s="1448"/>
      <c r="AN74" s="1448"/>
      <c r="AO74" s="1448"/>
      <c r="AP74" s="1448"/>
      <c r="AQ74" s="1448"/>
      <c r="AR74" s="1448"/>
      <c r="AS74" s="1448"/>
      <c r="AT74" s="1448"/>
      <c r="AU74" s="1448"/>
      <c r="AV74" s="1448"/>
      <c r="AW74" s="1448"/>
      <c r="AX74" s="1448"/>
      <c r="AY74" s="1448"/>
      <c r="AZ74" s="1448"/>
      <c r="BA74" s="1448"/>
      <c r="BB74" s="1448"/>
      <c r="BC74" s="1448"/>
      <c r="BD74" s="1448"/>
      <c r="BE74" s="1448"/>
      <c r="BF74" s="1448"/>
      <c r="BG74" s="1448"/>
      <c r="BH74" s="1448"/>
      <c r="BI74" s="1448"/>
      <c r="BJ74" s="1448"/>
      <c r="BK74" s="1448"/>
      <c r="BL74" s="1448"/>
      <c r="BM74" s="1448"/>
      <c r="BN74" s="1448"/>
      <c r="BO74" s="1448"/>
      <c r="BP74" s="1448"/>
      <c r="BQ74" s="1448"/>
      <c r="BR74" s="1448"/>
      <c r="BS74" s="1448"/>
      <c r="BT74" s="1448"/>
      <c r="BU74" s="1448"/>
      <c r="BV74" s="1448"/>
      <c r="BW74" s="1448"/>
      <c r="BX74" s="1448"/>
      <c r="BY74" s="1448"/>
      <c r="BZ74" s="1448"/>
      <c r="CA74" s="1448"/>
      <c r="CB74" s="1448"/>
      <c r="CC74" s="1448"/>
      <c r="CD74" s="1448"/>
      <c r="CE74" s="1448"/>
      <c r="CF74" s="1448"/>
      <c r="CG74" s="1448"/>
      <c r="CH74" s="1448"/>
      <c r="CI74" s="1448"/>
      <c r="CJ74" s="1448"/>
      <c r="CK74" s="1448"/>
      <c r="CL74" s="1448"/>
      <c r="CM74" s="1448"/>
      <c r="CN74" s="1448"/>
      <c r="CO74" s="1448"/>
      <c r="CP74" s="1448"/>
      <c r="CQ74" s="1448"/>
      <c r="CR74" s="1448"/>
      <c r="CS74" s="1448"/>
      <c r="CT74" s="1448"/>
      <c r="CU74" s="1448"/>
      <c r="CV74" s="1448"/>
      <c r="CW74" s="1448"/>
      <c r="CX74" s="1448"/>
      <c r="CY74" s="1448"/>
      <c r="CZ74" s="1448"/>
      <c r="DA74" s="1448"/>
      <c r="DB74" s="1448"/>
      <c r="DC74" s="1448"/>
      <c r="DD74" s="1448"/>
      <c r="DE74" s="1448"/>
      <c r="DF74" s="1448"/>
      <c r="DG74" s="1448"/>
      <c r="DH74" s="1448"/>
      <c r="DI74" s="1448"/>
      <c r="DJ74" s="1448"/>
      <c r="DK74" s="1448"/>
      <c r="DL74" s="1448"/>
      <c r="DM74" s="1448"/>
      <c r="DN74" s="1448"/>
      <c r="DO74" s="1448"/>
      <c r="DP74" s="1448"/>
      <c r="DQ74" s="1448"/>
      <c r="DR74" s="1448"/>
      <c r="DS74" s="1448"/>
      <c r="DT74" s="1448"/>
      <c r="DU74" s="1448"/>
      <c r="DV74" s="1448"/>
      <c r="DW74" s="1448"/>
      <c r="DX74" s="1448"/>
      <c r="DY74" s="1448"/>
      <c r="DZ74" s="1448"/>
      <c r="EA74" s="1448"/>
      <c r="EB74" s="1448"/>
      <c r="EC74" s="1448"/>
      <c r="ED74" s="1448"/>
      <c r="EE74" s="1448"/>
      <c r="EF74" s="1448"/>
      <c r="EG74" s="1448"/>
      <c r="EH74" s="1448"/>
      <c r="EI74" s="1448"/>
      <c r="EJ74" s="1448"/>
      <c r="EK74" s="1448"/>
      <c r="EL74" s="1448"/>
      <c r="EM74" s="1448"/>
      <c r="EN74" s="1448"/>
      <c r="EO74" s="1448"/>
      <c r="EP74" s="1448"/>
      <c r="EQ74" s="1448"/>
      <c r="ER74" s="1448"/>
      <c r="ES74" s="1448"/>
      <c r="ET74" s="1448"/>
      <c r="EU74" s="1448"/>
      <c r="EV74" s="1448"/>
      <c r="EW74" s="1448"/>
      <c r="EX74" s="1448"/>
      <c r="EY74" s="1448"/>
    </row>
    <row r="75" spans="1:155" s="428" customFormat="1" ht="9" customHeight="1">
      <c r="A75" s="1478" t="s">
        <v>111</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80"/>
      <c r="AN75" s="1478" t="s">
        <v>0</v>
      </c>
      <c r="AO75" s="1479"/>
      <c r="AP75" s="1479"/>
      <c r="AQ75" s="1479"/>
      <c r="AR75" s="1479"/>
      <c r="AS75" s="1479"/>
      <c r="AT75" s="1479"/>
      <c r="AU75" s="1480"/>
      <c r="AV75" s="1478" t="s">
        <v>1554</v>
      </c>
      <c r="AW75" s="1479"/>
      <c r="AX75" s="1479"/>
      <c r="AY75" s="1479"/>
      <c r="AZ75" s="1479"/>
      <c r="BA75" s="1480"/>
      <c r="BB75" s="1478" t="s">
        <v>1626</v>
      </c>
      <c r="BC75" s="1479"/>
      <c r="BD75" s="1479"/>
      <c r="BE75" s="1479"/>
      <c r="BF75" s="1479"/>
      <c r="BG75" s="1479"/>
      <c r="BH75" s="1479"/>
      <c r="BI75" s="1479"/>
      <c r="BJ75" s="1480"/>
      <c r="BK75" s="1481" t="s">
        <v>1556</v>
      </c>
      <c r="BL75" s="1481"/>
      <c r="BM75" s="1481"/>
      <c r="BN75" s="1481"/>
      <c r="BO75" s="1481"/>
      <c r="BP75" s="1481"/>
      <c r="BQ75" s="1481"/>
      <c r="BR75" s="1481"/>
      <c r="BS75" s="1481"/>
      <c r="BT75" s="1481" t="s">
        <v>1557</v>
      </c>
      <c r="BU75" s="1481"/>
      <c r="BV75" s="1481"/>
      <c r="BW75" s="1481"/>
      <c r="BX75" s="1481"/>
      <c r="BY75" s="1481"/>
      <c r="BZ75" s="1481"/>
      <c r="CA75" s="1481"/>
      <c r="CB75" s="1481"/>
      <c r="CC75" s="1481"/>
      <c r="CD75" s="1481"/>
      <c r="CE75" s="1481"/>
      <c r="CF75" s="1481"/>
      <c r="CG75" s="1481"/>
      <c r="CH75" s="1481"/>
      <c r="CI75" s="1481"/>
      <c r="CJ75" s="1481"/>
      <c r="CK75" s="1481"/>
      <c r="CL75" s="1481"/>
      <c r="CM75" s="1481"/>
      <c r="CN75" s="1481"/>
      <c r="CO75" s="1481"/>
      <c r="CP75" s="1481"/>
      <c r="CQ75" s="1481"/>
      <c r="CR75" s="1481"/>
      <c r="CS75" s="1481"/>
      <c r="CT75" s="1481"/>
      <c r="CU75" s="1481"/>
      <c r="CV75" s="1481" t="s">
        <v>1627</v>
      </c>
      <c r="CW75" s="1481"/>
      <c r="CX75" s="1481"/>
      <c r="CY75" s="1481"/>
      <c r="CZ75" s="1481"/>
      <c r="DA75" s="1481"/>
      <c r="DB75" s="1481"/>
      <c r="DC75" s="1481"/>
      <c r="DD75" s="1481"/>
      <c r="DE75" s="1481" t="s">
        <v>1559</v>
      </c>
      <c r="DF75" s="1481"/>
      <c r="DG75" s="1481"/>
      <c r="DH75" s="1481"/>
      <c r="DI75" s="1481"/>
      <c r="DJ75" s="1481"/>
      <c r="DK75" s="1481"/>
      <c r="DL75" s="1481"/>
      <c r="DM75" s="1481"/>
      <c r="DN75" s="1481" t="s">
        <v>1560</v>
      </c>
      <c r="DO75" s="1481"/>
      <c r="DP75" s="1481"/>
      <c r="DQ75" s="1481"/>
      <c r="DR75" s="1481"/>
      <c r="DS75" s="1481"/>
      <c r="DT75" s="1481"/>
      <c r="DU75" s="1481"/>
      <c r="DV75" s="1481"/>
      <c r="DW75" s="1481"/>
      <c r="DX75" s="1481"/>
      <c r="DY75" s="1481"/>
      <c r="DZ75" s="1481"/>
      <c r="EA75" s="1481"/>
      <c r="EB75" s="1481"/>
      <c r="EC75" s="1481"/>
      <c r="ED75" s="1481"/>
      <c r="EE75" s="1481"/>
      <c r="EF75" s="1481"/>
      <c r="EG75" s="1481"/>
      <c r="EH75" s="1481"/>
      <c r="EI75" s="1481"/>
      <c r="EJ75" s="1481"/>
      <c r="EK75" s="1481"/>
      <c r="EL75" s="1481"/>
      <c r="EM75" s="1481"/>
      <c r="EN75" s="1481"/>
      <c r="EO75" s="1481"/>
      <c r="EP75" s="1478" t="s">
        <v>1561</v>
      </c>
      <c r="EQ75" s="1479"/>
      <c r="ER75" s="1479"/>
      <c r="ES75" s="1479"/>
      <c r="ET75" s="1479"/>
      <c r="EU75" s="1479"/>
      <c r="EV75" s="1479"/>
      <c r="EW75" s="1479"/>
      <c r="EX75" s="1479"/>
      <c r="EY75" s="1480"/>
    </row>
    <row r="76" spans="1:155" s="428" customFormat="1" ht="66.75" customHeight="1">
      <c r="A76" s="1385"/>
      <c r="B76" s="1386"/>
      <c r="C76" s="1386"/>
      <c r="D76" s="1386"/>
      <c r="E76" s="1386"/>
      <c r="F76" s="1386"/>
      <c r="G76" s="1386"/>
      <c r="H76" s="1386"/>
      <c r="I76" s="1386"/>
      <c r="J76" s="1386"/>
      <c r="K76" s="1386"/>
      <c r="L76" s="1386"/>
      <c r="M76" s="1386"/>
      <c r="N76" s="1386"/>
      <c r="O76" s="1386"/>
      <c r="P76" s="1386"/>
      <c r="Q76" s="1386"/>
      <c r="R76" s="1386"/>
      <c r="S76" s="1386"/>
      <c r="T76" s="1386"/>
      <c r="U76" s="1386"/>
      <c r="V76" s="1386"/>
      <c r="W76" s="1386"/>
      <c r="X76" s="1386"/>
      <c r="Y76" s="1386"/>
      <c r="Z76" s="1386"/>
      <c r="AA76" s="1386"/>
      <c r="AB76" s="1386"/>
      <c r="AC76" s="1386"/>
      <c r="AD76" s="1386"/>
      <c r="AE76" s="1386"/>
      <c r="AF76" s="1386"/>
      <c r="AG76" s="1386"/>
      <c r="AH76" s="1386"/>
      <c r="AI76" s="1386"/>
      <c r="AJ76" s="1386"/>
      <c r="AK76" s="1386"/>
      <c r="AL76" s="1386"/>
      <c r="AM76" s="1387"/>
      <c r="AN76" s="1385"/>
      <c r="AO76" s="1386"/>
      <c r="AP76" s="1386"/>
      <c r="AQ76" s="1386"/>
      <c r="AR76" s="1386"/>
      <c r="AS76" s="1386"/>
      <c r="AT76" s="1386"/>
      <c r="AU76" s="1387"/>
      <c r="AV76" s="1385"/>
      <c r="AW76" s="1386"/>
      <c r="AX76" s="1386"/>
      <c r="AY76" s="1386"/>
      <c r="AZ76" s="1386"/>
      <c r="BA76" s="1387"/>
      <c r="BB76" s="1385"/>
      <c r="BC76" s="1386"/>
      <c r="BD76" s="1386"/>
      <c r="BE76" s="1386"/>
      <c r="BF76" s="1386"/>
      <c r="BG76" s="1386"/>
      <c r="BH76" s="1386"/>
      <c r="BI76" s="1386"/>
      <c r="BJ76" s="1387"/>
      <c r="BK76" s="1481"/>
      <c r="BL76" s="1481"/>
      <c r="BM76" s="1481"/>
      <c r="BN76" s="1481"/>
      <c r="BO76" s="1481"/>
      <c r="BP76" s="1481"/>
      <c r="BQ76" s="1481"/>
      <c r="BR76" s="1481"/>
      <c r="BS76" s="1481"/>
      <c r="BT76" s="1481" t="s">
        <v>1562</v>
      </c>
      <c r="BU76" s="1481"/>
      <c r="BV76" s="1481"/>
      <c r="BW76" s="1481"/>
      <c r="BX76" s="1481"/>
      <c r="BY76" s="1481"/>
      <c r="BZ76" s="1481"/>
      <c r="CA76" s="1481" t="s">
        <v>1563</v>
      </c>
      <c r="CB76" s="1481"/>
      <c r="CC76" s="1481"/>
      <c r="CD76" s="1481"/>
      <c r="CE76" s="1481"/>
      <c r="CF76" s="1481"/>
      <c r="CG76" s="1481"/>
      <c r="CH76" s="1481" t="s">
        <v>1564</v>
      </c>
      <c r="CI76" s="1481"/>
      <c r="CJ76" s="1481"/>
      <c r="CK76" s="1481"/>
      <c r="CL76" s="1481"/>
      <c r="CM76" s="1481"/>
      <c r="CN76" s="1481"/>
      <c r="CO76" s="1481" t="s">
        <v>1565</v>
      </c>
      <c r="CP76" s="1481"/>
      <c r="CQ76" s="1481"/>
      <c r="CR76" s="1481"/>
      <c r="CS76" s="1481"/>
      <c r="CT76" s="1481"/>
      <c r="CU76" s="1481"/>
      <c r="CV76" s="1481"/>
      <c r="CW76" s="1481"/>
      <c r="CX76" s="1481"/>
      <c r="CY76" s="1481"/>
      <c r="CZ76" s="1481"/>
      <c r="DA76" s="1481"/>
      <c r="DB76" s="1481"/>
      <c r="DC76" s="1481"/>
      <c r="DD76" s="1481"/>
      <c r="DE76" s="1481"/>
      <c r="DF76" s="1481"/>
      <c r="DG76" s="1481"/>
      <c r="DH76" s="1481"/>
      <c r="DI76" s="1481"/>
      <c r="DJ76" s="1481"/>
      <c r="DK76" s="1481"/>
      <c r="DL76" s="1481"/>
      <c r="DM76" s="1481"/>
      <c r="DN76" s="1481" t="s">
        <v>1562</v>
      </c>
      <c r="DO76" s="1481"/>
      <c r="DP76" s="1481"/>
      <c r="DQ76" s="1481"/>
      <c r="DR76" s="1481"/>
      <c r="DS76" s="1481"/>
      <c r="DT76" s="1481"/>
      <c r="DU76" s="1481" t="s">
        <v>1563</v>
      </c>
      <c r="DV76" s="1481"/>
      <c r="DW76" s="1481"/>
      <c r="DX76" s="1481"/>
      <c r="DY76" s="1481"/>
      <c r="DZ76" s="1481"/>
      <c r="EA76" s="1481"/>
      <c r="EB76" s="1481" t="s">
        <v>1564</v>
      </c>
      <c r="EC76" s="1481"/>
      <c r="ED76" s="1481"/>
      <c r="EE76" s="1481"/>
      <c r="EF76" s="1481"/>
      <c r="EG76" s="1481"/>
      <c r="EH76" s="1481"/>
      <c r="EI76" s="1481" t="s">
        <v>1565</v>
      </c>
      <c r="EJ76" s="1481"/>
      <c r="EK76" s="1481"/>
      <c r="EL76" s="1481"/>
      <c r="EM76" s="1481"/>
      <c r="EN76" s="1481"/>
      <c r="EO76" s="1481"/>
      <c r="EP76" s="1385"/>
      <c r="EQ76" s="1386"/>
      <c r="ER76" s="1386"/>
      <c r="ES76" s="1386"/>
      <c r="ET76" s="1386"/>
      <c r="EU76" s="1386"/>
      <c r="EV76" s="1386"/>
      <c r="EW76" s="1386"/>
      <c r="EX76" s="1386"/>
      <c r="EY76" s="1387"/>
    </row>
    <row r="77" spans="1:155" s="429" customFormat="1" ht="18.75" customHeight="1">
      <c r="A77" s="1466">
        <v>1</v>
      </c>
      <c r="B77" s="1467"/>
      <c r="C77" s="1467"/>
      <c r="D77" s="1467"/>
      <c r="E77" s="1467"/>
      <c r="F77" s="1467"/>
      <c r="G77" s="1467"/>
      <c r="H77" s="1467"/>
      <c r="I77" s="1467"/>
      <c r="J77" s="1467"/>
      <c r="K77" s="1467"/>
      <c r="L77" s="1467"/>
      <c r="M77" s="1467"/>
      <c r="N77" s="1467"/>
      <c r="O77" s="1467"/>
      <c r="P77" s="1467"/>
      <c r="Q77" s="1467"/>
      <c r="R77" s="1467"/>
      <c r="S77" s="1467"/>
      <c r="T77" s="1467"/>
      <c r="U77" s="1467"/>
      <c r="V77" s="1467"/>
      <c r="W77" s="1467"/>
      <c r="X77" s="1467"/>
      <c r="Y77" s="1467"/>
      <c r="Z77" s="1467"/>
      <c r="AA77" s="1467"/>
      <c r="AB77" s="1467"/>
      <c r="AC77" s="1467"/>
      <c r="AD77" s="1467"/>
      <c r="AE77" s="1467"/>
      <c r="AF77" s="1467"/>
      <c r="AG77" s="1467"/>
      <c r="AH77" s="1467"/>
      <c r="AI77" s="1467"/>
      <c r="AJ77" s="1467"/>
      <c r="AK77" s="1467"/>
      <c r="AL77" s="1467"/>
      <c r="AM77" s="1468"/>
      <c r="AN77" s="1470">
        <v>2</v>
      </c>
      <c r="AO77" s="1470"/>
      <c r="AP77" s="1470"/>
      <c r="AQ77" s="1470"/>
      <c r="AR77" s="1470"/>
      <c r="AS77" s="1470"/>
      <c r="AT77" s="1470"/>
      <c r="AU77" s="1470"/>
      <c r="AV77" s="1470">
        <v>3</v>
      </c>
      <c r="AW77" s="1470"/>
      <c r="AX77" s="1470"/>
      <c r="AY77" s="1470"/>
      <c r="AZ77" s="1470"/>
      <c r="BA77" s="1470"/>
      <c r="BB77" s="1470">
        <v>4</v>
      </c>
      <c r="BC77" s="1470"/>
      <c r="BD77" s="1470"/>
      <c r="BE77" s="1470"/>
      <c r="BF77" s="1470"/>
      <c r="BG77" s="1470"/>
      <c r="BH77" s="1470"/>
      <c r="BI77" s="1470"/>
      <c r="BJ77" s="1470"/>
      <c r="BK77" s="1470">
        <v>5</v>
      </c>
      <c r="BL77" s="1470"/>
      <c r="BM77" s="1470"/>
      <c r="BN77" s="1470"/>
      <c r="BO77" s="1470"/>
      <c r="BP77" s="1470"/>
      <c r="BQ77" s="1470"/>
      <c r="BR77" s="1470"/>
      <c r="BS77" s="1470"/>
      <c r="BT77" s="1470">
        <v>6</v>
      </c>
      <c r="BU77" s="1470"/>
      <c r="BV77" s="1470"/>
      <c r="BW77" s="1470"/>
      <c r="BX77" s="1470"/>
      <c r="BY77" s="1470"/>
      <c r="BZ77" s="1470"/>
      <c r="CA77" s="1470">
        <v>7</v>
      </c>
      <c r="CB77" s="1470"/>
      <c r="CC77" s="1470"/>
      <c r="CD77" s="1470"/>
      <c r="CE77" s="1470"/>
      <c r="CF77" s="1470"/>
      <c r="CG77" s="1470"/>
      <c r="CH77" s="1471" t="s">
        <v>1566</v>
      </c>
      <c r="CI77" s="1472"/>
      <c r="CJ77" s="1472"/>
      <c r="CK77" s="1472"/>
      <c r="CL77" s="1472"/>
      <c r="CM77" s="1472"/>
      <c r="CN77" s="1473"/>
      <c r="CO77" s="1470">
        <v>9</v>
      </c>
      <c r="CP77" s="1470"/>
      <c r="CQ77" s="1470"/>
      <c r="CR77" s="1470"/>
      <c r="CS77" s="1470"/>
      <c r="CT77" s="1470"/>
      <c r="CU77" s="1470"/>
      <c r="CV77" s="1474">
        <v>10</v>
      </c>
      <c r="CW77" s="1474"/>
      <c r="CX77" s="1474"/>
      <c r="CY77" s="1474"/>
      <c r="CZ77" s="1474"/>
      <c r="DA77" s="1474"/>
      <c r="DB77" s="1474"/>
      <c r="DC77" s="1474"/>
      <c r="DD77" s="1474"/>
      <c r="DE77" s="1474">
        <v>11</v>
      </c>
      <c r="DF77" s="1474"/>
      <c r="DG77" s="1474"/>
      <c r="DH77" s="1474"/>
      <c r="DI77" s="1474"/>
      <c r="DJ77" s="1474"/>
      <c r="DK77" s="1474"/>
      <c r="DL77" s="1474"/>
      <c r="DM77" s="1474"/>
      <c r="DN77" s="1474">
        <v>12</v>
      </c>
      <c r="DO77" s="1474"/>
      <c r="DP77" s="1474"/>
      <c r="DQ77" s="1474"/>
      <c r="DR77" s="1474"/>
      <c r="DS77" s="1474"/>
      <c r="DT77" s="1474"/>
      <c r="DU77" s="1474">
        <v>13</v>
      </c>
      <c r="DV77" s="1474"/>
      <c r="DW77" s="1474"/>
      <c r="DX77" s="1474"/>
      <c r="DY77" s="1474"/>
      <c r="DZ77" s="1474"/>
      <c r="EA77" s="1474"/>
      <c r="EB77" s="1471" t="s">
        <v>1567</v>
      </c>
      <c r="EC77" s="1472"/>
      <c r="ED77" s="1472"/>
      <c r="EE77" s="1472"/>
      <c r="EF77" s="1472"/>
      <c r="EG77" s="1472"/>
      <c r="EH77" s="1473"/>
      <c r="EI77" s="1466">
        <v>15</v>
      </c>
      <c r="EJ77" s="1467"/>
      <c r="EK77" s="1467"/>
      <c r="EL77" s="1467"/>
      <c r="EM77" s="1467"/>
      <c r="EN77" s="1467"/>
      <c r="EO77" s="1468"/>
      <c r="EP77" s="1470">
        <v>16</v>
      </c>
      <c r="EQ77" s="1470"/>
      <c r="ER77" s="1470"/>
      <c r="ES77" s="1470"/>
      <c r="ET77" s="1470"/>
      <c r="EU77" s="1470"/>
      <c r="EV77" s="1470"/>
      <c r="EW77" s="1470"/>
      <c r="EX77" s="1470"/>
      <c r="EY77" s="1470"/>
    </row>
    <row r="78" spans="1:155" s="430" customFormat="1" ht="8.1" customHeight="1">
      <c r="A78" s="1461" t="s">
        <v>1628</v>
      </c>
      <c r="B78" s="1461"/>
      <c r="C78" s="1461"/>
      <c r="D78" s="1461"/>
      <c r="E78" s="1461"/>
      <c r="F78" s="1461"/>
      <c r="G78" s="1461"/>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1461"/>
      <c r="AH78" s="1461"/>
      <c r="AI78" s="1461"/>
      <c r="AJ78" s="1461"/>
      <c r="AK78" s="1461"/>
      <c r="AL78" s="1461"/>
      <c r="AM78" s="1461"/>
      <c r="AN78" s="1460" t="s">
        <v>121</v>
      </c>
      <c r="AO78" s="1460"/>
      <c r="AP78" s="1460"/>
      <c r="AQ78" s="1460"/>
      <c r="AR78" s="1460"/>
      <c r="AS78" s="1460"/>
      <c r="AT78" s="1460"/>
      <c r="AU78" s="1460"/>
      <c r="AV78" s="1462" t="s">
        <v>1629</v>
      </c>
      <c r="AW78" s="1462"/>
      <c r="AX78" s="1462"/>
      <c r="AY78" s="1462"/>
      <c r="AZ78" s="1462"/>
      <c r="BA78" s="1462"/>
      <c r="BB78" s="1459">
        <v>767479</v>
      </c>
      <c r="BC78" s="1459"/>
      <c r="BD78" s="1459"/>
      <c r="BE78" s="1459"/>
      <c r="BF78" s="1459"/>
      <c r="BG78" s="1459"/>
      <c r="BH78" s="1459"/>
      <c r="BI78" s="1459"/>
      <c r="BJ78" s="1459"/>
      <c r="BK78" s="1459">
        <v>767479</v>
      </c>
      <c r="BL78" s="1459"/>
      <c r="BM78" s="1459"/>
      <c r="BN78" s="1459"/>
      <c r="BO78" s="1459"/>
      <c r="BP78" s="1459"/>
      <c r="BQ78" s="1459"/>
      <c r="BR78" s="1459"/>
      <c r="BS78" s="1459"/>
      <c r="BT78" s="1460" t="s">
        <v>118</v>
      </c>
      <c r="BU78" s="1460"/>
      <c r="BV78" s="1460"/>
      <c r="BW78" s="1460"/>
      <c r="BX78" s="1460"/>
      <c r="BY78" s="1460"/>
      <c r="BZ78" s="1460"/>
      <c r="CA78" s="1460" t="s">
        <v>118</v>
      </c>
      <c r="CB78" s="1460"/>
      <c r="CC78" s="1460"/>
      <c r="CD78" s="1460"/>
      <c r="CE78" s="1460"/>
      <c r="CF78" s="1460"/>
      <c r="CG78" s="1460"/>
      <c r="CH78" s="1460" t="s">
        <v>118</v>
      </c>
      <c r="CI78" s="1460"/>
      <c r="CJ78" s="1460"/>
      <c r="CK78" s="1460"/>
      <c r="CL78" s="1460"/>
      <c r="CM78" s="1460"/>
      <c r="CN78" s="1460"/>
      <c r="CO78" s="1460" t="s">
        <v>118</v>
      </c>
      <c r="CP78" s="1460"/>
      <c r="CQ78" s="1460"/>
      <c r="CR78" s="1460"/>
      <c r="CS78" s="1460"/>
      <c r="CT78" s="1460"/>
      <c r="CU78" s="1460"/>
      <c r="CV78" s="1465">
        <v>1337238</v>
      </c>
      <c r="CW78" s="1465"/>
      <c r="CX78" s="1465"/>
      <c r="CY78" s="1465"/>
      <c r="CZ78" s="1465"/>
      <c r="DA78" s="1465"/>
      <c r="DB78" s="1465"/>
      <c r="DC78" s="1465"/>
      <c r="DD78" s="1465"/>
      <c r="DE78" s="1465">
        <v>1337238</v>
      </c>
      <c r="DF78" s="1465"/>
      <c r="DG78" s="1465"/>
      <c r="DH78" s="1465"/>
      <c r="DI78" s="1465"/>
      <c r="DJ78" s="1465"/>
      <c r="DK78" s="1465"/>
      <c r="DL78" s="1465"/>
      <c r="DM78" s="1465"/>
      <c r="DN78" s="1464" t="s">
        <v>118</v>
      </c>
      <c r="DO78" s="1464"/>
      <c r="DP78" s="1464"/>
      <c r="DQ78" s="1464"/>
      <c r="DR78" s="1464"/>
      <c r="DS78" s="1464"/>
      <c r="DT78" s="1464"/>
      <c r="DU78" s="1464" t="s">
        <v>118</v>
      </c>
      <c r="DV78" s="1464"/>
      <c r="DW78" s="1464"/>
      <c r="DX78" s="1464"/>
      <c r="DY78" s="1464"/>
      <c r="DZ78" s="1464"/>
      <c r="EA78" s="1464"/>
      <c r="EB78" s="1460" t="s">
        <v>118</v>
      </c>
      <c r="EC78" s="1460"/>
      <c r="ED78" s="1460"/>
      <c r="EE78" s="1460"/>
      <c r="EF78" s="1460"/>
      <c r="EG78" s="1460"/>
      <c r="EH78" s="1460"/>
      <c r="EI78" s="1460" t="s">
        <v>118</v>
      </c>
      <c r="EJ78" s="1460"/>
      <c r="EK78" s="1460"/>
      <c r="EL78" s="1460"/>
      <c r="EM78" s="1460"/>
      <c r="EN78" s="1460"/>
      <c r="EO78" s="1460"/>
      <c r="EP78" s="1459"/>
      <c r="EQ78" s="1459"/>
      <c r="ER78" s="1459"/>
      <c r="ES78" s="1459"/>
      <c r="ET78" s="1459"/>
      <c r="EU78" s="1459"/>
      <c r="EV78" s="1459"/>
      <c r="EW78" s="1459"/>
      <c r="EX78" s="1459"/>
      <c r="EY78" s="1459"/>
    </row>
    <row r="79" spans="1:155" s="430" customFormat="1" ht="8.1" customHeight="1">
      <c r="A79" s="1469" t="s">
        <v>1630</v>
      </c>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0" t="s">
        <v>121</v>
      </c>
      <c r="AO79" s="1460"/>
      <c r="AP79" s="1460"/>
      <c r="AQ79" s="1460"/>
      <c r="AR79" s="1460"/>
      <c r="AS79" s="1460"/>
      <c r="AT79" s="1460"/>
      <c r="AU79" s="1460"/>
      <c r="AV79" s="1462" t="s">
        <v>63</v>
      </c>
      <c r="AW79" s="1462"/>
      <c r="AX79" s="1462"/>
      <c r="AY79" s="1462"/>
      <c r="AZ79" s="1462"/>
      <c r="BA79" s="1462"/>
      <c r="BB79" s="1460" t="s">
        <v>118</v>
      </c>
      <c r="BC79" s="1460"/>
      <c r="BD79" s="1460"/>
      <c r="BE79" s="1460"/>
      <c r="BF79" s="1460"/>
      <c r="BG79" s="1460"/>
      <c r="BH79" s="1460"/>
      <c r="BI79" s="1460"/>
      <c r="BJ79" s="1460"/>
      <c r="BK79" s="1460" t="s">
        <v>118</v>
      </c>
      <c r="BL79" s="1460"/>
      <c r="BM79" s="1460"/>
      <c r="BN79" s="1460"/>
      <c r="BO79" s="1460"/>
      <c r="BP79" s="1460"/>
      <c r="BQ79" s="1460"/>
      <c r="BR79" s="1460"/>
      <c r="BS79" s="1460"/>
      <c r="BT79" s="1463">
        <v>47945</v>
      </c>
      <c r="BU79" s="1463"/>
      <c r="BV79" s="1463"/>
      <c r="BW79" s="1463"/>
      <c r="BX79" s="1463"/>
      <c r="BY79" s="1463"/>
      <c r="BZ79" s="1463"/>
      <c r="CA79" s="1463">
        <v>41541</v>
      </c>
      <c r="CB79" s="1463"/>
      <c r="CC79" s="1463"/>
      <c r="CD79" s="1463"/>
      <c r="CE79" s="1463"/>
      <c r="CF79" s="1463"/>
      <c r="CG79" s="1463"/>
      <c r="CH79" s="1460" t="s">
        <v>118</v>
      </c>
      <c r="CI79" s="1460"/>
      <c r="CJ79" s="1460"/>
      <c r="CK79" s="1460"/>
      <c r="CL79" s="1460"/>
      <c r="CM79" s="1460"/>
      <c r="CN79" s="1460"/>
      <c r="CO79" s="1460" t="s">
        <v>118</v>
      </c>
      <c r="CP79" s="1460"/>
      <c r="CQ79" s="1460"/>
      <c r="CR79" s="1460"/>
      <c r="CS79" s="1460"/>
      <c r="CT79" s="1460"/>
      <c r="CU79" s="1460"/>
      <c r="CV79" s="1464" t="s">
        <v>118</v>
      </c>
      <c r="CW79" s="1464"/>
      <c r="CX79" s="1464"/>
      <c r="CY79" s="1464"/>
      <c r="CZ79" s="1464"/>
      <c r="DA79" s="1464"/>
      <c r="DB79" s="1464"/>
      <c r="DC79" s="1464"/>
      <c r="DD79" s="1464"/>
      <c r="DE79" s="1464" t="s">
        <v>118</v>
      </c>
      <c r="DF79" s="1464"/>
      <c r="DG79" s="1464"/>
      <c r="DH79" s="1464"/>
      <c r="DI79" s="1464"/>
      <c r="DJ79" s="1464"/>
      <c r="DK79" s="1464"/>
      <c r="DL79" s="1464"/>
      <c r="DM79" s="1464"/>
      <c r="DN79" s="1465">
        <v>755692</v>
      </c>
      <c r="DO79" s="1465"/>
      <c r="DP79" s="1465"/>
      <c r="DQ79" s="1465"/>
      <c r="DR79" s="1465"/>
      <c r="DS79" s="1465"/>
      <c r="DT79" s="1465"/>
      <c r="DU79" s="1465">
        <v>12120</v>
      </c>
      <c r="DV79" s="1465"/>
      <c r="DW79" s="1465"/>
      <c r="DX79" s="1465"/>
      <c r="DY79" s="1465"/>
      <c r="DZ79" s="1465"/>
      <c r="EA79" s="1465"/>
      <c r="EB79" s="1460" t="s">
        <v>118</v>
      </c>
      <c r="EC79" s="1460"/>
      <c r="ED79" s="1460"/>
      <c r="EE79" s="1460"/>
      <c r="EF79" s="1460"/>
      <c r="EG79" s="1460"/>
      <c r="EH79" s="1460"/>
      <c r="EI79" s="1460" t="s">
        <v>118</v>
      </c>
      <c r="EJ79" s="1460"/>
      <c r="EK79" s="1460"/>
      <c r="EL79" s="1460"/>
      <c r="EM79" s="1460"/>
      <c r="EN79" s="1460"/>
      <c r="EO79" s="1460"/>
      <c r="EP79" s="1459"/>
      <c r="EQ79" s="1459"/>
      <c r="ER79" s="1459"/>
      <c r="ES79" s="1459"/>
      <c r="ET79" s="1459"/>
      <c r="EU79" s="1459"/>
      <c r="EV79" s="1459"/>
      <c r="EW79" s="1459"/>
      <c r="EX79" s="1459"/>
      <c r="EY79" s="1459"/>
    </row>
    <row r="80" spans="1:155" s="430" customFormat="1" ht="32.25" customHeight="1">
      <c r="A80" s="1461" t="s">
        <v>1631</v>
      </c>
      <c r="B80" s="1461"/>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1461"/>
      <c r="AH80" s="1461"/>
      <c r="AI80" s="1461"/>
      <c r="AJ80" s="1461"/>
      <c r="AK80" s="1461"/>
      <c r="AL80" s="1461"/>
      <c r="AM80" s="1461"/>
      <c r="AN80" s="1460" t="s">
        <v>121</v>
      </c>
      <c r="AO80" s="1460"/>
      <c r="AP80" s="1460"/>
      <c r="AQ80" s="1460"/>
      <c r="AR80" s="1460"/>
      <c r="AS80" s="1460"/>
      <c r="AT80" s="1460"/>
      <c r="AU80" s="1460"/>
      <c r="AV80" s="1462" t="s">
        <v>1632</v>
      </c>
      <c r="AW80" s="1462"/>
      <c r="AX80" s="1462"/>
      <c r="AY80" s="1462"/>
      <c r="AZ80" s="1462"/>
      <c r="BA80" s="1462"/>
      <c r="BB80" s="1460" t="s">
        <v>118</v>
      </c>
      <c r="BC80" s="1460"/>
      <c r="BD80" s="1460"/>
      <c r="BE80" s="1460"/>
      <c r="BF80" s="1460"/>
      <c r="BG80" s="1460"/>
      <c r="BH80" s="1460"/>
      <c r="BI80" s="1460"/>
      <c r="BJ80" s="1460"/>
      <c r="BK80" s="1460" t="s">
        <v>118</v>
      </c>
      <c r="BL80" s="1460"/>
      <c r="BM80" s="1460"/>
      <c r="BN80" s="1460"/>
      <c r="BO80" s="1460"/>
      <c r="BP80" s="1460"/>
      <c r="BQ80" s="1460"/>
      <c r="BR80" s="1460"/>
      <c r="BS80" s="1460"/>
      <c r="BT80" s="1459">
        <v>2500000</v>
      </c>
      <c r="BU80" s="1459"/>
      <c r="BV80" s="1459"/>
      <c r="BW80" s="1459"/>
      <c r="BX80" s="1459"/>
      <c r="BY80" s="1459"/>
      <c r="BZ80" s="1459"/>
      <c r="CA80" s="1459"/>
      <c r="CB80" s="1459"/>
      <c r="CC80" s="1459"/>
      <c r="CD80" s="1459"/>
      <c r="CE80" s="1459"/>
      <c r="CF80" s="1459"/>
      <c r="CG80" s="1459"/>
      <c r="CH80" s="1460" t="s">
        <v>118</v>
      </c>
      <c r="CI80" s="1460"/>
      <c r="CJ80" s="1460"/>
      <c r="CK80" s="1460"/>
      <c r="CL80" s="1460"/>
      <c r="CM80" s="1460"/>
      <c r="CN80" s="1460"/>
      <c r="CO80" s="1460" t="s">
        <v>118</v>
      </c>
      <c r="CP80" s="1460"/>
      <c r="CQ80" s="1460"/>
      <c r="CR80" s="1460"/>
      <c r="CS80" s="1460"/>
      <c r="CT80" s="1460"/>
      <c r="CU80" s="1460"/>
      <c r="CV80" s="1460" t="s">
        <v>118</v>
      </c>
      <c r="CW80" s="1460"/>
      <c r="CX80" s="1460"/>
      <c r="CY80" s="1460"/>
      <c r="CZ80" s="1460"/>
      <c r="DA80" s="1460"/>
      <c r="DB80" s="1460"/>
      <c r="DC80" s="1460"/>
      <c r="DD80" s="1460"/>
      <c r="DE80" s="1460" t="s">
        <v>118</v>
      </c>
      <c r="DF80" s="1460"/>
      <c r="DG80" s="1460"/>
      <c r="DH80" s="1460"/>
      <c r="DI80" s="1460"/>
      <c r="DJ80" s="1460"/>
      <c r="DK80" s="1460"/>
      <c r="DL80" s="1460"/>
      <c r="DM80" s="1460"/>
      <c r="DN80" s="1459">
        <v>3522500</v>
      </c>
      <c r="DO80" s="1459"/>
      <c r="DP80" s="1459"/>
      <c r="DQ80" s="1459"/>
      <c r="DR80" s="1459"/>
      <c r="DS80" s="1459"/>
      <c r="DT80" s="1459"/>
      <c r="DU80" s="1459"/>
      <c r="DV80" s="1459"/>
      <c r="DW80" s="1459"/>
      <c r="DX80" s="1459"/>
      <c r="DY80" s="1459"/>
      <c r="DZ80" s="1459"/>
      <c r="EA80" s="1459"/>
      <c r="EB80" s="1460" t="s">
        <v>118</v>
      </c>
      <c r="EC80" s="1460"/>
      <c r="ED80" s="1460"/>
      <c r="EE80" s="1460"/>
      <c r="EF80" s="1460"/>
      <c r="EG80" s="1460"/>
      <c r="EH80" s="1460"/>
      <c r="EI80" s="1460" t="s">
        <v>118</v>
      </c>
      <c r="EJ80" s="1460"/>
      <c r="EK80" s="1460"/>
      <c r="EL80" s="1460"/>
      <c r="EM80" s="1460"/>
      <c r="EN80" s="1460"/>
      <c r="EO80" s="1460"/>
      <c r="EP80" s="1459"/>
      <c r="EQ80" s="1459"/>
      <c r="ER80" s="1459"/>
      <c r="ES80" s="1459"/>
      <c r="ET80" s="1459"/>
      <c r="EU80" s="1459"/>
      <c r="EV80" s="1459"/>
      <c r="EW80" s="1459"/>
      <c r="EX80" s="1459"/>
      <c r="EY80" s="1459"/>
    </row>
    <row r="81" spans="1:155" s="430" customFormat="1" ht="32.25" customHeight="1">
      <c r="A81" s="1461" t="s">
        <v>1633</v>
      </c>
      <c r="B81" s="1461"/>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1461"/>
      <c r="AB81" s="1461"/>
      <c r="AC81" s="1461"/>
      <c r="AD81" s="1461"/>
      <c r="AE81" s="1461"/>
      <c r="AF81" s="1461"/>
      <c r="AG81" s="1461"/>
      <c r="AH81" s="1461"/>
      <c r="AI81" s="1461"/>
      <c r="AJ81" s="1461"/>
      <c r="AK81" s="1461"/>
      <c r="AL81" s="1461"/>
      <c r="AM81" s="1461"/>
      <c r="AN81" s="1460" t="s">
        <v>121</v>
      </c>
      <c r="AO81" s="1460"/>
      <c r="AP81" s="1460"/>
      <c r="AQ81" s="1460"/>
      <c r="AR81" s="1460"/>
      <c r="AS81" s="1460"/>
      <c r="AT81" s="1460"/>
      <c r="AU81" s="1460"/>
      <c r="AV81" s="1462" t="s">
        <v>1634</v>
      </c>
      <c r="AW81" s="1462"/>
      <c r="AX81" s="1462"/>
      <c r="AY81" s="1462"/>
      <c r="AZ81" s="1462"/>
      <c r="BA81" s="1462"/>
      <c r="BB81" s="1460" t="s">
        <v>118</v>
      </c>
      <c r="BC81" s="1460"/>
      <c r="BD81" s="1460"/>
      <c r="BE81" s="1460"/>
      <c r="BF81" s="1460"/>
      <c r="BG81" s="1460"/>
      <c r="BH81" s="1460"/>
      <c r="BI81" s="1460"/>
      <c r="BJ81" s="1460"/>
      <c r="BK81" s="1460" t="s">
        <v>118</v>
      </c>
      <c r="BL81" s="1460"/>
      <c r="BM81" s="1460"/>
      <c r="BN81" s="1460"/>
      <c r="BO81" s="1460"/>
      <c r="BP81" s="1460"/>
      <c r="BQ81" s="1460"/>
      <c r="BR81" s="1460"/>
      <c r="BS81" s="1460"/>
      <c r="BT81" s="1459">
        <v>1708618</v>
      </c>
      <c r="BU81" s="1459"/>
      <c r="BV81" s="1459"/>
      <c r="BW81" s="1459"/>
      <c r="BX81" s="1459"/>
      <c r="BY81" s="1459"/>
      <c r="BZ81" s="1459"/>
      <c r="CA81" s="1459"/>
      <c r="CB81" s="1459"/>
      <c r="CC81" s="1459"/>
      <c r="CD81" s="1459"/>
      <c r="CE81" s="1459"/>
      <c r="CF81" s="1459"/>
      <c r="CG81" s="1459"/>
      <c r="CH81" s="1460" t="s">
        <v>118</v>
      </c>
      <c r="CI81" s="1460"/>
      <c r="CJ81" s="1460"/>
      <c r="CK81" s="1460"/>
      <c r="CL81" s="1460"/>
      <c r="CM81" s="1460"/>
      <c r="CN81" s="1460"/>
      <c r="CO81" s="1460" t="s">
        <v>118</v>
      </c>
      <c r="CP81" s="1460"/>
      <c r="CQ81" s="1460"/>
      <c r="CR81" s="1460"/>
      <c r="CS81" s="1460"/>
      <c r="CT81" s="1460"/>
      <c r="CU81" s="1460"/>
      <c r="CV81" s="1460" t="s">
        <v>118</v>
      </c>
      <c r="CW81" s="1460"/>
      <c r="CX81" s="1460"/>
      <c r="CY81" s="1460"/>
      <c r="CZ81" s="1460"/>
      <c r="DA81" s="1460"/>
      <c r="DB81" s="1460"/>
      <c r="DC81" s="1460"/>
      <c r="DD81" s="1460"/>
      <c r="DE81" s="1460" t="s">
        <v>118</v>
      </c>
      <c r="DF81" s="1460"/>
      <c r="DG81" s="1460"/>
      <c r="DH81" s="1460"/>
      <c r="DI81" s="1460"/>
      <c r="DJ81" s="1460"/>
      <c r="DK81" s="1460"/>
      <c r="DL81" s="1460"/>
      <c r="DM81" s="1460"/>
      <c r="DN81" s="1459">
        <v>665500</v>
      </c>
      <c r="DO81" s="1459"/>
      <c r="DP81" s="1459"/>
      <c r="DQ81" s="1459"/>
      <c r="DR81" s="1459"/>
      <c r="DS81" s="1459"/>
      <c r="DT81" s="1459"/>
      <c r="DU81" s="1459"/>
      <c r="DV81" s="1459"/>
      <c r="DW81" s="1459"/>
      <c r="DX81" s="1459"/>
      <c r="DY81" s="1459"/>
      <c r="DZ81" s="1459"/>
      <c r="EA81" s="1459"/>
      <c r="EB81" s="1460" t="s">
        <v>118</v>
      </c>
      <c r="EC81" s="1460"/>
      <c r="ED81" s="1460"/>
      <c r="EE81" s="1460"/>
      <c r="EF81" s="1460"/>
      <c r="EG81" s="1460"/>
      <c r="EH81" s="1460"/>
      <c r="EI81" s="1460" t="s">
        <v>118</v>
      </c>
      <c r="EJ81" s="1460"/>
      <c r="EK81" s="1460"/>
      <c r="EL81" s="1460"/>
      <c r="EM81" s="1460"/>
      <c r="EN81" s="1460"/>
      <c r="EO81" s="1460"/>
      <c r="EP81" s="1459"/>
      <c r="EQ81" s="1459"/>
      <c r="ER81" s="1459"/>
      <c r="ES81" s="1459"/>
      <c r="ET81" s="1459"/>
      <c r="EU81" s="1459"/>
      <c r="EV81" s="1459"/>
      <c r="EW81" s="1459"/>
      <c r="EX81" s="1459"/>
      <c r="EY81" s="1459"/>
    </row>
    <row r="82" spans="1:155" s="430" customFormat="1" ht="8.1" customHeight="1">
      <c r="A82" s="1461" t="s">
        <v>1635</v>
      </c>
      <c r="B82" s="1461"/>
      <c r="C82" s="1461"/>
      <c r="D82" s="1461"/>
      <c r="E82" s="1461"/>
      <c r="F82" s="1461"/>
      <c r="G82" s="1461"/>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1461"/>
      <c r="AH82" s="1461"/>
      <c r="AI82" s="1461"/>
      <c r="AJ82" s="1461"/>
      <c r="AK82" s="1461"/>
      <c r="AL82" s="1461"/>
      <c r="AM82" s="1461"/>
      <c r="AN82" s="1460" t="s">
        <v>121</v>
      </c>
      <c r="AO82" s="1460"/>
      <c r="AP82" s="1460"/>
      <c r="AQ82" s="1460"/>
      <c r="AR82" s="1460"/>
      <c r="AS82" s="1460"/>
      <c r="AT82" s="1460"/>
      <c r="AU82" s="1460"/>
      <c r="AV82" s="1462" t="s">
        <v>1636</v>
      </c>
      <c r="AW82" s="1462"/>
      <c r="AX82" s="1462"/>
      <c r="AY82" s="1462"/>
      <c r="AZ82" s="1462"/>
      <c r="BA82" s="1462"/>
      <c r="BB82" s="1459">
        <f>CH82</f>
        <v>4078564</v>
      </c>
      <c r="BC82" s="1459"/>
      <c r="BD82" s="1459"/>
      <c r="BE82" s="1459"/>
      <c r="BF82" s="1459"/>
      <c r="BG82" s="1459"/>
      <c r="BH82" s="1459"/>
      <c r="BI82" s="1459"/>
      <c r="BJ82" s="1459"/>
      <c r="BK82" s="1459">
        <f>BB82</f>
        <v>4078564</v>
      </c>
      <c r="BL82" s="1459"/>
      <c r="BM82" s="1459"/>
      <c r="BN82" s="1459"/>
      <c r="BO82" s="1459"/>
      <c r="BP82" s="1459"/>
      <c r="BQ82" s="1459"/>
      <c r="BR82" s="1459"/>
      <c r="BS82" s="1459"/>
      <c r="BT82" s="1460" t="s">
        <v>118</v>
      </c>
      <c r="BU82" s="1460"/>
      <c r="BV82" s="1460"/>
      <c r="BW82" s="1460"/>
      <c r="BX82" s="1460"/>
      <c r="BY82" s="1460"/>
      <c r="BZ82" s="1460"/>
      <c r="CA82" s="1460" t="s">
        <v>118</v>
      </c>
      <c r="CB82" s="1460"/>
      <c r="CC82" s="1460"/>
      <c r="CD82" s="1460"/>
      <c r="CE82" s="1460"/>
      <c r="CF82" s="1460"/>
      <c r="CG82" s="1460"/>
      <c r="CH82" s="1459">
        <v>4078564</v>
      </c>
      <c r="CI82" s="1459"/>
      <c r="CJ82" s="1459"/>
      <c r="CK82" s="1459"/>
      <c r="CL82" s="1459"/>
      <c r="CM82" s="1459"/>
      <c r="CN82" s="1459"/>
      <c r="CO82" s="1459"/>
      <c r="CP82" s="1459"/>
      <c r="CQ82" s="1459"/>
      <c r="CR82" s="1459"/>
      <c r="CS82" s="1459"/>
      <c r="CT82" s="1459"/>
      <c r="CU82" s="1459"/>
      <c r="CV82" s="1459">
        <f>DE82</f>
        <v>4581516</v>
      </c>
      <c r="CW82" s="1459"/>
      <c r="CX82" s="1459"/>
      <c r="CY82" s="1459"/>
      <c r="CZ82" s="1459"/>
      <c r="DA82" s="1459"/>
      <c r="DB82" s="1459"/>
      <c r="DC82" s="1459"/>
      <c r="DD82" s="1459"/>
      <c r="DE82" s="1459">
        <f>EB82</f>
        <v>4581516</v>
      </c>
      <c r="DF82" s="1459"/>
      <c r="DG82" s="1459"/>
      <c r="DH82" s="1459"/>
      <c r="DI82" s="1459"/>
      <c r="DJ82" s="1459"/>
      <c r="DK82" s="1459"/>
      <c r="DL82" s="1459"/>
      <c r="DM82" s="1459"/>
      <c r="DN82" s="1460" t="s">
        <v>118</v>
      </c>
      <c r="DO82" s="1460"/>
      <c r="DP82" s="1460"/>
      <c r="DQ82" s="1460"/>
      <c r="DR82" s="1460"/>
      <c r="DS82" s="1460"/>
      <c r="DT82" s="1460"/>
      <c r="DU82" s="1460" t="s">
        <v>118</v>
      </c>
      <c r="DV82" s="1460"/>
      <c r="DW82" s="1460"/>
      <c r="DX82" s="1460"/>
      <c r="DY82" s="1460"/>
      <c r="DZ82" s="1460"/>
      <c r="EA82" s="1460"/>
      <c r="EB82" s="1459">
        <v>4581516</v>
      </c>
      <c r="EC82" s="1459"/>
      <c r="ED82" s="1459"/>
      <c r="EE82" s="1459"/>
      <c r="EF82" s="1459"/>
      <c r="EG82" s="1459"/>
      <c r="EH82" s="1459"/>
      <c r="EI82" s="1459"/>
      <c r="EJ82" s="1459"/>
      <c r="EK82" s="1459"/>
      <c r="EL82" s="1459"/>
      <c r="EM82" s="1459"/>
      <c r="EN82" s="1459"/>
      <c r="EO82" s="1459"/>
      <c r="EP82" s="1459"/>
      <c r="EQ82" s="1459"/>
      <c r="ER82" s="1459"/>
      <c r="ES82" s="1459"/>
      <c r="ET82" s="1459"/>
      <c r="EU82" s="1459"/>
      <c r="EV82" s="1459"/>
      <c r="EW82" s="1459"/>
      <c r="EX82" s="1459"/>
      <c r="EY82" s="1459"/>
    </row>
    <row r="83" spans="1:155" s="430" customFormat="1" ht="8.1" customHeight="1">
      <c r="A83" s="1461" t="s">
        <v>1637</v>
      </c>
      <c r="B83" s="1461"/>
      <c r="C83" s="1461"/>
      <c r="D83" s="1461"/>
      <c r="E83" s="1461"/>
      <c r="F83" s="146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1461"/>
      <c r="AH83" s="1461"/>
      <c r="AI83" s="1461"/>
      <c r="AJ83" s="1461"/>
      <c r="AK83" s="1461"/>
      <c r="AL83" s="1461"/>
      <c r="AM83" s="1461"/>
      <c r="AN83" s="1460" t="s">
        <v>121</v>
      </c>
      <c r="AO83" s="1460"/>
      <c r="AP83" s="1460"/>
      <c r="AQ83" s="1460"/>
      <c r="AR83" s="1460"/>
      <c r="AS83" s="1460"/>
      <c r="AT83" s="1460"/>
      <c r="AU83" s="1460"/>
      <c r="AV83" s="1462" t="s">
        <v>1638</v>
      </c>
      <c r="AW83" s="1462"/>
      <c r="AX83" s="1462"/>
      <c r="AY83" s="1462"/>
      <c r="AZ83" s="1462"/>
      <c r="BA83" s="1462"/>
      <c r="BB83" s="1459">
        <f>CH83</f>
        <v>3060679</v>
      </c>
      <c r="BC83" s="1459"/>
      <c r="BD83" s="1459"/>
      <c r="BE83" s="1459"/>
      <c r="BF83" s="1459"/>
      <c r="BG83" s="1459"/>
      <c r="BH83" s="1459"/>
      <c r="BI83" s="1459"/>
      <c r="BJ83" s="1459"/>
      <c r="BK83" s="1459">
        <f>BB83</f>
        <v>3060679</v>
      </c>
      <c r="BL83" s="1459"/>
      <c r="BM83" s="1459"/>
      <c r="BN83" s="1459"/>
      <c r="BO83" s="1459"/>
      <c r="BP83" s="1459"/>
      <c r="BQ83" s="1459"/>
      <c r="BR83" s="1459"/>
      <c r="BS83" s="1459"/>
      <c r="BT83" s="1460" t="s">
        <v>118</v>
      </c>
      <c r="BU83" s="1460"/>
      <c r="BV83" s="1460"/>
      <c r="BW83" s="1460"/>
      <c r="BX83" s="1460"/>
      <c r="BY83" s="1460"/>
      <c r="BZ83" s="1460"/>
      <c r="CA83" s="1460" t="s">
        <v>118</v>
      </c>
      <c r="CB83" s="1460"/>
      <c r="CC83" s="1460"/>
      <c r="CD83" s="1460"/>
      <c r="CE83" s="1460"/>
      <c r="CF83" s="1460"/>
      <c r="CG83" s="1460"/>
      <c r="CH83" s="1463">
        <v>3060679</v>
      </c>
      <c r="CI83" s="1463"/>
      <c r="CJ83" s="1463"/>
      <c r="CK83" s="1463"/>
      <c r="CL83" s="1463"/>
      <c r="CM83" s="1463"/>
      <c r="CN83" s="1463"/>
      <c r="CO83" s="1459"/>
      <c r="CP83" s="1459"/>
      <c r="CQ83" s="1459"/>
      <c r="CR83" s="1459"/>
      <c r="CS83" s="1459"/>
      <c r="CT83" s="1459"/>
      <c r="CU83" s="1459"/>
      <c r="CV83" s="1459">
        <f>DE83</f>
        <v>3102087</v>
      </c>
      <c r="CW83" s="1459"/>
      <c r="CX83" s="1459"/>
      <c r="CY83" s="1459"/>
      <c r="CZ83" s="1459"/>
      <c r="DA83" s="1459"/>
      <c r="DB83" s="1459"/>
      <c r="DC83" s="1459"/>
      <c r="DD83" s="1459"/>
      <c r="DE83" s="1459">
        <f>EB83</f>
        <v>3102087</v>
      </c>
      <c r="DF83" s="1459"/>
      <c r="DG83" s="1459"/>
      <c r="DH83" s="1459"/>
      <c r="DI83" s="1459"/>
      <c r="DJ83" s="1459"/>
      <c r="DK83" s="1459"/>
      <c r="DL83" s="1459"/>
      <c r="DM83" s="1459"/>
      <c r="DN83" s="1460" t="s">
        <v>118</v>
      </c>
      <c r="DO83" s="1460"/>
      <c r="DP83" s="1460"/>
      <c r="DQ83" s="1460"/>
      <c r="DR83" s="1460"/>
      <c r="DS83" s="1460"/>
      <c r="DT83" s="1460"/>
      <c r="DU83" s="1460" t="s">
        <v>118</v>
      </c>
      <c r="DV83" s="1460"/>
      <c r="DW83" s="1460"/>
      <c r="DX83" s="1460"/>
      <c r="DY83" s="1460"/>
      <c r="DZ83" s="1460"/>
      <c r="EA83" s="1460"/>
      <c r="EB83" s="1459">
        <v>3102087</v>
      </c>
      <c r="EC83" s="1459"/>
      <c r="ED83" s="1459"/>
      <c r="EE83" s="1459"/>
      <c r="EF83" s="1459"/>
      <c r="EG83" s="1459"/>
      <c r="EH83" s="1459"/>
      <c r="EI83" s="1459"/>
      <c r="EJ83" s="1459"/>
      <c r="EK83" s="1459"/>
      <c r="EL83" s="1459"/>
      <c r="EM83" s="1459"/>
      <c r="EN83" s="1459"/>
      <c r="EO83" s="1459"/>
      <c r="EP83" s="1459"/>
      <c r="EQ83" s="1459"/>
      <c r="ER83" s="1459"/>
      <c r="ES83" s="1459"/>
      <c r="ET83" s="1459"/>
      <c r="EU83" s="1459"/>
      <c r="EV83" s="1459"/>
      <c r="EW83" s="1459"/>
      <c r="EX83" s="1459"/>
      <c r="EY83" s="1459"/>
    </row>
    <row r="84" spans="1:155" s="430" customFormat="1" ht="8.1" customHeight="1">
      <c r="A84" s="1461" t="s">
        <v>1639</v>
      </c>
      <c r="B84" s="1461"/>
      <c r="C84" s="1461"/>
      <c r="D84" s="1461"/>
      <c r="E84" s="1461"/>
      <c r="F84" s="1461"/>
      <c r="G84" s="1461"/>
      <c r="H84" s="1461"/>
      <c r="I84" s="1461"/>
      <c r="J84" s="1461"/>
      <c r="K84" s="1461"/>
      <c r="L84" s="1461"/>
      <c r="M84" s="1461"/>
      <c r="N84" s="1461"/>
      <c r="O84" s="1461"/>
      <c r="P84" s="1461"/>
      <c r="Q84" s="1461"/>
      <c r="R84" s="1461"/>
      <c r="S84" s="1461"/>
      <c r="T84" s="1461"/>
      <c r="U84" s="1461"/>
      <c r="V84" s="1461"/>
      <c r="W84" s="1461"/>
      <c r="X84" s="1461"/>
      <c r="Y84" s="1461"/>
      <c r="Z84" s="1461"/>
      <c r="AA84" s="1461"/>
      <c r="AB84" s="1461"/>
      <c r="AC84" s="1461"/>
      <c r="AD84" s="1461"/>
      <c r="AE84" s="1461"/>
      <c r="AF84" s="1461"/>
      <c r="AG84" s="1461"/>
      <c r="AH84" s="1461"/>
      <c r="AI84" s="1461"/>
      <c r="AJ84" s="1461"/>
      <c r="AK84" s="1461"/>
      <c r="AL84" s="1461"/>
      <c r="AM84" s="1461"/>
      <c r="AN84" s="1460" t="s">
        <v>121</v>
      </c>
      <c r="AO84" s="1460"/>
      <c r="AP84" s="1460"/>
      <c r="AQ84" s="1460"/>
      <c r="AR84" s="1460"/>
      <c r="AS84" s="1460"/>
      <c r="AT84" s="1460"/>
      <c r="AU84" s="1460"/>
      <c r="AV84" s="1462" t="s">
        <v>1640</v>
      </c>
      <c r="AW84" s="1462"/>
      <c r="AX84" s="1462"/>
      <c r="AY84" s="1462"/>
      <c r="AZ84" s="1462"/>
      <c r="BA84" s="1462"/>
      <c r="BB84" s="1459">
        <f>CH84</f>
        <v>2559100</v>
      </c>
      <c r="BC84" s="1459"/>
      <c r="BD84" s="1459"/>
      <c r="BE84" s="1459"/>
      <c r="BF84" s="1459"/>
      <c r="BG84" s="1459"/>
      <c r="BH84" s="1459"/>
      <c r="BI84" s="1459"/>
      <c r="BJ84" s="1459"/>
      <c r="BK84" s="1459">
        <f>BB84</f>
        <v>2559100</v>
      </c>
      <c r="BL84" s="1459"/>
      <c r="BM84" s="1459"/>
      <c r="BN84" s="1459"/>
      <c r="BO84" s="1459"/>
      <c r="BP84" s="1459"/>
      <c r="BQ84" s="1459"/>
      <c r="BR84" s="1459"/>
      <c r="BS84" s="1459"/>
      <c r="BT84" s="1460" t="s">
        <v>118</v>
      </c>
      <c r="BU84" s="1460"/>
      <c r="BV84" s="1460"/>
      <c r="BW84" s="1460"/>
      <c r="BX84" s="1460"/>
      <c r="BY84" s="1460"/>
      <c r="BZ84" s="1460"/>
      <c r="CA84" s="1460" t="s">
        <v>118</v>
      </c>
      <c r="CB84" s="1460"/>
      <c r="CC84" s="1460"/>
      <c r="CD84" s="1460"/>
      <c r="CE84" s="1460"/>
      <c r="CF84" s="1460"/>
      <c r="CG84" s="1460"/>
      <c r="CH84" s="1459">
        <v>2559100</v>
      </c>
      <c r="CI84" s="1459"/>
      <c r="CJ84" s="1459"/>
      <c r="CK84" s="1459"/>
      <c r="CL84" s="1459"/>
      <c r="CM84" s="1459"/>
      <c r="CN84" s="1459"/>
      <c r="CO84" s="1459"/>
      <c r="CP84" s="1459"/>
      <c r="CQ84" s="1459"/>
      <c r="CR84" s="1459"/>
      <c r="CS84" s="1459"/>
      <c r="CT84" s="1459"/>
      <c r="CU84" s="1459"/>
      <c r="CV84" s="1459">
        <f>DE84</f>
        <v>2688985</v>
      </c>
      <c r="CW84" s="1459"/>
      <c r="CX84" s="1459"/>
      <c r="CY84" s="1459"/>
      <c r="CZ84" s="1459"/>
      <c r="DA84" s="1459"/>
      <c r="DB84" s="1459"/>
      <c r="DC84" s="1459"/>
      <c r="DD84" s="1459"/>
      <c r="DE84" s="1459">
        <f>EB84</f>
        <v>2688985</v>
      </c>
      <c r="DF84" s="1459"/>
      <c r="DG84" s="1459"/>
      <c r="DH84" s="1459"/>
      <c r="DI84" s="1459"/>
      <c r="DJ84" s="1459"/>
      <c r="DK84" s="1459"/>
      <c r="DL84" s="1459"/>
      <c r="DM84" s="1459"/>
      <c r="DN84" s="1460" t="s">
        <v>118</v>
      </c>
      <c r="DO84" s="1460"/>
      <c r="DP84" s="1460"/>
      <c r="DQ84" s="1460"/>
      <c r="DR84" s="1460"/>
      <c r="DS84" s="1460"/>
      <c r="DT84" s="1460"/>
      <c r="DU84" s="1460" t="s">
        <v>118</v>
      </c>
      <c r="DV84" s="1460"/>
      <c r="DW84" s="1460"/>
      <c r="DX84" s="1460"/>
      <c r="DY84" s="1460"/>
      <c r="DZ84" s="1460"/>
      <c r="EA84" s="1460"/>
      <c r="EB84" s="1459">
        <v>2688985</v>
      </c>
      <c r="EC84" s="1459"/>
      <c r="ED84" s="1459"/>
      <c r="EE84" s="1459"/>
      <c r="EF84" s="1459"/>
      <c r="EG84" s="1459"/>
      <c r="EH84" s="1459"/>
      <c r="EI84" s="1459"/>
      <c r="EJ84" s="1459"/>
      <c r="EK84" s="1459"/>
      <c r="EL84" s="1459"/>
      <c r="EM84" s="1459"/>
      <c r="EN84" s="1459"/>
      <c r="EO84" s="1459"/>
      <c r="EP84" s="1459"/>
      <c r="EQ84" s="1459"/>
      <c r="ER84" s="1459"/>
      <c r="ES84" s="1459"/>
      <c r="ET84" s="1459"/>
      <c r="EU84" s="1459"/>
      <c r="EV84" s="1459"/>
      <c r="EW84" s="1459"/>
      <c r="EX84" s="1459"/>
      <c r="EY84" s="1459"/>
    </row>
    <row r="85" spans="1:155" ht="3" customHeight="1">
      <c r="EB85" s="437"/>
      <c r="EC85" s="437"/>
      <c r="ED85" s="437"/>
      <c r="EE85" s="437"/>
      <c r="EF85" s="437"/>
      <c r="EG85" s="437"/>
      <c r="EH85" s="437"/>
      <c r="EI85" s="437"/>
      <c r="EJ85" s="437"/>
      <c r="EK85" s="437"/>
      <c r="EL85" s="437"/>
      <c r="EM85" s="437"/>
      <c r="EN85" s="437"/>
      <c r="EO85" s="437"/>
      <c r="EP85" s="437"/>
      <c r="EQ85" s="437"/>
      <c r="ER85" s="437"/>
      <c r="ES85" s="437"/>
      <c r="ET85" s="437"/>
      <c r="EU85" s="437"/>
      <c r="EV85" s="437"/>
      <c r="EW85" s="437"/>
      <c r="EX85" s="437"/>
      <c r="EY85" s="437"/>
    </row>
    <row r="86" spans="1:155" s="421" customFormat="1" ht="8.4" customHeight="1">
      <c r="A86" s="433" t="s">
        <v>1620</v>
      </c>
    </row>
    <row r="87" spans="1:155" s="425" customFormat="1" ht="8.1" customHeight="1">
      <c r="A87" s="434" t="s">
        <v>1621</v>
      </c>
    </row>
    <row r="88" spans="1:155" s="425" customFormat="1" ht="8.1" customHeight="1">
      <c r="A88" s="434" t="s">
        <v>1622</v>
      </c>
    </row>
    <row r="89" spans="1:155" s="425" customFormat="1" ht="7.8"/>
    <row r="90" spans="1:155" s="424" customFormat="1" ht="9" customHeight="1">
      <c r="A90" s="424" t="s">
        <v>1641</v>
      </c>
      <c r="DN90" s="1457"/>
      <c r="DO90" s="1457"/>
      <c r="DP90" s="1457"/>
      <c r="DQ90" s="1457"/>
      <c r="DR90" s="1457"/>
      <c r="DS90" s="1457"/>
      <c r="DT90" s="1457"/>
      <c r="DU90" s="1457"/>
      <c r="DV90" s="1457"/>
      <c r="DW90" s="1457"/>
      <c r="DX90" s="1457"/>
      <c r="DY90" s="1457"/>
      <c r="DZ90" s="1457"/>
      <c r="EA90" s="1457"/>
      <c r="EB90" s="1457"/>
      <c r="EC90" s="1457"/>
      <c r="ED90" s="1457"/>
      <c r="EE90" s="1457"/>
      <c r="EF90" s="1457"/>
      <c r="EG90" s="1457"/>
      <c r="EH90" s="1457"/>
      <c r="EJ90" s="1457" t="s">
        <v>1642</v>
      </c>
      <c r="EK90" s="1457"/>
      <c r="EL90" s="1457"/>
      <c r="EM90" s="1457"/>
      <c r="EN90" s="1457"/>
      <c r="EO90" s="1457"/>
      <c r="EP90" s="1457"/>
      <c r="EQ90" s="1457"/>
      <c r="ER90" s="1457"/>
      <c r="ES90" s="1457"/>
      <c r="ET90" s="1457"/>
      <c r="EU90" s="1457"/>
      <c r="EV90" s="1457"/>
      <c r="EW90" s="1457"/>
      <c r="EX90" s="1457"/>
      <c r="EY90" s="1457"/>
    </row>
    <row r="91" spans="1:155" s="425" customFormat="1" ht="8.1" customHeight="1">
      <c r="DN91" s="1458" t="s">
        <v>1643</v>
      </c>
      <c r="DO91" s="1458"/>
      <c r="DP91" s="1458"/>
      <c r="DQ91" s="1458"/>
      <c r="DR91" s="1458"/>
      <c r="DS91" s="1458"/>
      <c r="DT91" s="1458"/>
      <c r="DU91" s="1458"/>
      <c r="DV91" s="1458"/>
      <c r="DW91" s="1458"/>
      <c r="DX91" s="1458"/>
      <c r="DY91" s="1458"/>
      <c r="DZ91" s="1458"/>
      <c r="EA91" s="1458"/>
      <c r="EB91" s="1458"/>
      <c r="EC91" s="1458"/>
      <c r="ED91" s="1458"/>
      <c r="EE91" s="1458"/>
      <c r="EF91" s="1458"/>
      <c r="EG91" s="1458"/>
      <c r="EH91" s="1458"/>
      <c r="EJ91" s="1458" t="s">
        <v>1644</v>
      </c>
      <c r="EK91" s="1458"/>
      <c r="EL91" s="1458"/>
      <c r="EM91" s="1458"/>
      <c r="EN91" s="1458"/>
      <c r="EO91" s="1458"/>
      <c r="EP91" s="1458"/>
      <c r="EQ91" s="1458"/>
      <c r="ER91" s="1458"/>
      <c r="ES91" s="1458"/>
      <c r="ET91" s="1458"/>
      <c r="EU91" s="1458"/>
      <c r="EV91" s="1458"/>
      <c r="EW91" s="1458"/>
      <c r="EX91" s="1458"/>
      <c r="EY91" s="1458"/>
    </row>
    <row r="92" spans="1:155" s="424" customFormat="1" ht="9" customHeight="1">
      <c r="A92" s="424" t="s">
        <v>1645</v>
      </c>
      <c r="DN92" s="1457"/>
      <c r="DO92" s="1457"/>
      <c r="DP92" s="1457"/>
      <c r="DQ92" s="1457"/>
      <c r="DR92" s="1457"/>
      <c r="DS92" s="1457"/>
      <c r="DT92" s="1457"/>
      <c r="DU92" s="1457"/>
      <c r="DV92" s="1457"/>
      <c r="DW92" s="1457"/>
      <c r="DX92" s="1457"/>
      <c r="DY92" s="1457"/>
      <c r="DZ92" s="1457"/>
      <c r="EA92" s="1457"/>
      <c r="EB92" s="1457"/>
      <c r="EC92" s="1457"/>
      <c r="ED92" s="1457"/>
      <c r="EE92" s="1457"/>
      <c r="EF92" s="1457"/>
      <c r="EG92" s="1457"/>
      <c r="EH92" s="1457"/>
      <c r="EJ92" s="1457" t="s">
        <v>1646</v>
      </c>
      <c r="EK92" s="1457"/>
      <c r="EL92" s="1457"/>
      <c r="EM92" s="1457"/>
      <c r="EN92" s="1457"/>
      <c r="EO92" s="1457"/>
      <c r="EP92" s="1457"/>
      <c r="EQ92" s="1457"/>
      <c r="ER92" s="1457"/>
      <c r="ES92" s="1457"/>
      <c r="ET92" s="1457"/>
      <c r="EU92" s="1457"/>
      <c r="EV92" s="1457"/>
      <c r="EW92" s="1457"/>
      <c r="EX92" s="1457"/>
      <c r="EY92" s="1457"/>
    </row>
    <row r="93" spans="1:155" s="425" customFormat="1" ht="8.25" customHeight="1">
      <c r="A93" s="425" t="s">
        <v>1647</v>
      </c>
      <c r="DN93" s="1458" t="s">
        <v>1643</v>
      </c>
      <c r="DO93" s="1458"/>
      <c r="DP93" s="1458"/>
      <c r="DQ93" s="1458"/>
      <c r="DR93" s="1458"/>
      <c r="DS93" s="1458"/>
      <c r="DT93" s="1458"/>
      <c r="DU93" s="1458"/>
      <c r="DV93" s="1458"/>
      <c r="DW93" s="1458"/>
      <c r="DX93" s="1458"/>
      <c r="DY93" s="1458"/>
      <c r="DZ93" s="1458"/>
      <c r="EA93" s="1458"/>
      <c r="EB93" s="1458"/>
      <c r="EC93" s="1458"/>
      <c r="ED93" s="1458"/>
      <c r="EE93" s="1458"/>
      <c r="EF93" s="1458"/>
      <c r="EG93" s="1458"/>
      <c r="EH93" s="1458"/>
      <c r="EJ93" s="1458" t="s">
        <v>1644</v>
      </c>
      <c r="EK93" s="1458"/>
      <c r="EL93" s="1458"/>
      <c r="EM93" s="1458"/>
      <c r="EN93" s="1458"/>
      <c r="EO93" s="1458"/>
      <c r="EP93" s="1458"/>
      <c r="EQ93" s="1458"/>
      <c r="ER93" s="1458"/>
      <c r="ES93" s="1458"/>
      <c r="ET93" s="1458"/>
      <c r="EU93" s="1458"/>
      <c r="EV93" s="1458"/>
      <c r="EW93" s="1458"/>
      <c r="EX93" s="1458"/>
      <c r="EY93" s="1458"/>
    </row>
    <row r="94" spans="1:155" ht="3" customHeight="1"/>
  </sheetData>
  <mergeCells count="933">
    <mergeCell ref="A3:EY3"/>
    <mergeCell ref="A4:EY4"/>
    <mergeCell ref="DN11:EY11"/>
    <mergeCell ref="DN12:EY12"/>
    <mergeCell ref="DN13:EY13"/>
    <mergeCell ref="DN14:EY14"/>
    <mergeCell ref="DN15:EY15"/>
    <mergeCell ref="A18:AM19"/>
    <mergeCell ref="AN18:AU19"/>
    <mergeCell ref="AV18:BA19"/>
    <mergeCell ref="BB18:BJ19"/>
    <mergeCell ref="BK18:BS19"/>
    <mergeCell ref="BT18:CU18"/>
    <mergeCell ref="CV18:DD19"/>
    <mergeCell ref="DE18:DM19"/>
    <mergeCell ref="DN18:EO18"/>
    <mergeCell ref="EP18:EY19"/>
    <mergeCell ref="BT19:BZ19"/>
    <mergeCell ref="CA19:CG19"/>
    <mergeCell ref="CH19:CN19"/>
    <mergeCell ref="CO19:CU19"/>
    <mergeCell ref="DN19:DT19"/>
    <mergeCell ref="DU19:EA19"/>
    <mergeCell ref="EB19:EH19"/>
    <mergeCell ref="EI19:EO19"/>
    <mergeCell ref="DU20:EA20"/>
    <mergeCell ref="EB20:EH20"/>
    <mergeCell ref="EI20:EO20"/>
    <mergeCell ref="EP20:EY20"/>
    <mergeCell ref="A21:AM21"/>
    <mergeCell ref="AN21:AU21"/>
    <mergeCell ref="AV21:BA21"/>
    <mergeCell ref="BB21:BJ21"/>
    <mergeCell ref="BK21:BS21"/>
    <mergeCell ref="BT21:BZ21"/>
    <mergeCell ref="CA20:CG20"/>
    <mergeCell ref="CH20:CN20"/>
    <mergeCell ref="CO20:CU20"/>
    <mergeCell ref="CV20:DD20"/>
    <mergeCell ref="DE20:DM20"/>
    <mergeCell ref="DN20:DT20"/>
    <mergeCell ref="A20:AM20"/>
    <mergeCell ref="AN20:AU20"/>
    <mergeCell ref="AV20:BA20"/>
    <mergeCell ref="BB20:BJ20"/>
    <mergeCell ref="BK20:BS20"/>
    <mergeCell ref="BT20:BZ20"/>
    <mergeCell ref="DU21:EA21"/>
    <mergeCell ref="EI21:EO21"/>
    <mergeCell ref="EP21:EY21"/>
    <mergeCell ref="A22:AM22"/>
    <mergeCell ref="AN22:AU22"/>
    <mergeCell ref="AV22:BA22"/>
    <mergeCell ref="BB22:BJ22"/>
    <mergeCell ref="BK22:BS22"/>
    <mergeCell ref="BT22:BZ22"/>
    <mergeCell ref="CA21:CG21"/>
    <mergeCell ref="CH21:CN21"/>
    <mergeCell ref="CO21:CU21"/>
    <mergeCell ref="CV21:DD21"/>
    <mergeCell ref="DE21:DM21"/>
    <mergeCell ref="DN21:DT21"/>
    <mergeCell ref="DU22:EA22"/>
    <mergeCell ref="EB22:EH22"/>
    <mergeCell ref="EI22:EO22"/>
    <mergeCell ref="EP22:EY22"/>
    <mergeCell ref="CV22:DD22"/>
    <mergeCell ref="DE22:DM22"/>
    <mergeCell ref="DN22:DT22"/>
    <mergeCell ref="BB23:BJ23"/>
    <mergeCell ref="BK23:BS23"/>
    <mergeCell ref="BT23:BZ23"/>
    <mergeCell ref="CA22:CG22"/>
    <mergeCell ref="CH22:CN22"/>
    <mergeCell ref="CO22:CU22"/>
    <mergeCell ref="EB21:EH21"/>
    <mergeCell ref="DU23:EA23"/>
    <mergeCell ref="EB23:EH23"/>
    <mergeCell ref="EI23:EO23"/>
    <mergeCell ref="EP23:EY23"/>
    <mergeCell ref="A24:AM24"/>
    <mergeCell ref="AN24:AU24"/>
    <mergeCell ref="AV24:BA24"/>
    <mergeCell ref="BB24:BJ24"/>
    <mergeCell ref="BK24:BS24"/>
    <mergeCell ref="BT24:BZ24"/>
    <mergeCell ref="CA23:CG23"/>
    <mergeCell ref="CH23:CN23"/>
    <mergeCell ref="CO23:CU23"/>
    <mergeCell ref="CV23:DD23"/>
    <mergeCell ref="DE23:DM23"/>
    <mergeCell ref="DN23:DT23"/>
    <mergeCell ref="DU24:EA24"/>
    <mergeCell ref="EB24:EH24"/>
    <mergeCell ref="EI24:EO24"/>
    <mergeCell ref="EP24:EY24"/>
    <mergeCell ref="CV24:DD24"/>
    <mergeCell ref="DE24:DM24"/>
    <mergeCell ref="DN24:DT24"/>
    <mergeCell ref="A23:AM23"/>
    <mergeCell ref="AN23:AU23"/>
    <mergeCell ref="AV23:BA23"/>
    <mergeCell ref="AN25:AU25"/>
    <mergeCell ref="AV25:BA25"/>
    <mergeCell ref="BB25:BJ25"/>
    <mergeCell ref="BK25:BS25"/>
    <mergeCell ref="BT25:BZ25"/>
    <mergeCell ref="CA24:CG24"/>
    <mergeCell ref="CH24:CN24"/>
    <mergeCell ref="CO24:CU24"/>
    <mergeCell ref="CA26:CG26"/>
    <mergeCell ref="CH26:CN26"/>
    <mergeCell ref="CO26:CU26"/>
    <mergeCell ref="DU25:EA25"/>
    <mergeCell ref="EB25:EH25"/>
    <mergeCell ref="EI25:EO25"/>
    <mergeCell ref="EP25:EY25"/>
    <mergeCell ref="A26:AM26"/>
    <mergeCell ref="AN26:AU26"/>
    <mergeCell ref="AV26:BA26"/>
    <mergeCell ref="BB26:BJ26"/>
    <mergeCell ref="BK26:BS26"/>
    <mergeCell ref="BT26:BZ26"/>
    <mergeCell ref="CA25:CG25"/>
    <mergeCell ref="CH25:CN25"/>
    <mergeCell ref="CO25:CU25"/>
    <mergeCell ref="CV25:DD25"/>
    <mergeCell ref="DE25:DM25"/>
    <mergeCell ref="DN25:DT25"/>
    <mergeCell ref="DU26:EA26"/>
    <mergeCell ref="EB26:EH26"/>
    <mergeCell ref="EI26:EO26"/>
    <mergeCell ref="EP26:EY26"/>
    <mergeCell ref="CV26:DD26"/>
    <mergeCell ref="DE26:DM26"/>
    <mergeCell ref="DN26:DT26"/>
    <mergeCell ref="A25:AM25"/>
    <mergeCell ref="EB27:EH27"/>
    <mergeCell ref="EI27:EO27"/>
    <mergeCell ref="EP27:EY27"/>
    <mergeCell ref="A28:AM28"/>
    <mergeCell ref="AN28:AU28"/>
    <mergeCell ref="AV28:BA28"/>
    <mergeCell ref="BB28:BJ28"/>
    <mergeCell ref="BK28:BS28"/>
    <mergeCell ref="BT28:BZ28"/>
    <mergeCell ref="CA27:CG27"/>
    <mergeCell ref="CH27:CN27"/>
    <mergeCell ref="CO27:CU27"/>
    <mergeCell ref="CV27:DD27"/>
    <mergeCell ref="DE27:DM27"/>
    <mergeCell ref="DN27:DT27"/>
    <mergeCell ref="DU28:EA28"/>
    <mergeCell ref="EB28:EH28"/>
    <mergeCell ref="EI28:EO28"/>
    <mergeCell ref="EP28:EY28"/>
    <mergeCell ref="CV28:DD28"/>
    <mergeCell ref="DE28:DM28"/>
    <mergeCell ref="DN28:DT28"/>
    <mergeCell ref="A27:AM27"/>
    <mergeCell ref="AN27:AU27"/>
    <mergeCell ref="AV29:BA29"/>
    <mergeCell ref="BB29:BJ29"/>
    <mergeCell ref="BK29:BS29"/>
    <mergeCell ref="BT29:BZ29"/>
    <mergeCell ref="CA28:CG28"/>
    <mergeCell ref="CH28:CN28"/>
    <mergeCell ref="CO28:CU28"/>
    <mergeCell ref="DU27:EA27"/>
    <mergeCell ref="AV27:BA27"/>
    <mergeCell ref="BB27:BJ27"/>
    <mergeCell ref="BK27:BS27"/>
    <mergeCell ref="BT27:BZ27"/>
    <mergeCell ref="DU29:EA29"/>
    <mergeCell ref="EB29:EH29"/>
    <mergeCell ref="EI29:EO29"/>
    <mergeCell ref="EP29:EY29"/>
    <mergeCell ref="A30:AM30"/>
    <mergeCell ref="AN30:AU30"/>
    <mergeCell ref="AV30:BA30"/>
    <mergeCell ref="BB30:BJ30"/>
    <mergeCell ref="BK30:BS30"/>
    <mergeCell ref="BT30:BZ30"/>
    <mergeCell ref="CA29:CG29"/>
    <mergeCell ref="CH29:CN29"/>
    <mergeCell ref="CO29:CU29"/>
    <mergeCell ref="CV29:DD29"/>
    <mergeCell ref="DE29:DM29"/>
    <mergeCell ref="DN29:DT29"/>
    <mergeCell ref="DU30:EA30"/>
    <mergeCell ref="EB30:EH30"/>
    <mergeCell ref="EI30:EO30"/>
    <mergeCell ref="EP30:EY30"/>
    <mergeCell ref="CV30:DD30"/>
    <mergeCell ref="DE30:DM30"/>
    <mergeCell ref="DN30:DT30"/>
    <mergeCell ref="A29:AM29"/>
    <mergeCell ref="AN29:AU29"/>
    <mergeCell ref="AN31:AU31"/>
    <mergeCell ref="AV31:BA31"/>
    <mergeCell ref="BB31:BJ31"/>
    <mergeCell ref="BK31:BS31"/>
    <mergeCell ref="BT31:BZ31"/>
    <mergeCell ref="CA30:CG30"/>
    <mergeCell ref="CH30:CN30"/>
    <mergeCell ref="CO30:CU30"/>
    <mergeCell ref="CA32:CG32"/>
    <mergeCell ref="CH32:CN32"/>
    <mergeCell ref="CO32:CU32"/>
    <mergeCell ref="DU31:EA31"/>
    <mergeCell ref="EB31:EH31"/>
    <mergeCell ref="EI31:EO31"/>
    <mergeCell ref="EP31:EY31"/>
    <mergeCell ref="A32:AM32"/>
    <mergeCell ref="AN32:AU32"/>
    <mergeCell ref="AV32:BA32"/>
    <mergeCell ref="BB32:BJ32"/>
    <mergeCell ref="BK32:BS32"/>
    <mergeCell ref="BT32:BZ32"/>
    <mergeCell ref="CA31:CG31"/>
    <mergeCell ref="CH31:CN31"/>
    <mergeCell ref="CO31:CU31"/>
    <mergeCell ref="CV31:DD31"/>
    <mergeCell ref="DE31:DM31"/>
    <mergeCell ref="DN31:DT31"/>
    <mergeCell ref="DU32:EA32"/>
    <mergeCell ref="EB32:EH32"/>
    <mergeCell ref="EI32:EO32"/>
    <mergeCell ref="EP32:EY32"/>
    <mergeCell ref="CV32:DD32"/>
    <mergeCell ref="DE32:DM32"/>
    <mergeCell ref="DN32:DT32"/>
    <mergeCell ref="A31:AM31"/>
    <mergeCell ref="EB33:EH33"/>
    <mergeCell ref="EI33:EO33"/>
    <mergeCell ref="EP33:EY33"/>
    <mergeCell ref="A34:AM34"/>
    <mergeCell ref="AN34:AU34"/>
    <mergeCell ref="AV34:BA34"/>
    <mergeCell ref="BB34:BJ34"/>
    <mergeCell ref="BK34:BS34"/>
    <mergeCell ref="BT34:BZ34"/>
    <mergeCell ref="CA33:CG33"/>
    <mergeCell ref="CH33:CN33"/>
    <mergeCell ref="CO33:CU33"/>
    <mergeCell ref="CV33:DD33"/>
    <mergeCell ref="DE33:DM33"/>
    <mergeCell ref="DN33:DT33"/>
    <mergeCell ref="DU34:EA34"/>
    <mergeCell ref="EB34:EH34"/>
    <mergeCell ref="EI34:EO34"/>
    <mergeCell ref="EP34:EY34"/>
    <mergeCell ref="CV34:DD34"/>
    <mergeCell ref="DE34:DM34"/>
    <mergeCell ref="DN34:DT34"/>
    <mergeCell ref="A33:AM33"/>
    <mergeCell ref="AN33:AU33"/>
    <mergeCell ref="AV35:BA35"/>
    <mergeCell ref="BB35:BJ35"/>
    <mergeCell ref="BK35:BS35"/>
    <mergeCell ref="BT35:BZ35"/>
    <mergeCell ref="CA34:CG34"/>
    <mergeCell ref="CH34:CN34"/>
    <mergeCell ref="CO34:CU34"/>
    <mergeCell ref="DU33:EA33"/>
    <mergeCell ref="AV33:BA33"/>
    <mergeCell ref="BB33:BJ33"/>
    <mergeCell ref="BK33:BS33"/>
    <mergeCell ref="BT33:BZ33"/>
    <mergeCell ref="DU35:EA35"/>
    <mergeCell ref="EB35:EH35"/>
    <mergeCell ref="EI35:EO35"/>
    <mergeCell ref="EP35:EY35"/>
    <mergeCell ref="A36:AM36"/>
    <mergeCell ref="AN36:AU36"/>
    <mergeCell ref="AV36:BA36"/>
    <mergeCell ref="BB36:BJ36"/>
    <mergeCell ref="BK36:BS36"/>
    <mergeCell ref="BT36:BZ36"/>
    <mergeCell ref="CA35:CG35"/>
    <mergeCell ref="CH35:CN35"/>
    <mergeCell ref="CO35:CU35"/>
    <mergeCell ref="CV35:DD35"/>
    <mergeCell ref="DE35:DM35"/>
    <mergeCell ref="DN35:DT35"/>
    <mergeCell ref="DU36:EA36"/>
    <mergeCell ref="EB36:EH36"/>
    <mergeCell ref="EI36:EO36"/>
    <mergeCell ref="EP36:EY36"/>
    <mergeCell ref="CV36:DD36"/>
    <mergeCell ref="DE36:DM36"/>
    <mergeCell ref="DN36:DT36"/>
    <mergeCell ref="A35:AM35"/>
    <mergeCell ref="AN35:AU35"/>
    <mergeCell ref="AN37:AU37"/>
    <mergeCell ref="AV37:BA37"/>
    <mergeCell ref="BB37:BJ37"/>
    <mergeCell ref="BK37:BS37"/>
    <mergeCell ref="BT37:BZ37"/>
    <mergeCell ref="CA36:CG36"/>
    <mergeCell ref="CH36:CN36"/>
    <mergeCell ref="CO36:CU36"/>
    <mergeCell ref="CA38:CG38"/>
    <mergeCell ref="CH38:CN38"/>
    <mergeCell ref="CO38:CU38"/>
    <mergeCell ref="DU37:EA37"/>
    <mergeCell ref="EB37:EH37"/>
    <mergeCell ref="EI37:EO37"/>
    <mergeCell ref="EP37:EY37"/>
    <mergeCell ref="A38:AM38"/>
    <mergeCell ref="AN38:AU38"/>
    <mergeCell ref="AV38:BA38"/>
    <mergeCell ref="BB38:BJ38"/>
    <mergeCell ref="BK38:BS38"/>
    <mergeCell ref="BT38:BZ38"/>
    <mergeCell ref="CA37:CG37"/>
    <mergeCell ref="CH37:CN37"/>
    <mergeCell ref="CO37:CU37"/>
    <mergeCell ref="CV37:DD37"/>
    <mergeCell ref="DE37:DM37"/>
    <mergeCell ref="DN37:DT37"/>
    <mergeCell ref="DU38:EA38"/>
    <mergeCell ref="EB38:EH38"/>
    <mergeCell ref="EI38:EO38"/>
    <mergeCell ref="EP38:EY38"/>
    <mergeCell ref="CV38:DD38"/>
    <mergeCell ref="DE38:DM38"/>
    <mergeCell ref="DN38:DT38"/>
    <mergeCell ref="A37:AM37"/>
    <mergeCell ref="EB39:EH39"/>
    <mergeCell ref="EI39:EO39"/>
    <mergeCell ref="EP39:EY39"/>
    <mergeCell ref="A40:AM40"/>
    <mergeCell ref="AN40:AU40"/>
    <mergeCell ref="AV40:BA40"/>
    <mergeCell ref="BB40:BJ40"/>
    <mergeCell ref="BK40:BS40"/>
    <mergeCell ref="BT40:BZ40"/>
    <mergeCell ref="CA39:CG39"/>
    <mergeCell ref="CH39:CN39"/>
    <mergeCell ref="CO39:CU39"/>
    <mergeCell ref="CV39:DD39"/>
    <mergeCell ref="DE39:DM39"/>
    <mergeCell ref="DN39:DT39"/>
    <mergeCell ref="DU40:EA40"/>
    <mergeCell ref="EB40:EH40"/>
    <mergeCell ref="EI40:EO40"/>
    <mergeCell ref="EP40:EY40"/>
    <mergeCell ref="CV40:DD40"/>
    <mergeCell ref="DE40:DM40"/>
    <mergeCell ref="DN40:DT40"/>
    <mergeCell ref="A39:AM39"/>
    <mergeCell ref="AN39:AU39"/>
    <mergeCell ref="AV41:BA41"/>
    <mergeCell ref="BB41:BJ41"/>
    <mergeCell ref="BK41:BS41"/>
    <mergeCell ref="BT41:BZ41"/>
    <mergeCell ref="CA40:CG40"/>
    <mergeCell ref="CH40:CN40"/>
    <mergeCell ref="CO40:CU40"/>
    <mergeCell ref="DU39:EA39"/>
    <mergeCell ref="AV39:BA39"/>
    <mergeCell ref="BB39:BJ39"/>
    <mergeCell ref="BK39:BS39"/>
    <mergeCell ref="BT39:BZ39"/>
    <mergeCell ref="DU41:EA41"/>
    <mergeCell ref="EB41:EH41"/>
    <mergeCell ref="EI41:EO41"/>
    <mergeCell ref="EP41:EY41"/>
    <mergeCell ref="A42:AM42"/>
    <mergeCell ref="AN42:AU42"/>
    <mergeCell ref="AV42:BA42"/>
    <mergeCell ref="BB42:BJ42"/>
    <mergeCell ref="BK42:BS42"/>
    <mergeCell ref="BT42:BZ42"/>
    <mergeCell ref="CA41:CG41"/>
    <mergeCell ref="CH41:CN41"/>
    <mergeCell ref="CO41:CU41"/>
    <mergeCell ref="CV41:DD41"/>
    <mergeCell ref="DE41:DM41"/>
    <mergeCell ref="DN41:DT41"/>
    <mergeCell ref="DU42:EA42"/>
    <mergeCell ref="EB42:EH42"/>
    <mergeCell ref="EI42:EO42"/>
    <mergeCell ref="EP42:EY42"/>
    <mergeCell ref="CV42:DD42"/>
    <mergeCell ref="DE42:DM42"/>
    <mergeCell ref="DN42:DT42"/>
    <mergeCell ref="A41:AM41"/>
    <mergeCell ref="AN41:AU41"/>
    <mergeCell ref="AN43:AU43"/>
    <mergeCell ref="AV43:BA43"/>
    <mergeCell ref="BB43:BJ43"/>
    <mergeCell ref="BK43:BS43"/>
    <mergeCell ref="BT43:BZ43"/>
    <mergeCell ref="CA42:CG42"/>
    <mergeCell ref="CH42:CN42"/>
    <mergeCell ref="CO42:CU42"/>
    <mergeCell ref="CA44:CG44"/>
    <mergeCell ref="CH44:CN44"/>
    <mergeCell ref="CO44:CU44"/>
    <mergeCell ref="DU43:EA43"/>
    <mergeCell ref="EB43:EH43"/>
    <mergeCell ref="EI43:EO43"/>
    <mergeCell ref="EP43:EY43"/>
    <mergeCell ref="A44:AM44"/>
    <mergeCell ref="AN44:AU44"/>
    <mergeCell ref="AV44:BA44"/>
    <mergeCell ref="BB44:BJ44"/>
    <mergeCell ref="BK44:BS44"/>
    <mergeCell ref="BT44:BZ44"/>
    <mergeCell ref="CA43:CG43"/>
    <mergeCell ref="CH43:CN43"/>
    <mergeCell ref="CO43:CU43"/>
    <mergeCell ref="CV43:DD43"/>
    <mergeCell ref="DE43:DM43"/>
    <mergeCell ref="DN43:DT43"/>
    <mergeCell ref="DU44:EA44"/>
    <mergeCell ref="EB44:EH44"/>
    <mergeCell ref="EI44:EO44"/>
    <mergeCell ref="EP44:EY44"/>
    <mergeCell ref="CV44:DD44"/>
    <mergeCell ref="DE44:DM44"/>
    <mergeCell ref="DN44:DT44"/>
    <mergeCell ref="A43:AM43"/>
    <mergeCell ref="EB45:EH45"/>
    <mergeCell ref="EI45:EO45"/>
    <mergeCell ref="EP45:EY45"/>
    <mergeCell ref="A46:AM46"/>
    <mergeCell ref="AN46:AU46"/>
    <mergeCell ref="AV46:BA46"/>
    <mergeCell ref="BB46:BJ46"/>
    <mergeCell ref="BK46:BS46"/>
    <mergeCell ref="BT46:BZ46"/>
    <mergeCell ref="CA45:CG45"/>
    <mergeCell ref="CH45:CN45"/>
    <mergeCell ref="CO45:CU45"/>
    <mergeCell ref="CV45:DD45"/>
    <mergeCell ref="DE45:DM45"/>
    <mergeCell ref="DN45:DT45"/>
    <mergeCell ref="DU46:EA46"/>
    <mergeCell ref="EB46:EH46"/>
    <mergeCell ref="EI46:EO46"/>
    <mergeCell ref="EP46:EY46"/>
    <mergeCell ref="CV46:DD46"/>
    <mergeCell ref="DE46:DM46"/>
    <mergeCell ref="DN46:DT46"/>
    <mergeCell ref="A45:AM45"/>
    <mergeCell ref="AN45:AU45"/>
    <mergeCell ref="AV47:BA47"/>
    <mergeCell ref="BB47:BJ47"/>
    <mergeCell ref="BK47:BS47"/>
    <mergeCell ref="BT47:BZ47"/>
    <mergeCell ref="CA46:CG46"/>
    <mergeCell ref="CH46:CN46"/>
    <mergeCell ref="CO46:CU46"/>
    <mergeCell ref="DU45:EA45"/>
    <mergeCell ref="AV45:BA45"/>
    <mergeCell ref="BB45:BJ45"/>
    <mergeCell ref="BK45:BS45"/>
    <mergeCell ref="BT45:BZ45"/>
    <mergeCell ref="DU47:EA47"/>
    <mergeCell ref="EB47:EH47"/>
    <mergeCell ref="EI47:EO47"/>
    <mergeCell ref="EP47:EY47"/>
    <mergeCell ref="A48:AM48"/>
    <mergeCell ref="AN48:AU48"/>
    <mergeCell ref="AV48:BA48"/>
    <mergeCell ref="BB48:BJ48"/>
    <mergeCell ref="BK48:BS48"/>
    <mergeCell ref="BT48:BZ48"/>
    <mergeCell ref="CA47:CG47"/>
    <mergeCell ref="CH47:CN47"/>
    <mergeCell ref="CO47:CU47"/>
    <mergeCell ref="CV47:DD47"/>
    <mergeCell ref="DE47:DM47"/>
    <mergeCell ref="DN47:DT47"/>
    <mergeCell ref="DU48:EA48"/>
    <mergeCell ref="EB48:EH48"/>
    <mergeCell ref="EI48:EO48"/>
    <mergeCell ref="EP48:EY48"/>
    <mergeCell ref="CV48:DD48"/>
    <mergeCell ref="DE48:DM48"/>
    <mergeCell ref="DN48:DT48"/>
    <mergeCell ref="A47:AM47"/>
    <mergeCell ref="AN47:AU47"/>
    <mergeCell ref="AN49:AU49"/>
    <mergeCell ref="AV49:BA49"/>
    <mergeCell ref="BB49:BJ49"/>
    <mergeCell ref="BK49:BS49"/>
    <mergeCell ref="BT49:BZ49"/>
    <mergeCell ref="CA48:CG48"/>
    <mergeCell ref="CH48:CN48"/>
    <mergeCell ref="CO48:CU48"/>
    <mergeCell ref="CA50:CG50"/>
    <mergeCell ref="CH50:CN50"/>
    <mergeCell ref="CO50:CU50"/>
    <mergeCell ref="DU49:EA49"/>
    <mergeCell ref="EB49:EH49"/>
    <mergeCell ref="EI49:EO49"/>
    <mergeCell ref="EP49:EY49"/>
    <mergeCell ref="A50:AM50"/>
    <mergeCell ref="AN50:AU50"/>
    <mergeCell ref="AV50:BA50"/>
    <mergeCell ref="BB50:BJ50"/>
    <mergeCell ref="BK50:BS50"/>
    <mergeCell ref="BT50:BZ50"/>
    <mergeCell ref="CA49:CG49"/>
    <mergeCell ref="CH49:CN49"/>
    <mergeCell ref="CO49:CU49"/>
    <mergeCell ref="CV49:DD49"/>
    <mergeCell ref="DE49:DM49"/>
    <mergeCell ref="DN49:DT49"/>
    <mergeCell ref="DU50:EA50"/>
    <mergeCell ref="EB50:EH50"/>
    <mergeCell ref="EI50:EO50"/>
    <mergeCell ref="EP50:EY50"/>
    <mergeCell ref="CV50:DD50"/>
    <mergeCell ref="DE50:DM50"/>
    <mergeCell ref="DN50:DT50"/>
    <mergeCell ref="A49:AM49"/>
    <mergeCell ref="EB51:EH51"/>
    <mergeCell ref="EI51:EO51"/>
    <mergeCell ref="EP51:EY51"/>
    <mergeCell ref="A52:AM52"/>
    <mergeCell ref="AN52:AU52"/>
    <mergeCell ref="AV52:BA52"/>
    <mergeCell ref="BB52:BJ52"/>
    <mergeCell ref="BK52:BS52"/>
    <mergeCell ref="BT52:BZ52"/>
    <mergeCell ref="CA51:CG51"/>
    <mergeCell ref="CH51:CN51"/>
    <mergeCell ref="CO51:CU51"/>
    <mergeCell ref="CV51:DD51"/>
    <mergeCell ref="DE51:DM51"/>
    <mergeCell ref="DN51:DT51"/>
    <mergeCell ref="DU52:EA52"/>
    <mergeCell ref="EB52:EH52"/>
    <mergeCell ref="EI52:EO52"/>
    <mergeCell ref="EP52:EY52"/>
    <mergeCell ref="CV52:DD52"/>
    <mergeCell ref="DE52:DM52"/>
    <mergeCell ref="DN52:DT52"/>
    <mergeCell ref="A51:AM51"/>
    <mergeCell ref="AN51:AU51"/>
    <mergeCell ref="AV53:BA53"/>
    <mergeCell ref="BB53:BJ53"/>
    <mergeCell ref="BK53:BS53"/>
    <mergeCell ref="BT53:BZ53"/>
    <mergeCell ref="CA52:CG52"/>
    <mergeCell ref="CH52:CN52"/>
    <mergeCell ref="CO52:CU52"/>
    <mergeCell ref="DU51:EA51"/>
    <mergeCell ref="AV51:BA51"/>
    <mergeCell ref="BB51:BJ51"/>
    <mergeCell ref="BK51:BS51"/>
    <mergeCell ref="BT51:BZ51"/>
    <mergeCell ref="DU53:EA53"/>
    <mergeCell ref="EB53:EH53"/>
    <mergeCell ref="EI53:EO53"/>
    <mergeCell ref="EP53:EY53"/>
    <mergeCell ref="A54:AM54"/>
    <mergeCell ref="AN54:AU54"/>
    <mergeCell ref="AV54:BA54"/>
    <mergeCell ref="BB54:BJ54"/>
    <mergeCell ref="BK54:BS54"/>
    <mergeCell ref="BT54:BZ54"/>
    <mergeCell ref="CA53:CG53"/>
    <mergeCell ref="CH53:CN53"/>
    <mergeCell ref="CO53:CU53"/>
    <mergeCell ref="CV53:DD53"/>
    <mergeCell ref="DE53:DM53"/>
    <mergeCell ref="DN53:DT53"/>
    <mergeCell ref="DU54:EA54"/>
    <mergeCell ref="EB54:EH54"/>
    <mergeCell ref="EI54:EO54"/>
    <mergeCell ref="EP54:EY54"/>
    <mergeCell ref="CV54:DD54"/>
    <mergeCell ref="DE54:DM54"/>
    <mergeCell ref="DN54:DT54"/>
    <mergeCell ref="A53:AM53"/>
    <mergeCell ref="AN53:AU53"/>
    <mergeCell ref="AN55:AU55"/>
    <mergeCell ref="AV55:BA55"/>
    <mergeCell ref="BB55:BJ55"/>
    <mergeCell ref="BK55:BS55"/>
    <mergeCell ref="BT55:BZ55"/>
    <mergeCell ref="CA54:CG54"/>
    <mergeCell ref="CH54:CN54"/>
    <mergeCell ref="CO54:CU54"/>
    <mergeCell ref="CA56:CG56"/>
    <mergeCell ref="CH56:CN56"/>
    <mergeCell ref="CO56:CU56"/>
    <mergeCell ref="DU55:EA55"/>
    <mergeCell ref="EB55:EH55"/>
    <mergeCell ref="EI55:EO55"/>
    <mergeCell ref="EP55:EY55"/>
    <mergeCell ref="A56:AM56"/>
    <mergeCell ref="AN56:AU56"/>
    <mergeCell ref="AV56:BA56"/>
    <mergeCell ref="BB56:BJ56"/>
    <mergeCell ref="BK56:BS56"/>
    <mergeCell ref="BT56:BZ56"/>
    <mergeCell ref="CA55:CG55"/>
    <mergeCell ref="CH55:CN55"/>
    <mergeCell ref="CO55:CU55"/>
    <mergeCell ref="CV55:DD55"/>
    <mergeCell ref="DE55:DM55"/>
    <mergeCell ref="DN55:DT55"/>
    <mergeCell ref="DU56:EA56"/>
    <mergeCell ref="EB56:EH56"/>
    <mergeCell ref="EI56:EO56"/>
    <mergeCell ref="EP56:EY56"/>
    <mergeCell ref="CV56:DD56"/>
    <mergeCell ref="DE56:DM56"/>
    <mergeCell ref="DN56:DT56"/>
    <mergeCell ref="A55:AM55"/>
    <mergeCell ref="EP59:EY59"/>
    <mergeCell ref="CV59:DD59"/>
    <mergeCell ref="DE59:DM59"/>
    <mergeCell ref="A57:AM57"/>
    <mergeCell ref="AN57:AU57"/>
    <mergeCell ref="AV57:BA57"/>
    <mergeCell ref="BB57:BJ57"/>
    <mergeCell ref="BK57:BS57"/>
    <mergeCell ref="BT57:BZ57"/>
    <mergeCell ref="BT59:BZ59"/>
    <mergeCell ref="CA59:CG59"/>
    <mergeCell ref="CH59:CN59"/>
    <mergeCell ref="CO59:CU59"/>
    <mergeCell ref="DU57:EA57"/>
    <mergeCell ref="EB57:EH57"/>
    <mergeCell ref="EI57:EO57"/>
    <mergeCell ref="EP57:EY57"/>
    <mergeCell ref="A58:EY58"/>
    <mergeCell ref="A59:AM59"/>
    <mergeCell ref="AN59:AU59"/>
    <mergeCell ref="AV59:BA59"/>
    <mergeCell ref="BB59:BJ59"/>
    <mergeCell ref="BK59:BS59"/>
    <mergeCell ref="CA57:CG57"/>
    <mergeCell ref="CH57:CN57"/>
    <mergeCell ref="CO57:CU57"/>
    <mergeCell ref="CV57:DD57"/>
    <mergeCell ref="DE57:DM57"/>
    <mergeCell ref="DN57:DT57"/>
    <mergeCell ref="DN59:DT59"/>
    <mergeCell ref="DU59:EA59"/>
    <mergeCell ref="EB59:EH59"/>
    <mergeCell ref="EI59:EO59"/>
    <mergeCell ref="A61:AM61"/>
    <mergeCell ref="AN61:AU61"/>
    <mergeCell ref="AV61:BA61"/>
    <mergeCell ref="BB61:BJ61"/>
    <mergeCell ref="BK61:BS61"/>
    <mergeCell ref="BT60:BZ60"/>
    <mergeCell ref="CA60:CG60"/>
    <mergeCell ref="CH60:CN60"/>
    <mergeCell ref="CO60:CU60"/>
    <mergeCell ref="A60:AM60"/>
    <mergeCell ref="AN60:AU60"/>
    <mergeCell ref="AV60:BA60"/>
    <mergeCell ref="BB60:BJ60"/>
    <mergeCell ref="BK60:BS60"/>
    <mergeCell ref="BT61:BZ61"/>
    <mergeCell ref="CA61:CG61"/>
    <mergeCell ref="CH61:CN61"/>
    <mergeCell ref="CO61:CU61"/>
    <mergeCell ref="DN60:DT60"/>
    <mergeCell ref="DU60:EA60"/>
    <mergeCell ref="EB60:EH60"/>
    <mergeCell ref="EI60:EO60"/>
    <mergeCell ref="EP60:EY60"/>
    <mergeCell ref="CV60:DD60"/>
    <mergeCell ref="DE60:DM60"/>
    <mergeCell ref="DN61:DT61"/>
    <mergeCell ref="DU61:EA61"/>
    <mergeCell ref="EB61:EH61"/>
    <mergeCell ref="EI61:EO61"/>
    <mergeCell ref="EP61:EY61"/>
    <mergeCell ref="CV61:DD61"/>
    <mergeCell ref="DE61:DM61"/>
    <mergeCell ref="A63:AM63"/>
    <mergeCell ref="AN63:AU63"/>
    <mergeCell ref="AV63:BA63"/>
    <mergeCell ref="BB63:BJ63"/>
    <mergeCell ref="BK63:BS63"/>
    <mergeCell ref="BT62:BZ62"/>
    <mergeCell ref="CA62:CG62"/>
    <mergeCell ref="CH62:CN62"/>
    <mergeCell ref="CO62:CU62"/>
    <mergeCell ref="A62:AM62"/>
    <mergeCell ref="AN62:AU62"/>
    <mergeCell ref="AV62:BA62"/>
    <mergeCell ref="BB62:BJ62"/>
    <mergeCell ref="BK62:BS62"/>
    <mergeCell ref="BT63:BZ63"/>
    <mergeCell ref="CA63:CG63"/>
    <mergeCell ref="CH63:CN63"/>
    <mergeCell ref="CO63:CU63"/>
    <mergeCell ref="DN62:DT62"/>
    <mergeCell ref="DU62:EA62"/>
    <mergeCell ref="EB62:EH62"/>
    <mergeCell ref="EI62:EO62"/>
    <mergeCell ref="EP62:EY62"/>
    <mergeCell ref="CV62:DD62"/>
    <mergeCell ref="DE62:DM62"/>
    <mergeCell ref="DN63:DT63"/>
    <mergeCell ref="DU63:EA63"/>
    <mergeCell ref="EB63:EH63"/>
    <mergeCell ref="EI63:EO63"/>
    <mergeCell ref="EP63:EY63"/>
    <mergeCell ref="CV63:DD63"/>
    <mergeCell ref="DE63:DM63"/>
    <mergeCell ref="EI64:EO64"/>
    <mergeCell ref="EP64:EY64"/>
    <mergeCell ref="A65:AM65"/>
    <mergeCell ref="AN65:AU65"/>
    <mergeCell ref="AV65:BA65"/>
    <mergeCell ref="BB65:BJ65"/>
    <mergeCell ref="BK65:BS65"/>
    <mergeCell ref="BT64:BZ64"/>
    <mergeCell ref="CA64:CG64"/>
    <mergeCell ref="CH64:CN64"/>
    <mergeCell ref="CO64:CU64"/>
    <mergeCell ref="CV64:DD64"/>
    <mergeCell ref="DE64:DM64"/>
    <mergeCell ref="DN65:DT65"/>
    <mergeCell ref="DU65:EA65"/>
    <mergeCell ref="EB65:EH65"/>
    <mergeCell ref="EI65:EO65"/>
    <mergeCell ref="EP65:EY65"/>
    <mergeCell ref="CV65:DD65"/>
    <mergeCell ref="DE65:DM65"/>
    <mergeCell ref="A64:AM64"/>
    <mergeCell ref="AN64:AU64"/>
    <mergeCell ref="AV64:BA64"/>
    <mergeCell ref="BB64:BJ64"/>
    <mergeCell ref="BB66:BJ66"/>
    <mergeCell ref="BK66:BS66"/>
    <mergeCell ref="BT65:BZ65"/>
    <mergeCell ref="CA65:CG65"/>
    <mergeCell ref="CH65:CN65"/>
    <mergeCell ref="CO65:CU65"/>
    <mergeCell ref="DN64:DT64"/>
    <mergeCell ref="DU64:EA64"/>
    <mergeCell ref="EB64:EH64"/>
    <mergeCell ref="BK64:BS64"/>
    <mergeCell ref="DN66:DT66"/>
    <mergeCell ref="DU66:EA66"/>
    <mergeCell ref="EB66:EH66"/>
    <mergeCell ref="EI66:EO66"/>
    <mergeCell ref="EP66:EY66"/>
    <mergeCell ref="A67:AM67"/>
    <mergeCell ref="AN67:AU67"/>
    <mergeCell ref="AV67:BA67"/>
    <mergeCell ref="BB67:BJ67"/>
    <mergeCell ref="BK67:BS67"/>
    <mergeCell ref="BT66:BZ66"/>
    <mergeCell ref="CA66:CG66"/>
    <mergeCell ref="CH66:CN66"/>
    <mergeCell ref="CO66:CU66"/>
    <mergeCell ref="CV66:DD66"/>
    <mergeCell ref="DE66:DM66"/>
    <mergeCell ref="DN67:DT67"/>
    <mergeCell ref="DU67:EA67"/>
    <mergeCell ref="EB67:EH67"/>
    <mergeCell ref="EI67:EO67"/>
    <mergeCell ref="EP67:EY67"/>
    <mergeCell ref="A66:AM66"/>
    <mergeCell ref="AN66:AU66"/>
    <mergeCell ref="AV66:BA66"/>
    <mergeCell ref="BT67:BZ67"/>
    <mergeCell ref="CA67:CG67"/>
    <mergeCell ref="CH67:CN67"/>
    <mergeCell ref="CO67:CU67"/>
    <mergeCell ref="CV67:DD67"/>
    <mergeCell ref="DE67:DM67"/>
    <mergeCell ref="EP75:EY76"/>
    <mergeCell ref="BT76:BZ76"/>
    <mergeCell ref="CA76:CG76"/>
    <mergeCell ref="CH76:CN76"/>
    <mergeCell ref="CO76:CU76"/>
    <mergeCell ref="DN76:DT76"/>
    <mergeCell ref="DU76:EA76"/>
    <mergeCell ref="BT75:CU75"/>
    <mergeCell ref="EB76:EH76"/>
    <mergeCell ref="EI76:EO76"/>
    <mergeCell ref="DE75:DM76"/>
    <mergeCell ref="DN75:EO75"/>
    <mergeCell ref="CV75:DD76"/>
    <mergeCell ref="A74:EY74"/>
    <mergeCell ref="A75:AM76"/>
    <mergeCell ref="AN75:AU76"/>
    <mergeCell ref="AV75:BA76"/>
    <mergeCell ref="BB75:BJ76"/>
    <mergeCell ref="BK75:BS76"/>
    <mergeCell ref="EI78:EO78"/>
    <mergeCell ref="EP78:EY78"/>
    <mergeCell ref="CV78:DD78"/>
    <mergeCell ref="DE78:DM78"/>
    <mergeCell ref="DN78:DT78"/>
    <mergeCell ref="DU78:EA78"/>
    <mergeCell ref="EB78:EH78"/>
    <mergeCell ref="CO78:CU78"/>
    <mergeCell ref="EI77:EO77"/>
    <mergeCell ref="EP77:EY77"/>
    <mergeCell ref="CV77:DD77"/>
    <mergeCell ref="DE77:DM77"/>
    <mergeCell ref="DN77:DT77"/>
    <mergeCell ref="DU77:EA77"/>
    <mergeCell ref="EB77:EH77"/>
    <mergeCell ref="CO77:CU77"/>
    <mergeCell ref="A77:AM77"/>
    <mergeCell ref="A79:AM79"/>
    <mergeCell ref="AN79:AU79"/>
    <mergeCell ref="AV79:BA79"/>
    <mergeCell ref="BB79:BJ79"/>
    <mergeCell ref="BK79:BS79"/>
    <mergeCell ref="BT79:BZ79"/>
    <mergeCell ref="CA79:CG79"/>
    <mergeCell ref="CH79:CN79"/>
    <mergeCell ref="A78:AM78"/>
    <mergeCell ref="AN78:AU78"/>
    <mergeCell ref="AV78:BA78"/>
    <mergeCell ref="BB78:BJ78"/>
    <mergeCell ref="BK78:BS78"/>
    <mergeCell ref="BT78:BZ78"/>
    <mergeCell ref="CA78:CG78"/>
    <mergeCell ref="AN77:AU77"/>
    <mergeCell ref="AV77:BA77"/>
    <mergeCell ref="BB77:BJ77"/>
    <mergeCell ref="BK77:BS77"/>
    <mergeCell ref="BT77:BZ77"/>
    <mergeCell ref="CA77:CG77"/>
    <mergeCell ref="CH77:CN77"/>
    <mergeCell ref="CH78:CN78"/>
    <mergeCell ref="CO80:CU80"/>
    <mergeCell ref="EI79:EO79"/>
    <mergeCell ref="EP79:EY79"/>
    <mergeCell ref="A80:AM80"/>
    <mergeCell ref="AN80:AU80"/>
    <mergeCell ref="AV80:BA80"/>
    <mergeCell ref="BB80:BJ80"/>
    <mergeCell ref="BK80:BS80"/>
    <mergeCell ref="BT80:BZ80"/>
    <mergeCell ref="CA80:CG80"/>
    <mergeCell ref="CH80:CN80"/>
    <mergeCell ref="CO79:CU79"/>
    <mergeCell ref="CV79:DD79"/>
    <mergeCell ref="DE79:DM79"/>
    <mergeCell ref="DN79:DT79"/>
    <mergeCell ref="DU79:EA79"/>
    <mergeCell ref="EB79:EH79"/>
    <mergeCell ref="EI80:EO80"/>
    <mergeCell ref="EP80:EY80"/>
    <mergeCell ref="CV80:DD80"/>
    <mergeCell ref="DE80:DM80"/>
    <mergeCell ref="DN80:DT80"/>
    <mergeCell ref="DU80:EA80"/>
    <mergeCell ref="EB80:EH80"/>
    <mergeCell ref="A82:AM82"/>
    <mergeCell ref="AN82:AU82"/>
    <mergeCell ref="AV82:BA82"/>
    <mergeCell ref="BB82:BJ82"/>
    <mergeCell ref="BK82:BS82"/>
    <mergeCell ref="BT82:BZ82"/>
    <mergeCell ref="CA82:CG82"/>
    <mergeCell ref="CH82:CN82"/>
    <mergeCell ref="CO81:CU81"/>
    <mergeCell ref="A81:AM81"/>
    <mergeCell ref="AN81:AU81"/>
    <mergeCell ref="AV81:BA81"/>
    <mergeCell ref="BB81:BJ81"/>
    <mergeCell ref="BK81:BS81"/>
    <mergeCell ref="BT81:BZ81"/>
    <mergeCell ref="CA81:CG81"/>
    <mergeCell ref="CH81:CN81"/>
    <mergeCell ref="AV83:BA83"/>
    <mergeCell ref="BB83:BJ83"/>
    <mergeCell ref="BK83:BS83"/>
    <mergeCell ref="BT83:BZ83"/>
    <mergeCell ref="CA83:CG83"/>
    <mergeCell ref="CH83:CN83"/>
    <mergeCell ref="CO82:CU82"/>
    <mergeCell ref="EI81:EO81"/>
    <mergeCell ref="EP81:EY81"/>
    <mergeCell ref="CV81:DD81"/>
    <mergeCell ref="DE81:DM81"/>
    <mergeCell ref="DN81:DT81"/>
    <mergeCell ref="DU81:EA81"/>
    <mergeCell ref="EB81:EH81"/>
    <mergeCell ref="EI82:EO82"/>
    <mergeCell ref="EP82:EY82"/>
    <mergeCell ref="CV82:DD82"/>
    <mergeCell ref="DE82:DM82"/>
    <mergeCell ref="DN82:DT82"/>
    <mergeCell ref="DU82:EA82"/>
    <mergeCell ref="EB82:EH82"/>
    <mergeCell ref="CO84:CU84"/>
    <mergeCell ref="CV84:DD84"/>
    <mergeCell ref="DE84:DM84"/>
    <mergeCell ref="DN84:DT84"/>
    <mergeCell ref="DU84:EA84"/>
    <mergeCell ref="EB84:EH84"/>
    <mergeCell ref="EI83:EO83"/>
    <mergeCell ref="EP83:EY83"/>
    <mergeCell ref="A84:AM84"/>
    <mergeCell ref="AN84:AU84"/>
    <mergeCell ref="AV84:BA84"/>
    <mergeCell ref="BB84:BJ84"/>
    <mergeCell ref="BK84:BS84"/>
    <mergeCell ref="BT84:BZ84"/>
    <mergeCell ref="CA84:CG84"/>
    <mergeCell ref="CH84:CN84"/>
    <mergeCell ref="CO83:CU83"/>
    <mergeCell ref="CV83:DD83"/>
    <mergeCell ref="DE83:DM83"/>
    <mergeCell ref="DN83:DT83"/>
    <mergeCell ref="DU83:EA83"/>
    <mergeCell ref="EB83:EH83"/>
    <mergeCell ref="A83:AM83"/>
    <mergeCell ref="AN83:AU83"/>
    <mergeCell ref="DN92:EH92"/>
    <mergeCell ref="EJ92:EY92"/>
    <mergeCell ref="DN93:EH93"/>
    <mergeCell ref="EJ93:EY93"/>
    <mergeCell ref="EI84:EO84"/>
    <mergeCell ref="EP84:EY84"/>
    <mergeCell ref="DN90:EH90"/>
    <mergeCell ref="EJ90:EY90"/>
    <mergeCell ref="DN91:EH91"/>
    <mergeCell ref="EJ91:EY91"/>
  </mergeCells>
  <pageMargins left="0.78740157480314965" right="0.70866141732283472" top="0.59055118110236227" bottom="0.39370078740157483" header="0.19685039370078741" footer="0.19685039370078741"/>
  <pageSetup paperSize="8" fitToHeight="0" orientation="landscape" r:id="rId1"/>
  <headerFooter alignWithMargins="0">
    <oddHeader>&amp;R&amp;"Times New Roman,обычный"&amp;7Подготовлено с использованием системы &amp;"Times New Roman,полужирный"КонсультантПлюс</oddHeader>
  </headerFooter>
  <rowBreaks count="1" manualBreakCount="1">
    <brk id="72" max="15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W56"/>
  <sheetViews>
    <sheetView view="pageBreakPreview" topLeftCell="A13" zoomScaleNormal="90" zoomScaleSheetLayoutView="100" workbookViewId="0">
      <selection activeCell="CF37" sqref="CF37:CU37"/>
    </sheetView>
  </sheetViews>
  <sheetFormatPr defaultColWidth="0.88671875" defaultRowHeight="13.2"/>
  <cols>
    <col min="1" max="227" width="0.88671875" style="432"/>
    <col min="228" max="228" width="0.88671875" style="432" customWidth="1"/>
    <col min="229" max="229" width="8.6640625" style="432" customWidth="1"/>
    <col min="230" max="230" width="12.6640625" style="432" customWidth="1"/>
    <col min="231" max="231" width="8.6640625" style="432" customWidth="1"/>
    <col min="232" max="16384" width="0.88671875" style="432"/>
  </cols>
  <sheetData>
    <row r="1" spans="1:224" s="438" customFormat="1" ht="11.25" customHeight="1">
      <c r="HP1" s="439" t="s">
        <v>1648</v>
      </c>
    </row>
    <row r="2" spans="1:224" ht="11.25" customHeight="1"/>
    <row r="3" spans="1:224" s="440" customFormat="1" ht="13.8">
      <c r="A3" s="1624" t="s">
        <v>1649</v>
      </c>
      <c r="B3" s="1625"/>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1625"/>
      <c r="AZ3" s="1625"/>
      <c r="BA3" s="1625"/>
      <c r="BB3" s="1625"/>
      <c r="BC3" s="1625"/>
      <c r="BD3" s="1625"/>
      <c r="BE3" s="1625"/>
      <c r="BF3" s="1625"/>
      <c r="BG3" s="1625"/>
      <c r="BH3" s="1625"/>
      <c r="BI3" s="1625"/>
      <c r="BJ3" s="1625"/>
      <c r="BK3" s="1625"/>
      <c r="BL3" s="1625"/>
      <c r="BM3" s="1625"/>
      <c r="BN3" s="1625"/>
      <c r="BO3" s="1625"/>
      <c r="BP3" s="1625"/>
      <c r="BQ3" s="1625"/>
      <c r="BR3" s="1625"/>
      <c r="BS3" s="1625"/>
      <c r="BT3" s="1625"/>
      <c r="BU3" s="1625"/>
      <c r="BV3" s="1625"/>
      <c r="BW3" s="1625"/>
      <c r="BX3" s="1625"/>
      <c r="BY3" s="1625"/>
      <c r="BZ3" s="1625"/>
      <c r="CA3" s="1625"/>
      <c r="CB3" s="1625"/>
      <c r="CC3" s="1625"/>
      <c r="CD3" s="1625"/>
      <c r="CE3" s="1625"/>
      <c r="CF3" s="1625"/>
      <c r="CG3" s="1625"/>
      <c r="CH3" s="1625"/>
      <c r="CI3" s="1625"/>
      <c r="CJ3" s="1625"/>
      <c r="CK3" s="1625"/>
      <c r="CL3" s="1625"/>
      <c r="CM3" s="1625"/>
      <c r="CN3" s="1625"/>
      <c r="CO3" s="1625"/>
      <c r="CP3" s="1625"/>
      <c r="CQ3" s="1625"/>
      <c r="CR3" s="1625"/>
      <c r="CS3" s="1625"/>
      <c r="CT3" s="1625"/>
      <c r="CU3" s="1625"/>
      <c r="CV3" s="1625"/>
      <c r="CW3" s="1625"/>
      <c r="CX3" s="1625"/>
      <c r="CY3" s="1625"/>
      <c r="CZ3" s="1625"/>
      <c r="DA3" s="1625"/>
      <c r="DB3" s="1625"/>
      <c r="DC3" s="1625"/>
      <c r="DD3" s="1625"/>
      <c r="DE3" s="1625"/>
      <c r="DF3" s="1625"/>
      <c r="DG3" s="1625"/>
      <c r="DH3" s="1625"/>
      <c r="DI3" s="1625"/>
      <c r="DJ3" s="1625"/>
      <c r="DK3" s="1625"/>
      <c r="DL3" s="1625"/>
      <c r="DM3" s="1625"/>
      <c r="DN3" s="1625"/>
      <c r="DO3" s="1625"/>
      <c r="DP3" s="1625"/>
      <c r="DQ3" s="1625"/>
      <c r="DR3" s="1625"/>
      <c r="DS3" s="1625"/>
      <c r="DT3" s="1625"/>
      <c r="DU3" s="1625"/>
      <c r="DV3" s="1625"/>
      <c r="DW3" s="1625"/>
      <c r="DX3" s="1625"/>
      <c r="DY3" s="1625"/>
      <c r="DZ3" s="1625"/>
      <c r="EA3" s="1625"/>
      <c r="EB3" s="1625"/>
      <c r="EC3" s="1625"/>
      <c r="ED3" s="1625"/>
      <c r="EE3" s="1625"/>
      <c r="EF3" s="1625"/>
      <c r="EG3" s="1625"/>
      <c r="EH3" s="1625"/>
      <c r="EI3" s="1625"/>
      <c r="EJ3" s="1625"/>
      <c r="EK3" s="1625"/>
      <c r="EL3" s="1625"/>
      <c r="EM3" s="1625"/>
      <c r="EN3" s="1625"/>
      <c r="EO3" s="1625"/>
      <c r="EP3" s="1625"/>
      <c r="EQ3" s="1625"/>
      <c r="ER3" s="1625"/>
      <c r="ES3" s="1625"/>
      <c r="ET3" s="1625"/>
      <c r="EU3" s="1625"/>
      <c r="EV3" s="1625"/>
      <c r="EW3" s="1625"/>
      <c r="EX3" s="1625"/>
      <c r="EY3" s="1625"/>
      <c r="EZ3" s="1625"/>
      <c r="FA3" s="1625"/>
      <c r="FB3" s="1625"/>
      <c r="FC3" s="1625"/>
      <c r="FD3" s="1625"/>
      <c r="FE3" s="1625"/>
      <c r="FF3" s="1625"/>
      <c r="FG3" s="1625"/>
      <c r="FH3" s="1625"/>
      <c r="FI3" s="1625"/>
      <c r="FJ3" s="1625"/>
      <c r="FK3" s="1625"/>
      <c r="FL3" s="1625"/>
      <c r="FM3" s="1625"/>
      <c r="FN3" s="1625"/>
      <c r="FO3" s="1625"/>
      <c r="FP3" s="1625"/>
      <c r="FQ3" s="1625"/>
      <c r="FR3" s="1625"/>
      <c r="FS3" s="1625"/>
      <c r="FT3" s="1625"/>
      <c r="FU3" s="1625"/>
      <c r="FV3" s="1625"/>
      <c r="FW3" s="1625"/>
      <c r="FX3" s="1625"/>
      <c r="FY3" s="1625"/>
      <c r="FZ3" s="1625"/>
      <c r="GA3" s="1625"/>
      <c r="GB3" s="1625"/>
      <c r="GC3" s="1625"/>
      <c r="GD3" s="1625"/>
      <c r="GE3" s="1625"/>
      <c r="GF3" s="1625"/>
      <c r="GG3" s="1625"/>
      <c r="GH3" s="1625"/>
      <c r="GI3" s="1625"/>
      <c r="GJ3" s="1625"/>
      <c r="GK3" s="1625"/>
      <c r="GL3" s="1625"/>
      <c r="GM3" s="1625"/>
      <c r="GN3" s="1625"/>
      <c r="GO3" s="1625"/>
      <c r="GP3" s="1625"/>
      <c r="GQ3" s="1625"/>
      <c r="GR3" s="1625"/>
      <c r="GS3" s="1625"/>
      <c r="GT3" s="1625"/>
      <c r="GU3" s="1625"/>
      <c r="GV3" s="1625"/>
      <c r="GW3" s="1625"/>
      <c r="GX3" s="1625"/>
      <c r="GY3" s="1625"/>
      <c r="GZ3" s="1625"/>
      <c r="HA3" s="1625"/>
      <c r="HB3" s="1625"/>
      <c r="HC3" s="1625"/>
      <c r="HD3" s="1625"/>
      <c r="HE3" s="1625"/>
      <c r="HF3" s="1625"/>
      <c r="HG3" s="1625"/>
      <c r="HH3" s="1625"/>
      <c r="HI3" s="1625"/>
      <c r="HJ3" s="1625"/>
      <c r="HK3" s="1625"/>
      <c r="HL3" s="1625"/>
      <c r="HM3" s="1625"/>
      <c r="HN3" s="1625"/>
      <c r="HO3" s="1625"/>
      <c r="HP3" s="1625"/>
    </row>
    <row r="4" spans="1:224" s="440" customFormat="1" ht="13.8">
      <c r="A4" s="1625" t="s">
        <v>1650</v>
      </c>
      <c r="B4" s="1625"/>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25"/>
      <c r="BB4" s="1625"/>
      <c r="BC4" s="1625"/>
      <c r="BD4" s="1625"/>
      <c r="BE4" s="1625"/>
      <c r="BF4" s="1625"/>
      <c r="BG4" s="1625"/>
      <c r="BH4" s="1625"/>
      <c r="BI4" s="1625"/>
      <c r="BJ4" s="1625"/>
      <c r="BK4" s="1625"/>
      <c r="BL4" s="1625"/>
      <c r="BM4" s="1625"/>
      <c r="BN4" s="1625"/>
      <c r="BO4" s="1625"/>
      <c r="BP4" s="1625"/>
      <c r="BQ4" s="1625"/>
      <c r="BR4" s="1625"/>
      <c r="BS4" s="1625"/>
      <c r="BT4" s="1625"/>
      <c r="BU4" s="1625"/>
      <c r="BV4" s="1625"/>
      <c r="BW4" s="1625"/>
      <c r="BX4" s="1625"/>
      <c r="BY4" s="1625"/>
      <c r="BZ4" s="1625"/>
      <c r="CA4" s="1625"/>
      <c r="CB4" s="1625"/>
      <c r="CC4" s="1625"/>
      <c r="CD4" s="1625"/>
      <c r="CE4" s="1625"/>
      <c r="CF4" s="1625"/>
      <c r="CG4" s="1625"/>
      <c r="CH4" s="1625"/>
      <c r="CI4" s="1625"/>
      <c r="CJ4" s="1625"/>
      <c r="CK4" s="1625"/>
      <c r="CL4" s="1625"/>
      <c r="CM4" s="1625"/>
      <c r="CN4" s="1625"/>
      <c r="CO4" s="1625"/>
      <c r="CP4" s="1625"/>
      <c r="CQ4" s="1625"/>
      <c r="CR4" s="1625"/>
      <c r="CS4" s="1625"/>
      <c r="CT4" s="1625"/>
      <c r="CU4" s="1625"/>
      <c r="CV4" s="1625"/>
      <c r="CW4" s="1625"/>
      <c r="CX4" s="1625"/>
      <c r="CY4" s="1625"/>
      <c r="CZ4" s="1625"/>
      <c r="DA4" s="1625"/>
      <c r="DB4" s="1625"/>
      <c r="DC4" s="1625"/>
      <c r="DD4" s="1625"/>
      <c r="DE4" s="1625"/>
      <c r="DF4" s="1625"/>
      <c r="DG4" s="1625"/>
      <c r="DH4" s="1625"/>
      <c r="DI4" s="1625"/>
      <c r="DJ4" s="1625"/>
      <c r="DK4" s="1625"/>
      <c r="DL4" s="1625"/>
      <c r="DM4" s="1625"/>
      <c r="DN4" s="1625"/>
      <c r="DO4" s="1625"/>
      <c r="DP4" s="1625"/>
      <c r="DQ4" s="1625"/>
      <c r="DR4" s="1625"/>
      <c r="DS4" s="1625"/>
      <c r="DT4" s="1625"/>
      <c r="DU4" s="1625"/>
      <c r="DV4" s="1625"/>
      <c r="DW4" s="1625"/>
      <c r="DX4" s="1625"/>
      <c r="DY4" s="1625"/>
      <c r="DZ4" s="1625"/>
      <c r="EA4" s="1625"/>
      <c r="EB4" s="1625"/>
      <c r="EC4" s="1625"/>
      <c r="ED4" s="1625"/>
      <c r="EE4" s="1625"/>
      <c r="EF4" s="1625"/>
      <c r="EG4" s="1625"/>
      <c r="EH4" s="1625"/>
      <c r="EI4" s="1625"/>
      <c r="EJ4" s="1625"/>
      <c r="EK4" s="1625"/>
      <c r="EL4" s="1625"/>
      <c r="EM4" s="1625"/>
      <c r="EN4" s="1625"/>
      <c r="EO4" s="1625"/>
      <c r="EP4" s="1625"/>
      <c r="EQ4" s="1625"/>
      <c r="ER4" s="1625"/>
      <c r="ES4" s="1625"/>
      <c r="ET4" s="1625"/>
      <c r="EU4" s="1625"/>
      <c r="EV4" s="1625"/>
      <c r="EW4" s="1625"/>
      <c r="EX4" s="1625"/>
      <c r="EY4" s="1625"/>
      <c r="EZ4" s="1625"/>
      <c r="FA4" s="1625"/>
      <c r="FB4" s="1625"/>
      <c r="FC4" s="1625"/>
      <c r="FD4" s="1625"/>
      <c r="FE4" s="1625"/>
      <c r="FF4" s="1625"/>
      <c r="FG4" s="1625"/>
      <c r="FH4" s="1625"/>
      <c r="FI4" s="1625"/>
      <c r="FJ4" s="1625"/>
      <c r="FK4" s="1625"/>
      <c r="FL4" s="1625"/>
      <c r="FM4" s="1625"/>
      <c r="FN4" s="1625"/>
      <c r="FO4" s="1625"/>
      <c r="FP4" s="1625"/>
      <c r="FQ4" s="1625"/>
      <c r="FR4" s="1625"/>
      <c r="FS4" s="1625"/>
      <c r="FT4" s="1625"/>
      <c r="FU4" s="1625"/>
      <c r="FV4" s="1625"/>
      <c r="FW4" s="1625"/>
      <c r="FX4" s="1625"/>
      <c r="FY4" s="1625"/>
      <c r="FZ4" s="1625"/>
      <c r="GA4" s="1625"/>
      <c r="GB4" s="1625"/>
      <c r="GC4" s="1625"/>
      <c r="GD4" s="1625"/>
      <c r="GE4" s="1625"/>
      <c r="GF4" s="1625"/>
      <c r="GG4" s="1625"/>
      <c r="GH4" s="1625"/>
      <c r="GI4" s="1625"/>
      <c r="GJ4" s="1625"/>
      <c r="GK4" s="1625"/>
      <c r="GL4" s="1625"/>
      <c r="GM4" s="1625"/>
      <c r="GN4" s="1625"/>
      <c r="GO4" s="1625"/>
      <c r="GP4" s="1625"/>
      <c r="GQ4" s="1625"/>
      <c r="GR4" s="1625"/>
      <c r="GS4" s="1625"/>
      <c r="GT4" s="1625"/>
      <c r="GU4" s="1625"/>
      <c r="GV4" s="1625"/>
      <c r="GW4" s="1625"/>
      <c r="GX4" s="1625"/>
      <c r="GY4" s="1625"/>
      <c r="GZ4" s="1625"/>
      <c r="HA4" s="1625"/>
      <c r="HB4" s="1625"/>
      <c r="HC4" s="1625"/>
      <c r="HD4" s="1625"/>
      <c r="HE4" s="1625"/>
      <c r="HF4" s="1625"/>
      <c r="HG4" s="1625"/>
      <c r="HH4" s="1625"/>
      <c r="HI4" s="1625"/>
      <c r="HJ4" s="1625"/>
      <c r="HK4" s="1625"/>
      <c r="HL4" s="1625"/>
      <c r="HM4" s="1625"/>
      <c r="HN4" s="1625"/>
      <c r="HO4" s="1625"/>
      <c r="HP4" s="1625"/>
    </row>
    <row r="5" spans="1:224" ht="11.25" customHeight="1"/>
    <row r="6" spans="1:224">
      <c r="A6" s="432" t="s">
        <v>1539</v>
      </c>
      <c r="AL6" s="432" t="s">
        <v>1651</v>
      </c>
    </row>
    <row r="7" spans="1:224">
      <c r="AL7" s="432" t="s">
        <v>1652</v>
      </c>
    </row>
    <row r="8" spans="1:224">
      <c r="A8" s="432" t="s">
        <v>1541</v>
      </c>
      <c r="AL8" s="432" t="s">
        <v>1542</v>
      </c>
    </row>
    <row r="9" spans="1:224">
      <c r="A9" s="432" t="s">
        <v>1543</v>
      </c>
      <c r="AL9" s="432" t="s">
        <v>1544</v>
      </c>
    </row>
    <row r="10" spans="1:224" ht="11.25" customHeight="1">
      <c r="GZ10" s="441"/>
      <c r="HA10" s="441"/>
      <c r="HB10" s="441"/>
      <c r="HC10" s="441"/>
      <c r="HD10" s="441"/>
      <c r="HE10" s="441"/>
      <c r="HF10" s="441"/>
      <c r="HG10" s="441"/>
      <c r="HH10" s="441"/>
      <c r="HI10" s="441"/>
      <c r="HJ10" s="441"/>
      <c r="HK10" s="441"/>
      <c r="HL10" s="441"/>
      <c r="HM10" s="441"/>
      <c r="HN10" s="441"/>
      <c r="HO10" s="441"/>
      <c r="HP10" s="441"/>
    </row>
    <row r="11" spans="1:224">
      <c r="A11" s="432" t="s">
        <v>1545</v>
      </c>
      <c r="FT11" s="1626" t="s">
        <v>1546</v>
      </c>
      <c r="FU11" s="1626"/>
      <c r="FV11" s="1626"/>
      <c r="FW11" s="1626"/>
      <c r="FX11" s="1626"/>
      <c r="FY11" s="1626"/>
      <c r="FZ11" s="1626"/>
      <c r="GA11" s="1626"/>
      <c r="GB11" s="1626"/>
      <c r="GC11" s="1626"/>
      <c r="GD11" s="1626"/>
      <c r="GE11" s="1626"/>
      <c r="GF11" s="1626"/>
      <c r="GG11" s="1626"/>
      <c r="GH11" s="1626"/>
      <c r="GI11" s="1626"/>
      <c r="GJ11" s="1626"/>
      <c r="GK11" s="1626"/>
      <c r="GL11" s="1626"/>
      <c r="GM11" s="1626"/>
      <c r="GN11" s="1626"/>
      <c r="GO11" s="1626"/>
      <c r="GP11" s="1626"/>
      <c r="GQ11" s="1626"/>
      <c r="GR11" s="1626"/>
      <c r="GS11" s="1626"/>
      <c r="GT11" s="1626"/>
      <c r="GU11" s="1626"/>
      <c r="GV11" s="1626"/>
      <c r="GW11" s="1626"/>
      <c r="GX11" s="1626"/>
      <c r="GY11" s="1626"/>
      <c r="GZ11" s="1626"/>
      <c r="HA11" s="1626"/>
      <c r="HB11" s="1626"/>
      <c r="HC11" s="1626"/>
      <c r="HD11" s="1626"/>
      <c r="HE11" s="1626"/>
      <c r="HF11" s="1626"/>
      <c r="HG11" s="1626"/>
      <c r="HH11" s="1626"/>
      <c r="HI11" s="1626"/>
      <c r="HJ11" s="1626"/>
      <c r="HK11" s="1626"/>
      <c r="HL11" s="1626"/>
      <c r="HM11" s="1626"/>
      <c r="HN11" s="1626"/>
      <c r="HO11" s="1626"/>
      <c r="HP11" s="1626"/>
    </row>
    <row r="12" spans="1:224">
      <c r="A12" s="432" t="s">
        <v>1547</v>
      </c>
      <c r="FT12" s="1623" t="s">
        <v>224</v>
      </c>
      <c r="FU12" s="1623"/>
      <c r="FV12" s="1623"/>
      <c r="FW12" s="1623"/>
      <c r="FX12" s="1623"/>
      <c r="FY12" s="1623"/>
      <c r="FZ12" s="1623"/>
      <c r="GA12" s="1623"/>
      <c r="GB12" s="1623"/>
      <c r="GC12" s="1623"/>
      <c r="GD12" s="1623"/>
      <c r="GE12" s="1623"/>
      <c r="GF12" s="1623"/>
      <c r="GG12" s="1623"/>
      <c r="GH12" s="1623"/>
      <c r="GI12" s="1623"/>
      <c r="GJ12" s="1623"/>
      <c r="GK12" s="1623"/>
      <c r="GL12" s="1623"/>
      <c r="GM12" s="1623"/>
      <c r="GN12" s="1623"/>
      <c r="GO12" s="1623"/>
      <c r="GP12" s="1623"/>
      <c r="GQ12" s="1623"/>
      <c r="GR12" s="1623"/>
      <c r="GS12" s="1623"/>
      <c r="GT12" s="1623"/>
      <c r="GU12" s="1623"/>
      <c r="GV12" s="1623"/>
      <c r="GW12" s="1623"/>
      <c r="GX12" s="1623"/>
      <c r="GY12" s="1623"/>
      <c r="GZ12" s="1623"/>
      <c r="HA12" s="1623"/>
      <c r="HB12" s="1623"/>
      <c r="HC12" s="1623"/>
      <c r="HD12" s="1623"/>
      <c r="HE12" s="1623"/>
      <c r="HF12" s="1623"/>
      <c r="HG12" s="1623"/>
      <c r="HH12" s="1623"/>
      <c r="HI12" s="1623"/>
      <c r="HJ12" s="1623"/>
      <c r="HK12" s="1623"/>
      <c r="HL12" s="1623"/>
      <c r="HM12" s="1623"/>
      <c r="HN12" s="1623"/>
      <c r="HO12" s="1623"/>
      <c r="HP12" s="1623"/>
    </row>
    <row r="13" spans="1:224">
      <c r="A13" s="432" t="s">
        <v>1548</v>
      </c>
      <c r="FT13" s="1623" t="s">
        <v>1549</v>
      </c>
      <c r="FU13" s="1623"/>
      <c r="FV13" s="1623"/>
      <c r="FW13" s="1623"/>
      <c r="FX13" s="1623"/>
      <c r="FY13" s="1623"/>
      <c r="FZ13" s="1623"/>
      <c r="GA13" s="1623"/>
      <c r="GB13" s="1623"/>
      <c r="GC13" s="1623"/>
      <c r="GD13" s="1623"/>
      <c r="GE13" s="1623"/>
      <c r="GF13" s="1623"/>
      <c r="GG13" s="1623"/>
      <c r="GH13" s="1623"/>
      <c r="GI13" s="1623"/>
      <c r="GJ13" s="1623"/>
      <c r="GK13" s="1623"/>
      <c r="GL13" s="1623"/>
      <c r="GM13" s="1623"/>
      <c r="GN13" s="1623"/>
      <c r="GO13" s="1623"/>
      <c r="GP13" s="1623"/>
      <c r="GQ13" s="1623"/>
      <c r="GR13" s="1623"/>
      <c r="GS13" s="1623"/>
      <c r="GT13" s="1623"/>
      <c r="GU13" s="1623"/>
      <c r="GV13" s="1623"/>
      <c r="GW13" s="1623"/>
      <c r="GX13" s="1623"/>
      <c r="GY13" s="1623"/>
      <c r="GZ13" s="1623"/>
      <c r="HA13" s="1623"/>
      <c r="HB13" s="1623"/>
      <c r="HC13" s="1623"/>
      <c r="HD13" s="1623"/>
      <c r="HE13" s="1623"/>
      <c r="HF13" s="1623"/>
      <c r="HG13" s="1623"/>
      <c r="HH13" s="1623"/>
      <c r="HI13" s="1623"/>
      <c r="HJ13" s="1623"/>
      <c r="HK13" s="1623"/>
      <c r="HL13" s="1623"/>
      <c r="HM13" s="1623"/>
      <c r="HN13" s="1623"/>
      <c r="HO13" s="1623"/>
      <c r="HP13" s="1623"/>
    </row>
    <row r="14" spans="1:224">
      <c r="A14" s="432" t="s">
        <v>1550</v>
      </c>
      <c r="FT14" s="1623" t="s">
        <v>1551</v>
      </c>
      <c r="FU14" s="1623"/>
      <c r="FV14" s="1623"/>
      <c r="FW14" s="1623"/>
      <c r="FX14" s="1623"/>
      <c r="FY14" s="1623"/>
      <c r="FZ14" s="1623"/>
      <c r="GA14" s="1623"/>
      <c r="GB14" s="1623"/>
      <c r="GC14" s="1623"/>
      <c r="GD14" s="1623"/>
      <c r="GE14" s="1623"/>
      <c r="GF14" s="1623"/>
      <c r="GG14" s="1623"/>
      <c r="GH14" s="1623"/>
      <c r="GI14" s="1623"/>
      <c r="GJ14" s="1623"/>
      <c r="GK14" s="1623"/>
      <c r="GL14" s="1623"/>
      <c r="GM14" s="1623"/>
      <c r="GN14" s="1623"/>
      <c r="GO14" s="1623"/>
      <c r="GP14" s="1623"/>
      <c r="GQ14" s="1623"/>
      <c r="GR14" s="1623"/>
      <c r="GS14" s="1623"/>
      <c r="GT14" s="1623"/>
      <c r="GU14" s="1623"/>
      <c r="GV14" s="1623"/>
      <c r="GW14" s="1623"/>
      <c r="GX14" s="1623"/>
      <c r="GY14" s="1623"/>
      <c r="GZ14" s="1623"/>
      <c r="HA14" s="1623"/>
      <c r="HB14" s="1623"/>
      <c r="HC14" s="1623"/>
      <c r="HD14" s="1623"/>
      <c r="HE14" s="1623"/>
      <c r="HF14" s="1623"/>
      <c r="HG14" s="1623"/>
      <c r="HH14" s="1623"/>
      <c r="HI14" s="1623"/>
      <c r="HJ14" s="1623"/>
      <c r="HK14" s="1623"/>
      <c r="HL14" s="1623"/>
      <c r="HM14" s="1623"/>
      <c r="HN14" s="1623"/>
      <c r="HO14" s="1623"/>
      <c r="HP14" s="1623"/>
    </row>
    <row r="15" spans="1:224">
      <c r="A15" s="432" t="s">
        <v>1552</v>
      </c>
      <c r="FT15" s="1623" t="s">
        <v>1653</v>
      </c>
      <c r="FU15" s="1623"/>
      <c r="FV15" s="1623"/>
      <c r="FW15" s="1623"/>
      <c r="FX15" s="1623"/>
      <c r="FY15" s="1623"/>
      <c r="FZ15" s="1623"/>
      <c r="GA15" s="1623"/>
      <c r="GB15" s="1623"/>
      <c r="GC15" s="1623"/>
      <c r="GD15" s="1623"/>
      <c r="GE15" s="1623"/>
      <c r="GF15" s="1623"/>
      <c r="GG15" s="1623"/>
      <c r="GH15" s="1623"/>
      <c r="GI15" s="1623"/>
      <c r="GJ15" s="1623"/>
      <c r="GK15" s="1623"/>
      <c r="GL15" s="1623"/>
      <c r="GM15" s="1623"/>
      <c r="GN15" s="1623"/>
      <c r="GO15" s="1623"/>
      <c r="GP15" s="1623"/>
      <c r="GQ15" s="1623"/>
      <c r="GR15" s="1623"/>
      <c r="GS15" s="1623"/>
      <c r="GT15" s="1623"/>
      <c r="GU15" s="1623"/>
      <c r="GV15" s="1623"/>
      <c r="GW15" s="1623"/>
      <c r="GX15" s="1623"/>
      <c r="GY15" s="1623"/>
      <c r="GZ15" s="1623"/>
      <c r="HA15" s="1623"/>
      <c r="HB15" s="1623"/>
      <c r="HC15" s="1623"/>
      <c r="HD15" s="1623"/>
      <c r="HE15" s="1623"/>
      <c r="HF15" s="1623"/>
      <c r="HG15" s="1623"/>
      <c r="HH15" s="1623"/>
      <c r="HI15" s="1623"/>
      <c r="HJ15" s="1623"/>
      <c r="HK15" s="1623"/>
      <c r="HL15" s="1623"/>
      <c r="HM15" s="1623"/>
      <c r="HN15" s="1623"/>
      <c r="HO15" s="1623"/>
      <c r="HP15" s="1623"/>
    </row>
    <row r="16" spans="1:224" ht="11.25" customHeight="1"/>
    <row r="17" spans="1:231" ht="11.25" customHeight="1"/>
    <row r="18" spans="1:231" s="442" customFormat="1" ht="11.25" customHeight="1">
      <c r="A18" s="1613" t="s">
        <v>111</v>
      </c>
      <c r="B18" s="1614"/>
      <c r="C18" s="1614"/>
      <c r="D18" s="1614"/>
      <c r="E18" s="1614"/>
      <c r="F18" s="1614"/>
      <c r="G18" s="1614"/>
      <c r="H18" s="1614"/>
      <c r="I18" s="1614"/>
      <c r="J18" s="1614"/>
      <c r="K18" s="1614"/>
      <c r="L18" s="1614"/>
      <c r="M18" s="1614"/>
      <c r="N18" s="1614"/>
      <c r="O18" s="1614"/>
      <c r="P18" s="1614"/>
      <c r="Q18" s="1614"/>
      <c r="R18" s="1614"/>
      <c r="S18" s="1614"/>
      <c r="T18" s="1614"/>
      <c r="U18" s="1614"/>
      <c r="V18" s="1614"/>
      <c r="W18" s="1614"/>
      <c r="X18" s="1614"/>
      <c r="Y18" s="1614"/>
      <c r="Z18" s="1614"/>
      <c r="AA18" s="1614"/>
      <c r="AB18" s="1614"/>
      <c r="AC18" s="1614"/>
      <c r="AD18" s="1614"/>
      <c r="AE18" s="1614"/>
      <c r="AF18" s="1614"/>
      <c r="AG18" s="1614"/>
      <c r="AH18" s="1614"/>
      <c r="AI18" s="1614"/>
      <c r="AJ18" s="1614"/>
      <c r="AK18" s="1615"/>
      <c r="AL18" s="1613" t="s">
        <v>0</v>
      </c>
      <c r="AM18" s="1614"/>
      <c r="AN18" s="1614"/>
      <c r="AO18" s="1614"/>
      <c r="AP18" s="1614"/>
      <c r="AQ18" s="1614"/>
      <c r="AR18" s="1614"/>
      <c r="AS18" s="1614"/>
      <c r="AT18" s="1614"/>
      <c r="AU18" s="1615"/>
      <c r="AV18" s="1613" t="s">
        <v>1554</v>
      </c>
      <c r="AW18" s="1614"/>
      <c r="AX18" s="1614"/>
      <c r="AY18" s="1614"/>
      <c r="AZ18" s="1614"/>
      <c r="BA18" s="1614"/>
      <c r="BB18" s="1614"/>
      <c r="BC18" s="1615"/>
      <c r="BD18" s="1613" t="s">
        <v>1555</v>
      </c>
      <c r="BE18" s="1614"/>
      <c r="BF18" s="1614"/>
      <c r="BG18" s="1614"/>
      <c r="BH18" s="1614"/>
      <c r="BI18" s="1614"/>
      <c r="BJ18" s="1614"/>
      <c r="BK18" s="1614"/>
      <c r="BL18" s="1614"/>
      <c r="BM18" s="1614"/>
      <c r="BN18" s="1614"/>
      <c r="BO18" s="1614"/>
      <c r="BP18" s="1614"/>
      <c r="BQ18" s="1615"/>
      <c r="BR18" s="1613" t="s">
        <v>1654</v>
      </c>
      <c r="BS18" s="1614"/>
      <c r="BT18" s="1614"/>
      <c r="BU18" s="1614"/>
      <c r="BV18" s="1614"/>
      <c r="BW18" s="1614"/>
      <c r="BX18" s="1614"/>
      <c r="BY18" s="1614"/>
      <c r="BZ18" s="1614"/>
      <c r="CA18" s="1614"/>
      <c r="CB18" s="1614"/>
      <c r="CC18" s="1614"/>
      <c r="CD18" s="1614"/>
      <c r="CE18" s="1615"/>
      <c r="CF18" s="1620" t="s">
        <v>1557</v>
      </c>
      <c r="CG18" s="1621"/>
      <c r="CH18" s="1621"/>
      <c r="CI18" s="1621"/>
      <c r="CJ18" s="1621"/>
      <c r="CK18" s="1621"/>
      <c r="CL18" s="1621"/>
      <c r="CM18" s="1621"/>
      <c r="CN18" s="1621"/>
      <c r="CO18" s="1621"/>
      <c r="CP18" s="1621"/>
      <c r="CQ18" s="1621"/>
      <c r="CR18" s="1621"/>
      <c r="CS18" s="1621"/>
      <c r="CT18" s="1621"/>
      <c r="CU18" s="1621"/>
      <c r="CV18" s="1621"/>
      <c r="CW18" s="1621"/>
      <c r="CX18" s="1621"/>
      <c r="CY18" s="1621"/>
      <c r="CZ18" s="1621"/>
      <c r="DA18" s="1621"/>
      <c r="DB18" s="1621"/>
      <c r="DC18" s="1621"/>
      <c r="DD18" s="1621"/>
      <c r="DE18" s="1621"/>
      <c r="DF18" s="1621"/>
      <c r="DG18" s="1621"/>
      <c r="DH18" s="1621"/>
      <c r="DI18" s="1621"/>
      <c r="DJ18" s="1621"/>
      <c r="DK18" s="1621"/>
      <c r="DL18" s="1621"/>
      <c r="DM18" s="1621"/>
      <c r="DN18" s="1621"/>
      <c r="DO18" s="1621"/>
      <c r="DP18" s="1621"/>
      <c r="DQ18" s="1621"/>
      <c r="DR18" s="1621"/>
      <c r="DS18" s="1621"/>
      <c r="DT18" s="1621"/>
      <c r="DU18" s="1621"/>
      <c r="DV18" s="1621"/>
      <c r="DW18" s="1621"/>
      <c r="DX18" s="1621"/>
      <c r="DY18" s="1621"/>
      <c r="DZ18" s="1621"/>
      <c r="EA18" s="1621"/>
      <c r="EB18" s="1613" t="s">
        <v>1655</v>
      </c>
      <c r="EC18" s="1614"/>
      <c r="ED18" s="1614"/>
      <c r="EE18" s="1614"/>
      <c r="EF18" s="1614"/>
      <c r="EG18" s="1614"/>
      <c r="EH18" s="1614"/>
      <c r="EI18" s="1614"/>
      <c r="EJ18" s="1614"/>
      <c r="EK18" s="1614"/>
      <c r="EL18" s="1614"/>
      <c r="EM18" s="1614"/>
      <c r="EN18" s="1614"/>
      <c r="EO18" s="1615"/>
      <c r="EP18" s="1613" t="s">
        <v>1656</v>
      </c>
      <c r="EQ18" s="1614"/>
      <c r="ER18" s="1614"/>
      <c r="ES18" s="1614"/>
      <c r="ET18" s="1614"/>
      <c r="EU18" s="1614"/>
      <c r="EV18" s="1614"/>
      <c r="EW18" s="1614"/>
      <c r="EX18" s="1614"/>
      <c r="EY18" s="1614"/>
      <c r="EZ18" s="1614"/>
      <c r="FA18" s="1614"/>
      <c r="FB18" s="1614"/>
      <c r="FC18" s="1615"/>
      <c r="FD18" s="1620" t="s">
        <v>1560</v>
      </c>
      <c r="FE18" s="1621"/>
      <c r="FF18" s="1621"/>
      <c r="FG18" s="1621"/>
      <c r="FH18" s="1621"/>
      <c r="FI18" s="1621"/>
      <c r="FJ18" s="1621"/>
      <c r="FK18" s="1621"/>
      <c r="FL18" s="1621"/>
      <c r="FM18" s="1621"/>
      <c r="FN18" s="1621"/>
      <c r="FO18" s="1621"/>
      <c r="FP18" s="1621"/>
      <c r="FQ18" s="1621"/>
      <c r="FR18" s="1621"/>
      <c r="FS18" s="1621"/>
      <c r="FT18" s="1621"/>
      <c r="FU18" s="1621"/>
      <c r="FV18" s="1621"/>
      <c r="FW18" s="1621"/>
      <c r="FX18" s="1621"/>
      <c r="FY18" s="1621"/>
      <c r="FZ18" s="1621"/>
      <c r="GA18" s="1621"/>
      <c r="GB18" s="1621"/>
      <c r="GC18" s="1621"/>
      <c r="GD18" s="1621"/>
      <c r="GE18" s="1621"/>
      <c r="GF18" s="1621"/>
      <c r="GG18" s="1621"/>
      <c r="GH18" s="1621"/>
      <c r="GI18" s="1621"/>
      <c r="GJ18" s="1621"/>
      <c r="GK18" s="1621"/>
      <c r="GL18" s="1621"/>
      <c r="GM18" s="1621"/>
      <c r="GN18" s="1621"/>
      <c r="GO18" s="1621"/>
      <c r="GP18" s="1621"/>
      <c r="GQ18" s="1621"/>
      <c r="GR18" s="1621"/>
      <c r="GS18" s="1621"/>
      <c r="GT18" s="1621"/>
      <c r="GU18" s="1621"/>
      <c r="GV18" s="1621"/>
      <c r="GW18" s="1621"/>
      <c r="GX18" s="1621"/>
      <c r="GY18" s="1622"/>
      <c r="GZ18" s="1613" t="s">
        <v>1657</v>
      </c>
      <c r="HA18" s="1614"/>
      <c r="HB18" s="1614"/>
      <c r="HC18" s="1614"/>
      <c r="HD18" s="1614"/>
      <c r="HE18" s="1614"/>
      <c r="HF18" s="1614"/>
      <c r="HG18" s="1614"/>
      <c r="HH18" s="1614"/>
      <c r="HI18" s="1614"/>
      <c r="HJ18" s="1614"/>
      <c r="HK18" s="1614"/>
      <c r="HL18" s="1614"/>
      <c r="HM18" s="1614"/>
      <c r="HN18" s="1614"/>
      <c r="HO18" s="1614"/>
      <c r="HP18" s="1615"/>
    </row>
    <row r="19" spans="1:231" s="442" customFormat="1" ht="75.75" customHeight="1">
      <c r="A19" s="1616"/>
      <c r="B19" s="1617"/>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7"/>
      <c r="Z19" s="1617"/>
      <c r="AA19" s="1617"/>
      <c r="AB19" s="1617"/>
      <c r="AC19" s="1617"/>
      <c r="AD19" s="1617"/>
      <c r="AE19" s="1617"/>
      <c r="AF19" s="1617"/>
      <c r="AG19" s="1617"/>
      <c r="AH19" s="1617"/>
      <c r="AI19" s="1617"/>
      <c r="AJ19" s="1617"/>
      <c r="AK19" s="1618"/>
      <c r="AL19" s="1616"/>
      <c r="AM19" s="1617"/>
      <c r="AN19" s="1617"/>
      <c r="AO19" s="1617"/>
      <c r="AP19" s="1617"/>
      <c r="AQ19" s="1617"/>
      <c r="AR19" s="1617"/>
      <c r="AS19" s="1617"/>
      <c r="AT19" s="1617"/>
      <c r="AU19" s="1618"/>
      <c r="AV19" s="1616"/>
      <c r="AW19" s="1617"/>
      <c r="AX19" s="1617"/>
      <c r="AY19" s="1617"/>
      <c r="AZ19" s="1617"/>
      <c r="BA19" s="1617"/>
      <c r="BB19" s="1617"/>
      <c r="BC19" s="1618"/>
      <c r="BD19" s="1616"/>
      <c r="BE19" s="1617"/>
      <c r="BF19" s="1617"/>
      <c r="BG19" s="1617"/>
      <c r="BH19" s="1617"/>
      <c r="BI19" s="1617"/>
      <c r="BJ19" s="1617"/>
      <c r="BK19" s="1617"/>
      <c r="BL19" s="1617"/>
      <c r="BM19" s="1617"/>
      <c r="BN19" s="1617"/>
      <c r="BO19" s="1617"/>
      <c r="BP19" s="1617"/>
      <c r="BQ19" s="1618"/>
      <c r="BR19" s="1616"/>
      <c r="BS19" s="1617"/>
      <c r="BT19" s="1617"/>
      <c r="BU19" s="1617"/>
      <c r="BV19" s="1617"/>
      <c r="BW19" s="1617"/>
      <c r="BX19" s="1617"/>
      <c r="BY19" s="1617"/>
      <c r="BZ19" s="1617"/>
      <c r="CA19" s="1617"/>
      <c r="CB19" s="1617"/>
      <c r="CC19" s="1617"/>
      <c r="CD19" s="1617"/>
      <c r="CE19" s="1618"/>
      <c r="CF19" s="1616" t="s">
        <v>1658</v>
      </c>
      <c r="CG19" s="1617"/>
      <c r="CH19" s="1617"/>
      <c r="CI19" s="1617"/>
      <c r="CJ19" s="1617"/>
      <c r="CK19" s="1617"/>
      <c r="CL19" s="1617"/>
      <c r="CM19" s="1617"/>
      <c r="CN19" s="1617"/>
      <c r="CO19" s="1617"/>
      <c r="CP19" s="1617"/>
      <c r="CQ19" s="1617"/>
      <c r="CR19" s="1617"/>
      <c r="CS19" s="1617"/>
      <c r="CT19" s="1617"/>
      <c r="CU19" s="1618"/>
      <c r="CV19" s="1619" t="s">
        <v>1659</v>
      </c>
      <c r="CW19" s="1619"/>
      <c r="CX19" s="1619"/>
      <c r="CY19" s="1619"/>
      <c r="CZ19" s="1619"/>
      <c r="DA19" s="1619"/>
      <c r="DB19" s="1619"/>
      <c r="DC19" s="1619"/>
      <c r="DD19" s="1619"/>
      <c r="DE19" s="1619"/>
      <c r="DF19" s="1619"/>
      <c r="DG19" s="1619"/>
      <c r="DH19" s="1619"/>
      <c r="DI19" s="1619"/>
      <c r="DJ19" s="1619"/>
      <c r="DK19" s="1619"/>
      <c r="DL19" s="1620" t="s">
        <v>1660</v>
      </c>
      <c r="DM19" s="1621"/>
      <c r="DN19" s="1621"/>
      <c r="DO19" s="1621"/>
      <c r="DP19" s="1621"/>
      <c r="DQ19" s="1621"/>
      <c r="DR19" s="1621"/>
      <c r="DS19" s="1621"/>
      <c r="DT19" s="1621"/>
      <c r="DU19" s="1621"/>
      <c r="DV19" s="1621"/>
      <c r="DW19" s="1621"/>
      <c r="DX19" s="1621"/>
      <c r="DY19" s="1621"/>
      <c r="DZ19" s="1621"/>
      <c r="EA19" s="1622"/>
      <c r="EB19" s="1616"/>
      <c r="EC19" s="1617"/>
      <c r="ED19" s="1617"/>
      <c r="EE19" s="1617"/>
      <c r="EF19" s="1617"/>
      <c r="EG19" s="1617"/>
      <c r="EH19" s="1617"/>
      <c r="EI19" s="1617"/>
      <c r="EJ19" s="1617"/>
      <c r="EK19" s="1617"/>
      <c r="EL19" s="1617"/>
      <c r="EM19" s="1617"/>
      <c r="EN19" s="1617"/>
      <c r="EO19" s="1618"/>
      <c r="EP19" s="1616"/>
      <c r="EQ19" s="1617"/>
      <c r="ER19" s="1617"/>
      <c r="ES19" s="1617"/>
      <c r="ET19" s="1617"/>
      <c r="EU19" s="1617"/>
      <c r="EV19" s="1617"/>
      <c r="EW19" s="1617"/>
      <c r="EX19" s="1617"/>
      <c r="EY19" s="1617"/>
      <c r="EZ19" s="1617"/>
      <c r="FA19" s="1617"/>
      <c r="FB19" s="1617"/>
      <c r="FC19" s="1618"/>
      <c r="FD19" s="1616" t="s">
        <v>1658</v>
      </c>
      <c r="FE19" s="1617"/>
      <c r="FF19" s="1617"/>
      <c r="FG19" s="1617"/>
      <c r="FH19" s="1617"/>
      <c r="FI19" s="1617"/>
      <c r="FJ19" s="1617"/>
      <c r="FK19" s="1617"/>
      <c r="FL19" s="1617"/>
      <c r="FM19" s="1617"/>
      <c r="FN19" s="1617"/>
      <c r="FO19" s="1617"/>
      <c r="FP19" s="1617"/>
      <c r="FQ19" s="1617"/>
      <c r="FR19" s="1617"/>
      <c r="FS19" s="1618"/>
      <c r="FT19" s="1619" t="s">
        <v>1659</v>
      </c>
      <c r="FU19" s="1619"/>
      <c r="FV19" s="1619"/>
      <c r="FW19" s="1619"/>
      <c r="FX19" s="1619"/>
      <c r="FY19" s="1619"/>
      <c r="FZ19" s="1619"/>
      <c r="GA19" s="1619"/>
      <c r="GB19" s="1619"/>
      <c r="GC19" s="1619"/>
      <c r="GD19" s="1619"/>
      <c r="GE19" s="1619"/>
      <c r="GF19" s="1619"/>
      <c r="GG19" s="1619"/>
      <c r="GH19" s="1619"/>
      <c r="GI19" s="1619"/>
      <c r="GJ19" s="1620" t="s">
        <v>1660</v>
      </c>
      <c r="GK19" s="1621"/>
      <c r="GL19" s="1621"/>
      <c r="GM19" s="1621"/>
      <c r="GN19" s="1621"/>
      <c r="GO19" s="1621"/>
      <c r="GP19" s="1621"/>
      <c r="GQ19" s="1621"/>
      <c r="GR19" s="1621"/>
      <c r="GS19" s="1621"/>
      <c r="GT19" s="1621"/>
      <c r="GU19" s="1621"/>
      <c r="GV19" s="1621"/>
      <c r="GW19" s="1621"/>
      <c r="GX19" s="1621"/>
      <c r="GY19" s="1622"/>
      <c r="GZ19" s="1616"/>
      <c r="HA19" s="1617"/>
      <c r="HB19" s="1617"/>
      <c r="HC19" s="1617"/>
      <c r="HD19" s="1617"/>
      <c r="HE19" s="1617"/>
      <c r="HF19" s="1617"/>
      <c r="HG19" s="1617"/>
      <c r="HH19" s="1617"/>
      <c r="HI19" s="1617"/>
      <c r="HJ19" s="1617"/>
      <c r="HK19" s="1617"/>
      <c r="HL19" s="1617"/>
      <c r="HM19" s="1617"/>
      <c r="HN19" s="1617"/>
      <c r="HO19" s="1617"/>
      <c r="HP19" s="1618"/>
    </row>
    <row r="20" spans="1:231" s="443" customFormat="1" ht="10.199999999999999">
      <c r="A20" s="1609">
        <v>1</v>
      </c>
      <c r="B20" s="1610"/>
      <c r="C20" s="1610"/>
      <c r="D20" s="1610"/>
      <c r="E20" s="1610"/>
      <c r="F20" s="1610"/>
      <c r="G20" s="1610"/>
      <c r="H20" s="1610"/>
      <c r="I20" s="1610"/>
      <c r="J20" s="1610"/>
      <c r="K20" s="1610"/>
      <c r="L20" s="1610"/>
      <c r="M20" s="1610"/>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1"/>
      <c r="AL20" s="1612">
        <v>2</v>
      </c>
      <c r="AM20" s="1612"/>
      <c r="AN20" s="1612"/>
      <c r="AO20" s="1612"/>
      <c r="AP20" s="1612"/>
      <c r="AQ20" s="1612"/>
      <c r="AR20" s="1612"/>
      <c r="AS20" s="1612"/>
      <c r="AT20" s="1612"/>
      <c r="AU20" s="1612"/>
      <c r="AV20" s="1612">
        <v>3</v>
      </c>
      <c r="AW20" s="1612"/>
      <c r="AX20" s="1612"/>
      <c r="AY20" s="1612"/>
      <c r="AZ20" s="1612"/>
      <c r="BA20" s="1612"/>
      <c r="BB20" s="1612"/>
      <c r="BC20" s="1612"/>
      <c r="BD20" s="1612">
        <v>4</v>
      </c>
      <c r="BE20" s="1612"/>
      <c r="BF20" s="1612"/>
      <c r="BG20" s="1612"/>
      <c r="BH20" s="1612"/>
      <c r="BI20" s="1612"/>
      <c r="BJ20" s="1612"/>
      <c r="BK20" s="1612"/>
      <c r="BL20" s="1612"/>
      <c r="BM20" s="1612"/>
      <c r="BN20" s="1612"/>
      <c r="BO20" s="1612"/>
      <c r="BP20" s="1612"/>
      <c r="BQ20" s="1612"/>
      <c r="BR20" s="1612">
        <v>5</v>
      </c>
      <c r="BS20" s="1612"/>
      <c r="BT20" s="1612"/>
      <c r="BU20" s="1612"/>
      <c r="BV20" s="1612"/>
      <c r="BW20" s="1612"/>
      <c r="BX20" s="1612"/>
      <c r="BY20" s="1612"/>
      <c r="BZ20" s="1612"/>
      <c r="CA20" s="1612"/>
      <c r="CB20" s="1612"/>
      <c r="CC20" s="1612"/>
      <c r="CD20" s="1612"/>
      <c r="CE20" s="1612"/>
      <c r="CF20" s="1612">
        <v>6</v>
      </c>
      <c r="CG20" s="1612"/>
      <c r="CH20" s="1612"/>
      <c r="CI20" s="1612"/>
      <c r="CJ20" s="1612"/>
      <c r="CK20" s="1612"/>
      <c r="CL20" s="1612"/>
      <c r="CM20" s="1612"/>
      <c r="CN20" s="1612"/>
      <c r="CO20" s="1612"/>
      <c r="CP20" s="1612"/>
      <c r="CQ20" s="1612"/>
      <c r="CR20" s="1612"/>
      <c r="CS20" s="1612"/>
      <c r="CT20" s="1612"/>
      <c r="CU20" s="1612"/>
      <c r="CV20" s="1612">
        <v>7</v>
      </c>
      <c r="CW20" s="1612"/>
      <c r="CX20" s="1612"/>
      <c r="CY20" s="1612"/>
      <c r="CZ20" s="1612"/>
      <c r="DA20" s="1612"/>
      <c r="DB20" s="1612"/>
      <c r="DC20" s="1612"/>
      <c r="DD20" s="1612"/>
      <c r="DE20" s="1612"/>
      <c r="DF20" s="1612"/>
      <c r="DG20" s="1612"/>
      <c r="DH20" s="1612"/>
      <c r="DI20" s="1612"/>
      <c r="DJ20" s="1612"/>
      <c r="DK20" s="1612"/>
      <c r="DL20" s="1612">
        <v>8</v>
      </c>
      <c r="DM20" s="1612"/>
      <c r="DN20" s="1612"/>
      <c r="DO20" s="1612"/>
      <c r="DP20" s="1612"/>
      <c r="DQ20" s="1612"/>
      <c r="DR20" s="1612"/>
      <c r="DS20" s="1612"/>
      <c r="DT20" s="1612"/>
      <c r="DU20" s="1612"/>
      <c r="DV20" s="1612"/>
      <c r="DW20" s="1612"/>
      <c r="DX20" s="1612"/>
      <c r="DY20" s="1612"/>
      <c r="DZ20" s="1612"/>
      <c r="EA20" s="1612"/>
      <c r="EB20" s="1612">
        <v>9</v>
      </c>
      <c r="EC20" s="1612"/>
      <c r="ED20" s="1612"/>
      <c r="EE20" s="1612"/>
      <c r="EF20" s="1612"/>
      <c r="EG20" s="1612"/>
      <c r="EH20" s="1612"/>
      <c r="EI20" s="1612"/>
      <c r="EJ20" s="1612"/>
      <c r="EK20" s="1612"/>
      <c r="EL20" s="1612"/>
      <c r="EM20" s="1612"/>
      <c r="EN20" s="1612"/>
      <c r="EO20" s="1612"/>
      <c r="EP20" s="1609">
        <v>10</v>
      </c>
      <c r="EQ20" s="1610"/>
      <c r="ER20" s="1610"/>
      <c r="ES20" s="1610"/>
      <c r="ET20" s="1610"/>
      <c r="EU20" s="1610"/>
      <c r="EV20" s="1610"/>
      <c r="EW20" s="1610"/>
      <c r="EX20" s="1610"/>
      <c r="EY20" s="1610"/>
      <c r="EZ20" s="1610"/>
      <c r="FA20" s="1610"/>
      <c r="FB20" s="1610"/>
      <c r="FC20" s="1611"/>
      <c r="FD20" s="1609">
        <v>11</v>
      </c>
      <c r="FE20" s="1610"/>
      <c r="FF20" s="1610"/>
      <c r="FG20" s="1610"/>
      <c r="FH20" s="1610"/>
      <c r="FI20" s="1610"/>
      <c r="FJ20" s="1610"/>
      <c r="FK20" s="1610"/>
      <c r="FL20" s="1610"/>
      <c r="FM20" s="1610"/>
      <c r="FN20" s="1610"/>
      <c r="FO20" s="1610"/>
      <c r="FP20" s="1610"/>
      <c r="FQ20" s="1610"/>
      <c r="FR20" s="1610"/>
      <c r="FS20" s="1611"/>
      <c r="FT20" s="1609">
        <v>12</v>
      </c>
      <c r="FU20" s="1610"/>
      <c r="FV20" s="1610"/>
      <c r="FW20" s="1610"/>
      <c r="FX20" s="1610"/>
      <c r="FY20" s="1610"/>
      <c r="FZ20" s="1610"/>
      <c r="GA20" s="1610"/>
      <c r="GB20" s="1610"/>
      <c r="GC20" s="1610"/>
      <c r="GD20" s="1610"/>
      <c r="GE20" s="1610"/>
      <c r="GF20" s="1610"/>
      <c r="GG20" s="1610"/>
      <c r="GH20" s="1610"/>
      <c r="GI20" s="1611"/>
      <c r="GJ20" s="1609">
        <v>13</v>
      </c>
      <c r="GK20" s="1610"/>
      <c r="GL20" s="1610"/>
      <c r="GM20" s="1610"/>
      <c r="GN20" s="1610"/>
      <c r="GO20" s="1610"/>
      <c r="GP20" s="1610"/>
      <c r="GQ20" s="1610"/>
      <c r="GR20" s="1610"/>
      <c r="GS20" s="1610"/>
      <c r="GT20" s="1610"/>
      <c r="GU20" s="1610"/>
      <c r="GV20" s="1610"/>
      <c r="GW20" s="1610"/>
      <c r="GX20" s="1610"/>
      <c r="GY20" s="1611"/>
      <c r="GZ20" s="1612">
        <v>14</v>
      </c>
      <c r="HA20" s="1612"/>
      <c r="HB20" s="1612"/>
      <c r="HC20" s="1612"/>
      <c r="HD20" s="1612"/>
      <c r="HE20" s="1612"/>
      <c r="HF20" s="1612"/>
      <c r="HG20" s="1612"/>
      <c r="HH20" s="1612"/>
      <c r="HI20" s="1612"/>
      <c r="HJ20" s="1612"/>
      <c r="HK20" s="1612"/>
      <c r="HL20" s="1612"/>
      <c r="HM20" s="1612"/>
      <c r="HN20" s="1612"/>
      <c r="HO20" s="1612"/>
      <c r="HP20" s="1612"/>
    </row>
    <row r="21" spans="1:231" s="445" customFormat="1" ht="10.35" customHeight="1">
      <c r="A21" s="444"/>
      <c r="B21" s="1551" t="s">
        <v>1661</v>
      </c>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2"/>
      <c r="AL21" s="1553" t="s">
        <v>121</v>
      </c>
      <c r="AM21" s="1554"/>
      <c r="AN21" s="1554"/>
      <c r="AO21" s="1554"/>
      <c r="AP21" s="1554"/>
      <c r="AQ21" s="1554"/>
      <c r="AR21" s="1554"/>
      <c r="AS21" s="1554"/>
      <c r="AT21" s="1554"/>
      <c r="AU21" s="1555"/>
      <c r="AV21" s="1559" t="s">
        <v>1662</v>
      </c>
      <c r="AW21" s="1560"/>
      <c r="AX21" s="1560"/>
      <c r="AY21" s="1560"/>
      <c r="AZ21" s="1560"/>
      <c r="BA21" s="1560"/>
      <c r="BB21" s="1560"/>
      <c r="BC21" s="1561"/>
      <c r="BD21" s="1540">
        <f>CF21+CV21+DL21</f>
        <v>7866117</v>
      </c>
      <c r="BE21" s="1541"/>
      <c r="BF21" s="1541"/>
      <c r="BG21" s="1541"/>
      <c r="BH21" s="1541"/>
      <c r="BI21" s="1541"/>
      <c r="BJ21" s="1541"/>
      <c r="BK21" s="1541"/>
      <c r="BL21" s="1541"/>
      <c r="BM21" s="1541"/>
      <c r="BN21" s="1541"/>
      <c r="BO21" s="1541"/>
      <c r="BP21" s="1541"/>
      <c r="BQ21" s="1542"/>
      <c r="BR21" s="1540">
        <f>BD21</f>
        <v>7866117</v>
      </c>
      <c r="BS21" s="1541"/>
      <c r="BT21" s="1541"/>
      <c r="BU21" s="1541"/>
      <c r="BV21" s="1541"/>
      <c r="BW21" s="1541"/>
      <c r="BX21" s="1541"/>
      <c r="BY21" s="1541"/>
      <c r="BZ21" s="1541"/>
      <c r="CA21" s="1541"/>
      <c r="CB21" s="1541"/>
      <c r="CC21" s="1541"/>
      <c r="CD21" s="1541"/>
      <c r="CE21" s="1542"/>
      <c r="CF21" s="1540">
        <v>7509868</v>
      </c>
      <c r="CG21" s="1541"/>
      <c r="CH21" s="1541"/>
      <c r="CI21" s="1541"/>
      <c r="CJ21" s="1541"/>
      <c r="CK21" s="1541"/>
      <c r="CL21" s="1541"/>
      <c r="CM21" s="1541"/>
      <c r="CN21" s="1541"/>
      <c r="CO21" s="1541"/>
      <c r="CP21" s="1541"/>
      <c r="CQ21" s="1541"/>
      <c r="CR21" s="1541"/>
      <c r="CS21" s="1541"/>
      <c r="CT21" s="1541"/>
      <c r="CU21" s="1542"/>
      <c r="CV21" s="1540">
        <v>303810</v>
      </c>
      <c r="CW21" s="1541"/>
      <c r="CX21" s="1541"/>
      <c r="CY21" s="1541"/>
      <c r="CZ21" s="1541"/>
      <c r="DA21" s="1541"/>
      <c r="DB21" s="1541"/>
      <c r="DC21" s="1541"/>
      <c r="DD21" s="1541"/>
      <c r="DE21" s="1541"/>
      <c r="DF21" s="1541"/>
      <c r="DG21" s="1541"/>
      <c r="DH21" s="1541"/>
      <c r="DI21" s="1541"/>
      <c r="DJ21" s="1541"/>
      <c r="DK21" s="1542"/>
      <c r="DL21" s="1540">
        <v>52439</v>
      </c>
      <c r="DM21" s="1541"/>
      <c r="DN21" s="1541"/>
      <c r="DO21" s="1541"/>
      <c r="DP21" s="1541"/>
      <c r="DQ21" s="1541"/>
      <c r="DR21" s="1541"/>
      <c r="DS21" s="1541"/>
      <c r="DT21" s="1541"/>
      <c r="DU21" s="1541"/>
      <c r="DV21" s="1541"/>
      <c r="DW21" s="1541"/>
      <c r="DX21" s="1541"/>
      <c r="DY21" s="1541"/>
      <c r="DZ21" s="1541"/>
      <c r="EA21" s="1542"/>
      <c r="EB21" s="1540">
        <v>6764873</v>
      </c>
      <c r="EC21" s="1541"/>
      <c r="ED21" s="1541"/>
      <c r="EE21" s="1541"/>
      <c r="EF21" s="1541"/>
      <c r="EG21" s="1541"/>
      <c r="EH21" s="1541"/>
      <c r="EI21" s="1541"/>
      <c r="EJ21" s="1541"/>
      <c r="EK21" s="1541"/>
      <c r="EL21" s="1541"/>
      <c r="EM21" s="1541"/>
      <c r="EN21" s="1541"/>
      <c r="EO21" s="1542"/>
      <c r="EP21" s="1540">
        <v>6764873</v>
      </c>
      <c r="EQ21" s="1541"/>
      <c r="ER21" s="1541"/>
      <c r="ES21" s="1541"/>
      <c r="ET21" s="1541"/>
      <c r="EU21" s="1541"/>
      <c r="EV21" s="1541"/>
      <c r="EW21" s="1541"/>
      <c r="EX21" s="1541"/>
      <c r="EY21" s="1541"/>
      <c r="EZ21" s="1541"/>
      <c r="FA21" s="1541"/>
      <c r="FB21" s="1541"/>
      <c r="FC21" s="1542"/>
      <c r="FD21" s="1534">
        <v>6456262</v>
      </c>
      <c r="FE21" s="1535"/>
      <c r="FF21" s="1535"/>
      <c r="FG21" s="1535"/>
      <c r="FH21" s="1535"/>
      <c r="FI21" s="1535"/>
      <c r="FJ21" s="1535"/>
      <c r="FK21" s="1535"/>
      <c r="FL21" s="1535"/>
      <c r="FM21" s="1535"/>
      <c r="FN21" s="1535"/>
      <c r="FO21" s="1535"/>
      <c r="FP21" s="1535"/>
      <c r="FQ21" s="1535"/>
      <c r="FR21" s="1535"/>
      <c r="FS21" s="1536"/>
      <c r="FT21" s="1534">
        <v>266422</v>
      </c>
      <c r="FU21" s="1535"/>
      <c r="FV21" s="1535"/>
      <c r="FW21" s="1535"/>
      <c r="FX21" s="1535"/>
      <c r="FY21" s="1535"/>
      <c r="FZ21" s="1535"/>
      <c r="GA21" s="1535"/>
      <c r="GB21" s="1535"/>
      <c r="GC21" s="1535"/>
      <c r="GD21" s="1535"/>
      <c r="GE21" s="1535"/>
      <c r="GF21" s="1535"/>
      <c r="GG21" s="1535"/>
      <c r="GH21" s="1535"/>
      <c r="GI21" s="1536"/>
      <c r="GJ21" s="1534">
        <v>42189</v>
      </c>
      <c r="GK21" s="1535"/>
      <c r="GL21" s="1535"/>
      <c r="GM21" s="1535"/>
      <c r="GN21" s="1535"/>
      <c r="GO21" s="1535"/>
      <c r="GP21" s="1535"/>
      <c r="GQ21" s="1535"/>
      <c r="GR21" s="1535"/>
      <c r="GS21" s="1535"/>
      <c r="GT21" s="1535"/>
      <c r="GU21" s="1535"/>
      <c r="GV21" s="1535"/>
      <c r="GW21" s="1535"/>
      <c r="GX21" s="1535"/>
      <c r="GY21" s="1536"/>
      <c r="GZ21" s="1540"/>
      <c r="HA21" s="1541"/>
      <c r="HB21" s="1541"/>
      <c r="HC21" s="1541"/>
      <c r="HD21" s="1541"/>
      <c r="HE21" s="1541"/>
      <c r="HF21" s="1541"/>
      <c r="HG21" s="1541"/>
      <c r="HH21" s="1541"/>
      <c r="HI21" s="1541"/>
      <c r="HJ21" s="1541"/>
      <c r="HK21" s="1541"/>
      <c r="HL21" s="1541"/>
      <c r="HM21" s="1541"/>
      <c r="HN21" s="1541"/>
      <c r="HO21" s="1541"/>
      <c r="HP21" s="1542"/>
    </row>
    <row r="22" spans="1:231" s="445" customFormat="1" ht="10.35" customHeight="1">
      <c r="A22" s="446"/>
      <c r="B22" s="1549" t="s">
        <v>1663</v>
      </c>
      <c r="C22" s="1549"/>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50"/>
      <c r="AL22" s="1577"/>
      <c r="AM22" s="1578"/>
      <c r="AN22" s="1578"/>
      <c r="AO22" s="1578"/>
      <c r="AP22" s="1578"/>
      <c r="AQ22" s="1578"/>
      <c r="AR22" s="1578"/>
      <c r="AS22" s="1578"/>
      <c r="AT22" s="1578"/>
      <c r="AU22" s="1579"/>
      <c r="AV22" s="1580"/>
      <c r="AW22" s="1581"/>
      <c r="AX22" s="1581"/>
      <c r="AY22" s="1581"/>
      <c r="AZ22" s="1581"/>
      <c r="BA22" s="1581"/>
      <c r="BB22" s="1581"/>
      <c r="BC22" s="1582"/>
      <c r="BD22" s="1565"/>
      <c r="BE22" s="1566"/>
      <c r="BF22" s="1566"/>
      <c r="BG22" s="1566"/>
      <c r="BH22" s="1566"/>
      <c r="BI22" s="1566"/>
      <c r="BJ22" s="1566"/>
      <c r="BK22" s="1566"/>
      <c r="BL22" s="1566"/>
      <c r="BM22" s="1566"/>
      <c r="BN22" s="1566"/>
      <c r="BO22" s="1566"/>
      <c r="BP22" s="1566"/>
      <c r="BQ22" s="1567"/>
      <c r="BR22" s="1565"/>
      <c r="BS22" s="1566"/>
      <c r="BT22" s="1566"/>
      <c r="BU22" s="1566"/>
      <c r="BV22" s="1566"/>
      <c r="BW22" s="1566"/>
      <c r="BX22" s="1566"/>
      <c r="BY22" s="1566"/>
      <c r="BZ22" s="1566"/>
      <c r="CA22" s="1566"/>
      <c r="CB22" s="1566"/>
      <c r="CC22" s="1566"/>
      <c r="CD22" s="1566"/>
      <c r="CE22" s="1567"/>
      <c r="CF22" s="1565"/>
      <c r="CG22" s="1566"/>
      <c r="CH22" s="1566"/>
      <c r="CI22" s="1566"/>
      <c r="CJ22" s="1566"/>
      <c r="CK22" s="1566"/>
      <c r="CL22" s="1566"/>
      <c r="CM22" s="1566"/>
      <c r="CN22" s="1566"/>
      <c r="CO22" s="1566"/>
      <c r="CP22" s="1566"/>
      <c r="CQ22" s="1566"/>
      <c r="CR22" s="1566"/>
      <c r="CS22" s="1566"/>
      <c r="CT22" s="1566"/>
      <c r="CU22" s="1567"/>
      <c r="CV22" s="1565"/>
      <c r="CW22" s="1566"/>
      <c r="CX22" s="1566"/>
      <c r="CY22" s="1566"/>
      <c r="CZ22" s="1566"/>
      <c r="DA22" s="1566"/>
      <c r="DB22" s="1566"/>
      <c r="DC22" s="1566"/>
      <c r="DD22" s="1566"/>
      <c r="DE22" s="1566"/>
      <c r="DF22" s="1566"/>
      <c r="DG22" s="1566"/>
      <c r="DH22" s="1566"/>
      <c r="DI22" s="1566"/>
      <c r="DJ22" s="1566"/>
      <c r="DK22" s="1567"/>
      <c r="DL22" s="1565"/>
      <c r="DM22" s="1566"/>
      <c r="DN22" s="1566"/>
      <c r="DO22" s="1566"/>
      <c r="DP22" s="1566"/>
      <c r="DQ22" s="1566"/>
      <c r="DR22" s="1566"/>
      <c r="DS22" s="1566"/>
      <c r="DT22" s="1566"/>
      <c r="DU22" s="1566"/>
      <c r="DV22" s="1566"/>
      <c r="DW22" s="1566"/>
      <c r="DX22" s="1566"/>
      <c r="DY22" s="1566"/>
      <c r="DZ22" s="1566"/>
      <c r="EA22" s="1567"/>
      <c r="EB22" s="1565"/>
      <c r="EC22" s="1566"/>
      <c r="ED22" s="1566"/>
      <c r="EE22" s="1566"/>
      <c r="EF22" s="1566"/>
      <c r="EG22" s="1566"/>
      <c r="EH22" s="1566"/>
      <c r="EI22" s="1566"/>
      <c r="EJ22" s="1566"/>
      <c r="EK22" s="1566"/>
      <c r="EL22" s="1566"/>
      <c r="EM22" s="1566"/>
      <c r="EN22" s="1566"/>
      <c r="EO22" s="1567"/>
      <c r="EP22" s="1565"/>
      <c r="EQ22" s="1566"/>
      <c r="ER22" s="1566"/>
      <c r="ES22" s="1566"/>
      <c r="ET22" s="1566"/>
      <c r="EU22" s="1566"/>
      <c r="EV22" s="1566"/>
      <c r="EW22" s="1566"/>
      <c r="EX22" s="1566"/>
      <c r="EY22" s="1566"/>
      <c r="EZ22" s="1566"/>
      <c r="FA22" s="1566"/>
      <c r="FB22" s="1566"/>
      <c r="FC22" s="1567"/>
      <c r="FD22" s="1568"/>
      <c r="FE22" s="1569"/>
      <c r="FF22" s="1569"/>
      <c r="FG22" s="1569"/>
      <c r="FH22" s="1569"/>
      <c r="FI22" s="1569"/>
      <c r="FJ22" s="1569"/>
      <c r="FK22" s="1569"/>
      <c r="FL22" s="1569"/>
      <c r="FM22" s="1569"/>
      <c r="FN22" s="1569"/>
      <c r="FO22" s="1569"/>
      <c r="FP22" s="1569"/>
      <c r="FQ22" s="1569"/>
      <c r="FR22" s="1569"/>
      <c r="FS22" s="1570"/>
      <c r="FT22" s="1568"/>
      <c r="FU22" s="1569"/>
      <c r="FV22" s="1569"/>
      <c r="FW22" s="1569"/>
      <c r="FX22" s="1569"/>
      <c r="FY22" s="1569"/>
      <c r="FZ22" s="1569"/>
      <c r="GA22" s="1569"/>
      <c r="GB22" s="1569"/>
      <c r="GC22" s="1569"/>
      <c r="GD22" s="1569"/>
      <c r="GE22" s="1569"/>
      <c r="GF22" s="1569"/>
      <c r="GG22" s="1569"/>
      <c r="GH22" s="1569"/>
      <c r="GI22" s="1570"/>
      <c r="GJ22" s="1568"/>
      <c r="GK22" s="1569"/>
      <c r="GL22" s="1569"/>
      <c r="GM22" s="1569"/>
      <c r="GN22" s="1569"/>
      <c r="GO22" s="1569"/>
      <c r="GP22" s="1569"/>
      <c r="GQ22" s="1569"/>
      <c r="GR22" s="1569"/>
      <c r="GS22" s="1569"/>
      <c r="GT22" s="1569"/>
      <c r="GU22" s="1569"/>
      <c r="GV22" s="1569"/>
      <c r="GW22" s="1569"/>
      <c r="GX22" s="1569"/>
      <c r="GY22" s="1570"/>
      <c r="GZ22" s="1565"/>
      <c r="HA22" s="1566"/>
      <c r="HB22" s="1566"/>
      <c r="HC22" s="1566"/>
      <c r="HD22" s="1566"/>
      <c r="HE22" s="1566"/>
      <c r="HF22" s="1566"/>
      <c r="HG22" s="1566"/>
      <c r="HH22" s="1566"/>
      <c r="HI22" s="1566"/>
      <c r="HJ22" s="1566"/>
      <c r="HK22" s="1566"/>
      <c r="HL22" s="1566"/>
      <c r="HM22" s="1566"/>
      <c r="HN22" s="1566"/>
      <c r="HO22" s="1566"/>
      <c r="HP22" s="1567"/>
    </row>
    <row r="23" spans="1:231" s="445" customFormat="1" ht="10.35" customHeight="1">
      <c r="A23" s="446"/>
      <c r="B23" s="1549" t="s">
        <v>1664</v>
      </c>
      <c r="C23" s="1549"/>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50"/>
      <c r="AL23" s="1577"/>
      <c r="AM23" s="1578"/>
      <c r="AN23" s="1578"/>
      <c r="AO23" s="1578"/>
      <c r="AP23" s="1578"/>
      <c r="AQ23" s="1578"/>
      <c r="AR23" s="1578"/>
      <c r="AS23" s="1578"/>
      <c r="AT23" s="1578"/>
      <c r="AU23" s="1579"/>
      <c r="AV23" s="1580"/>
      <c r="AW23" s="1581"/>
      <c r="AX23" s="1581"/>
      <c r="AY23" s="1581"/>
      <c r="AZ23" s="1581"/>
      <c r="BA23" s="1581"/>
      <c r="BB23" s="1581"/>
      <c r="BC23" s="1582"/>
      <c r="BD23" s="1565"/>
      <c r="BE23" s="1566"/>
      <c r="BF23" s="1566"/>
      <c r="BG23" s="1566"/>
      <c r="BH23" s="1566"/>
      <c r="BI23" s="1566"/>
      <c r="BJ23" s="1566"/>
      <c r="BK23" s="1566"/>
      <c r="BL23" s="1566"/>
      <c r="BM23" s="1566"/>
      <c r="BN23" s="1566"/>
      <c r="BO23" s="1566"/>
      <c r="BP23" s="1566"/>
      <c r="BQ23" s="1567"/>
      <c r="BR23" s="1565"/>
      <c r="BS23" s="1566"/>
      <c r="BT23" s="1566"/>
      <c r="BU23" s="1566"/>
      <c r="BV23" s="1566"/>
      <c r="BW23" s="1566"/>
      <c r="BX23" s="1566"/>
      <c r="BY23" s="1566"/>
      <c r="BZ23" s="1566"/>
      <c r="CA23" s="1566"/>
      <c r="CB23" s="1566"/>
      <c r="CC23" s="1566"/>
      <c r="CD23" s="1566"/>
      <c r="CE23" s="1567"/>
      <c r="CF23" s="1565"/>
      <c r="CG23" s="1566"/>
      <c r="CH23" s="1566"/>
      <c r="CI23" s="1566"/>
      <c r="CJ23" s="1566"/>
      <c r="CK23" s="1566"/>
      <c r="CL23" s="1566"/>
      <c r="CM23" s="1566"/>
      <c r="CN23" s="1566"/>
      <c r="CO23" s="1566"/>
      <c r="CP23" s="1566"/>
      <c r="CQ23" s="1566"/>
      <c r="CR23" s="1566"/>
      <c r="CS23" s="1566"/>
      <c r="CT23" s="1566"/>
      <c r="CU23" s="1567"/>
      <c r="CV23" s="1565"/>
      <c r="CW23" s="1566"/>
      <c r="CX23" s="1566"/>
      <c r="CY23" s="1566"/>
      <c r="CZ23" s="1566"/>
      <c r="DA23" s="1566"/>
      <c r="DB23" s="1566"/>
      <c r="DC23" s="1566"/>
      <c r="DD23" s="1566"/>
      <c r="DE23" s="1566"/>
      <c r="DF23" s="1566"/>
      <c r="DG23" s="1566"/>
      <c r="DH23" s="1566"/>
      <c r="DI23" s="1566"/>
      <c r="DJ23" s="1566"/>
      <c r="DK23" s="1567"/>
      <c r="DL23" s="1565"/>
      <c r="DM23" s="1566"/>
      <c r="DN23" s="1566"/>
      <c r="DO23" s="1566"/>
      <c r="DP23" s="1566"/>
      <c r="DQ23" s="1566"/>
      <c r="DR23" s="1566"/>
      <c r="DS23" s="1566"/>
      <c r="DT23" s="1566"/>
      <c r="DU23" s="1566"/>
      <c r="DV23" s="1566"/>
      <c r="DW23" s="1566"/>
      <c r="DX23" s="1566"/>
      <c r="DY23" s="1566"/>
      <c r="DZ23" s="1566"/>
      <c r="EA23" s="1567"/>
      <c r="EB23" s="1565"/>
      <c r="EC23" s="1566"/>
      <c r="ED23" s="1566"/>
      <c r="EE23" s="1566"/>
      <c r="EF23" s="1566"/>
      <c r="EG23" s="1566"/>
      <c r="EH23" s="1566"/>
      <c r="EI23" s="1566"/>
      <c r="EJ23" s="1566"/>
      <c r="EK23" s="1566"/>
      <c r="EL23" s="1566"/>
      <c r="EM23" s="1566"/>
      <c r="EN23" s="1566"/>
      <c r="EO23" s="1567"/>
      <c r="EP23" s="1565"/>
      <c r="EQ23" s="1566"/>
      <c r="ER23" s="1566"/>
      <c r="ES23" s="1566"/>
      <c r="ET23" s="1566"/>
      <c r="EU23" s="1566"/>
      <c r="EV23" s="1566"/>
      <c r="EW23" s="1566"/>
      <c r="EX23" s="1566"/>
      <c r="EY23" s="1566"/>
      <c r="EZ23" s="1566"/>
      <c r="FA23" s="1566"/>
      <c r="FB23" s="1566"/>
      <c r="FC23" s="1567"/>
      <c r="FD23" s="1568"/>
      <c r="FE23" s="1569"/>
      <c r="FF23" s="1569"/>
      <c r="FG23" s="1569"/>
      <c r="FH23" s="1569"/>
      <c r="FI23" s="1569"/>
      <c r="FJ23" s="1569"/>
      <c r="FK23" s="1569"/>
      <c r="FL23" s="1569"/>
      <c r="FM23" s="1569"/>
      <c r="FN23" s="1569"/>
      <c r="FO23" s="1569"/>
      <c r="FP23" s="1569"/>
      <c r="FQ23" s="1569"/>
      <c r="FR23" s="1569"/>
      <c r="FS23" s="1570"/>
      <c r="FT23" s="1568"/>
      <c r="FU23" s="1569"/>
      <c r="FV23" s="1569"/>
      <c r="FW23" s="1569"/>
      <c r="FX23" s="1569"/>
      <c r="FY23" s="1569"/>
      <c r="FZ23" s="1569"/>
      <c r="GA23" s="1569"/>
      <c r="GB23" s="1569"/>
      <c r="GC23" s="1569"/>
      <c r="GD23" s="1569"/>
      <c r="GE23" s="1569"/>
      <c r="GF23" s="1569"/>
      <c r="GG23" s="1569"/>
      <c r="GH23" s="1569"/>
      <c r="GI23" s="1570"/>
      <c r="GJ23" s="1568"/>
      <c r="GK23" s="1569"/>
      <c r="GL23" s="1569"/>
      <c r="GM23" s="1569"/>
      <c r="GN23" s="1569"/>
      <c r="GO23" s="1569"/>
      <c r="GP23" s="1569"/>
      <c r="GQ23" s="1569"/>
      <c r="GR23" s="1569"/>
      <c r="GS23" s="1569"/>
      <c r="GT23" s="1569"/>
      <c r="GU23" s="1569"/>
      <c r="GV23" s="1569"/>
      <c r="GW23" s="1569"/>
      <c r="GX23" s="1569"/>
      <c r="GY23" s="1570"/>
      <c r="GZ23" s="1565"/>
      <c r="HA23" s="1566"/>
      <c r="HB23" s="1566"/>
      <c r="HC23" s="1566"/>
      <c r="HD23" s="1566"/>
      <c r="HE23" s="1566"/>
      <c r="HF23" s="1566"/>
      <c r="HG23" s="1566"/>
      <c r="HH23" s="1566"/>
      <c r="HI23" s="1566"/>
      <c r="HJ23" s="1566"/>
      <c r="HK23" s="1566"/>
      <c r="HL23" s="1566"/>
      <c r="HM23" s="1566"/>
      <c r="HN23" s="1566"/>
      <c r="HO23" s="1566"/>
      <c r="HP23" s="1567"/>
      <c r="HU23" s="1043"/>
      <c r="HV23" s="1044"/>
      <c r="HW23" s="1044"/>
    </row>
    <row r="24" spans="1:231" s="445" customFormat="1" ht="10.35" customHeight="1">
      <c r="A24" s="447"/>
      <c r="B24" s="1546" t="s">
        <v>1665</v>
      </c>
      <c r="C24" s="1546"/>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7"/>
      <c r="AL24" s="1556"/>
      <c r="AM24" s="1557"/>
      <c r="AN24" s="1557"/>
      <c r="AO24" s="1557"/>
      <c r="AP24" s="1557"/>
      <c r="AQ24" s="1557"/>
      <c r="AR24" s="1557"/>
      <c r="AS24" s="1557"/>
      <c r="AT24" s="1557"/>
      <c r="AU24" s="1558"/>
      <c r="AV24" s="1562"/>
      <c r="AW24" s="1563"/>
      <c r="AX24" s="1563"/>
      <c r="AY24" s="1563"/>
      <c r="AZ24" s="1563"/>
      <c r="BA24" s="1563"/>
      <c r="BB24" s="1563"/>
      <c r="BC24" s="1564"/>
      <c r="BD24" s="1543"/>
      <c r="BE24" s="1544"/>
      <c r="BF24" s="1544"/>
      <c r="BG24" s="1544"/>
      <c r="BH24" s="1544"/>
      <c r="BI24" s="1544"/>
      <c r="BJ24" s="1544"/>
      <c r="BK24" s="1544"/>
      <c r="BL24" s="1544"/>
      <c r="BM24" s="1544"/>
      <c r="BN24" s="1544"/>
      <c r="BO24" s="1544"/>
      <c r="BP24" s="1544"/>
      <c r="BQ24" s="1545"/>
      <c r="BR24" s="1543"/>
      <c r="BS24" s="1544"/>
      <c r="BT24" s="1544"/>
      <c r="BU24" s="1544"/>
      <c r="BV24" s="1544"/>
      <c r="BW24" s="1544"/>
      <c r="BX24" s="1544"/>
      <c r="BY24" s="1544"/>
      <c r="BZ24" s="1544"/>
      <c r="CA24" s="1544"/>
      <c r="CB24" s="1544"/>
      <c r="CC24" s="1544"/>
      <c r="CD24" s="1544"/>
      <c r="CE24" s="1545"/>
      <c r="CF24" s="1543"/>
      <c r="CG24" s="1544"/>
      <c r="CH24" s="1544"/>
      <c r="CI24" s="1544"/>
      <c r="CJ24" s="1544"/>
      <c r="CK24" s="1544"/>
      <c r="CL24" s="1544"/>
      <c r="CM24" s="1544"/>
      <c r="CN24" s="1544"/>
      <c r="CO24" s="1544"/>
      <c r="CP24" s="1544"/>
      <c r="CQ24" s="1544"/>
      <c r="CR24" s="1544"/>
      <c r="CS24" s="1544"/>
      <c r="CT24" s="1544"/>
      <c r="CU24" s="1545"/>
      <c r="CV24" s="1543"/>
      <c r="CW24" s="1544"/>
      <c r="CX24" s="1544"/>
      <c r="CY24" s="1544"/>
      <c r="CZ24" s="1544"/>
      <c r="DA24" s="1544"/>
      <c r="DB24" s="1544"/>
      <c r="DC24" s="1544"/>
      <c r="DD24" s="1544"/>
      <c r="DE24" s="1544"/>
      <c r="DF24" s="1544"/>
      <c r="DG24" s="1544"/>
      <c r="DH24" s="1544"/>
      <c r="DI24" s="1544"/>
      <c r="DJ24" s="1544"/>
      <c r="DK24" s="1545"/>
      <c r="DL24" s="1543"/>
      <c r="DM24" s="1544"/>
      <c r="DN24" s="1544"/>
      <c r="DO24" s="1544"/>
      <c r="DP24" s="1544"/>
      <c r="DQ24" s="1544"/>
      <c r="DR24" s="1544"/>
      <c r="DS24" s="1544"/>
      <c r="DT24" s="1544"/>
      <c r="DU24" s="1544"/>
      <c r="DV24" s="1544"/>
      <c r="DW24" s="1544"/>
      <c r="DX24" s="1544"/>
      <c r="DY24" s="1544"/>
      <c r="DZ24" s="1544"/>
      <c r="EA24" s="1545"/>
      <c r="EB24" s="1543"/>
      <c r="EC24" s="1544"/>
      <c r="ED24" s="1544"/>
      <c r="EE24" s="1544"/>
      <c r="EF24" s="1544"/>
      <c r="EG24" s="1544"/>
      <c r="EH24" s="1544"/>
      <c r="EI24" s="1544"/>
      <c r="EJ24" s="1544"/>
      <c r="EK24" s="1544"/>
      <c r="EL24" s="1544"/>
      <c r="EM24" s="1544"/>
      <c r="EN24" s="1544"/>
      <c r="EO24" s="1545"/>
      <c r="EP24" s="1543"/>
      <c r="EQ24" s="1544"/>
      <c r="ER24" s="1544"/>
      <c r="ES24" s="1544"/>
      <c r="ET24" s="1544"/>
      <c r="EU24" s="1544"/>
      <c r="EV24" s="1544"/>
      <c r="EW24" s="1544"/>
      <c r="EX24" s="1544"/>
      <c r="EY24" s="1544"/>
      <c r="EZ24" s="1544"/>
      <c r="FA24" s="1544"/>
      <c r="FB24" s="1544"/>
      <c r="FC24" s="1545"/>
      <c r="FD24" s="1537"/>
      <c r="FE24" s="1538"/>
      <c r="FF24" s="1538"/>
      <c r="FG24" s="1538"/>
      <c r="FH24" s="1538"/>
      <c r="FI24" s="1538"/>
      <c r="FJ24" s="1538"/>
      <c r="FK24" s="1538"/>
      <c r="FL24" s="1538"/>
      <c r="FM24" s="1538"/>
      <c r="FN24" s="1538"/>
      <c r="FO24" s="1538"/>
      <c r="FP24" s="1538"/>
      <c r="FQ24" s="1538"/>
      <c r="FR24" s="1538"/>
      <c r="FS24" s="1539"/>
      <c r="FT24" s="1537"/>
      <c r="FU24" s="1538"/>
      <c r="FV24" s="1538"/>
      <c r="FW24" s="1538"/>
      <c r="FX24" s="1538"/>
      <c r="FY24" s="1538"/>
      <c r="FZ24" s="1538"/>
      <c r="GA24" s="1538"/>
      <c r="GB24" s="1538"/>
      <c r="GC24" s="1538"/>
      <c r="GD24" s="1538"/>
      <c r="GE24" s="1538"/>
      <c r="GF24" s="1538"/>
      <c r="GG24" s="1538"/>
      <c r="GH24" s="1538"/>
      <c r="GI24" s="1539"/>
      <c r="GJ24" s="1537"/>
      <c r="GK24" s="1538"/>
      <c r="GL24" s="1538"/>
      <c r="GM24" s="1538"/>
      <c r="GN24" s="1538"/>
      <c r="GO24" s="1538"/>
      <c r="GP24" s="1538"/>
      <c r="GQ24" s="1538"/>
      <c r="GR24" s="1538"/>
      <c r="GS24" s="1538"/>
      <c r="GT24" s="1538"/>
      <c r="GU24" s="1538"/>
      <c r="GV24" s="1538"/>
      <c r="GW24" s="1538"/>
      <c r="GX24" s="1538"/>
      <c r="GY24" s="1539"/>
      <c r="GZ24" s="1543"/>
      <c r="HA24" s="1544"/>
      <c r="HB24" s="1544"/>
      <c r="HC24" s="1544"/>
      <c r="HD24" s="1544"/>
      <c r="HE24" s="1544"/>
      <c r="HF24" s="1544"/>
      <c r="HG24" s="1544"/>
      <c r="HH24" s="1544"/>
      <c r="HI24" s="1544"/>
      <c r="HJ24" s="1544"/>
      <c r="HK24" s="1544"/>
      <c r="HL24" s="1544"/>
      <c r="HM24" s="1544"/>
      <c r="HN24" s="1544"/>
      <c r="HO24" s="1544"/>
      <c r="HP24" s="1545"/>
      <c r="HW24" s="1044"/>
    </row>
    <row r="25" spans="1:231" s="449" customFormat="1" ht="10.35" customHeight="1">
      <c r="A25" s="448"/>
      <c r="B25" s="1575" t="s">
        <v>1666</v>
      </c>
      <c r="C25" s="1575"/>
      <c r="D25" s="1575"/>
      <c r="E25" s="1575"/>
      <c r="F25" s="1575"/>
      <c r="G25" s="1575"/>
      <c r="H25" s="1575"/>
      <c r="I25" s="1575"/>
      <c r="J25" s="1575"/>
      <c r="K25" s="1575"/>
      <c r="L25" s="1575"/>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6"/>
      <c r="AL25" s="1597" t="s">
        <v>121</v>
      </c>
      <c r="AM25" s="1598"/>
      <c r="AN25" s="1598"/>
      <c r="AO25" s="1598"/>
      <c r="AP25" s="1598"/>
      <c r="AQ25" s="1598"/>
      <c r="AR25" s="1598"/>
      <c r="AS25" s="1598"/>
      <c r="AT25" s="1598"/>
      <c r="AU25" s="1599"/>
      <c r="AV25" s="1603" t="s">
        <v>1667</v>
      </c>
      <c r="AW25" s="1604"/>
      <c r="AX25" s="1604"/>
      <c r="AY25" s="1604"/>
      <c r="AZ25" s="1604"/>
      <c r="BA25" s="1604"/>
      <c r="BB25" s="1604"/>
      <c r="BC25" s="1605"/>
      <c r="BD25" s="1534">
        <f>CF25+CV25+DL25</f>
        <v>7005809</v>
      </c>
      <c r="BE25" s="1535"/>
      <c r="BF25" s="1535"/>
      <c r="BG25" s="1535"/>
      <c r="BH25" s="1535"/>
      <c r="BI25" s="1535"/>
      <c r="BJ25" s="1535"/>
      <c r="BK25" s="1535"/>
      <c r="BL25" s="1535"/>
      <c r="BM25" s="1535"/>
      <c r="BN25" s="1535"/>
      <c r="BO25" s="1535"/>
      <c r="BP25" s="1535"/>
      <c r="BQ25" s="1536"/>
      <c r="BR25" s="1534">
        <f>BD25</f>
        <v>7005809</v>
      </c>
      <c r="BS25" s="1535"/>
      <c r="BT25" s="1535"/>
      <c r="BU25" s="1535"/>
      <c r="BV25" s="1535"/>
      <c r="BW25" s="1535"/>
      <c r="BX25" s="1535"/>
      <c r="BY25" s="1535"/>
      <c r="BZ25" s="1535"/>
      <c r="CA25" s="1535"/>
      <c r="CB25" s="1535"/>
      <c r="CC25" s="1535"/>
      <c r="CD25" s="1535"/>
      <c r="CE25" s="1536"/>
      <c r="CF25" s="1534">
        <v>6900400</v>
      </c>
      <c r="CG25" s="1535"/>
      <c r="CH25" s="1535"/>
      <c r="CI25" s="1535"/>
      <c r="CJ25" s="1535"/>
      <c r="CK25" s="1535"/>
      <c r="CL25" s="1535"/>
      <c r="CM25" s="1535"/>
      <c r="CN25" s="1535"/>
      <c r="CO25" s="1535"/>
      <c r="CP25" s="1535"/>
      <c r="CQ25" s="1535"/>
      <c r="CR25" s="1535"/>
      <c r="CS25" s="1535"/>
      <c r="CT25" s="1535"/>
      <c r="CU25" s="1536"/>
      <c r="CV25" s="1534">
        <v>71669</v>
      </c>
      <c r="CW25" s="1535"/>
      <c r="CX25" s="1535"/>
      <c r="CY25" s="1535"/>
      <c r="CZ25" s="1535"/>
      <c r="DA25" s="1535"/>
      <c r="DB25" s="1535"/>
      <c r="DC25" s="1535"/>
      <c r="DD25" s="1535"/>
      <c r="DE25" s="1535"/>
      <c r="DF25" s="1535"/>
      <c r="DG25" s="1535"/>
      <c r="DH25" s="1535"/>
      <c r="DI25" s="1535"/>
      <c r="DJ25" s="1535"/>
      <c r="DK25" s="1536"/>
      <c r="DL25" s="1534">
        <v>33740</v>
      </c>
      <c r="DM25" s="1535"/>
      <c r="DN25" s="1535"/>
      <c r="DO25" s="1535"/>
      <c r="DP25" s="1535"/>
      <c r="DQ25" s="1535"/>
      <c r="DR25" s="1535"/>
      <c r="DS25" s="1535"/>
      <c r="DT25" s="1535"/>
      <c r="DU25" s="1535"/>
      <c r="DV25" s="1535"/>
      <c r="DW25" s="1535"/>
      <c r="DX25" s="1535"/>
      <c r="DY25" s="1535"/>
      <c r="DZ25" s="1535"/>
      <c r="EA25" s="1536"/>
      <c r="EB25" s="1534">
        <v>6321282</v>
      </c>
      <c r="EC25" s="1535"/>
      <c r="ED25" s="1535"/>
      <c r="EE25" s="1535"/>
      <c r="EF25" s="1535"/>
      <c r="EG25" s="1535"/>
      <c r="EH25" s="1535"/>
      <c r="EI25" s="1535"/>
      <c r="EJ25" s="1535"/>
      <c r="EK25" s="1535"/>
      <c r="EL25" s="1535"/>
      <c r="EM25" s="1535"/>
      <c r="EN25" s="1535"/>
      <c r="EO25" s="1536"/>
      <c r="EP25" s="1534">
        <v>6321282</v>
      </c>
      <c r="EQ25" s="1535"/>
      <c r="ER25" s="1535"/>
      <c r="ES25" s="1535"/>
      <c r="ET25" s="1535"/>
      <c r="EU25" s="1535"/>
      <c r="EV25" s="1535"/>
      <c r="EW25" s="1535"/>
      <c r="EX25" s="1535"/>
      <c r="EY25" s="1535"/>
      <c r="EZ25" s="1535"/>
      <c r="FA25" s="1535"/>
      <c r="FB25" s="1535"/>
      <c r="FC25" s="1536"/>
      <c r="FD25" s="1534">
        <v>6222314</v>
      </c>
      <c r="FE25" s="1535"/>
      <c r="FF25" s="1535"/>
      <c r="FG25" s="1535"/>
      <c r="FH25" s="1535"/>
      <c r="FI25" s="1535"/>
      <c r="FJ25" s="1535"/>
      <c r="FK25" s="1535"/>
      <c r="FL25" s="1535"/>
      <c r="FM25" s="1535"/>
      <c r="FN25" s="1535"/>
      <c r="FO25" s="1535"/>
      <c r="FP25" s="1535"/>
      <c r="FQ25" s="1535"/>
      <c r="FR25" s="1535"/>
      <c r="FS25" s="1536"/>
      <c r="FT25" s="1534">
        <v>64089</v>
      </c>
      <c r="FU25" s="1535"/>
      <c r="FV25" s="1535"/>
      <c r="FW25" s="1535"/>
      <c r="FX25" s="1535"/>
      <c r="FY25" s="1535"/>
      <c r="FZ25" s="1535"/>
      <c r="GA25" s="1535"/>
      <c r="GB25" s="1535"/>
      <c r="GC25" s="1535"/>
      <c r="GD25" s="1535"/>
      <c r="GE25" s="1535"/>
      <c r="GF25" s="1535"/>
      <c r="GG25" s="1535"/>
      <c r="GH25" s="1535"/>
      <c r="GI25" s="1536"/>
      <c r="GJ25" s="1534">
        <v>34879</v>
      </c>
      <c r="GK25" s="1535"/>
      <c r="GL25" s="1535"/>
      <c r="GM25" s="1535"/>
      <c r="GN25" s="1535"/>
      <c r="GO25" s="1535"/>
      <c r="GP25" s="1535"/>
      <c r="GQ25" s="1535"/>
      <c r="GR25" s="1535"/>
      <c r="GS25" s="1535"/>
      <c r="GT25" s="1535"/>
      <c r="GU25" s="1535"/>
      <c r="GV25" s="1535"/>
      <c r="GW25" s="1535"/>
      <c r="GX25" s="1535"/>
      <c r="GY25" s="1536"/>
      <c r="GZ25" s="1534"/>
      <c r="HA25" s="1535"/>
      <c r="HB25" s="1535"/>
      <c r="HC25" s="1535"/>
      <c r="HD25" s="1535"/>
      <c r="HE25" s="1535"/>
      <c r="HF25" s="1535"/>
      <c r="HG25" s="1535"/>
      <c r="HH25" s="1535"/>
      <c r="HI25" s="1535"/>
      <c r="HJ25" s="1535"/>
      <c r="HK25" s="1535"/>
      <c r="HL25" s="1535"/>
      <c r="HM25" s="1535"/>
      <c r="HN25" s="1535"/>
      <c r="HO25" s="1535"/>
      <c r="HP25" s="1536"/>
      <c r="HU25" s="1045">
        <f>CF25</f>
        <v>6900400</v>
      </c>
      <c r="HV25" s="1045">
        <f>'8.Бюджет на 2015'!DF30</f>
        <v>3193462.2545400001</v>
      </c>
      <c r="HW25" s="1043">
        <f>HU25-HV25</f>
        <v>3706937.7454599999</v>
      </c>
    </row>
    <row r="26" spans="1:231" s="449" customFormat="1" ht="10.35" customHeight="1">
      <c r="A26" s="450"/>
      <c r="B26" s="1595" t="s">
        <v>1668</v>
      </c>
      <c r="C26" s="1595"/>
      <c r="D26" s="1595"/>
      <c r="E26" s="1595"/>
      <c r="F26" s="1595"/>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c r="AI26" s="1595"/>
      <c r="AJ26" s="1595"/>
      <c r="AK26" s="1596"/>
      <c r="AL26" s="1600"/>
      <c r="AM26" s="1601"/>
      <c r="AN26" s="1601"/>
      <c r="AO26" s="1601"/>
      <c r="AP26" s="1601"/>
      <c r="AQ26" s="1601"/>
      <c r="AR26" s="1601"/>
      <c r="AS26" s="1601"/>
      <c r="AT26" s="1601"/>
      <c r="AU26" s="1602"/>
      <c r="AV26" s="1606"/>
      <c r="AW26" s="1607"/>
      <c r="AX26" s="1607"/>
      <c r="AY26" s="1607"/>
      <c r="AZ26" s="1607"/>
      <c r="BA26" s="1607"/>
      <c r="BB26" s="1607"/>
      <c r="BC26" s="1608"/>
      <c r="BD26" s="1537"/>
      <c r="BE26" s="1538"/>
      <c r="BF26" s="1538"/>
      <c r="BG26" s="1538"/>
      <c r="BH26" s="1538"/>
      <c r="BI26" s="1538"/>
      <c r="BJ26" s="1538"/>
      <c r="BK26" s="1538"/>
      <c r="BL26" s="1538"/>
      <c r="BM26" s="1538"/>
      <c r="BN26" s="1538"/>
      <c r="BO26" s="1538"/>
      <c r="BP26" s="1538"/>
      <c r="BQ26" s="1539"/>
      <c r="BR26" s="1537"/>
      <c r="BS26" s="1538"/>
      <c r="BT26" s="1538"/>
      <c r="BU26" s="1538"/>
      <c r="BV26" s="1538"/>
      <c r="BW26" s="1538"/>
      <c r="BX26" s="1538"/>
      <c r="BY26" s="1538"/>
      <c r="BZ26" s="1538"/>
      <c r="CA26" s="1538"/>
      <c r="CB26" s="1538"/>
      <c r="CC26" s="1538"/>
      <c r="CD26" s="1538"/>
      <c r="CE26" s="1539"/>
      <c r="CF26" s="1537"/>
      <c r="CG26" s="1538"/>
      <c r="CH26" s="1538"/>
      <c r="CI26" s="1538"/>
      <c r="CJ26" s="1538"/>
      <c r="CK26" s="1538"/>
      <c r="CL26" s="1538"/>
      <c r="CM26" s="1538"/>
      <c r="CN26" s="1538"/>
      <c r="CO26" s="1538"/>
      <c r="CP26" s="1538"/>
      <c r="CQ26" s="1538"/>
      <c r="CR26" s="1538"/>
      <c r="CS26" s="1538"/>
      <c r="CT26" s="1538"/>
      <c r="CU26" s="1539"/>
      <c r="CV26" s="1537"/>
      <c r="CW26" s="1538"/>
      <c r="CX26" s="1538"/>
      <c r="CY26" s="1538"/>
      <c r="CZ26" s="1538"/>
      <c r="DA26" s="1538"/>
      <c r="DB26" s="1538"/>
      <c r="DC26" s="1538"/>
      <c r="DD26" s="1538"/>
      <c r="DE26" s="1538"/>
      <c r="DF26" s="1538"/>
      <c r="DG26" s="1538"/>
      <c r="DH26" s="1538"/>
      <c r="DI26" s="1538"/>
      <c r="DJ26" s="1538"/>
      <c r="DK26" s="1539"/>
      <c r="DL26" s="1537"/>
      <c r="DM26" s="1538"/>
      <c r="DN26" s="1538"/>
      <c r="DO26" s="1538"/>
      <c r="DP26" s="1538"/>
      <c r="DQ26" s="1538"/>
      <c r="DR26" s="1538"/>
      <c r="DS26" s="1538"/>
      <c r="DT26" s="1538"/>
      <c r="DU26" s="1538"/>
      <c r="DV26" s="1538"/>
      <c r="DW26" s="1538"/>
      <c r="DX26" s="1538"/>
      <c r="DY26" s="1538"/>
      <c r="DZ26" s="1538"/>
      <c r="EA26" s="1539"/>
      <c r="EB26" s="1537"/>
      <c r="EC26" s="1538"/>
      <c r="ED26" s="1538"/>
      <c r="EE26" s="1538"/>
      <c r="EF26" s="1538"/>
      <c r="EG26" s="1538"/>
      <c r="EH26" s="1538"/>
      <c r="EI26" s="1538"/>
      <c r="EJ26" s="1538"/>
      <c r="EK26" s="1538"/>
      <c r="EL26" s="1538"/>
      <c r="EM26" s="1538"/>
      <c r="EN26" s="1538"/>
      <c r="EO26" s="1539"/>
      <c r="EP26" s="1537"/>
      <c r="EQ26" s="1538"/>
      <c r="ER26" s="1538"/>
      <c r="ES26" s="1538"/>
      <c r="ET26" s="1538"/>
      <c r="EU26" s="1538"/>
      <c r="EV26" s="1538"/>
      <c r="EW26" s="1538"/>
      <c r="EX26" s="1538"/>
      <c r="EY26" s="1538"/>
      <c r="EZ26" s="1538"/>
      <c r="FA26" s="1538"/>
      <c r="FB26" s="1538"/>
      <c r="FC26" s="1539"/>
      <c r="FD26" s="1537"/>
      <c r="FE26" s="1538"/>
      <c r="FF26" s="1538"/>
      <c r="FG26" s="1538"/>
      <c r="FH26" s="1538"/>
      <c r="FI26" s="1538"/>
      <c r="FJ26" s="1538"/>
      <c r="FK26" s="1538"/>
      <c r="FL26" s="1538"/>
      <c r="FM26" s="1538"/>
      <c r="FN26" s="1538"/>
      <c r="FO26" s="1538"/>
      <c r="FP26" s="1538"/>
      <c r="FQ26" s="1538"/>
      <c r="FR26" s="1538"/>
      <c r="FS26" s="1539"/>
      <c r="FT26" s="1537"/>
      <c r="FU26" s="1538"/>
      <c r="FV26" s="1538"/>
      <c r="FW26" s="1538"/>
      <c r="FX26" s="1538"/>
      <c r="FY26" s="1538"/>
      <c r="FZ26" s="1538"/>
      <c r="GA26" s="1538"/>
      <c r="GB26" s="1538"/>
      <c r="GC26" s="1538"/>
      <c r="GD26" s="1538"/>
      <c r="GE26" s="1538"/>
      <c r="GF26" s="1538"/>
      <c r="GG26" s="1538"/>
      <c r="GH26" s="1538"/>
      <c r="GI26" s="1539"/>
      <c r="GJ26" s="1537"/>
      <c r="GK26" s="1538"/>
      <c r="GL26" s="1538"/>
      <c r="GM26" s="1538"/>
      <c r="GN26" s="1538"/>
      <c r="GO26" s="1538"/>
      <c r="GP26" s="1538"/>
      <c r="GQ26" s="1538"/>
      <c r="GR26" s="1538"/>
      <c r="GS26" s="1538"/>
      <c r="GT26" s="1538"/>
      <c r="GU26" s="1538"/>
      <c r="GV26" s="1538"/>
      <c r="GW26" s="1538"/>
      <c r="GX26" s="1538"/>
      <c r="GY26" s="1539"/>
      <c r="GZ26" s="1537"/>
      <c r="HA26" s="1538"/>
      <c r="HB26" s="1538"/>
      <c r="HC26" s="1538"/>
      <c r="HD26" s="1538"/>
      <c r="HE26" s="1538"/>
      <c r="HF26" s="1538"/>
      <c r="HG26" s="1538"/>
      <c r="HH26" s="1538"/>
      <c r="HI26" s="1538"/>
      <c r="HJ26" s="1538"/>
      <c r="HK26" s="1538"/>
      <c r="HL26" s="1538"/>
      <c r="HM26" s="1538"/>
      <c r="HN26" s="1538"/>
      <c r="HO26" s="1538"/>
      <c r="HP26" s="1539"/>
      <c r="HW26" s="1043">
        <f t="shared" ref="HW26:HW38" si="0">HU26-HV26</f>
        <v>0</v>
      </c>
    </row>
    <row r="27" spans="1:231" s="449" customFormat="1" ht="10.35" customHeight="1">
      <c r="A27" s="451"/>
      <c r="B27" s="1591" t="s">
        <v>1669</v>
      </c>
      <c r="C27" s="1591"/>
      <c r="D27" s="1591"/>
      <c r="E27" s="1591"/>
      <c r="F27" s="1591"/>
      <c r="G27" s="1591"/>
      <c r="H27" s="1591"/>
      <c r="I27" s="1591"/>
      <c r="J27" s="1591"/>
      <c r="K27" s="1591"/>
      <c r="L27" s="1591"/>
      <c r="M27" s="1591"/>
      <c r="N27" s="1591"/>
      <c r="O27" s="1591"/>
      <c r="P27" s="1591"/>
      <c r="Q27" s="1591"/>
      <c r="R27" s="1591"/>
      <c r="S27" s="1591"/>
      <c r="T27" s="1591"/>
      <c r="U27" s="1591"/>
      <c r="V27" s="1591"/>
      <c r="W27" s="1591"/>
      <c r="X27" s="1591"/>
      <c r="Y27" s="1591"/>
      <c r="Z27" s="1591"/>
      <c r="AA27" s="1591"/>
      <c r="AB27" s="1591"/>
      <c r="AC27" s="1591"/>
      <c r="AD27" s="1591"/>
      <c r="AE27" s="1591"/>
      <c r="AF27" s="1591"/>
      <c r="AG27" s="1591"/>
      <c r="AH27" s="1591"/>
      <c r="AI27" s="1591"/>
      <c r="AJ27" s="1591"/>
      <c r="AK27" s="1592"/>
      <c r="AL27" s="1593" t="s">
        <v>121</v>
      </c>
      <c r="AM27" s="1593"/>
      <c r="AN27" s="1593"/>
      <c r="AO27" s="1593"/>
      <c r="AP27" s="1593"/>
      <c r="AQ27" s="1593"/>
      <c r="AR27" s="1593"/>
      <c r="AS27" s="1593"/>
      <c r="AT27" s="1593"/>
      <c r="AU27" s="1593"/>
      <c r="AV27" s="1594" t="s">
        <v>1670</v>
      </c>
      <c r="AW27" s="1594"/>
      <c r="AX27" s="1594"/>
      <c r="AY27" s="1594"/>
      <c r="AZ27" s="1594"/>
      <c r="BA27" s="1594"/>
      <c r="BB27" s="1594"/>
      <c r="BC27" s="1594"/>
      <c r="BD27" s="1587">
        <f>BD21-BD25</f>
        <v>860308</v>
      </c>
      <c r="BE27" s="1587"/>
      <c r="BF27" s="1587"/>
      <c r="BG27" s="1587"/>
      <c r="BH27" s="1587"/>
      <c r="BI27" s="1587"/>
      <c r="BJ27" s="1587"/>
      <c r="BK27" s="1587"/>
      <c r="BL27" s="1587"/>
      <c r="BM27" s="1587"/>
      <c r="BN27" s="1587"/>
      <c r="BO27" s="1587"/>
      <c r="BP27" s="1587"/>
      <c r="BQ27" s="1587"/>
      <c r="BR27" s="1587">
        <f>BD27</f>
        <v>860308</v>
      </c>
      <c r="BS27" s="1587"/>
      <c r="BT27" s="1587"/>
      <c r="BU27" s="1587"/>
      <c r="BV27" s="1587"/>
      <c r="BW27" s="1587"/>
      <c r="BX27" s="1587"/>
      <c r="BY27" s="1587"/>
      <c r="BZ27" s="1587"/>
      <c r="CA27" s="1587"/>
      <c r="CB27" s="1587"/>
      <c r="CC27" s="1587"/>
      <c r="CD27" s="1587"/>
      <c r="CE27" s="1587"/>
      <c r="CF27" s="1587">
        <f>CF21-CF25</f>
        <v>609468</v>
      </c>
      <c r="CG27" s="1587"/>
      <c r="CH27" s="1587"/>
      <c r="CI27" s="1587"/>
      <c r="CJ27" s="1587"/>
      <c r="CK27" s="1587"/>
      <c r="CL27" s="1587"/>
      <c r="CM27" s="1587"/>
      <c r="CN27" s="1587"/>
      <c r="CO27" s="1587"/>
      <c r="CP27" s="1587"/>
      <c r="CQ27" s="1587"/>
      <c r="CR27" s="1587"/>
      <c r="CS27" s="1587"/>
      <c r="CT27" s="1587"/>
      <c r="CU27" s="1587"/>
      <c r="CV27" s="1587">
        <f>CV21-CV25</f>
        <v>232141</v>
      </c>
      <c r="CW27" s="1587"/>
      <c r="CX27" s="1587"/>
      <c r="CY27" s="1587"/>
      <c r="CZ27" s="1587"/>
      <c r="DA27" s="1587"/>
      <c r="DB27" s="1587"/>
      <c r="DC27" s="1587"/>
      <c r="DD27" s="1587"/>
      <c r="DE27" s="1587"/>
      <c r="DF27" s="1587"/>
      <c r="DG27" s="1587"/>
      <c r="DH27" s="1587"/>
      <c r="DI27" s="1587"/>
      <c r="DJ27" s="1587"/>
      <c r="DK27" s="1587"/>
      <c r="DL27" s="1587">
        <f>DL21-DL25</f>
        <v>18699</v>
      </c>
      <c r="DM27" s="1587"/>
      <c r="DN27" s="1587"/>
      <c r="DO27" s="1587"/>
      <c r="DP27" s="1587"/>
      <c r="DQ27" s="1587"/>
      <c r="DR27" s="1587"/>
      <c r="DS27" s="1587"/>
      <c r="DT27" s="1587"/>
      <c r="DU27" s="1587"/>
      <c r="DV27" s="1587"/>
      <c r="DW27" s="1587"/>
      <c r="DX27" s="1587"/>
      <c r="DY27" s="1587"/>
      <c r="DZ27" s="1587"/>
      <c r="EA27" s="1587"/>
      <c r="EB27" s="1587">
        <v>443591</v>
      </c>
      <c r="EC27" s="1587"/>
      <c r="ED27" s="1587"/>
      <c r="EE27" s="1587"/>
      <c r="EF27" s="1587"/>
      <c r="EG27" s="1587"/>
      <c r="EH27" s="1587"/>
      <c r="EI27" s="1587"/>
      <c r="EJ27" s="1587"/>
      <c r="EK27" s="1587"/>
      <c r="EL27" s="1587"/>
      <c r="EM27" s="1587"/>
      <c r="EN27" s="1587"/>
      <c r="EO27" s="1587"/>
      <c r="EP27" s="1587">
        <v>443591</v>
      </c>
      <c r="EQ27" s="1587"/>
      <c r="ER27" s="1587"/>
      <c r="ES27" s="1587"/>
      <c r="ET27" s="1587"/>
      <c r="EU27" s="1587"/>
      <c r="EV27" s="1587"/>
      <c r="EW27" s="1587"/>
      <c r="EX27" s="1587"/>
      <c r="EY27" s="1587"/>
      <c r="EZ27" s="1587"/>
      <c r="FA27" s="1587"/>
      <c r="FB27" s="1587"/>
      <c r="FC27" s="1587"/>
      <c r="FD27" s="1588">
        <v>233948</v>
      </c>
      <c r="FE27" s="1589"/>
      <c r="FF27" s="1589"/>
      <c r="FG27" s="1589"/>
      <c r="FH27" s="1589"/>
      <c r="FI27" s="1589"/>
      <c r="FJ27" s="1589"/>
      <c r="FK27" s="1589"/>
      <c r="FL27" s="1589"/>
      <c r="FM27" s="1589"/>
      <c r="FN27" s="1589"/>
      <c r="FO27" s="1589"/>
      <c r="FP27" s="1589"/>
      <c r="FQ27" s="1589"/>
      <c r="FR27" s="1589"/>
      <c r="FS27" s="1590"/>
      <c r="FT27" s="1588">
        <v>202333</v>
      </c>
      <c r="FU27" s="1589"/>
      <c r="FV27" s="1589"/>
      <c r="FW27" s="1589"/>
      <c r="FX27" s="1589"/>
      <c r="FY27" s="1589"/>
      <c r="FZ27" s="1589"/>
      <c r="GA27" s="1589"/>
      <c r="GB27" s="1589"/>
      <c r="GC27" s="1589"/>
      <c r="GD27" s="1589"/>
      <c r="GE27" s="1589"/>
      <c r="GF27" s="1589"/>
      <c r="GG27" s="1589"/>
      <c r="GH27" s="1589"/>
      <c r="GI27" s="1590"/>
      <c r="GJ27" s="1588">
        <v>7310</v>
      </c>
      <c r="GK27" s="1589"/>
      <c r="GL27" s="1589"/>
      <c r="GM27" s="1589"/>
      <c r="GN27" s="1589"/>
      <c r="GO27" s="1589"/>
      <c r="GP27" s="1589"/>
      <c r="GQ27" s="1589"/>
      <c r="GR27" s="1589"/>
      <c r="GS27" s="1589"/>
      <c r="GT27" s="1589"/>
      <c r="GU27" s="1589"/>
      <c r="GV27" s="1589"/>
      <c r="GW27" s="1589"/>
      <c r="GX27" s="1589"/>
      <c r="GY27" s="1590"/>
      <c r="GZ27" s="1587"/>
      <c r="HA27" s="1587"/>
      <c r="HB27" s="1587"/>
      <c r="HC27" s="1587"/>
      <c r="HD27" s="1587"/>
      <c r="HE27" s="1587"/>
      <c r="HF27" s="1587"/>
      <c r="HG27" s="1587"/>
      <c r="HH27" s="1587"/>
      <c r="HI27" s="1587"/>
      <c r="HJ27" s="1587"/>
      <c r="HK27" s="1587"/>
      <c r="HL27" s="1587"/>
      <c r="HM27" s="1587"/>
      <c r="HN27" s="1587"/>
      <c r="HO27" s="1587"/>
      <c r="HP27" s="1587"/>
      <c r="HW27" s="1043">
        <f t="shared" si="0"/>
        <v>0</v>
      </c>
    </row>
    <row r="28" spans="1:231" s="449" customFormat="1" ht="10.35" customHeight="1">
      <c r="A28" s="451"/>
      <c r="B28" s="1591" t="s">
        <v>1671</v>
      </c>
      <c r="C28" s="1591"/>
      <c r="D28" s="1591"/>
      <c r="E28" s="1591"/>
      <c r="F28" s="1591"/>
      <c r="G28" s="1591"/>
      <c r="H28" s="1591"/>
      <c r="I28" s="1591"/>
      <c r="J28" s="1591"/>
      <c r="K28" s="1591"/>
      <c r="L28" s="1591"/>
      <c r="M28" s="1591"/>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2"/>
      <c r="AL28" s="1593" t="s">
        <v>121</v>
      </c>
      <c r="AM28" s="1593"/>
      <c r="AN28" s="1593"/>
      <c r="AO28" s="1593"/>
      <c r="AP28" s="1593"/>
      <c r="AQ28" s="1593"/>
      <c r="AR28" s="1593"/>
      <c r="AS28" s="1593"/>
      <c r="AT28" s="1593"/>
      <c r="AU28" s="1593"/>
      <c r="AV28" s="1594" t="s">
        <v>1672</v>
      </c>
      <c r="AW28" s="1594"/>
      <c r="AX28" s="1594"/>
      <c r="AY28" s="1594"/>
      <c r="AZ28" s="1594"/>
      <c r="BA28" s="1594"/>
      <c r="BB28" s="1594"/>
      <c r="BC28" s="1594"/>
      <c r="BD28" s="1587"/>
      <c r="BE28" s="1587"/>
      <c r="BF28" s="1587"/>
      <c r="BG28" s="1587"/>
      <c r="BH28" s="1587"/>
      <c r="BI28" s="1587"/>
      <c r="BJ28" s="1587"/>
      <c r="BK28" s="1587"/>
      <c r="BL28" s="1587"/>
      <c r="BM28" s="1587"/>
      <c r="BN28" s="1587"/>
      <c r="BO28" s="1587"/>
      <c r="BP28" s="1587"/>
      <c r="BQ28" s="1587"/>
      <c r="BR28" s="1587"/>
      <c r="BS28" s="1587"/>
      <c r="BT28" s="1587"/>
      <c r="BU28" s="1587"/>
      <c r="BV28" s="1587"/>
      <c r="BW28" s="1587"/>
      <c r="BX28" s="1587"/>
      <c r="BY28" s="1587"/>
      <c r="BZ28" s="1587"/>
      <c r="CA28" s="1587"/>
      <c r="CB28" s="1587"/>
      <c r="CC28" s="1587"/>
      <c r="CD28" s="1587"/>
      <c r="CE28" s="1587"/>
      <c r="CF28" s="1587"/>
      <c r="CG28" s="1587"/>
      <c r="CH28" s="1587"/>
      <c r="CI28" s="1587"/>
      <c r="CJ28" s="1587"/>
      <c r="CK28" s="1587"/>
      <c r="CL28" s="1587"/>
      <c r="CM28" s="1587"/>
      <c r="CN28" s="1587"/>
      <c r="CO28" s="1587"/>
      <c r="CP28" s="1587"/>
      <c r="CQ28" s="1587"/>
      <c r="CR28" s="1587"/>
      <c r="CS28" s="1587"/>
      <c r="CT28" s="1587"/>
      <c r="CU28" s="1587"/>
      <c r="CV28" s="1587"/>
      <c r="CW28" s="1587"/>
      <c r="CX28" s="1587"/>
      <c r="CY28" s="1587"/>
      <c r="CZ28" s="1587"/>
      <c r="DA28" s="1587"/>
      <c r="DB28" s="1587"/>
      <c r="DC28" s="1587"/>
      <c r="DD28" s="1587"/>
      <c r="DE28" s="1587"/>
      <c r="DF28" s="1587"/>
      <c r="DG28" s="1587"/>
      <c r="DH28" s="1587"/>
      <c r="DI28" s="1587"/>
      <c r="DJ28" s="1587"/>
      <c r="DK28" s="1587"/>
      <c r="DL28" s="1587"/>
      <c r="DM28" s="1587"/>
      <c r="DN28" s="1587"/>
      <c r="DO28" s="1587"/>
      <c r="DP28" s="1587"/>
      <c r="DQ28" s="1587"/>
      <c r="DR28" s="1587"/>
      <c r="DS28" s="1587"/>
      <c r="DT28" s="1587"/>
      <c r="DU28" s="1587"/>
      <c r="DV28" s="1587"/>
      <c r="DW28" s="1587"/>
      <c r="DX28" s="1587"/>
      <c r="DY28" s="1587"/>
      <c r="DZ28" s="1587"/>
      <c r="EA28" s="1587"/>
      <c r="EB28" s="1587"/>
      <c r="EC28" s="1587"/>
      <c r="ED28" s="1587"/>
      <c r="EE28" s="1587"/>
      <c r="EF28" s="1587"/>
      <c r="EG28" s="1587"/>
      <c r="EH28" s="1587"/>
      <c r="EI28" s="1587"/>
      <c r="EJ28" s="1587"/>
      <c r="EK28" s="1587"/>
      <c r="EL28" s="1587"/>
      <c r="EM28" s="1587"/>
      <c r="EN28" s="1587"/>
      <c r="EO28" s="1587"/>
      <c r="EP28" s="1587"/>
      <c r="EQ28" s="1587"/>
      <c r="ER28" s="1587"/>
      <c r="ES28" s="1587"/>
      <c r="ET28" s="1587"/>
      <c r="EU28" s="1587"/>
      <c r="EV28" s="1587"/>
      <c r="EW28" s="1587"/>
      <c r="EX28" s="1587"/>
      <c r="EY28" s="1587"/>
      <c r="EZ28" s="1587"/>
      <c r="FA28" s="1587"/>
      <c r="FB28" s="1587"/>
      <c r="FC28" s="1587"/>
      <c r="FD28" s="1588"/>
      <c r="FE28" s="1589"/>
      <c r="FF28" s="1589"/>
      <c r="FG28" s="1589"/>
      <c r="FH28" s="1589"/>
      <c r="FI28" s="1589"/>
      <c r="FJ28" s="1589"/>
      <c r="FK28" s="1589"/>
      <c r="FL28" s="1589"/>
      <c r="FM28" s="1589"/>
      <c r="FN28" s="1589"/>
      <c r="FO28" s="1589"/>
      <c r="FP28" s="1589"/>
      <c r="FQ28" s="1589"/>
      <c r="FR28" s="1589"/>
      <c r="FS28" s="1590"/>
      <c r="FT28" s="1588"/>
      <c r="FU28" s="1589"/>
      <c r="FV28" s="1589"/>
      <c r="FW28" s="1589"/>
      <c r="FX28" s="1589"/>
      <c r="FY28" s="1589"/>
      <c r="FZ28" s="1589"/>
      <c r="GA28" s="1589"/>
      <c r="GB28" s="1589"/>
      <c r="GC28" s="1589"/>
      <c r="GD28" s="1589"/>
      <c r="GE28" s="1589"/>
      <c r="GF28" s="1589"/>
      <c r="GG28" s="1589"/>
      <c r="GH28" s="1589"/>
      <c r="GI28" s="1590"/>
      <c r="GJ28" s="1588"/>
      <c r="GK28" s="1589"/>
      <c r="GL28" s="1589"/>
      <c r="GM28" s="1589"/>
      <c r="GN28" s="1589"/>
      <c r="GO28" s="1589"/>
      <c r="GP28" s="1589"/>
      <c r="GQ28" s="1589"/>
      <c r="GR28" s="1589"/>
      <c r="GS28" s="1589"/>
      <c r="GT28" s="1589"/>
      <c r="GU28" s="1589"/>
      <c r="GV28" s="1589"/>
      <c r="GW28" s="1589"/>
      <c r="GX28" s="1589"/>
      <c r="GY28" s="1590"/>
      <c r="GZ28" s="1587"/>
      <c r="HA28" s="1587"/>
      <c r="HB28" s="1587"/>
      <c r="HC28" s="1587"/>
      <c r="HD28" s="1587"/>
      <c r="HE28" s="1587"/>
      <c r="HF28" s="1587"/>
      <c r="HG28" s="1587"/>
      <c r="HH28" s="1587"/>
      <c r="HI28" s="1587"/>
      <c r="HJ28" s="1587"/>
      <c r="HK28" s="1587"/>
      <c r="HL28" s="1587"/>
      <c r="HM28" s="1587"/>
      <c r="HN28" s="1587"/>
      <c r="HO28" s="1587"/>
      <c r="HP28" s="1587"/>
      <c r="HW28" s="1043">
        <f t="shared" si="0"/>
        <v>0</v>
      </c>
    </row>
    <row r="29" spans="1:231" s="449" customFormat="1" ht="10.35" customHeight="1">
      <c r="A29" s="451"/>
      <c r="B29" s="1591" t="s">
        <v>1673</v>
      </c>
      <c r="C29" s="1591"/>
      <c r="D29" s="1591"/>
      <c r="E29" s="1591"/>
      <c r="F29" s="1591"/>
      <c r="G29" s="1591"/>
      <c r="H29" s="1591"/>
      <c r="I29" s="1591"/>
      <c r="J29" s="1591"/>
      <c r="K29" s="1591"/>
      <c r="L29" s="1591"/>
      <c r="M29" s="1591"/>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2"/>
      <c r="AL29" s="1593" t="s">
        <v>121</v>
      </c>
      <c r="AM29" s="1593"/>
      <c r="AN29" s="1593"/>
      <c r="AO29" s="1593"/>
      <c r="AP29" s="1593"/>
      <c r="AQ29" s="1593"/>
      <c r="AR29" s="1593"/>
      <c r="AS29" s="1593"/>
      <c r="AT29" s="1593"/>
      <c r="AU29" s="1593"/>
      <c r="AV29" s="1594" t="s">
        <v>1674</v>
      </c>
      <c r="AW29" s="1594"/>
      <c r="AX29" s="1594"/>
      <c r="AY29" s="1594"/>
      <c r="AZ29" s="1594"/>
      <c r="BA29" s="1594"/>
      <c r="BB29" s="1594"/>
      <c r="BC29" s="1594"/>
      <c r="BD29" s="1587"/>
      <c r="BE29" s="1587"/>
      <c r="BF29" s="1587"/>
      <c r="BG29" s="1587"/>
      <c r="BH29" s="1587"/>
      <c r="BI29" s="1587"/>
      <c r="BJ29" s="1587"/>
      <c r="BK29" s="1587"/>
      <c r="BL29" s="1587"/>
      <c r="BM29" s="1587"/>
      <c r="BN29" s="1587"/>
      <c r="BO29" s="1587"/>
      <c r="BP29" s="1587"/>
      <c r="BQ29" s="1587"/>
      <c r="BR29" s="1587"/>
      <c r="BS29" s="1587"/>
      <c r="BT29" s="1587"/>
      <c r="BU29" s="1587"/>
      <c r="BV29" s="1587"/>
      <c r="BW29" s="1587"/>
      <c r="BX29" s="1587"/>
      <c r="BY29" s="1587"/>
      <c r="BZ29" s="1587"/>
      <c r="CA29" s="1587"/>
      <c r="CB29" s="1587"/>
      <c r="CC29" s="1587"/>
      <c r="CD29" s="1587"/>
      <c r="CE29" s="1587"/>
      <c r="CF29" s="1587"/>
      <c r="CG29" s="1587"/>
      <c r="CH29" s="1587"/>
      <c r="CI29" s="1587"/>
      <c r="CJ29" s="1587"/>
      <c r="CK29" s="1587"/>
      <c r="CL29" s="1587"/>
      <c r="CM29" s="1587"/>
      <c r="CN29" s="1587"/>
      <c r="CO29" s="1587"/>
      <c r="CP29" s="1587"/>
      <c r="CQ29" s="1587"/>
      <c r="CR29" s="1587"/>
      <c r="CS29" s="1587"/>
      <c r="CT29" s="1587"/>
      <c r="CU29" s="1587"/>
      <c r="CV29" s="1587"/>
      <c r="CW29" s="1587"/>
      <c r="CX29" s="1587"/>
      <c r="CY29" s="1587"/>
      <c r="CZ29" s="1587"/>
      <c r="DA29" s="1587"/>
      <c r="DB29" s="1587"/>
      <c r="DC29" s="1587"/>
      <c r="DD29" s="1587"/>
      <c r="DE29" s="1587"/>
      <c r="DF29" s="1587"/>
      <c r="DG29" s="1587"/>
      <c r="DH29" s="1587"/>
      <c r="DI29" s="1587"/>
      <c r="DJ29" s="1587"/>
      <c r="DK29" s="1587"/>
      <c r="DL29" s="1587"/>
      <c r="DM29" s="1587"/>
      <c r="DN29" s="1587"/>
      <c r="DO29" s="1587"/>
      <c r="DP29" s="1587"/>
      <c r="DQ29" s="1587"/>
      <c r="DR29" s="1587"/>
      <c r="DS29" s="1587"/>
      <c r="DT29" s="1587"/>
      <c r="DU29" s="1587"/>
      <c r="DV29" s="1587"/>
      <c r="DW29" s="1587"/>
      <c r="DX29" s="1587"/>
      <c r="DY29" s="1587"/>
      <c r="DZ29" s="1587"/>
      <c r="EA29" s="1587"/>
      <c r="EB29" s="1587"/>
      <c r="EC29" s="1587"/>
      <c r="ED29" s="1587"/>
      <c r="EE29" s="1587"/>
      <c r="EF29" s="1587"/>
      <c r="EG29" s="1587"/>
      <c r="EH29" s="1587"/>
      <c r="EI29" s="1587"/>
      <c r="EJ29" s="1587"/>
      <c r="EK29" s="1587"/>
      <c r="EL29" s="1587"/>
      <c r="EM29" s="1587"/>
      <c r="EN29" s="1587"/>
      <c r="EO29" s="1587"/>
      <c r="EP29" s="1587"/>
      <c r="EQ29" s="1587"/>
      <c r="ER29" s="1587"/>
      <c r="ES29" s="1587"/>
      <c r="ET29" s="1587"/>
      <c r="EU29" s="1587"/>
      <c r="EV29" s="1587"/>
      <c r="EW29" s="1587"/>
      <c r="EX29" s="1587"/>
      <c r="EY29" s="1587"/>
      <c r="EZ29" s="1587"/>
      <c r="FA29" s="1587"/>
      <c r="FB29" s="1587"/>
      <c r="FC29" s="1587"/>
      <c r="FD29" s="1588"/>
      <c r="FE29" s="1589"/>
      <c r="FF29" s="1589"/>
      <c r="FG29" s="1589"/>
      <c r="FH29" s="1589"/>
      <c r="FI29" s="1589"/>
      <c r="FJ29" s="1589"/>
      <c r="FK29" s="1589"/>
      <c r="FL29" s="1589"/>
      <c r="FM29" s="1589"/>
      <c r="FN29" s="1589"/>
      <c r="FO29" s="1589"/>
      <c r="FP29" s="1589"/>
      <c r="FQ29" s="1589"/>
      <c r="FR29" s="1589"/>
      <c r="FS29" s="1590"/>
      <c r="FT29" s="1588"/>
      <c r="FU29" s="1589"/>
      <c r="FV29" s="1589"/>
      <c r="FW29" s="1589"/>
      <c r="FX29" s="1589"/>
      <c r="FY29" s="1589"/>
      <c r="FZ29" s="1589"/>
      <c r="GA29" s="1589"/>
      <c r="GB29" s="1589"/>
      <c r="GC29" s="1589"/>
      <c r="GD29" s="1589"/>
      <c r="GE29" s="1589"/>
      <c r="GF29" s="1589"/>
      <c r="GG29" s="1589"/>
      <c r="GH29" s="1589"/>
      <c r="GI29" s="1590"/>
      <c r="GJ29" s="1588"/>
      <c r="GK29" s="1589"/>
      <c r="GL29" s="1589"/>
      <c r="GM29" s="1589"/>
      <c r="GN29" s="1589"/>
      <c r="GO29" s="1589"/>
      <c r="GP29" s="1589"/>
      <c r="GQ29" s="1589"/>
      <c r="GR29" s="1589"/>
      <c r="GS29" s="1589"/>
      <c r="GT29" s="1589"/>
      <c r="GU29" s="1589"/>
      <c r="GV29" s="1589"/>
      <c r="GW29" s="1589"/>
      <c r="GX29" s="1589"/>
      <c r="GY29" s="1590"/>
      <c r="GZ29" s="1587"/>
      <c r="HA29" s="1587"/>
      <c r="HB29" s="1587"/>
      <c r="HC29" s="1587"/>
      <c r="HD29" s="1587"/>
      <c r="HE29" s="1587"/>
      <c r="HF29" s="1587"/>
      <c r="HG29" s="1587"/>
      <c r="HH29" s="1587"/>
      <c r="HI29" s="1587"/>
      <c r="HJ29" s="1587"/>
      <c r="HK29" s="1587"/>
      <c r="HL29" s="1587"/>
      <c r="HM29" s="1587"/>
      <c r="HN29" s="1587"/>
      <c r="HO29" s="1587"/>
      <c r="HP29" s="1587"/>
      <c r="HW29" s="1043">
        <f t="shared" si="0"/>
        <v>0</v>
      </c>
    </row>
    <row r="30" spans="1:231" s="449" customFormat="1" ht="10.35" customHeight="1">
      <c r="A30" s="451"/>
      <c r="B30" s="1591" t="s">
        <v>9</v>
      </c>
      <c r="C30" s="1591"/>
      <c r="D30" s="1591"/>
      <c r="E30" s="1591"/>
      <c r="F30" s="1591"/>
      <c r="G30" s="1591"/>
      <c r="H30" s="1591"/>
      <c r="I30" s="1591"/>
      <c r="J30" s="1591"/>
      <c r="K30" s="1591"/>
      <c r="L30" s="1591"/>
      <c r="M30" s="1591"/>
      <c r="N30" s="1591"/>
      <c r="O30" s="1591"/>
      <c r="P30" s="1591"/>
      <c r="Q30" s="1591"/>
      <c r="R30" s="1591"/>
      <c r="S30" s="1591"/>
      <c r="T30" s="1591"/>
      <c r="U30" s="1591"/>
      <c r="V30" s="1591"/>
      <c r="W30" s="1591"/>
      <c r="X30" s="1591"/>
      <c r="Y30" s="1591"/>
      <c r="Z30" s="1591"/>
      <c r="AA30" s="1591"/>
      <c r="AB30" s="1591"/>
      <c r="AC30" s="1591"/>
      <c r="AD30" s="1591"/>
      <c r="AE30" s="1591"/>
      <c r="AF30" s="1591"/>
      <c r="AG30" s="1591"/>
      <c r="AH30" s="1591"/>
      <c r="AI30" s="1591"/>
      <c r="AJ30" s="1591"/>
      <c r="AK30" s="1592"/>
      <c r="AL30" s="1593" t="s">
        <v>121</v>
      </c>
      <c r="AM30" s="1593"/>
      <c r="AN30" s="1593"/>
      <c r="AO30" s="1593"/>
      <c r="AP30" s="1593"/>
      <c r="AQ30" s="1593"/>
      <c r="AR30" s="1593"/>
      <c r="AS30" s="1593"/>
      <c r="AT30" s="1593"/>
      <c r="AU30" s="1593"/>
      <c r="AV30" s="1594" t="s">
        <v>1675</v>
      </c>
      <c r="AW30" s="1594"/>
      <c r="AX30" s="1594"/>
      <c r="AY30" s="1594"/>
      <c r="AZ30" s="1594"/>
      <c r="BA30" s="1594"/>
      <c r="BB30" s="1594"/>
      <c r="BC30" s="1594"/>
      <c r="BD30" s="1587">
        <f>BD27</f>
        <v>860308</v>
      </c>
      <c r="BE30" s="1587"/>
      <c r="BF30" s="1587"/>
      <c r="BG30" s="1587"/>
      <c r="BH30" s="1587"/>
      <c r="BI30" s="1587"/>
      <c r="BJ30" s="1587"/>
      <c r="BK30" s="1587"/>
      <c r="BL30" s="1587"/>
      <c r="BM30" s="1587"/>
      <c r="BN30" s="1587"/>
      <c r="BO30" s="1587"/>
      <c r="BP30" s="1587"/>
      <c r="BQ30" s="1587"/>
      <c r="BR30" s="1587">
        <f t="shared" ref="BR30:BR36" si="1">BD30</f>
        <v>860308</v>
      </c>
      <c r="BS30" s="1587"/>
      <c r="BT30" s="1587"/>
      <c r="BU30" s="1587"/>
      <c r="BV30" s="1587"/>
      <c r="BW30" s="1587"/>
      <c r="BX30" s="1587"/>
      <c r="BY30" s="1587"/>
      <c r="BZ30" s="1587"/>
      <c r="CA30" s="1587"/>
      <c r="CB30" s="1587"/>
      <c r="CC30" s="1587"/>
      <c r="CD30" s="1587"/>
      <c r="CE30" s="1587"/>
      <c r="CF30" s="1587">
        <f>CF27</f>
        <v>609468</v>
      </c>
      <c r="CG30" s="1587"/>
      <c r="CH30" s="1587"/>
      <c r="CI30" s="1587"/>
      <c r="CJ30" s="1587"/>
      <c r="CK30" s="1587"/>
      <c r="CL30" s="1587"/>
      <c r="CM30" s="1587"/>
      <c r="CN30" s="1587"/>
      <c r="CO30" s="1587"/>
      <c r="CP30" s="1587"/>
      <c r="CQ30" s="1587"/>
      <c r="CR30" s="1587"/>
      <c r="CS30" s="1587"/>
      <c r="CT30" s="1587"/>
      <c r="CU30" s="1587"/>
      <c r="CV30" s="1587">
        <f>CV27</f>
        <v>232141</v>
      </c>
      <c r="CW30" s="1587"/>
      <c r="CX30" s="1587"/>
      <c r="CY30" s="1587"/>
      <c r="CZ30" s="1587"/>
      <c r="DA30" s="1587"/>
      <c r="DB30" s="1587"/>
      <c r="DC30" s="1587"/>
      <c r="DD30" s="1587"/>
      <c r="DE30" s="1587"/>
      <c r="DF30" s="1587"/>
      <c r="DG30" s="1587"/>
      <c r="DH30" s="1587"/>
      <c r="DI30" s="1587"/>
      <c r="DJ30" s="1587"/>
      <c r="DK30" s="1587"/>
      <c r="DL30" s="1587">
        <f>DL27</f>
        <v>18699</v>
      </c>
      <c r="DM30" s="1587"/>
      <c r="DN30" s="1587"/>
      <c r="DO30" s="1587"/>
      <c r="DP30" s="1587"/>
      <c r="DQ30" s="1587"/>
      <c r="DR30" s="1587"/>
      <c r="DS30" s="1587"/>
      <c r="DT30" s="1587"/>
      <c r="DU30" s="1587"/>
      <c r="DV30" s="1587"/>
      <c r="DW30" s="1587"/>
      <c r="DX30" s="1587"/>
      <c r="DY30" s="1587"/>
      <c r="DZ30" s="1587"/>
      <c r="EA30" s="1587"/>
      <c r="EB30" s="1587">
        <v>443591</v>
      </c>
      <c r="EC30" s="1587"/>
      <c r="ED30" s="1587"/>
      <c r="EE30" s="1587"/>
      <c r="EF30" s="1587"/>
      <c r="EG30" s="1587"/>
      <c r="EH30" s="1587"/>
      <c r="EI30" s="1587"/>
      <c r="EJ30" s="1587"/>
      <c r="EK30" s="1587"/>
      <c r="EL30" s="1587"/>
      <c r="EM30" s="1587"/>
      <c r="EN30" s="1587"/>
      <c r="EO30" s="1587"/>
      <c r="EP30" s="1588">
        <v>443591</v>
      </c>
      <c r="EQ30" s="1589"/>
      <c r="ER30" s="1589"/>
      <c r="ES30" s="1589"/>
      <c r="ET30" s="1589"/>
      <c r="EU30" s="1589"/>
      <c r="EV30" s="1589"/>
      <c r="EW30" s="1589"/>
      <c r="EX30" s="1589"/>
      <c r="EY30" s="1589"/>
      <c r="EZ30" s="1589"/>
      <c r="FA30" s="1589"/>
      <c r="FB30" s="1589"/>
      <c r="FC30" s="1590"/>
      <c r="FD30" s="1588">
        <v>233948</v>
      </c>
      <c r="FE30" s="1589"/>
      <c r="FF30" s="1589"/>
      <c r="FG30" s="1589"/>
      <c r="FH30" s="1589"/>
      <c r="FI30" s="1589"/>
      <c r="FJ30" s="1589"/>
      <c r="FK30" s="1589"/>
      <c r="FL30" s="1589"/>
      <c r="FM30" s="1589"/>
      <c r="FN30" s="1589"/>
      <c r="FO30" s="1589"/>
      <c r="FP30" s="1589"/>
      <c r="FQ30" s="1589"/>
      <c r="FR30" s="1589"/>
      <c r="FS30" s="1590"/>
      <c r="FT30" s="1588">
        <v>202333</v>
      </c>
      <c r="FU30" s="1589"/>
      <c r="FV30" s="1589"/>
      <c r="FW30" s="1589"/>
      <c r="FX30" s="1589"/>
      <c r="FY30" s="1589"/>
      <c r="FZ30" s="1589"/>
      <c r="GA30" s="1589"/>
      <c r="GB30" s="1589"/>
      <c r="GC30" s="1589"/>
      <c r="GD30" s="1589"/>
      <c r="GE30" s="1589"/>
      <c r="GF30" s="1589"/>
      <c r="GG30" s="1589"/>
      <c r="GH30" s="1589"/>
      <c r="GI30" s="1590"/>
      <c r="GJ30" s="1588">
        <v>7310</v>
      </c>
      <c r="GK30" s="1589"/>
      <c r="GL30" s="1589"/>
      <c r="GM30" s="1589"/>
      <c r="GN30" s="1589"/>
      <c r="GO30" s="1589"/>
      <c r="GP30" s="1589"/>
      <c r="GQ30" s="1589"/>
      <c r="GR30" s="1589"/>
      <c r="GS30" s="1589"/>
      <c r="GT30" s="1589"/>
      <c r="GU30" s="1589"/>
      <c r="GV30" s="1589"/>
      <c r="GW30" s="1589"/>
      <c r="GX30" s="1589"/>
      <c r="GY30" s="1590"/>
      <c r="GZ30" s="1587"/>
      <c r="HA30" s="1587"/>
      <c r="HB30" s="1587"/>
      <c r="HC30" s="1587"/>
      <c r="HD30" s="1587"/>
      <c r="HE30" s="1587"/>
      <c r="HF30" s="1587"/>
      <c r="HG30" s="1587"/>
      <c r="HH30" s="1587"/>
      <c r="HI30" s="1587"/>
      <c r="HJ30" s="1587"/>
      <c r="HK30" s="1587"/>
      <c r="HL30" s="1587"/>
      <c r="HM30" s="1587"/>
      <c r="HN30" s="1587"/>
      <c r="HO30" s="1587"/>
      <c r="HP30" s="1587"/>
      <c r="HW30" s="1043">
        <f t="shared" si="0"/>
        <v>0</v>
      </c>
    </row>
    <row r="31" spans="1:231" s="449" customFormat="1" ht="10.35" customHeight="1">
      <c r="A31" s="451"/>
      <c r="B31" s="1591" t="s">
        <v>1676</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2"/>
      <c r="AL31" s="1593" t="s">
        <v>121</v>
      </c>
      <c r="AM31" s="1593"/>
      <c r="AN31" s="1593"/>
      <c r="AO31" s="1593"/>
      <c r="AP31" s="1593"/>
      <c r="AQ31" s="1593"/>
      <c r="AR31" s="1593"/>
      <c r="AS31" s="1593"/>
      <c r="AT31" s="1593"/>
      <c r="AU31" s="1593"/>
      <c r="AV31" s="1594" t="s">
        <v>1677</v>
      </c>
      <c r="AW31" s="1594"/>
      <c r="AX31" s="1594"/>
      <c r="AY31" s="1594"/>
      <c r="AZ31" s="1594"/>
      <c r="BA31" s="1594"/>
      <c r="BB31" s="1594"/>
      <c r="BC31" s="1594"/>
      <c r="BD31" s="1587">
        <f>CF31+CV31+DL31</f>
        <v>0</v>
      </c>
      <c r="BE31" s="1587"/>
      <c r="BF31" s="1587"/>
      <c r="BG31" s="1587"/>
      <c r="BH31" s="1587"/>
      <c r="BI31" s="1587"/>
      <c r="BJ31" s="1587"/>
      <c r="BK31" s="1587"/>
      <c r="BL31" s="1587"/>
      <c r="BM31" s="1587"/>
      <c r="BN31" s="1587"/>
      <c r="BO31" s="1587"/>
      <c r="BP31" s="1587"/>
      <c r="BQ31" s="1587"/>
      <c r="BR31" s="1587">
        <f>BD31</f>
        <v>0</v>
      </c>
      <c r="BS31" s="1587"/>
      <c r="BT31" s="1587"/>
      <c r="BU31" s="1587"/>
      <c r="BV31" s="1587"/>
      <c r="BW31" s="1587"/>
      <c r="BX31" s="1587"/>
      <c r="BY31" s="1587"/>
      <c r="BZ31" s="1587"/>
      <c r="CA31" s="1587"/>
      <c r="CB31" s="1587"/>
      <c r="CC31" s="1587"/>
      <c r="CD31" s="1587"/>
      <c r="CE31" s="1587"/>
      <c r="CF31" s="1587"/>
      <c r="CG31" s="1587"/>
      <c r="CH31" s="1587"/>
      <c r="CI31" s="1587"/>
      <c r="CJ31" s="1587"/>
      <c r="CK31" s="1587"/>
      <c r="CL31" s="1587"/>
      <c r="CM31" s="1587"/>
      <c r="CN31" s="1587"/>
      <c r="CO31" s="1587"/>
      <c r="CP31" s="1587"/>
      <c r="CQ31" s="1587"/>
      <c r="CR31" s="1587"/>
      <c r="CS31" s="1587"/>
      <c r="CT31" s="1587"/>
      <c r="CU31" s="1587"/>
      <c r="CV31" s="1587"/>
      <c r="CW31" s="1587"/>
      <c r="CX31" s="1587"/>
      <c r="CY31" s="1587"/>
      <c r="CZ31" s="1587"/>
      <c r="DA31" s="1587"/>
      <c r="DB31" s="1587"/>
      <c r="DC31" s="1587"/>
      <c r="DD31" s="1587"/>
      <c r="DE31" s="1587"/>
      <c r="DF31" s="1587"/>
      <c r="DG31" s="1587"/>
      <c r="DH31" s="1587"/>
      <c r="DI31" s="1587"/>
      <c r="DJ31" s="1587"/>
      <c r="DK31" s="1587"/>
      <c r="DL31" s="1587">
        <v>0</v>
      </c>
      <c r="DM31" s="1587"/>
      <c r="DN31" s="1587"/>
      <c r="DO31" s="1587"/>
      <c r="DP31" s="1587"/>
      <c r="DQ31" s="1587"/>
      <c r="DR31" s="1587"/>
      <c r="DS31" s="1587"/>
      <c r="DT31" s="1587"/>
      <c r="DU31" s="1587"/>
      <c r="DV31" s="1587"/>
      <c r="DW31" s="1587"/>
      <c r="DX31" s="1587"/>
      <c r="DY31" s="1587"/>
      <c r="DZ31" s="1587"/>
      <c r="EA31" s="1587"/>
      <c r="EB31" s="1587">
        <v>48</v>
      </c>
      <c r="EC31" s="1587"/>
      <c r="ED31" s="1587"/>
      <c r="EE31" s="1587"/>
      <c r="EF31" s="1587"/>
      <c r="EG31" s="1587"/>
      <c r="EH31" s="1587"/>
      <c r="EI31" s="1587"/>
      <c r="EJ31" s="1587"/>
      <c r="EK31" s="1587"/>
      <c r="EL31" s="1587"/>
      <c r="EM31" s="1587"/>
      <c r="EN31" s="1587"/>
      <c r="EO31" s="1587"/>
      <c r="EP31" s="1588">
        <v>48</v>
      </c>
      <c r="EQ31" s="1589"/>
      <c r="ER31" s="1589"/>
      <c r="ES31" s="1589"/>
      <c r="ET31" s="1589"/>
      <c r="EU31" s="1589"/>
      <c r="EV31" s="1589"/>
      <c r="EW31" s="1589"/>
      <c r="EX31" s="1589"/>
      <c r="EY31" s="1589"/>
      <c r="EZ31" s="1589"/>
      <c r="FA31" s="1589"/>
      <c r="FB31" s="1589"/>
      <c r="FC31" s="1590"/>
      <c r="FD31" s="1588">
        <v>0</v>
      </c>
      <c r="FE31" s="1589"/>
      <c r="FF31" s="1589"/>
      <c r="FG31" s="1589"/>
      <c r="FH31" s="1589"/>
      <c r="FI31" s="1589"/>
      <c r="FJ31" s="1589"/>
      <c r="FK31" s="1589"/>
      <c r="FL31" s="1589"/>
      <c r="FM31" s="1589"/>
      <c r="FN31" s="1589"/>
      <c r="FO31" s="1589"/>
      <c r="FP31" s="1589"/>
      <c r="FQ31" s="1589"/>
      <c r="FR31" s="1589"/>
      <c r="FS31" s="1590"/>
      <c r="FT31" s="1588">
        <v>0</v>
      </c>
      <c r="FU31" s="1589"/>
      <c r="FV31" s="1589"/>
      <c r="FW31" s="1589"/>
      <c r="FX31" s="1589"/>
      <c r="FY31" s="1589"/>
      <c r="FZ31" s="1589"/>
      <c r="GA31" s="1589"/>
      <c r="GB31" s="1589"/>
      <c r="GC31" s="1589"/>
      <c r="GD31" s="1589"/>
      <c r="GE31" s="1589"/>
      <c r="GF31" s="1589"/>
      <c r="GG31" s="1589"/>
      <c r="GH31" s="1589"/>
      <c r="GI31" s="1590"/>
      <c r="GJ31" s="1588">
        <v>48</v>
      </c>
      <c r="GK31" s="1589"/>
      <c r="GL31" s="1589"/>
      <c r="GM31" s="1589"/>
      <c r="GN31" s="1589"/>
      <c r="GO31" s="1589"/>
      <c r="GP31" s="1589"/>
      <c r="GQ31" s="1589"/>
      <c r="GR31" s="1589"/>
      <c r="GS31" s="1589"/>
      <c r="GT31" s="1589"/>
      <c r="GU31" s="1589"/>
      <c r="GV31" s="1589"/>
      <c r="GW31" s="1589"/>
      <c r="GX31" s="1589"/>
      <c r="GY31" s="1590"/>
      <c r="GZ31" s="1587"/>
      <c r="HA31" s="1587"/>
      <c r="HB31" s="1587"/>
      <c r="HC31" s="1587"/>
      <c r="HD31" s="1587"/>
      <c r="HE31" s="1587"/>
      <c r="HF31" s="1587"/>
      <c r="HG31" s="1587"/>
      <c r="HH31" s="1587"/>
      <c r="HI31" s="1587"/>
      <c r="HJ31" s="1587"/>
      <c r="HK31" s="1587"/>
      <c r="HL31" s="1587"/>
      <c r="HM31" s="1587"/>
      <c r="HN31" s="1587"/>
      <c r="HO31" s="1587"/>
      <c r="HP31" s="1587"/>
      <c r="HW31" s="1043">
        <f t="shared" si="0"/>
        <v>0</v>
      </c>
    </row>
    <row r="32" spans="1:231" s="449" customFormat="1" ht="10.35" customHeight="1">
      <c r="A32" s="451"/>
      <c r="B32" s="1591" t="s">
        <v>1678</v>
      </c>
      <c r="C32" s="1591"/>
      <c r="D32" s="1591"/>
      <c r="E32" s="1591"/>
      <c r="F32" s="1591"/>
      <c r="G32" s="1591"/>
      <c r="H32" s="1591"/>
      <c r="I32" s="1591"/>
      <c r="J32" s="1591"/>
      <c r="K32" s="1591"/>
      <c r="L32" s="1591"/>
      <c r="M32" s="1591"/>
      <c r="N32" s="1591"/>
      <c r="O32" s="1591"/>
      <c r="P32" s="1591"/>
      <c r="Q32" s="1591"/>
      <c r="R32" s="1591"/>
      <c r="S32" s="1591"/>
      <c r="T32" s="1591"/>
      <c r="U32" s="1591"/>
      <c r="V32" s="1591"/>
      <c r="W32" s="1591"/>
      <c r="X32" s="1591"/>
      <c r="Y32" s="1591"/>
      <c r="Z32" s="1591"/>
      <c r="AA32" s="1591"/>
      <c r="AB32" s="1591"/>
      <c r="AC32" s="1591"/>
      <c r="AD32" s="1591"/>
      <c r="AE32" s="1591"/>
      <c r="AF32" s="1591"/>
      <c r="AG32" s="1591"/>
      <c r="AH32" s="1591"/>
      <c r="AI32" s="1591"/>
      <c r="AJ32" s="1591"/>
      <c r="AK32" s="1592"/>
      <c r="AL32" s="1593" t="s">
        <v>121</v>
      </c>
      <c r="AM32" s="1593"/>
      <c r="AN32" s="1593"/>
      <c r="AO32" s="1593"/>
      <c r="AP32" s="1593"/>
      <c r="AQ32" s="1593"/>
      <c r="AR32" s="1593"/>
      <c r="AS32" s="1593"/>
      <c r="AT32" s="1593"/>
      <c r="AU32" s="1593"/>
      <c r="AV32" s="1594" t="s">
        <v>1679</v>
      </c>
      <c r="AW32" s="1594"/>
      <c r="AX32" s="1594"/>
      <c r="AY32" s="1594"/>
      <c r="AZ32" s="1594"/>
      <c r="BA32" s="1594"/>
      <c r="BB32" s="1594"/>
      <c r="BC32" s="1594"/>
      <c r="BD32" s="1587">
        <f>DL32</f>
        <v>13968</v>
      </c>
      <c r="BE32" s="1587"/>
      <c r="BF32" s="1587"/>
      <c r="BG32" s="1587"/>
      <c r="BH32" s="1587"/>
      <c r="BI32" s="1587"/>
      <c r="BJ32" s="1587"/>
      <c r="BK32" s="1587"/>
      <c r="BL32" s="1587"/>
      <c r="BM32" s="1587"/>
      <c r="BN32" s="1587"/>
      <c r="BO32" s="1587"/>
      <c r="BP32" s="1587"/>
      <c r="BQ32" s="1587"/>
      <c r="BR32" s="1587">
        <f t="shared" si="1"/>
        <v>13968</v>
      </c>
      <c r="BS32" s="1587"/>
      <c r="BT32" s="1587"/>
      <c r="BU32" s="1587"/>
      <c r="BV32" s="1587"/>
      <c r="BW32" s="1587"/>
      <c r="BX32" s="1587"/>
      <c r="BY32" s="1587"/>
      <c r="BZ32" s="1587"/>
      <c r="CA32" s="1587"/>
      <c r="CB32" s="1587"/>
      <c r="CC32" s="1587"/>
      <c r="CD32" s="1587"/>
      <c r="CE32" s="1587"/>
      <c r="CF32" s="1587"/>
      <c r="CG32" s="1587"/>
      <c r="CH32" s="1587"/>
      <c r="CI32" s="1587"/>
      <c r="CJ32" s="1587"/>
      <c r="CK32" s="1587"/>
      <c r="CL32" s="1587"/>
      <c r="CM32" s="1587"/>
      <c r="CN32" s="1587"/>
      <c r="CO32" s="1587"/>
      <c r="CP32" s="1587"/>
      <c r="CQ32" s="1587"/>
      <c r="CR32" s="1587"/>
      <c r="CS32" s="1587"/>
      <c r="CT32" s="1587"/>
      <c r="CU32" s="1587"/>
      <c r="CV32" s="1587"/>
      <c r="CW32" s="1587"/>
      <c r="CX32" s="1587"/>
      <c r="CY32" s="1587"/>
      <c r="CZ32" s="1587"/>
      <c r="DA32" s="1587"/>
      <c r="DB32" s="1587"/>
      <c r="DC32" s="1587"/>
      <c r="DD32" s="1587"/>
      <c r="DE32" s="1587"/>
      <c r="DF32" s="1587"/>
      <c r="DG32" s="1587"/>
      <c r="DH32" s="1587"/>
      <c r="DI32" s="1587"/>
      <c r="DJ32" s="1587"/>
      <c r="DK32" s="1587"/>
      <c r="DL32" s="1587">
        <v>13968</v>
      </c>
      <c r="DM32" s="1587"/>
      <c r="DN32" s="1587"/>
      <c r="DO32" s="1587"/>
      <c r="DP32" s="1587"/>
      <c r="DQ32" s="1587"/>
      <c r="DR32" s="1587"/>
      <c r="DS32" s="1587"/>
      <c r="DT32" s="1587"/>
      <c r="DU32" s="1587"/>
      <c r="DV32" s="1587"/>
      <c r="DW32" s="1587"/>
      <c r="DX32" s="1587"/>
      <c r="DY32" s="1587"/>
      <c r="DZ32" s="1587"/>
      <c r="EA32" s="1587"/>
      <c r="EB32" s="1587">
        <v>3782</v>
      </c>
      <c r="EC32" s="1587"/>
      <c r="ED32" s="1587"/>
      <c r="EE32" s="1587"/>
      <c r="EF32" s="1587"/>
      <c r="EG32" s="1587"/>
      <c r="EH32" s="1587"/>
      <c r="EI32" s="1587"/>
      <c r="EJ32" s="1587"/>
      <c r="EK32" s="1587"/>
      <c r="EL32" s="1587"/>
      <c r="EM32" s="1587"/>
      <c r="EN32" s="1587"/>
      <c r="EO32" s="1587"/>
      <c r="EP32" s="1588">
        <v>3782</v>
      </c>
      <c r="EQ32" s="1589"/>
      <c r="ER32" s="1589"/>
      <c r="ES32" s="1589"/>
      <c r="ET32" s="1589"/>
      <c r="EU32" s="1589"/>
      <c r="EV32" s="1589"/>
      <c r="EW32" s="1589"/>
      <c r="EX32" s="1589"/>
      <c r="EY32" s="1589"/>
      <c r="EZ32" s="1589"/>
      <c r="FA32" s="1589"/>
      <c r="FB32" s="1589"/>
      <c r="FC32" s="1590"/>
      <c r="FD32" s="1588">
        <v>0</v>
      </c>
      <c r="FE32" s="1589"/>
      <c r="FF32" s="1589"/>
      <c r="FG32" s="1589"/>
      <c r="FH32" s="1589"/>
      <c r="FI32" s="1589"/>
      <c r="FJ32" s="1589"/>
      <c r="FK32" s="1589"/>
      <c r="FL32" s="1589"/>
      <c r="FM32" s="1589"/>
      <c r="FN32" s="1589"/>
      <c r="FO32" s="1589"/>
      <c r="FP32" s="1589"/>
      <c r="FQ32" s="1589"/>
      <c r="FR32" s="1589"/>
      <c r="FS32" s="1590"/>
      <c r="FT32" s="1588">
        <v>0</v>
      </c>
      <c r="FU32" s="1589"/>
      <c r="FV32" s="1589"/>
      <c r="FW32" s="1589"/>
      <c r="FX32" s="1589"/>
      <c r="FY32" s="1589"/>
      <c r="FZ32" s="1589"/>
      <c r="GA32" s="1589"/>
      <c r="GB32" s="1589"/>
      <c r="GC32" s="1589"/>
      <c r="GD32" s="1589"/>
      <c r="GE32" s="1589"/>
      <c r="GF32" s="1589"/>
      <c r="GG32" s="1589"/>
      <c r="GH32" s="1589"/>
      <c r="GI32" s="1590"/>
      <c r="GJ32" s="1588">
        <v>3782</v>
      </c>
      <c r="GK32" s="1589"/>
      <c r="GL32" s="1589"/>
      <c r="GM32" s="1589"/>
      <c r="GN32" s="1589"/>
      <c r="GO32" s="1589"/>
      <c r="GP32" s="1589"/>
      <c r="GQ32" s="1589"/>
      <c r="GR32" s="1589"/>
      <c r="GS32" s="1589"/>
      <c r="GT32" s="1589"/>
      <c r="GU32" s="1589"/>
      <c r="GV32" s="1589"/>
      <c r="GW32" s="1589"/>
      <c r="GX32" s="1589"/>
      <c r="GY32" s="1590"/>
      <c r="GZ32" s="1587"/>
      <c r="HA32" s="1587"/>
      <c r="HB32" s="1587"/>
      <c r="HC32" s="1587"/>
      <c r="HD32" s="1587"/>
      <c r="HE32" s="1587"/>
      <c r="HF32" s="1587"/>
      <c r="HG32" s="1587"/>
      <c r="HH32" s="1587"/>
      <c r="HI32" s="1587"/>
      <c r="HJ32" s="1587"/>
      <c r="HK32" s="1587"/>
      <c r="HL32" s="1587"/>
      <c r="HM32" s="1587"/>
      <c r="HN32" s="1587"/>
      <c r="HO32" s="1587"/>
      <c r="HP32" s="1587"/>
      <c r="HU32" s="1045">
        <f>CF32</f>
        <v>0</v>
      </c>
      <c r="HW32" s="1043">
        <f t="shared" si="0"/>
        <v>0</v>
      </c>
    </row>
    <row r="33" spans="1:231" s="449" customFormat="1" ht="10.35" customHeight="1">
      <c r="A33" s="451"/>
      <c r="B33" s="1591" t="s">
        <v>1680</v>
      </c>
      <c r="C33" s="1591"/>
      <c r="D33" s="1591"/>
      <c r="E33" s="1591"/>
      <c r="F33" s="1591"/>
      <c r="G33" s="1591"/>
      <c r="H33" s="1591"/>
      <c r="I33" s="1591"/>
      <c r="J33" s="1591"/>
      <c r="K33" s="1591"/>
      <c r="L33" s="1591"/>
      <c r="M33" s="1591"/>
      <c r="N33" s="1591"/>
      <c r="O33" s="1591"/>
      <c r="P33" s="1591"/>
      <c r="Q33" s="1591"/>
      <c r="R33" s="1591"/>
      <c r="S33" s="1591"/>
      <c r="T33" s="1591"/>
      <c r="U33" s="1591"/>
      <c r="V33" s="1591"/>
      <c r="W33" s="1591"/>
      <c r="X33" s="1591"/>
      <c r="Y33" s="1591"/>
      <c r="Z33" s="1591"/>
      <c r="AA33" s="1591"/>
      <c r="AB33" s="1591"/>
      <c r="AC33" s="1591"/>
      <c r="AD33" s="1591"/>
      <c r="AE33" s="1591"/>
      <c r="AF33" s="1591"/>
      <c r="AG33" s="1591"/>
      <c r="AH33" s="1591"/>
      <c r="AI33" s="1591"/>
      <c r="AJ33" s="1591"/>
      <c r="AK33" s="1592"/>
      <c r="AL33" s="1593" t="s">
        <v>121</v>
      </c>
      <c r="AM33" s="1593"/>
      <c r="AN33" s="1593"/>
      <c r="AO33" s="1593"/>
      <c r="AP33" s="1593"/>
      <c r="AQ33" s="1593"/>
      <c r="AR33" s="1593"/>
      <c r="AS33" s="1593"/>
      <c r="AT33" s="1593"/>
      <c r="AU33" s="1593"/>
      <c r="AV33" s="1594" t="s">
        <v>1681</v>
      </c>
      <c r="AW33" s="1594"/>
      <c r="AX33" s="1594"/>
      <c r="AY33" s="1594"/>
      <c r="AZ33" s="1594"/>
      <c r="BA33" s="1594"/>
      <c r="BB33" s="1594"/>
      <c r="BC33" s="1594"/>
      <c r="BD33" s="1587">
        <f>BR33</f>
        <v>605590</v>
      </c>
      <c r="BE33" s="1587"/>
      <c r="BF33" s="1587"/>
      <c r="BG33" s="1587"/>
      <c r="BH33" s="1587"/>
      <c r="BI33" s="1587"/>
      <c r="BJ33" s="1587"/>
      <c r="BK33" s="1587"/>
      <c r="BL33" s="1587"/>
      <c r="BM33" s="1587"/>
      <c r="BN33" s="1587"/>
      <c r="BO33" s="1587"/>
      <c r="BP33" s="1587"/>
      <c r="BQ33" s="1587"/>
      <c r="BR33" s="1587">
        <f>CF33+CV33+DL33</f>
        <v>605590</v>
      </c>
      <c r="BS33" s="1587"/>
      <c r="BT33" s="1587"/>
      <c r="BU33" s="1587"/>
      <c r="BV33" s="1587"/>
      <c r="BW33" s="1587"/>
      <c r="BX33" s="1587"/>
      <c r="BY33" s="1587"/>
      <c r="BZ33" s="1587"/>
      <c r="CA33" s="1587"/>
      <c r="CB33" s="1587"/>
      <c r="CC33" s="1587"/>
      <c r="CD33" s="1587"/>
      <c r="CE33" s="1587"/>
      <c r="CF33" s="1587">
        <v>596159</v>
      </c>
      <c r="CG33" s="1587"/>
      <c r="CH33" s="1587"/>
      <c r="CI33" s="1587"/>
      <c r="CJ33" s="1587"/>
      <c r="CK33" s="1587"/>
      <c r="CL33" s="1587"/>
      <c r="CM33" s="1587"/>
      <c r="CN33" s="1587"/>
      <c r="CO33" s="1587"/>
      <c r="CP33" s="1587"/>
      <c r="CQ33" s="1587"/>
      <c r="CR33" s="1587"/>
      <c r="CS33" s="1587"/>
      <c r="CT33" s="1587"/>
      <c r="CU33" s="1587"/>
      <c r="CV33" s="1587">
        <v>8020</v>
      </c>
      <c r="CW33" s="1587"/>
      <c r="CX33" s="1587"/>
      <c r="CY33" s="1587"/>
      <c r="CZ33" s="1587"/>
      <c r="DA33" s="1587"/>
      <c r="DB33" s="1587"/>
      <c r="DC33" s="1587"/>
      <c r="DD33" s="1587"/>
      <c r="DE33" s="1587"/>
      <c r="DF33" s="1587"/>
      <c r="DG33" s="1587"/>
      <c r="DH33" s="1587"/>
      <c r="DI33" s="1587"/>
      <c r="DJ33" s="1587"/>
      <c r="DK33" s="1587"/>
      <c r="DL33" s="1587">
        <v>1411</v>
      </c>
      <c r="DM33" s="1587"/>
      <c r="DN33" s="1587"/>
      <c r="DO33" s="1587"/>
      <c r="DP33" s="1587"/>
      <c r="DQ33" s="1587"/>
      <c r="DR33" s="1587"/>
      <c r="DS33" s="1587"/>
      <c r="DT33" s="1587"/>
      <c r="DU33" s="1587"/>
      <c r="DV33" s="1587"/>
      <c r="DW33" s="1587"/>
      <c r="DX33" s="1587"/>
      <c r="DY33" s="1587"/>
      <c r="DZ33" s="1587"/>
      <c r="EA33" s="1587"/>
      <c r="EB33" s="1587">
        <v>427242</v>
      </c>
      <c r="EC33" s="1587"/>
      <c r="ED33" s="1587"/>
      <c r="EE33" s="1587"/>
      <c r="EF33" s="1587"/>
      <c r="EG33" s="1587"/>
      <c r="EH33" s="1587"/>
      <c r="EI33" s="1587"/>
      <c r="EJ33" s="1587"/>
      <c r="EK33" s="1587"/>
      <c r="EL33" s="1587"/>
      <c r="EM33" s="1587"/>
      <c r="EN33" s="1587"/>
      <c r="EO33" s="1587"/>
      <c r="EP33" s="1588">
        <v>427242</v>
      </c>
      <c r="EQ33" s="1589"/>
      <c r="ER33" s="1589"/>
      <c r="ES33" s="1589"/>
      <c r="ET33" s="1589"/>
      <c r="EU33" s="1589"/>
      <c r="EV33" s="1589"/>
      <c r="EW33" s="1589"/>
      <c r="EX33" s="1589"/>
      <c r="EY33" s="1589"/>
      <c r="EZ33" s="1589"/>
      <c r="FA33" s="1589"/>
      <c r="FB33" s="1589"/>
      <c r="FC33" s="1590"/>
      <c r="FD33" s="1588">
        <v>419796</v>
      </c>
      <c r="FE33" s="1589"/>
      <c r="FF33" s="1589"/>
      <c r="FG33" s="1589"/>
      <c r="FH33" s="1589"/>
      <c r="FI33" s="1589"/>
      <c r="FJ33" s="1589"/>
      <c r="FK33" s="1589"/>
      <c r="FL33" s="1589"/>
      <c r="FM33" s="1589"/>
      <c r="FN33" s="1589"/>
      <c r="FO33" s="1589"/>
      <c r="FP33" s="1589"/>
      <c r="FQ33" s="1589"/>
      <c r="FR33" s="1589"/>
      <c r="FS33" s="1590"/>
      <c r="FT33" s="1588">
        <v>2842</v>
      </c>
      <c r="FU33" s="1589"/>
      <c r="FV33" s="1589"/>
      <c r="FW33" s="1589"/>
      <c r="FX33" s="1589"/>
      <c r="FY33" s="1589"/>
      <c r="FZ33" s="1589"/>
      <c r="GA33" s="1589"/>
      <c r="GB33" s="1589"/>
      <c r="GC33" s="1589"/>
      <c r="GD33" s="1589"/>
      <c r="GE33" s="1589"/>
      <c r="GF33" s="1589"/>
      <c r="GG33" s="1589"/>
      <c r="GH33" s="1589"/>
      <c r="GI33" s="1590"/>
      <c r="GJ33" s="1588">
        <v>4604</v>
      </c>
      <c r="GK33" s="1589"/>
      <c r="GL33" s="1589"/>
      <c r="GM33" s="1589"/>
      <c r="GN33" s="1589"/>
      <c r="GO33" s="1589"/>
      <c r="GP33" s="1589"/>
      <c r="GQ33" s="1589"/>
      <c r="GR33" s="1589"/>
      <c r="GS33" s="1589"/>
      <c r="GT33" s="1589"/>
      <c r="GU33" s="1589"/>
      <c r="GV33" s="1589"/>
      <c r="GW33" s="1589"/>
      <c r="GX33" s="1589"/>
      <c r="GY33" s="1590"/>
      <c r="GZ33" s="1587"/>
      <c r="HA33" s="1587"/>
      <c r="HB33" s="1587"/>
      <c r="HC33" s="1587"/>
      <c r="HD33" s="1587"/>
      <c r="HE33" s="1587"/>
      <c r="HF33" s="1587"/>
      <c r="HG33" s="1587"/>
      <c r="HH33" s="1587"/>
      <c r="HI33" s="1587"/>
      <c r="HJ33" s="1587"/>
      <c r="HK33" s="1587"/>
      <c r="HL33" s="1587"/>
      <c r="HM33" s="1587"/>
      <c r="HN33" s="1587"/>
      <c r="HO33" s="1587"/>
      <c r="HP33" s="1587"/>
      <c r="HU33" s="1045">
        <f>CF33</f>
        <v>596159</v>
      </c>
      <c r="HW33" s="1043">
        <f t="shared" si="0"/>
        <v>596159</v>
      </c>
    </row>
    <row r="34" spans="1:231" s="449" customFormat="1" ht="10.35" customHeight="1">
      <c r="A34" s="451"/>
      <c r="B34" s="1591" t="s">
        <v>1682</v>
      </c>
      <c r="C34" s="1591"/>
      <c r="D34" s="1591"/>
      <c r="E34" s="1591"/>
      <c r="F34" s="1591"/>
      <c r="G34" s="1591"/>
      <c r="H34" s="1591"/>
      <c r="I34" s="1591"/>
      <c r="J34" s="1591"/>
      <c r="K34" s="1591"/>
      <c r="L34" s="1591"/>
      <c r="M34" s="1591"/>
      <c r="N34" s="1591"/>
      <c r="O34" s="1591"/>
      <c r="P34" s="1591"/>
      <c r="Q34" s="1591"/>
      <c r="R34" s="1591"/>
      <c r="S34" s="1591"/>
      <c r="T34" s="1591"/>
      <c r="U34" s="1591"/>
      <c r="V34" s="1591"/>
      <c r="W34" s="1591"/>
      <c r="X34" s="1591"/>
      <c r="Y34" s="1591"/>
      <c r="Z34" s="1591"/>
      <c r="AA34" s="1591"/>
      <c r="AB34" s="1591"/>
      <c r="AC34" s="1591"/>
      <c r="AD34" s="1591"/>
      <c r="AE34" s="1591"/>
      <c r="AF34" s="1591"/>
      <c r="AG34" s="1591"/>
      <c r="AH34" s="1591"/>
      <c r="AI34" s="1591"/>
      <c r="AJ34" s="1591"/>
      <c r="AK34" s="1592"/>
      <c r="AL34" s="1593" t="s">
        <v>121</v>
      </c>
      <c r="AM34" s="1593"/>
      <c r="AN34" s="1593"/>
      <c r="AO34" s="1593"/>
      <c r="AP34" s="1593"/>
      <c r="AQ34" s="1593"/>
      <c r="AR34" s="1593"/>
      <c r="AS34" s="1593"/>
      <c r="AT34" s="1593"/>
      <c r="AU34" s="1593"/>
      <c r="AV34" s="1594" t="s">
        <v>1683</v>
      </c>
      <c r="AW34" s="1594"/>
      <c r="AX34" s="1594"/>
      <c r="AY34" s="1594"/>
      <c r="AZ34" s="1594"/>
      <c r="BA34" s="1594"/>
      <c r="BB34" s="1594"/>
      <c r="BC34" s="1594"/>
      <c r="BD34" s="1587">
        <f>CF34+CV34+DL34</f>
        <v>861748</v>
      </c>
      <c r="BE34" s="1587"/>
      <c r="BF34" s="1587"/>
      <c r="BG34" s="1587"/>
      <c r="BH34" s="1587"/>
      <c r="BI34" s="1587"/>
      <c r="BJ34" s="1587"/>
      <c r="BK34" s="1587"/>
      <c r="BL34" s="1587"/>
      <c r="BM34" s="1587"/>
      <c r="BN34" s="1587"/>
      <c r="BO34" s="1587"/>
      <c r="BP34" s="1587"/>
      <c r="BQ34" s="1587"/>
      <c r="BR34" s="1587">
        <f t="shared" si="1"/>
        <v>861748</v>
      </c>
      <c r="BS34" s="1587"/>
      <c r="BT34" s="1587"/>
      <c r="BU34" s="1587"/>
      <c r="BV34" s="1587"/>
      <c r="BW34" s="1587"/>
      <c r="BX34" s="1587"/>
      <c r="BY34" s="1587"/>
      <c r="BZ34" s="1587"/>
      <c r="CA34" s="1587"/>
      <c r="CB34" s="1587"/>
      <c r="CC34" s="1587"/>
      <c r="CD34" s="1587"/>
      <c r="CE34" s="1587"/>
      <c r="CF34" s="1587">
        <v>733546</v>
      </c>
      <c r="CG34" s="1587"/>
      <c r="CH34" s="1587"/>
      <c r="CI34" s="1587"/>
      <c r="CJ34" s="1587"/>
      <c r="CK34" s="1587"/>
      <c r="CL34" s="1587"/>
      <c r="CM34" s="1587"/>
      <c r="CN34" s="1587"/>
      <c r="CO34" s="1587"/>
      <c r="CP34" s="1587"/>
      <c r="CQ34" s="1587"/>
      <c r="CR34" s="1587"/>
      <c r="CS34" s="1587"/>
      <c r="CT34" s="1587"/>
      <c r="CU34" s="1587"/>
      <c r="CV34" s="1587">
        <v>64851</v>
      </c>
      <c r="CW34" s="1587"/>
      <c r="CX34" s="1587"/>
      <c r="CY34" s="1587"/>
      <c r="CZ34" s="1587"/>
      <c r="DA34" s="1587"/>
      <c r="DB34" s="1587"/>
      <c r="DC34" s="1587"/>
      <c r="DD34" s="1587"/>
      <c r="DE34" s="1587"/>
      <c r="DF34" s="1587"/>
      <c r="DG34" s="1587"/>
      <c r="DH34" s="1587"/>
      <c r="DI34" s="1587"/>
      <c r="DJ34" s="1587"/>
      <c r="DK34" s="1587"/>
      <c r="DL34" s="1587">
        <v>63351</v>
      </c>
      <c r="DM34" s="1587"/>
      <c r="DN34" s="1587"/>
      <c r="DO34" s="1587"/>
      <c r="DP34" s="1587"/>
      <c r="DQ34" s="1587"/>
      <c r="DR34" s="1587"/>
      <c r="DS34" s="1587"/>
      <c r="DT34" s="1587"/>
      <c r="DU34" s="1587"/>
      <c r="DV34" s="1587"/>
      <c r="DW34" s="1587"/>
      <c r="DX34" s="1587"/>
      <c r="DY34" s="1587"/>
      <c r="DZ34" s="1587"/>
      <c r="EA34" s="1587"/>
      <c r="EB34" s="1587">
        <v>943998</v>
      </c>
      <c r="EC34" s="1587"/>
      <c r="ED34" s="1587"/>
      <c r="EE34" s="1587"/>
      <c r="EF34" s="1587"/>
      <c r="EG34" s="1587"/>
      <c r="EH34" s="1587"/>
      <c r="EI34" s="1587"/>
      <c r="EJ34" s="1587"/>
      <c r="EK34" s="1587"/>
      <c r="EL34" s="1587"/>
      <c r="EM34" s="1587"/>
      <c r="EN34" s="1587"/>
      <c r="EO34" s="1587"/>
      <c r="EP34" s="1588">
        <v>943998</v>
      </c>
      <c r="EQ34" s="1589"/>
      <c r="ER34" s="1589"/>
      <c r="ES34" s="1589"/>
      <c r="ET34" s="1589"/>
      <c r="EU34" s="1589"/>
      <c r="EV34" s="1589"/>
      <c r="EW34" s="1589"/>
      <c r="EX34" s="1589"/>
      <c r="EY34" s="1589"/>
      <c r="EZ34" s="1589"/>
      <c r="FA34" s="1589"/>
      <c r="FB34" s="1589"/>
      <c r="FC34" s="1590"/>
      <c r="FD34" s="1588">
        <v>774095</v>
      </c>
      <c r="FE34" s="1589"/>
      <c r="FF34" s="1589"/>
      <c r="FG34" s="1589"/>
      <c r="FH34" s="1589"/>
      <c r="FI34" s="1589"/>
      <c r="FJ34" s="1589"/>
      <c r="FK34" s="1589"/>
      <c r="FL34" s="1589"/>
      <c r="FM34" s="1589"/>
      <c r="FN34" s="1589"/>
      <c r="FO34" s="1589"/>
      <c r="FP34" s="1589"/>
      <c r="FQ34" s="1589"/>
      <c r="FR34" s="1589"/>
      <c r="FS34" s="1590"/>
      <c r="FT34" s="1588">
        <v>31559</v>
      </c>
      <c r="FU34" s="1589"/>
      <c r="FV34" s="1589"/>
      <c r="FW34" s="1589"/>
      <c r="FX34" s="1589"/>
      <c r="FY34" s="1589"/>
      <c r="FZ34" s="1589"/>
      <c r="GA34" s="1589"/>
      <c r="GB34" s="1589"/>
      <c r="GC34" s="1589"/>
      <c r="GD34" s="1589"/>
      <c r="GE34" s="1589"/>
      <c r="GF34" s="1589"/>
      <c r="GG34" s="1589"/>
      <c r="GH34" s="1589"/>
      <c r="GI34" s="1590"/>
      <c r="GJ34" s="1587">
        <v>138344</v>
      </c>
      <c r="GK34" s="1587"/>
      <c r="GL34" s="1587"/>
      <c r="GM34" s="1587"/>
      <c r="GN34" s="1587"/>
      <c r="GO34" s="1587"/>
      <c r="GP34" s="1587"/>
      <c r="GQ34" s="1587"/>
      <c r="GR34" s="1587"/>
      <c r="GS34" s="1587"/>
      <c r="GT34" s="1587"/>
      <c r="GU34" s="1587"/>
      <c r="GV34" s="1587"/>
      <c r="GW34" s="1587"/>
      <c r="GX34" s="1587"/>
      <c r="GY34" s="1587"/>
      <c r="GZ34" s="1587"/>
      <c r="HA34" s="1587"/>
      <c r="HB34" s="1587"/>
      <c r="HC34" s="1587"/>
      <c r="HD34" s="1587"/>
      <c r="HE34" s="1587"/>
      <c r="HF34" s="1587"/>
      <c r="HG34" s="1587"/>
      <c r="HH34" s="1587"/>
      <c r="HI34" s="1587"/>
      <c r="HJ34" s="1587"/>
      <c r="HK34" s="1587"/>
      <c r="HL34" s="1587"/>
      <c r="HM34" s="1587"/>
      <c r="HN34" s="1587"/>
      <c r="HO34" s="1587"/>
      <c r="HP34" s="1587"/>
      <c r="HW34" s="1043">
        <f t="shared" si="0"/>
        <v>0</v>
      </c>
    </row>
    <row r="35" spans="1:231" s="449" customFormat="1" ht="10.35" customHeight="1">
      <c r="A35" s="451"/>
      <c r="B35" s="1591" t="s">
        <v>1305</v>
      </c>
      <c r="C35" s="1591"/>
      <c r="D35" s="1591"/>
      <c r="E35" s="1591"/>
      <c r="F35" s="1591"/>
      <c r="G35" s="1591"/>
      <c r="H35" s="1591"/>
      <c r="I35" s="1591"/>
      <c r="J35" s="1591"/>
      <c r="K35" s="1591"/>
      <c r="L35" s="1591"/>
      <c r="M35" s="1591"/>
      <c r="N35" s="1591"/>
      <c r="O35" s="1591"/>
      <c r="P35" s="1591"/>
      <c r="Q35" s="1591"/>
      <c r="R35" s="1591"/>
      <c r="S35" s="1591"/>
      <c r="T35" s="1591"/>
      <c r="U35" s="1591"/>
      <c r="V35" s="1591"/>
      <c r="W35" s="1591"/>
      <c r="X35" s="1591"/>
      <c r="Y35" s="1591"/>
      <c r="Z35" s="1591"/>
      <c r="AA35" s="1591"/>
      <c r="AB35" s="1591"/>
      <c r="AC35" s="1591"/>
      <c r="AD35" s="1591"/>
      <c r="AE35" s="1591"/>
      <c r="AF35" s="1591"/>
      <c r="AG35" s="1591"/>
      <c r="AH35" s="1591"/>
      <c r="AI35" s="1591"/>
      <c r="AJ35" s="1591"/>
      <c r="AK35" s="1592"/>
      <c r="AL35" s="1593" t="s">
        <v>121</v>
      </c>
      <c r="AM35" s="1593"/>
      <c r="AN35" s="1593"/>
      <c r="AO35" s="1593"/>
      <c r="AP35" s="1593"/>
      <c r="AQ35" s="1593"/>
      <c r="AR35" s="1593"/>
      <c r="AS35" s="1593"/>
      <c r="AT35" s="1593"/>
      <c r="AU35" s="1593"/>
      <c r="AV35" s="1594" t="s">
        <v>844</v>
      </c>
      <c r="AW35" s="1594"/>
      <c r="AX35" s="1594"/>
      <c r="AY35" s="1594"/>
      <c r="AZ35" s="1594"/>
      <c r="BA35" s="1594"/>
      <c r="BB35" s="1594"/>
      <c r="BC35" s="1594"/>
      <c r="BD35" s="1587">
        <f>CF35+CV35+DL35</f>
        <v>899419</v>
      </c>
      <c r="BE35" s="1587"/>
      <c r="BF35" s="1587"/>
      <c r="BG35" s="1587"/>
      <c r="BH35" s="1587"/>
      <c r="BI35" s="1587"/>
      <c r="BJ35" s="1587"/>
      <c r="BK35" s="1587"/>
      <c r="BL35" s="1587"/>
      <c r="BM35" s="1587"/>
      <c r="BN35" s="1587"/>
      <c r="BO35" s="1587"/>
      <c r="BP35" s="1587"/>
      <c r="BQ35" s="1587"/>
      <c r="BR35" s="1587">
        <f t="shared" si="1"/>
        <v>899419</v>
      </c>
      <c r="BS35" s="1587"/>
      <c r="BT35" s="1587"/>
      <c r="BU35" s="1587"/>
      <c r="BV35" s="1587"/>
      <c r="BW35" s="1587"/>
      <c r="BX35" s="1587"/>
      <c r="BY35" s="1587"/>
      <c r="BZ35" s="1587"/>
      <c r="CA35" s="1587"/>
      <c r="CB35" s="1587"/>
      <c r="CC35" s="1587"/>
      <c r="CD35" s="1587"/>
      <c r="CE35" s="1587"/>
      <c r="CF35" s="1587">
        <v>808127</v>
      </c>
      <c r="CG35" s="1587"/>
      <c r="CH35" s="1587"/>
      <c r="CI35" s="1587"/>
      <c r="CJ35" s="1587"/>
      <c r="CK35" s="1587"/>
      <c r="CL35" s="1587"/>
      <c r="CM35" s="1587"/>
      <c r="CN35" s="1587"/>
      <c r="CO35" s="1587"/>
      <c r="CP35" s="1587"/>
      <c r="CQ35" s="1587"/>
      <c r="CR35" s="1587"/>
      <c r="CS35" s="1587"/>
      <c r="CT35" s="1587"/>
      <c r="CU35" s="1587"/>
      <c r="CV35" s="1587">
        <v>62865</v>
      </c>
      <c r="CW35" s="1587"/>
      <c r="CX35" s="1587"/>
      <c r="CY35" s="1587"/>
      <c r="CZ35" s="1587"/>
      <c r="DA35" s="1587"/>
      <c r="DB35" s="1587"/>
      <c r="DC35" s="1587"/>
      <c r="DD35" s="1587"/>
      <c r="DE35" s="1587"/>
      <c r="DF35" s="1587"/>
      <c r="DG35" s="1587"/>
      <c r="DH35" s="1587"/>
      <c r="DI35" s="1587"/>
      <c r="DJ35" s="1587"/>
      <c r="DK35" s="1587"/>
      <c r="DL35" s="1587">
        <v>28427</v>
      </c>
      <c r="DM35" s="1587"/>
      <c r="DN35" s="1587"/>
      <c r="DO35" s="1587"/>
      <c r="DP35" s="1587"/>
      <c r="DQ35" s="1587"/>
      <c r="DR35" s="1587"/>
      <c r="DS35" s="1587"/>
      <c r="DT35" s="1587"/>
      <c r="DU35" s="1587"/>
      <c r="DV35" s="1587"/>
      <c r="DW35" s="1587"/>
      <c r="DX35" s="1587"/>
      <c r="DY35" s="1587"/>
      <c r="DZ35" s="1587"/>
      <c r="EA35" s="1587"/>
      <c r="EB35" s="1587">
        <v>687561</v>
      </c>
      <c r="EC35" s="1587"/>
      <c r="ED35" s="1587"/>
      <c r="EE35" s="1587"/>
      <c r="EF35" s="1587"/>
      <c r="EG35" s="1587"/>
      <c r="EH35" s="1587"/>
      <c r="EI35" s="1587"/>
      <c r="EJ35" s="1587"/>
      <c r="EK35" s="1587"/>
      <c r="EL35" s="1587"/>
      <c r="EM35" s="1587"/>
      <c r="EN35" s="1587"/>
      <c r="EO35" s="1587"/>
      <c r="EP35" s="1588">
        <v>687561</v>
      </c>
      <c r="EQ35" s="1589"/>
      <c r="ER35" s="1589"/>
      <c r="ES35" s="1589"/>
      <c r="ET35" s="1589"/>
      <c r="EU35" s="1589"/>
      <c r="EV35" s="1589"/>
      <c r="EW35" s="1589"/>
      <c r="EX35" s="1589"/>
      <c r="EY35" s="1589"/>
      <c r="EZ35" s="1589"/>
      <c r="FA35" s="1589"/>
      <c r="FB35" s="1589"/>
      <c r="FC35" s="1590"/>
      <c r="FD35" s="1588">
        <v>519657</v>
      </c>
      <c r="FE35" s="1589"/>
      <c r="FF35" s="1589"/>
      <c r="FG35" s="1589"/>
      <c r="FH35" s="1589"/>
      <c r="FI35" s="1589"/>
      <c r="FJ35" s="1589"/>
      <c r="FK35" s="1589"/>
      <c r="FL35" s="1589"/>
      <c r="FM35" s="1589"/>
      <c r="FN35" s="1589"/>
      <c r="FO35" s="1589"/>
      <c r="FP35" s="1589"/>
      <c r="FQ35" s="1589"/>
      <c r="FR35" s="1589"/>
      <c r="FS35" s="1590"/>
      <c r="FT35" s="1588">
        <v>45511</v>
      </c>
      <c r="FU35" s="1589"/>
      <c r="FV35" s="1589"/>
      <c r="FW35" s="1589"/>
      <c r="FX35" s="1589"/>
      <c r="FY35" s="1589"/>
      <c r="FZ35" s="1589"/>
      <c r="GA35" s="1589"/>
      <c r="GB35" s="1589"/>
      <c r="GC35" s="1589"/>
      <c r="GD35" s="1589"/>
      <c r="GE35" s="1589"/>
      <c r="GF35" s="1589"/>
      <c r="GG35" s="1589"/>
      <c r="GH35" s="1589"/>
      <c r="GI35" s="1590"/>
      <c r="GJ35" s="1587">
        <v>122393</v>
      </c>
      <c r="GK35" s="1587"/>
      <c r="GL35" s="1587"/>
      <c r="GM35" s="1587"/>
      <c r="GN35" s="1587"/>
      <c r="GO35" s="1587"/>
      <c r="GP35" s="1587"/>
      <c r="GQ35" s="1587"/>
      <c r="GR35" s="1587"/>
      <c r="GS35" s="1587"/>
      <c r="GT35" s="1587"/>
      <c r="GU35" s="1587"/>
      <c r="GV35" s="1587"/>
      <c r="GW35" s="1587"/>
      <c r="GX35" s="1587"/>
      <c r="GY35" s="1587"/>
      <c r="GZ35" s="1587"/>
      <c r="HA35" s="1587"/>
      <c r="HB35" s="1587"/>
      <c r="HC35" s="1587"/>
      <c r="HD35" s="1587"/>
      <c r="HE35" s="1587"/>
      <c r="HF35" s="1587"/>
      <c r="HG35" s="1587"/>
      <c r="HH35" s="1587"/>
      <c r="HI35" s="1587"/>
      <c r="HJ35" s="1587"/>
      <c r="HK35" s="1587"/>
      <c r="HL35" s="1587"/>
      <c r="HM35" s="1587"/>
      <c r="HN35" s="1587"/>
      <c r="HO35" s="1587"/>
      <c r="HP35" s="1587"/>
      <c r="HU35" s="1045">
        <f>CF35</f>
        <v>808127</v>
      </c>
      <c r="HW35" s="1043">
        <f t="shared" si="0"/>
        <v>808127</v>
      </c>
    </row>
    <row r="36" spans="1:231" s="449" customFormat="1" ht="10.199999999999999">
      <c r="A36" s="451"/>
      <c r="B36" s="1591" t="s">
        <v>1684</v>
      </c>
      <c r="C36" s="1591"/>
      <c r="D36" s="1591"/>
      <c r="E36" s="1591"/>
      <c r="F36" s="1591"/>
      <c r="G36" s="1591"/>
      <c r="H36" s="1591"/>
      <c r="I36" s="1591"/>
      <c r="J36" s="1591"/>
      <c r="K36" s="1591"/>
      <c r="L36" s="1591"/>
      <c r="M36" s="1591"/>
      <c r="N36" s="1591"/>
      <c r="O36" s="1591"/>
      <c r="P36" s="1591"/>
      <c r="Q36" s="1591"/>
      <c r="R36" s="1591"/>
      <c r="S36" s="1591"/>
      <c r="T36" s="1591"/>
      <c r="U36" s="1591"/>
      <c r="V36" s="1591"/>
      <c r="W36" s="1591"/>
      <c r="X36" s="1591"/>
      <c r="Y36" s="1591"/>
      <c r="Z36" s="1591"/>
      <c r="AA36" s="1591"/>
      <c r="AB36" s="1591"/>
      <c r="AC36" s="1591"/>
      <c r="AD36" s="1591"/>
      <c r="AE36" s="1591"/>
      <c r="AF36" s="1591"/>
      <c r="AG36" s="1591"/>
      <c r="AH36" s="1591"/>
      <c r="AI36" s="1591"/>
      <c r="AJ36" s="1591"/>
      <c r="AK36" s="1592"/>
      <c r="AL36" s="1593" t="s">
        <v>121</v>
      </c>
      <c r="AM36" s="1593"/>
      <c r="AN36" s="1593"/>
      <c r="AO36" s="1593"/>
      <c r="AP36" s="1593"/>
      <c r="AQ36" s="1593"/>
      <c r="AR36" s="1593"/>
      <c r="AS36" s="1593"/>
      <c r="AT36" s="1593"/>
      <c r="AU36" s="1593"/>
      <c r="AV36" s="1594" t="s">
        <v>895</v>
      </c>
      <c r="AW36" s="1594"/>
      <c r="AX36" s="1594"/>
      <c r="AY36" s="1594"/>
      <c r="AZ36" s="1594"/>
      <c r="BA36" s="1594"/>
      <c r="BB36" s="1594"/>
      <c r="BC36" s="1594"/>
      <c r="BD36" s="1587">
        <f>BD30+BD32-BD33+BD34-BD35+BD31</f>
        <v>231015</v>
      </c>
      <c r="BE36" s="1587"/>
      <c r="BF36" s="1587"/>
      <c r="BG36" s="1587"/>
      <c r="BH36" s="1587"/>
      <c r="BI36" s="1587"/>
      <c r="BJ36" s="1587"/>
      <c r="BK36" s="1587"/>
      <c r="BL36" s="1587"/>
      <c r="BM36" s="1587"/>
      <c r="BN36" s="1587"/>
      <c r="BO36" s="1587"/>
      <c r="BP36" s="1587"/>
      <c r="BQ36" s="1587"/>
      <c r="BR36" s="1587">
        <f t="shared" si="1"/>
        <v>231015</v>
      </c>
      <c r="BS36" s="1587"/>
      <c r="BT36" s="1587"/>
      <c r="BU36" s="1587"/>
      <c r="BV36" s="1587"/>
      <c r="BW36" s="1587"/>
      <c r="BX36" s="1587"/>
      <c r="BY36" s="1587"/>
      <c r="BZ36" s="1587"/>
      <c r="CA36" s="1587"/>
      <c r="CB36" s="1587"/>
      <c r="CC36" s="1587"/>
      <c r="CD36" s="1587"/>
      <c r="CE36" s="1587"/>
      <c r="CF36" s="1587">
        <f>CF30+CF32-CF33+CF34-CF35</f>
        <v>-61272</v>
      </c>
      <c r="CG36" s="1587"/>
      <c r="CH36" s="1587"/>
      <c r="CI36" s="1587"/>
      <c r="CJ36" s="1587"/>
      <c r="CK36" s="1587"/>
      <c r="CL36" s="1587"/>
      <c r="CM36" s="1587"/>
      <c r="CN36" s="1587"/>
      <c r="CO36" s="1587"/>
      <c r="CP36" s="1587"/>
      <c r="CQ36" s="1587"/>
      <c r="CR36" s="1587"/>
      <c r="CS36" s="1587"/>
      <c r="CT36" s="1587"/>
      <c r="CU36" s="1587"/>
      <c r="CV36" s="1587">
        <f>CV30+CV32-CV33+CV34-CV35</f>
        <v>226107</v>
      </c>
      <c r="CW36" s="1587"/>
      <c r="CX36" s="1587"/>
      <c r="CY36" s="1587"/>
      <c r="CZ36" s="1587"/>
      <c r="DA36" s="1587"/>
      <c r="DB36" s="1587"/>
      <c r="DC36" s="1587"/>
      <c r="DD36" s="1587"/>
      <c r="DE36" s="1587"/>
      <c r="DF36" s="1587"/>
      <c r="DG36" s="1587"/>
      <c r="DH36" s="1587"/>
      <c r="DI36" s="1587"/>
      <c r="DJ36" s="1587"/>
      <c r="DK36" s="1587"/>
      <c r="DL36" s="1587">
        <f>DL30+DL32-DL33+DL34-DL35+DL31</f>
        <v>66180</v>
      </c>
      <c r="DM36" s="1587"/>
      <c r="DN36" s="1587"/>
      <c r="DO36" s="1587"/>
      <c r="DP36" s="1587"/>
      <c r="DQ36" s="1587"/>
      <c r="DR36" s="1587"/>
      <c r="DS36" s="1587"/>
      <c r="DT36" s="1587"/>
      <c r="DU36" s="1587"/>
      <c r="DV36" s="1587"/>
      <c r="DW36" s="1587"/>
      <c r="DX36" s="1587"/>
      <c r="DY36" s="1587"/>
      <c r="DZ36" s="1587"/>
      <c r="EA36" s="1587"/>
      <c r="EB36" s="1587">
        <v>276616</v>
      </c>
      <c r="EC36" s="1587"/>
      <c r="ED36" s="1587"/>
      <c r="EE36" s="1587"/>
      <c r="EF36" s="1587"/>
      <c r="EG36" s="1587"/>
      <c r="EH36" s="1587"/>
      <c r="EI36" s="1587"/>
      <c r="EJ36" s="1587"/>
      <c r="EK36" s="1587"/>
      <c r="EL36" s="1587"/>
      <c r="EM36" s="1587"/>
      <c r="EN36" s="1587"/>
      <c r="EO36" s="1587"/>
      <c r="EP36" s="1588">
        <v>276616</v>
      </c>
      <c r="EQ36" s="1589"/>
      <c r="ER36" s="1589"/>
      <c r="ES36" s="1589"/>
      <c r="ET36" s="1589"/>
      <c r="EU36" s="1589"/>
      <c r="EV36" s="1589"/>
      <c r="EW36" s="1589"/>
      <c r="EX36" s="1589"/>
      <c r="EY36" s="1589"/>
      <c r="EZ36" s="1589"/>
      <c r="FA36" s="1589"/>
      <c r="FB36" s="1589"/>
      <c r="FC36" s="1590"/>
      <c r="FD36" s="1587">
        <v>68590</v>
      </c>
      <c r="FE36" s="1587"/>
      <c r="FF36" s="1587"/>
      <c r="FG36" s="1587"/>
      <c r="FH36" s="1587"/>
      <c r="FI36" s="1587"/>
      <c r="FJ36" s="1587"/>
      <c r="FK36" s="1587"/>
      <c r="FL36" s="1587"/>
      <c r="FM36" s="1587"/>
      <c r="FN36" s="1587"/>
      <c r="FO36" s="1587"/>
      <c r="FP36" s="1587"/>
      <c r="FQ36" s="1587"/>
      <c r="FR36" s="1587"/>
      <c r="FS36" s="1587"/>
      <c r="FT36" s="1587">
        <v>185539</v>
      </c>
      <c r="FU36" s="1587"/>
      <c r="FV36" s="1587"/>
      <c r="FW36" s="1587"/>
      <c r="FX36" s="1587"/>
      <c r="FY36" s="1587"/>
      <c r="FZ36" s="1587"/>
      <c r="GA36" s="1587"/>
      <c r="GB36" s="1587"/>
      <c r="GC36" s="1587"/>
      <c r="GD36" s="1587"/>
      <c r="GE36" s="1587"/>
      <c r="GF36" s="1587"/>
      <c r="GG36" s="1587"/>
      <c r="GH36" s="1587"/>
      <c r="GI36" s="1587"/>
      <c r="GJ36" s="1587">
        <v>22487</v>
      </c>
      <c r="GK36" s="1587"/>
      <c r="GL36" s="1587"/>
      <c r="GM36" s="1587"/>
      <c r="GN36" s="1587"/>
      <c r="GO36" s="1587"/>
      <c r="GP36" s="1587"/>
      <c r="GQ36" s="1587"/>
      <c r="GR36" s="1587"/>
      <c r="GS36" s="1587"/>
      <c r="GT36" s="1587"/>
      <c r="GU36" s="1587"/>
      <c r="GV36" s="1587"/>
      <c r="GW36" s="1587"/>
      <c r="GX36" s="1587"/>
      <c r="GY36" s="1587"/>
      <c r="GZ36" s="1587"/>
      <c r="HA36" s="1587"/>
      <c r="HB36" s="1587"/>
      <c r="HC36" s="1587"/>
      <c r="HD36" s="1587"/>
      <c r="HE36" s="1587"/>
      <c r="HF36" s="1587"/>
      <c r="HG36" s="1587"/>
      <c r="HH36" s="1587"/>
      <c r="HI36" s="1587"/>
      <c r="HJ36" s="1587"/>
      <c r="HK36" s="1587"/>
      <c r="HL36" s="1587"/>
      <c r="HM36" s="1587"/>
      <c r="HN36" s="1587"/>
      <c r="HO36" s="1587"/>
      <c r="HP36" s="1587"/>
      <c r="HW36" s="1043">
        <f t="shared" si="0"/>
        <v>0</v>
      </c>
    </row>
    <row r="37" spans="1:231" s="449" customFormat="1" ht="10.199999999999999">
      <c r="A37" s="451"/>
      <c r="B37" s="1591" t="s">
        <v>1243</v>
      </c>
      <c r="C37" s="1591"/>
      <c r="D37" s="1591"/>
      <c r="E37" s="1591"/>
      <c r="F37" s="1591"/>
      <c r="G37" s="1591"/>
      <c r="H37" s="1591"/>
      <c r="I37" s="1591"/>
      <c r="J37" s="1591"/>
      <c r="K37" s="1591"/>
      <c r="L37" s="1591"/>
      <c r="M37" s="1591"/>
      <c r="N37" s="1591"/>
      <c r="O37" s="1591"/>
      <c r="P37" s="1591"/>
      <c r="Q37" s="1591"/>
      <c r="R37" s="1591"/>
      <c r="S37" s="1591"/>
      <c r="T37" s="1591"/>
      <c r="U37" s="1591"/>
      <c r="V37" s="1591"/>
      <c r="W37" s="1591"/>
      <c r="X37" s="1591"/>
      <c r="Y37" s="1591"/>
      <c r="Z37" s="1591"/>
      <c r="AA37" s="1591"/>
      <c r="AB37" s="1591"/>
      <c r="AC37" s="1591"/>
      <c r="AD37" s="1591"/>
      <c r="AE37" s="1591"/>
      <c r="AF37" s="1591"/>
      <c r="AG37" s="1591"/>
      <c r="AH37" s="1591"/>
      <c r="AI37" s="1591"/>
      <c r="AJ37" s="1591"/>
      <c r="AK37" s="1592"/>
      <c r="AL37" s="1593" t="s">
        <v>121</v>
      </c>
      <c r="AM37" s="1593"/>
      <c r="AN37" s="1593"/>
      <c r="AO37" s="1593"/>
      <c r="AP37" s="1593"/>
      <c r="AQ37" s="1593"/>
      <c r="AR37" s="1593"/>
      <c r="AS37" s="1593"/>
      <c r="AT37" s="1593"/>
      <c r="AU37" s="1593"/>
      <c r="AV37" s="1594" t="s">
        <v>940</v>
      </c>
      <c r="AW37" s="1594"/>
      <c r="AX37" s="1594"/>
      <c r="AY37" s="1594"/>
      <c r="AZ37" s="1594"/>
      <c r="BA37" s="1594"/>
      <c r="BB37" s="1594"/>
      <c r="BC37" s="1594"/>
      <c r="BD37" s="1587">
        <f>CF37+CV37+DL37</f>
        <v>134033</v>
      </c>
      <c r="BE37" s="1587"/>
      <c r="BF37" s="1587"/>
      <c r="BG37" s="1587"/>
      <c r="BH37" s="1587"/>
      <c r="BI37" s="1587"/>
      <c r="BJ37" s="1587"/>
      <c r="BK37" s="1587"/>
      <c r="BL37" s="1587"/>
      <c r="BM37" s="1587"/>
      <c r="BN37" s="1587"/>
      <c r="BO37" s="1587"/>
      <c r="BP37" s="1587"/>
      <c r="BQ37" s="1587"/>
      <c r="BR37" s="1587">
        <f>BD37</f>
        <v>134033</v>
      </c>
      <c r="BS37" s="1587"/>
      <c r="BT37" s="1587"/>
      <c r="BU37" s="1587"/>
      <c r="BV37" s="1587"/>
      <c r="BW37" s="1587"/>
      <c r="BX37" s="1587"/>
      <c r="BY37" s="1587"/>
      <c r="BZ37" s="1587"/>
      <c r="CA37" s="1587"/>
      <c r="CB37" s="1587"/>
      <c r="CC37" s="1587"/>
      <c r="CD37" s="1587"/>
      <c r="CE37" s="1587"/>
      <c r="CF37" s="1587">
        <v>74496</v>
      </c>
      <c r="CG37" s="1587"/>
      <c r="CH37" s="1587"/>
      <c r="CI37" s="1587"/>
      <c r="CJ37" s="1587"/>
      <c r="CK37" s="1587"/>
      <c r="CL37" s="1587"/>
      <c r="CM37" s="1587"/>
      <c r="CN37" s="1587"/>
      <c r="CO37" s="1587"/>
      <c r="CP37" s="1587"/>
      <c r="CQ37" s="1587"/>
      <c r="CR37" s="1587"/>
      <c r="CS37" s="1587"/>
      <c r="CT37" s="1587"/>
      <c r="CU37" s="1587"/>
      <c r="CV37" s="1587">
        <v>45788</v>
      </c>
      <c r="CW37" s="1587"/>
      <c r="CX37" s="1587"/>
      <c r="CY37" s="1587"/>
      <c r="CZ37" s="1587"/>
      <c r="DA37" s="1587"/>
      <c r="DB37" s="1587"/>
      <c r="DC37" s="1587"/>
      <c r="DD37" s="1587"/>
      <c r="DE37" s="1587"/>
      <c r="DF37" s="1587"/>
      <c r="DG37" s="1587"/>
      <c r="DH37" s="1587"/>
      <c r="DI37" s="1587"/>
      <c r="DJ37" s="1587"/>
      <c r="DK37" s="1587"/>
      <c r="DL37" s="1587">
        <v>13749</v>
      </c>
      <c r="DM37" s="1587"/>
      <c r="DN37" s="1587"/>
      <c r="DO37" s="1587"/>
      <c r="DP37" s="1587"/>
      <c r="DQ37" s="1587"/>
      <c r="DR37" s="1587"/>
      <c r="DS37" s="1587"/>
      <c r="DT37" s="1587"/>
      <c r="DU37" s="1587"/>
      <c r="DV37" s="1587"/>
      <c r="DW37" s="1587"/>
      <c r="DX37" s="1587"/>
      <c r="DY37" s="1587"/>
      <c r="DZ37" s="1587"/>
      <c r="EA37" s="1587"/>
      <c r="EB37" s="1587">
        <v>14303</v>
      </c>
      <c r="EC37" s="1587"/>
      <c r="ED37" s="1587"/>
      <c r="EE37" s="1587"/>
      <c r="EF37" s="1587"/>
      <c r="EG37" s="1587"/>
      <c r="EH37" s="1587"/>
      <c r="EI37" s="1587"/>
      <c r="EJ37" s="1587"/>
      <c r="EK37" s="1587"/>
      <c r="EL37" s="1587"/>
      <c r="EM37" s="1587"/>
      <c r="EN37" s="1587"/>
      <c r="EO37" s="1587"/>
      <c r="EP37" s="1588">
        <v>14303</v>
      </c>
      <c r="EQ37" s="1589"/>
      <c r="ER37" s="1589"/>
      <c r="ES37" s="1589"/>
      <c r="ET37" s="1589"/>
      <c r="EU37" s="1589"/>
      <c r="EV37" s="1589"/>
      <c r="EW37" s="1589"/>
      <c r="EX37" s="1589"/>
      <c r="EY37" s="1589"/>
      <c r="EZ37" s="1589"/>
      <c r="FA37" s="1589"/>
      <c r="FB37" s="1589"/>
      <c r="FC37" s="1590"/>
      <c r="FD37" s="1588">
        <v>-33146</v>
      </c>
      <c r="FE37" s="1589"/>
      <c r="FF37" s="1589"/>
      <c r="FG37" s="1589"/>
      <c r="FH37" s="1589"/>
      <c r="FI37" s="1589"/>
      <c r="FJ37" s="1589"/>
      <c r="FK37" s="1589"/>
      <c r="FL37" s="1589"/>
      <c r="FM37" s="1589"/>
      <c r="FN37" s="1589"/>
      <c r="FO37" s="1589"/>
      <c r="FP37" s="1589"/>
      <c r="FQ37" s="1589"/>
      <c r="FR37" s="1589"/>
      <c r="FS37" s="1590"/>
      <c r="FT37" s="1587">
        <v>39681</v>
      </c>
      <c r="FU37" s="1587"/>
      <c r="FV37" s="1587"/>
      <c r="FW37" s="1587"/>
      <c r="FX37" s="1587"/>
      <c r="FY37" s="1587"/>
      <c r="FZ37" s="1587"/>
      <c r="GA37" s="1587"/>
      <c r="GB37" s="1587"/>
      <c r="GC37" s="1587"/>
      <c r="GD37" s="1587"/>
      <c r="GE37" s="1587"/>
      <c r="GF37" s="1587"/>
      <c r="GG37" s="1587"/>
      <c r="GH37" s="1587"/>
      <c r="GI37" s="1587"/>
      <c r="GJ37" s="1587">
        <v>7768</v>
      </c>
      <c r="GK37" s="1587"/>
      <c r="GL37" s="1587"/>
      <c r="GM37" s="1587"/>
      <c r="GN37" s="1587"/>
      <c r="GO37" s="1587"/>
      <c r="GP37" s="1587"/>
      <c r="GQ37" s="1587"/>
      <c r="GR37" s="1587"/>
      <c r="GS37" s="1587"/>
      <c r="GT37" s="1587"/>
      <c r="GU37" s="1587"/>
      <c r="GV37" s="1587"/>
      <c r="GW37" s="1587"/>
      <c r="GX37" s="1587"/>
      <c r="GY37" s="1587"/>
      <c r="GZ37" s="1587"/>
      <c r="HA37" s="1587"/>
      <c r="HB37" s="1587"/>
      <c r="HC37" s="1587"/>
      <c r="HD37" s="1587"/>
      <c r="HE37" s="1587"/>
      <c r="HF37" s="1587"/>
      <c r="HG37" s="1587"/>
      <c r="HH37" s="1587"/>
      <c r="HI37" s="1587"/>
      <c r="HJ37" s="1587"/>
      <c r="HK37" s="1587"/>
      <c r="HL37" s="1587"/>
      <c r="HM37" s="1587"/>
      <c r="HN37" s="1587"/>
      <c r="HO37" s="1587"/>
      <c r="HP37" s="1587"/>
      <c r="HU37" s="1045">
        <f>CF37</f>
        <v>74496</v>
      </c>
      <c r="HW37" s="1043">
        <f t="shared" si="0"/>
        <v>74496</v>
      </c>
    </row>
    <row r="38" spans="1:231" s="449" customFormat="1" ht="10.199999999999999">
      <c r="A38" s="451"/>
      <c r="B38" s="1591" t="s">
        <v>1685</v>
      </c>
      <c r="C38" s="1591"/>
      <c r="D38" s="1591"/>
      <c r="E38" s="1591"/>
      <c r="F38" s="1591"/>
      <c r="G38" s="1591"/>
      <c r="H38" s="1591"/>
      <c r="I38" s="1591"/>
      <c r="J38" s="1591"/>
      <c r="K38" s="1591"/>
      <c r="L38" s="1591"/>
      <c r="M38" s="1591"/>
      <c r="N38" s="1591"/>
      <c r="O38" s="1591"/>
      <c r="P38" s="1591"/>
      <c r="Q38" s="1591"/>
      <c r="R38" s="1591"/>
      <c r="S38" s="1591"/>
      <c r="T38" s="1591"/>
      <c r="U38" s="1591"/>
      <c r="V38" s="1591"/>
      <c r="W38" s="1591"/>
      <c r="X38" s="1591"/>
      <c r="Y38" s="1591"/>
      <c r="Z38" s="1591"/>
      <c r="AA38" s="1591"/>
      <c r="AB38" s="1591"/>
      <c r="AC38" s="1591"/>
      <c r="AD38" s="1591"/>
      <c r="AE38" s="1591"/>
      <c r="AF38" s="1591"/>
      <c r="AG38" s="1591"/>
      <c r="AH38" s="1591"/>
      <c r="AI38" s="1591"/>
      <c r="AJ38" s="1591"/>
      <c r="AK38" s="1592"/>
      <c r="AL38" s="1593" t="s">
        <v>121</v>
      </c>
      <c r="AM38" s="1593"/>
      <c r="AN38" s="1593"/>
      <c r="AO38" s="1593"/>
      <c r="AP38" s="1593"/>
      <c r="AQ38" s="1593"/>
      <c r="AR38" s="1593"/>
      <c r="AS38" s="1593"/>
      <c r="AT38" s="1593"/>
      <c r="AU38" s="1593"/>
      <c r="AV38" s="1594" t="s">
        <v>987</v>
      </c>
      <c r="AW38" s="1594"/>
      <c r="AX38" s="1594"/>
      <c r="AY38" s="1594"/>
      <c r="AZ38" s="1594"/>
      <c r="BA38" s="1594"/>
      <c r="BB38" s="1594"/>
      <c r="BC38" s="1594"/>
      <c r="BD38" s="1587">
        <f>BD36-BD37</f>
        <v>96982</v>
      </c>
      <c r="BE38" s="1587"/>
      <c r="BF38" s="1587"/>
      <c r="BG38" s="1587"/>
      <c r="BH38" s="1587"/>
      <c r="BI38" s="1587"/>
      <c r="BJ38" s="1587"/>
      <c r="BK38" s="1587"/>
      <c r="BL38" s="1587"/>
      <c r="BM38" s="1587"/>
      <c r="BN38" s="1587"/>
      <c r="BO38" s="1587"/>
      <c r="BP38" s="1587"/>
      <c r="BQ38" s="1587"/>
      <c r="BR38" s="1587">
        <f>BD38</f>
        <v>96982</v>
      </c>
      <c r="BS38" s="1587"/>
      <c r="BT38" s="1587"/>
      <c r="BU38" s="1587"/>
      <c r="BV38" s="1587"/>
      <c r="BW38" s="1587"/>
      <c r="BX38" s="1587"/>
      <c r="BY38" s="1587"/>
      <c r="BZ38" s="1587"/>
      <c r="CA38" s="1587"/>
      <c r="CB38" s="1587"/>
      <c r="CC38" s="1587"/>
      <c r="CD38" s="1587"/>
      <c r="CE38" s="1587"/>
      <c r="CF38" s="1587">
        <f>CF36-CF37</f>
        <v>-135768</v>
      </c>
      <c r="CG38" s="1587"/>
      <c r="CH38" s="1587"/>
      <c r="CI38" s="1587"/>
      <c r="CJ38" s="1587"/>
      <c r="CK38" s="1587"/>
      <c r="CL38" s="1587"/>
      <c r="CM38" s="1587"/>
      <c r="CN38" s="1587"/>
      <c r="CO38" s="1587"/>
      <c r="CP38" s="1587"/>
      <c r="CQ38" s="1587"/>
      <c r="CR38" s="1587"/>
      <c r="CS38" s="1587"/>
      <c r="CT38" s="1587"/>
      <c r="CU38" s="1587"/>
      <c r="CV38" s="1587">
        <f>CV36-CV37</f>
        <v>180319</v>
      </c>
      <c r="CW38" s="1587"/>
      <c r="CX38" s="1587"/>
      <c r="CY38" s="1587"/>
      <c r="CZ38" s="1587"/>
      <c r="DA38" s="1587"/>
      <c r="DB38" s="1587"/>
      <c r="DC38" s="1587"/>
      <c r="DD38" s="1587"/>
      <c r="DE38" s="1587"/>
      <c r="DF38" s="1587"/>
      <c r="DG38" s="1587"/>
      <c r="DH38" s="1587"/>
      <c r="DI38" s="1587"/>
      <c r="DJ38" s="1587"/>
      <c r="DK38" s="1587"/>
      <c r="DL38" s="1587">
        <f>DL36-DL37</f>
        <v>52431</v>
      </c>
      <c r="DM38" s="1587"/>
      <c r="DN38" s="1587"/>
      <c r="DO38" s="1587"/>
      <c r="DP38" s="1587"/>
      <c r="DQ38" s="1587"/>
      <c r="DR38" s="1587"/>
      <c r="DS38" s="1587"/>
      <c r="DT38" s="1587"/>
      <c r="DU38" s="1587"/>
      <c r="DV38" s="1587"/>
      <c r="DW38" s="1587"/>
      <c r="DX38" s="1587"/>
      <c r="DY38" s="1587"/>
      <c r="DZ38" s="1587"/>
      <c r="EA38" s="1587"/>
      <c r="EB38" s="1587">
        <v>262313</v>
      </c>
      <c r="EC38" s="1587"/>
      <c r="ED38" s="1587"/>
      <c r="EE38" s="1587"/>
      <c r="EF38" s="1587"/>
      <c r="EG38" s="1587"/>
      <c r="EH38" s="1587"/>
      <c r="EI38" s="1587"/>
      <c r="EJ38" s="1587"/>
      <c r="EK38" s="1587"/>
      <c r="EL38" s="1587"/>
      <c r="EM38" s="1587"/>
      <c r="EN38" s="1587"/>
      <c r="EO38" s="1587"/>
      <c r="EP38" s="1588">
        <v>262313</v>
      </c>
      <c r="EQ38" s="1589"/>
      <c r="ER38" s="1589"/>
      <c r="ES38" s="1589"/>
      <c r="ET38" s="1589"/>
      <c r="EU38" s="1589"/>
      <c r="EV38" s="1589"/>
      <c r="EW38" s="1589"/>
      <c r="EX38" s="1589"/>
      <c r="EY38" s="1589"/>
      <c r="EZ38" s="1589"/>
      <c r="FA38" s="1589"/>
      <c r="FB38" s="1589"/>
      <c r="FC38" s="1590"/>
      <c r="FD38" s="1588">
        <v>101736</v>
      </c>
      <c r="FE38" s="1589"/>
      <c r="FF38" s="1589"/>
      <c r="FG38" s="1589"/>
      <c r="FH38" s="1589"/>
      <c r="FI38" s="1589"/>
      <c r="FJ38" s="1589"/>
      <c r="FK38" s="1589"/>
      <c r="FL38" s="1589"/>
      <c r="FM38" s="1589"/>
      <c r="FN38" s="1589"/>
      <c r="FO38" s="1589"/>
      <c r="FP38" s="1589"/>
      <c r="FQ38" s="1589"/>
      <c r="FR38" s="1589"/>
      <c r="FS38" s="1590"/>
      <c r="FT38" s="1588">
        <v>145858</v>
      </c>
      <c r="FU38" s="1589"/>
      <c r="FV38" s="1589"/>
      <c r="FW38" s="1589"/>
      <c r="FX38" s="1589"/>
      <c r="FY38" s="1589"/>
      <c r="FZ38" s="1589"/>
      <c r="GA38" s="1589"/>
      <c r="GB38" s="1589"/>
      <c r="GC38" s="1589"/>
      <c r="GD38" s="1589"/>
      <c r="GE38" s="1589"/>
      <c r="GF38" s="1589"/>
      <c r="GG38" s="1589"/>
      <c r="GH38" s="1589"/>
      <c r="GI38" s="1590"/>
      <c r="GJ38" s="1588">
        <v>14719</v>
      </c>
      <c r="GK38" s="1589"/>
      <c r="GL38" s="1589"/>
      <c r="GM38" s="1589"/>
      <c r="GN38" s="1589"/>
      <c r="GO38" s="1589"/>
      <c r="GP38" s="1589"/>
      <c r="GQ38" s="1589"/>
      <c r="GR38" s="1589"/>
      <c r="GS38" s="1589"/>
      <c r="GT38" s="1589"/>
      <c r="GU38" s="1589"/>
      <c r="GV38" s="1589"/>
      <c r="GW38" s="1589"/>
      <c r="GX38" s="1589"/>
      <c r="GY38" s="1590"/>
      <c r="GZ38" s="1587"/>
      <c r="HA38" s="1587"/>
      <c r="HB38" s="1587"/>
      <c r="HC38" s="1587"/>
      <c r="HD38" s="1587"/>
      <c r="HE38" s="1587"/>
      <c r="HF38" s="1587"/>
      <c r="HG38" s="1587"/>
      <c r="HH38" s="1587"/>
      <c r="HI38" s="1587"/>
      <c r="HJ38" s="1587"/>
      <c r="HK38" s="1587"/>
      <c r="HL38" s="1587"/>
      <c r="HM38" s="1587"/>
      <c r="HN38" s="1587"/>
      <c r="HO38" s="1587"/>
      <c r="HP38" s="1587"/>
      <c r="HU38" s="1045">
        <f>CF38</f>
        <v>-135768</v>
      </c>
      <c r="HW38" s="1043">
        <f t="shared" si="0"/>
        <v>-135768</v>
      </c>
    </row>
    <row r="39" spans="1:231" s="453" customFormat="1" ht="10.199999999999999">
      <c r="A39" s="452"/>
      <c r="B39" s="1583" t="s">
        <v>30</v>
      </c>
      <c r="C39" s="1583"/>
      <c r="D39" s="1583"/>
      <c r="E39" s="1583"/>
      <c r="F39" s="1583"/>
      <c r="G39" s="1583"/>
      <c r="H39" s="1583"/>
      <c r="I39" s="1583"/>
      <c r="J39" s="1583"/>
      <c r="K39" s="1583"/>
      <c r="L39" s="1583"/>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4"/>
      <c r="AL39" s="1585"/>
      <c r="AM39" s="1585"/>
      <c r="AN39" s="1585"/>
      <c r="AO39" s="1585"/>
      <c r="AP39" s="1585"/>
      <c r="AQ39" s="1585"/>
      <c r="AR39" s="1585"/>
      <c r="AS39" s="1585"/>
      <c r="AT39" s="1585"/>
      <c r="AU39" s="1585"/>
      <c r="AV39" s="1586"/>
      <c r="AW39" s="1586"/>
      <c r="AX39" s="1586"/>
      <c r="AY39" s="1586"/>
      <c r="AZ39" s="1586"/>
      <c r="BA39" s="1586"/>
      <c r="BB39" s="1586"/>
      <c r="BC39" s="1586"/>
      <c r="BD39" s="1574"/>
      <c r="BE39" s="1574"/>
      <c r="BF39" s="1574"/>
      <c r="BG39" s="1574"/>
      <c r="BH39" s="1574"/>
      <c r="BI39" s="1574"/>
      <c r="BJ39" s="1574"/>
      <c r="BK39" s="1574"/>
      <c r="BL39" s="1574"/>
      <c r="BM39" s="1574"/>
      <c r="BN39" s="1574"/>
      <c r="BO39" s="1574"/>
      <c r="BP39" s="1574"/>
      <c r="BQ39" s="1574"/>
      <c r="BR39" s="1574"/>
      <c r="BS39" s="1574"/>
      <c r="BT39" s="1574"/>
      <c r="BU39" s="1574"/>
      <c r="BV39" s="1574"/>
      <c r="BW39" s="1574"/>
      <c r="BX39" s="1574"/>
      <c r="BY39" s="1574"/>
      <c r="BZ39" s="1574"/>
      <c r="CA39" s="1574"/>
      <c r="CB39" s="1574"/>
      <c r="CC39" s="1574"/>
      <c r="CD39" s="1574"/>
      <c r="CE39" s="1574"/>
      <c r="CF39" s="1574"/>
      <c r="CG39" s="1574"/>
      <c r="CH39" s="1574"/>
      <c r="CI39" s="1574"/>
      <c r="CJ39" s="1574"/>
      <c r="CK39" s="1574"/>
      <c r="CL39" s="1574"/>
      <c r="CM39" s="1574"/>
      <c r="CN39" s="1574"/>
      <c r="CO39" s="1574"/>
      <c r="CP39" s="1574"/>
      <c r="CQ39" s="1574"/>
      <c r="CR39" s="1574"/>
      <c r="CS39" s="1574"/>
      <c r="CT39" s="1574"/>
      <c r="CU39" s="1574"/>
      <c r="CV39" s="1574"/>
      <c r="CW39" s="1574"/>
      <c r="CX39" s="1574"/>
      <c r="CY39" s="1574"/>
      <c r="CZ39" s="1574"/>
      <c r="DA39" s="1574"/>
      <c r="DB39" s="1574"/>
      <c r="DC39" s="1574"/>
      <c r="DD39" s="1574"/>
      <c r="DE39" s="1574"/>
      <c r="DF39" s="1574"/>
      <c r="DG39" s="1574"/>
      <c r="DH39" s="1574"/>
      <c r="DI39" s="1574"/>
      <c r="DJ39" s="1574"/>
      <c r="DK39" s="1574"/>
      <c r="DL39" s="1574"/>
      <c r="DM39" s="1574"/>
      <c r="DN39" s="1574"/>
      <c r="DO39" s="1574"/>
      <c r="DP39" s="1574"/>
      <c r="DQ39" s="1574"/>
      <c r="DR39" s="1574"/>
      <c r="DS39" s="1574"/>
      <c r="DT39" s="1574"/>
      <c r="DU39" s="1574"/>
      <c r="DV39" s="1574"/>
      <c r="DW39" s="1574"/>
      <c r="DX39" s="1574"/>
      <c r="DY39" s="1574"/>
      <c r="DZ39" s="1574"/>
      <c r="EA39" s="1574"/>
      <c r="EB39" s="1574"/>
      <c r="EC39" s="1574"/>
      <c r="ED39" s="1574"/>
      <c r="EE39" s="1574"/>
      <c r="EF39" s="1574"/>
      <c r="EG39" s="1574"/>
      <c r="EH39" s="1574"/>
      <c r="EI39" s="1574"/>
      <c r="EJ39" s="1574"/>
      <c r="EK39" s="1574"/>
      <c r="EL39" s="1574"/>
      <c r="EM39" s="1574"/>
      <c r="EN39" s="1574"/>
      <c r="EO39" s="1574"/>
      <c r="EP39" s="1574"/>
      <c r="EQ39" s="1574"/>
      <c r="ER39" s="1574"/>
      <c r="ES39" s="1574"/>
      <c r="ET39" s="1574"/>
      <c r="EU39" s="1574"/>
      <c r="EV39" s="1574"/>
      <c r="EW39" s="1574"/>
      <c r="EX39" s="1574"/>
      <c r="EY39" s="1574"/>
      <c r="EZ39" s="1574"/>
      <c r="FA39" s="1574"/>
      <c r="FB39" s="1574"/>
      <c r="FC39" s="1574"/>
      <c r="FD39" s="1571"/>
      <c r="FE39" s="1572"/>
      <c r="FF39" s="1572"/>
      <c r="FG39" s="1572"/>
      <c r="FH39" s="1572"/>
      <c r="FI39" s="1572"/>
      <c r="FJ39" s="1572"/>
      <c r="FK39" s="1572"/>
      <c r="FL39" s="1572"/>
      <c r="FM39" s="1572"/>
      <c r="FN39" s="1572"/>
      <c r="FO39" s="1572"/>
      <c r="FP39" s="1572"/>
      <c r="FQ39" s="1572"/>
      <c r="FR39" s="1572"/>
      <c r="FS39" s="1573"/>
      <c r="FT39" s="1571"/>
      <c r="FU39" s="1572"/>
      <c r="FV39" s="1572"/>
      <c r="FW39" s="1572"/>
      <c r="FX39" s="1572"/>
      <c r="FY39" s="1572"/>
      <c r="FZ39" s="1572"/>
      <c r="GA39" s="1572"/>
      <c r="GB39" s="1572"/>
      <c r="GC39" s="1572"/>
      <c r="GD39" s="1572"/>
      <c r="GE39" s="1572"/>
      <c r="GF39" s="1572"/>
      <c r="GG39" s="1572"/>
      <c r="GH39" s="1572"/>
      <c r="GI39" s="1573"/>
      <c r="GJ39" s="1571"/>
      <c r="GK39" s="1572"/>
      <c r="GL39" s="1572"/>
      <c r="GM39" s="1572"/>
      <c r="GN39" s="1572"/>
      <c r="GO39" s="1572"/>
      <c r="GP39" s="1572"/>
      <c r="GQ39" s="1572"/>
      <c r="GR39" s="1572"/>
      <c r="GS39" s="1572"/>
      <c r="GT39" s="1572"/>
      <c r="GU39" s="1572"/>
      <c r="GV39" s="1572"/>
      <c r="GW39" s="1572"/>
      <c r="GX39" s="1572"/>
      <c r="GY39" s="1573"/>
      <c r="GZ39" s="1574"/>
      <c r="HA39" s="1574"/>
      <c r="HB39" s="1574"/>
      <c r="HC39" s="1574"/>
      <c r="HD39" s="1574"/>
      <c r="HE39" s="1574"/>
      <c r="HF39" s="1574"/>
      <c r="HG39" s="1574"/>
      <c r="HH39" s="1574"/>
      <c r="HI39" s="1574"/>
      <c r="HJ39" s="1574"/>
      <c r="HK39" s="1574"/>
      <c r="HL39" s="1574"/>
      <c r="HM39" s="1574"/>
      <c r="HN39" s="1574"/>
      <c r="HO39" s="1574"/>
      <c r="HP39" s="1574"/>
    </row>
    <row r="40" spans="1:231" s="449" customFormat="1" ht="10.35" customHeight="1">
      <c r="A40" s="448"/>
      <c r="B40" s="1575" t="s">
        <v>1686</v>
      </c>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6"/>
      <c r="AL40" s="1553" t="s">
        <v>121</v>
      </c>
      <c r="AM40" s="1554"/>
      <c r="AN40" s="1554"/>
      <c r="AO40" s="1554"/>
      <c r="AP40" s="1554"/>
      <c r="AQ40" s="1554"/>
      <c r="AR40" s="1554"/>
      <c r="AS40" s="1554"/>
      <c r="AT40" s="1554"/>
      <c r="AU40" s="1555"/>
      <c r="AV40" s="1559">
        <v>140</v>
      </c>
      <c r="AW40" s="1560"/>
      <c r="AX40" s="1560"/>
      <c r="AY40" s="1560"/>
      <c r="AZ40" s="1560"/>
      <c r="BA40" s="1560"/>
      <c r="BB40" s="1560"/>
      <c r="BC40" s="1561"/>
      <c r="BD40" s="1540">
        <f>CF40+CV40+DL40</f>
        <v>351</v>
      </c>
      <c r="BE40" s="1541"/>
      <c r="BF40" s="1541"/>
      <c r="BG40" s="1541"/>
      <c r="BH40" s="1541"/>
      <c r="BI40" s="1541"/>
      <c r="BJ40" s="1541"/>
      <c r="BK40" s="1541"/>
      <c r="BL40" s="1541"/>
      <c r="BM40" s="1541"/>
      <c r="BN40" s="1541"/>
      <c r="BO40" s="1541"/>
      <c r="BP40" s="1541"/>
      <c r="BQ40" s="1542"/>
      <c r="BR40" s="1540">
        <f>BD40</f>
        <v>351</v>
      </c>
      <c r="BS40" s="1541"/>
      <c r="BT40" s="1541"/>
      <c r="BU40" s="1541"/>
      <c r="BV40" s="1541"/>
      <c r="BW40" s="1541"/>
      <c r="BX40" s="1541"/>
      <c r="BY40" s="1541"/>
      <c r="BZ40" s="1541"/>
      <c r="CA40" s="1541"/>
      <c r="CB40" s="1541"/>
      <c r="CC40" s="1541"/>
      <c r="CD40" s="1541"/>
      <c r="CE40" s="1542"/>
      <c r="CF40" s="1540">
        <f>206-29</f>
        <v>177</v>
      </c>
      <c r="CG40" s="1541"/>
      <c r="CH40" s="1541"/>
      <c r="CI40" s="1541"/>
      <c r="CJ40" s="1541"/>
      <c r="CK40" s="1541"/>
      <c r="CL40" s="1541"/>
      <c r="CM40" s="1541"/>
      <c r="CN40" s="1541"/>
      <c r="CO40" s="1541"/>
      <c r="CP40" s="1541"/>
      <c r="CQ40" s="1541"/>
      <c r="CR40" s="1541"/>
      <c r="CS40" s="1541"/>
      <c r="CT40" s="1541"/>
      <c r="CU40" s="1542"/>
      <c r="CV40" s="1540">
        <f>4-4</f>
        <v>0</v>
      </c>
      <c r="CW40" s="1541"/>
      <c r="CX40" s="1541"/>
      <c r="CY40" s="1541"/>
      <c r="CZ40" s="1541"/>
      <c r="DA40" s="1541"/>
      <c r="DB40" s="1541"/>
      <c r="DC40" s="1541"/>
      <c r="DD40" s="1541"/>
      <c r="DE40" s="1541"/>
      <c r="DF40" s="1541"/>
      <c r="DG40" s="1541"/>
      <c r="DH40" s="1541"/>
      <c r="DI40" s="1541"/>
      <c r="DJ40" s="1541"/>
      <c r="DK40" s="1542"/>
      <c r="DL40" s="1540">
        <f>174-0</f>
        <v>174</v>
      </c>
      <c r="DM40" s="1541"/>
      <c r="DN40" s="1541"/>
      <c r="DO40" s="1541"/>
      <c r="DP40" s="1541"/>
      <c r="DQ40" s="1541"/>
      <c r="DR40" s="1541"/>
      <c r="DS40" s="1541"/>
      <c r="DT40" s="1541"/>
      <c r="DU40" s="1541"/>
      <c r="DV40" s="1541"/>
      <c r="DW40" s="1541"/>
      <c r="DX40" s="1541"/>
      <c r="DY40" s="1541"/>
      <c r="DZ40" s="1541"/>
      <c r="EA40" s="1542"/>
      <c r="EB40" s="1540">
        <v>238</v>
      </c>
      <c r="EC40" s="1541"/>
      <c r="ED40" s="1541"/>
      <c r="EE40" s="1541"/>
      <c r="EF40" s="1541"/>
      <c r="EG40" s="1541"/>
      <c r="EH40" s="1541"/>
      <c r="EI40" s="1541"/>
      <c r="EJ40" s="1541"/>
      <c r="EK40" s="1541"/>
      <c r="EL40" s="1541"/>
      <c r="EM40" s="1541"/>
      <c r="EN40" s="1541"/>
      <c r="EO40" s="1542"/>
      <c r="EP40" s="1540">
        <v>238</v>
      </c>
      <c r="EQ40" s="1541"/>
      <c r="ER40" s="1541"/>
      <c r="ES40" s="1541"/>
      <c r="ET40" s="1541"/>
      <c r="EU40" s="1541"/>
      <c r="EV40" s="1541"/>
      <c r="EW40" s="1541"/>
      <c r="EX40" s="1541"/>
      <c r="EY40" s="1541"/>
      <c r="EZ40" s="1541"/>
      <c r="FA40" s="1541"/>
      <c r="FB40" s="1541"/>
      <c r="FC40" s="1542"/>
      <c r="FD40" s="1534">
        <v>151</v>
      </c>
      <c r="FE40" s="1535"/>
      <c r="FF40" s="1535"/>
      <c r="FG40" s="1535"/>
      <c r="FH40" s="1535"/>
      <c r="FI40" s="1535"/>
      <c r="FJ40" s="1535"/>
      <c r="FK40" s="1535"/>
      <c r="FL40" s="1535"/>
      <c r="FM40" s="1535"/>
      <c r="FN40" s="1535"/>
      <c r="FO40" s="1535"/>
      <c r="FP40" s="1535"/>
      <c r="FQ40" s="1535"/>
      <c r="FR40" s="1535"/>
      <c r="FS40" s="1536"/>
      <c r="FT40" s="1534">
        <v>32</v>
      </c>
      <c r="FU40" s="1535"/>
      <c r="FV40" s="1535"/>
      <c r="FW40" s="1535"/>
      <c r="FX40" s="1535"/>
      <c r="FY40" s="1535"/>
      <c r="FZ40" s="1535"/>
      <c r="GA40" s="1535"/>
      <c r="GB40" s="1535"/>
      <c r="GC40" s="1535"/>
      <c r="GD40" s="1535"/>
      <c r="GE40" s="1535"/>
      <c r="GF40" s="1535"/>
      <c r="GG40" s="1535"/>
      <c r="GH40" s="1535"/>
      <c r="GI40" s="1536"/>
      <c r="GJ40" s="1534">
        <v>55</v>
      </c>
      <c r="GK40" s="1535"/>
      <c r="GL40" s="1535"/>
      <c r="GM40" s="1535"/>
      <c r="GN40" s="1535"/>
      <c r="GO40" s="1535"/>
      <c r="GP40" s="1535"/>
      <c r="GQ40" s="1535"/>
      <c r="GR40" s="1535"/>
      <c r="GS40" s="1535"/>
      <c r="GT40" s="1535"/>
      <c r="GU40" s="1535"/>
      <c r="GV40" s="1535"/>
      <c r="GW40" s="1535"/>
      <c r="GX40" s="1535"/>
      <c r="GY40" s="1536"/>
      <c r="GZ40" s="1540"/>
      <c r="HA40" s="1541"/>
      <c r="HB40" s="1541"/>
      <c r="HC40" s="1541"/>
      <c r="HD40" s="1541"/>
      <c r="HE40" s="1541"/>
      <c r="HF40" s="1541"/>
      <c r="HG40" s="1541"/>
      <c r="HH40" s="1541"/>
      <c r="HI40" s="1541"/>
      <c r="HJ40" s="1541"/>
      <c r="HK40" s="1541"/>
      <c r="HL40" s="1541"/>
      <c r="HM40" s="1541"/>
      <c r="HN40" s="1541"/>
      <c r="HO40" s="1541"/>
      <c r="HP40" s="1542"/>
      <c r="HU40" s="1045">
        <f>SUM(HU25:HU38)</f>
        <v>8243414</v>
      </c>
      <c r="HV40" s="1045">
        <f t="shared" ref="HV40" si="2">SUM(HV25:HV38)</f>
        <v>3193462.2545400001</v>
      </c>
      <c r="HW40" s="1045">
        <f>SUM(HW25:HW38)</f>
        <v>5049951.7454599999</v>
      </c>
    </row>
    <row r="41" spans="1:231" s="445" customFormat="1" ht="10.35" customHeight="1">
      <c r="A41" s="446"/>
      <c r="B41" s="1549" t="s">
        <v>1687</v>
      </c>
      <c r="C41" s="1549"/>
      <c r="D41" s="1549"/>
      <c r="E41" s="1549"/>
      <c r="F41" s="1549"/>
      <c r="G41" s="1549"/>
      <c r="H41" s="1549"/>
      <c r="I41" s="1549"/>
      <c r="J41" s="1549"/>
      <c r="K41" s="1549"/>
      <c r="L41" s="1549"/>
      <c r="M41" s="1549"/>
      <c r="N41" s="1549"/>
      <c r="O41" s="1549"/>
      <c r="P41" s="1549"/>
      <c r="Q41" s="1549"/>
      <c r="R41" s="1549"/>
      <c r="S41" s="1549"/>
      <c r="T41" s="1549"/>
      <c r="U41" s="1549"/>
      <c r="V41" s="1549"/>
      <c r="W41" s="1549"/>
      <c r="X41" s="1549"/>
      <c r="Y41" s="1549"/>
      <c r="Z41" s="1549"/>
      <c r="AA41" s="1549"/>
      <c r="AB41" s="1549"/>
      <c r="AC41" s="1549"/>
      <c r="AD41" s="1549"/>
      <c r="AE41" s="1549"/>
      <c r="AF41" s="1549"/>
      <c r="AG41" s="1549"/>
      <c r="AH41" s="1549"/>
      <c r="AI41" s="1549"/>
      <c r="AJ41" s="1549"/>
      <c r="AK41" s="1550"/>
      <c r="AL41" s="1577"/>
      <c r="AM41" s="1578"/>
      <c r="AN41" s="1578"/>
      <c r="AO41" s="1578"/>
      <c r="AP41" s="1578"/>
      <c r="AQ41" s="1578"/>
      <c r="AR41" s="1578"/>
      <c r="AS41" s="1578"/>
      <c r="AT41" s="1578"/>
      <c r="AU41" s="1579"/>
      <c r="AV41" s="1580"/>
      <c r="AW41" s="1581"/>
      <c r="AX41" s="1581"/>
      <c r="AY41" s="1581"/>
      <c r="AZ41" s="1581"/>
      <c r="BA41" s="1581"/>
      <c r="BB41" s="1581"/>
      <c r="BC41" s="1582"/>
      <c r="BD41" s="1565"/>
      <c r="BE41" s="1566"/>
      <c r="BF41" s="1566"/>
      <c r="BG41" s="1566"/>
      <c r="BH41" s="1566"/>
      <c r="BI41" s="1566"/>
      <c r="BJ41" s="1566"/>
      <c r="BK41" s="1566"/>
      <c r="BL41" s="1566"/>
      <c r="BM41" s="1566"/>
      <c r="BN41" s="1566"/>
      <c r="BO41" s="1566"/>
      <c r="BP41" s="1566"/>
      <c r="BQ41" s="1567"/>
      <c r="BR41" s="1565"/>
      <c r="BS41" s="1566"/>
      <c r="BT41" s="1566"/>
      <c r="BU41" s="1566"/>
      <c r="BV41" s="1566"/>
      <c r="BW41" s="1566"/>
      <c r="BX41" s="1566"/>
      <c r="BY41" s="1566"/>
      <c r="BZ41" s="1566"/>
      <c r="CA41" s="1566"/>
      <c r="CB41" s="1566"/>
      <c r="CC41" s="1566"/>
      <c r="CD41" s="1566"/>
      <c r="CE41" s="1567"/>
      <c r="CF41" s="1565"/>
      <c r="CG41" s="1566"/>
      <c r="CH41" s="1566"/>
      <c r="CI41" s="1566"/>
      <c r="CJ41" s="1566"/>
      <c r="CK41" s="1566"/>
      <c r="CL41" s="1566"/>
      <c r="CM41" s="1566"/>
      <c r="CN41" s="1566"/>
      <c r="CO41" s="1566"/>
      <c r="CP41" s="1566"/>
      <c r="CQ41" s="1566"/>
      <c r="CR41" s="1566"/>
      <c r="CS41" s="1566"/>
      <c r="CT41" s="1566"/>
      <c r="CU41" s="1567"/>
      <c r="CV41" s="1565"/>
      <c r="CW41" s="1566"/>
      <c r="CX41" s="1566"/>
      <c r="CY41" s="1566"/>
      <c r="CZ41" s="1566"/>
      <c r="DA41" s="1566"/>
      <c r="DB41" s="1566"/>
      <c r="DC41" s="1566"/>
      <c r="DD41" s="1566"/>
      <c r="DE41" s="1566"/>
      <c r="DF41" s="1566"/>
      <c r="DG41" s="1566"/>
      <c r="DH41" s="1566"/>
      <c r="DI41" s="1566"/>
      <c r="DJ41" s="1566"/>
      <c r="DK41" s="1567"/>
      <c r="DL41" s="1565"/>
      <c r="DM41" s="1566"/>
      <c r="DN41" s="1566"/>
      <c r="DO41" s="1566"/>
      <c r="DP41" s="1566"/>
      <c r="DQ41" s="1566"/>
      <c r="DR41" s="1566"/>
      <c r="DS41" s="1566"/>
      <c r="DT41" s="1566"/>
      <c r="DU41" s="1566"/>
      <c r="DV41" s="1566"/>
      <c r="DW41" s="1566"/>
      <c r="DX41" s="1566"/>
      <c r="DY41" s="1566"/>
      <c r="DZ41" s="1566"/>
      <c r="EA41" s="1567"/>
      <c r="EB41" s="1565"/>
      <c r="EC41" s="1566"/>
      <c r="ED41" s="1566"/>
      <c r="EE41" s="1566"/>
      <c r="EF41" s="1566"/>
      <c r="EG41" s="1566"/>
      <c r="EH41" s="1566"/>
      <c r="EI41" s="1566"/>
      <c r="EJ41" s="1566"/>
      <c r="EK41" s="1566"/>
      <c r="EL41" s="1566"/>
      <c r="EM41" s="1566"/>
      <c r="EN41" s="1566"/>
      <c r="EO41" s="1567"/>
      <c r="EP41" s="1565"/>
      <c r="EQ41" s="1566"/>
      <c r="ER41" s="1566"/>
      <c r="ES41" s="1566"/>
      <c r="ET41" s="1566"/>
      <c r="EU41" s="1566"/>
      <c r="EV41" s="1566"/>
      <c r="EW41" s="1566"/>
      <c r="EX41" s="1566"/>
      <c r="EY41" s="1566"/>
      <c r="EZ41" s="1566"/>
      <c r="FA41" s="1566"/>
      <c r="FB41" s="1566"/>
      <c r="FC41" s="1567"/>
      <c r="FD41" s="1568"/>
      <c r="FE41" s="1569"/>
      <c r="FF41" s="1569"/>
      <c r="FG41" s="1569"/>
      <c r="FH41" s="1569"/>
      <c r="FI41" s="1569"/>
      <c r="FJ41" s="1569"/>
      <c r="FK41" s="1569"/>
      <c r="FL41" s="1569"/>
      <c r="FM41" s="1569"/>
      <c r="FN41" s="1569"/>
      <c r="FO41" s="1569"/>
      <c r="FP41" s="1569"/>
      <c r="FQ41" s="1569"/>
      <c r="FR41" s="1569"/>
      <c r="FS41" s="1570"/>
      <c r="FT41" s="1568"/>
      <c r="FU41" s="1569"/>
      <c r="FV41" s="1569"/>
      <c r="FW41" s="1569"/>
      <c r="FX41" s="1569"/>
      <c r="FY41" s="1569"/>
      <c r="FZ41" s="1569"/>
      <c r="GA41" s="1569"/>
      <c r="GB41" s="1569"/>
      <c r="GC41" s="1569"/>
      <c r="GD41" s="1569"/>
      <c r="GE41" s="1569"/>
      <c r="GF41" s="1569"/>
      <c r="GG41" s="1569"/>
      <c r="GH41" s="1569"/>
      <c r="GI41" s="1570"/>
      <c r="GJ41" s="1568"/>
      <c r="GK41" s="1569"/>
      <c r="GL41" s="1569"/>
      <c r="GM41" s="1569"/>
      <c r="GN41" s="1569"/>
      <c r="GO41" s="1569"/>
      <c r="GP41" s="1569"/>
      <c r="GQ41" s="1569"/>
      <c r="GR41" s="1569"/>
      <c r="GS41" s="1569"/>
      <c r="GT41" s="1569"/>
      <c r="GU41" s="1569"/>
      <c r="GV41" s="1569"/>
      <c r="GW41" s="1569"/>
      <c r="GX41" s="1569"/>
      <c r="GY41" s="1570"/>
      <c r="GZ41" s="1565"/>
      <c r="HA41" s="1566"/>
      <c r="HB41" s="1566"/>
      <c r="HC41" s="1566"/>
      <c r="HD41" s="1566"/>
      <c r="HE41" s="1566"/>
      <c r="HF41" s="1566"/>
      <c r="HG41" s="1566"/>
      <c r="HH41" s="1566"/>
      <c r="HI41" s="1566"/>
      <c r="HJ41" s="1566"/>
      <c r="HK41" s="1566"/>
      <c r="HL41" s="1566"/>
      <c r="HM41" s="1566"/>
      <c r="HN41" s="1566"/>
      <c r="HO41" s="1566"/>
      <c r="HP41" s="1567"/>
    </row>
    <row r="42" spans="1:231" s="445" customFormat="1" ht="10.35" customHeight="1">
      <c r="A42" s="447"/>
      <c r="B42" s="1546" t="s">
        <v>1688</v>
      </c>
      <c r="C42" s="1546"/>
      <c r="D42" s="1546"/>
      <c r="E42" s="1546"/>
      <c r="F42" s="1546"/>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7"/>
      <c r="AL42" s="1556"/>
      <c r="AM42" s="1557"/>
      <c r="AN42" s="1557"/>
      <c r="AO42" s="1557"/>
      <c r="AP42" s="1557"/>
      <c r="AQ42" s="1557"/>
      <c r="AR42" s="1557"/>
      <c r="AS42" s="1557"/>
      <c r="AT42" s="1557"/>
      <c r="AU42" s="1558"/>
      <c r="AV42" s="1562"/>
      <c r="AW42" s="1563"/>
      <c r="AX42" s="1563"/>
      <c r="AY42" s="1563"/>
      <c r="AZ42" s="1563"/>
      <c r="BA42" s="1563"/>
      <c r="BB42" s="1563"/>
      <c r="BC42" s="1564"/>
      <c r="BD42" s="1543"/>
      <c r="BE42" s="1544"/>
      <c r="BF42" s="1544"/>
      <c r="BG42" s="1544"/>
      <c r="BH42" s="1544"/>
      <c r="BI42" s="1544"/>
      <c r="BJ42" s="1544"/>
      <c r="BK42" s="1544"/>
      <c r="BL42" s="1544"/>
      <c r="BM42" s="1544"/>
      <c r="BN42" s="1544"/>
      <c r="BO42" s="1544"/>
      <c r="BP42" s="1544"/>
      <c r="BQ42" s="1545"/>
      <c r="BR42" s="1543"/>
      <c r="BS42" s="1544"/>
      <c r="BT42" s="1544"/>
      <c r="BU42" s="1544"/>
      <c r="BV42" s="1544"/>
      <c r="BW42" s="1544"/>
      <c r="BX42" s="1544"/>
      <c r="BY42" s="1544"/>
      <c r="BZ42" s="1544"/>
      <c r="CA42" s="1544"/>
      <c r="CB42" s="1544"/>
      <c r="CC42" s="1544"/>
      <c r="CD42" s="1544"/>
      <c r="CE42" s="1545"/>
      <c r="CF42" s="1543"/>
      <c r="CG42" s="1544"/>
      <c r="CH42" s="1544"/>
      <c r="CI42" s="1544"/>
      <c r="CJ42" s="1544"/>
      <c r="CK42" s="1544"/>
      <c r="CL42" s="1544"/>
      <c r="CM42" s="1544"/>
      <c r="CN42" s="1544"/>
      <c r="CO42" s="1544"/>
      <c r="CP42" s="1544"/>
      <c r="CQ42" s="1544"/>
      <c r="CR42" s="1544"/>
      <c r="CS42" s="1544"/>
      <c r="CT42" s="1544"/>
      <c r="CU42" s="1545"/>
      <c r="CV42" s="1543"/>
      <c r="CW42" s="1544"/>
      <c r="CX42" s="1544"/>
      <c r="CY42" s="1544"/>
      <c r="CZ42" s="1544"/>
      <c r="DA42" s="1544"/>
      <c r="DB42" s="1544"/>
      <c r="DC42" s="1544"/>
      <c r="DD42" s="1544"/>
      <c r="DE42" s="1544"/>
      <c r="DF42" s="1544"/>
      <c r="DG42" s="1544"/>
      <c r="DH42" s="1544"/>
      <c r="DI42" s="1544"/>
      <c r="DJ42" s="1544"/>
      <c r="DK42" s="1545"/>
      <c r="DL42" s="1543"/>
      <c r="DM42" s="1544"/>
      <c r="DN42" s="1544"/>
      <c r="DO42" s="1544"/>
      <c r="DP42" s="1544"/>
      <c r="DQ42" s="1544"/>
      <c r="DR42" s="1544"/>
      <c r="DS42" s="1544"/>
      <c r="DT42" s="1544"/>
      <c r="DU42" s="1544"/>
      <c r="DV42" s="1544"/>
      <c r="DW42" s="1544"/>
      <c r="DX42" s="1544"/>
      <c r="DY42" s="1544"/>
      <c r="DZ42" s="1544"/>
      <c r="EA42" s="1545"/>
      <c r="EB42" s="1543"/>
      <c r="EC42" s="1544"/>
      <c r="ED42" s="1544"/>
      <c r="EE42" s="1544"/>
      <c r="EF42" s="1544"/>
      <c r="EG42" s="1544"/>
      <c r="EH42" s="1544"/>
      <c r="EI42" s="1544"/>
      <c r="EJ42" s="1544"/>
      <c r="EK42" s="1544"/>
      <c r="EL42" s="1544"/>
      <c r="EM42" s="1544"/>
      <c r="EN42" s="1544"/>
      <c r="EO42" s="1545"/>
      <c r="EP42" s="1543"/>
      <c r="EQ42" s="1544"/>
      <c r="ER42" s="1544"/>
      <c r="ES42" s="1544"/>
      <c r="ET42" s="1544"/>
      <c r="EU42" s="1544"/>
      <c r="EV42" s="1544"/>
      <c r="EW42" s="1544"/>
      <c r="EX42" s="1544"/>
      <c r="EY42" s="1544"/>
      <c r="EZ42" s="1544"/>
      <c r="FA42" s="1544"/>
      <c r="FB42" s="1544"/>
      <c r="FC42" s="1545"/>
      <c r="FD42" s="1537"/>
      <c r="FE42" s="1538"/>
      <c r="FF42" s="1538"/>
      <c r="FG42" s="1538"/>
      <c r="FH42" s="1538"/>
      <c r="FI42" s="1538"/>
      <c r="FJ42" s="1538"/>
      <c r="FK42" s="1538"/>
      <c r="FL42" s="1538"/>
      <c r="FM42" s="1538"/>
      <c r="FN42" s="1538"/>
      <c r="FO42" s="1538"/>
      <c r="FP42" s="1538"/>
      <c r="FQ42" s="1538"/>
      <c r="FR42" s="1538"/>
      <c r="FS42" s="1539"/>
      <c r="FT42" s="1537"/>
      <c r="FU42" s="1538"/>
      <c r="FV42" s="1538"/>
      <c r="FW42" s="1538"/>
      <c r="FX42" s="1538"/>
      <c r="FY42" s="1538"/>
      <c r="FZ42" s="1538"/>
      <c r="GA42" s="1538"/>
      <c r="GB42" s="1538"/>
      <c r="GC42" s="1538"/>
      <c r="GD42" s="1538"/>
      <c r="GE42" s="1538"/>
      <c r="GF42" s="1538"/>
      <c r="GG42" s="1538"/>
      <c r="GH42" s="1538"/>
      <c r="GI42" s="1539"/>
      <c r="GJ42" s="1537"/>
      <c r="GK42" s="1538"/>
      <c r="GL42" s="1538"/>
      <c r="GM42" s="1538"/>
      <c r="GN42" s="1538"/>
      <c r="GO42" s="1538"/>
      <c r="GP42" s="1538"/>
      <c r="GQ42" s="1538"/>
      <c r="GR42" s="1538"/>
      <c r="GS42" s="1538"/>
      <c r="GT42" s="1538"/>
      <c r="GU42" s="1538"/>
      <c r="GV42" s="1538"/>
      <c r="GW42" s="1538"/>
      <c r="GX42" s="1538"/>
      <c r="GY42" s="1539"/>
      <c r="GZ42" s="1543"/>
      <c r="HA42" s="1544"/>
      <c r="HB42" s="1544"/>
      <c r="HC42" s="1544"/>
      <c r="HD42" s="1544"/>
      <c r="HE42" s="1544"/>
      <c r="HF42" s="1544"/>
      <c r="HG42" s="1544"/>
      <c r="HH42" s="1544"/>
      <c r="HI42" s="1544"/>
      <c r="HJ42" s="1544"/>
      <c r="HK42" s="1544"/>
      <c r="HL42" s="1544"/>
      <c r="HM42" s="1544"/>
      <c r="HN42" s="1544"/>
      <c r="HO42" s="1544"/>
      <c r="HP42" s="1545"/>
    </row>
    <row r="43" spans="1:231" s="445" customFormat="1" ht="10.35" customHeight="1">
      <c r="A43" s="444"/>
      <c r="B43" s="1551" t="s">
        <v>1689</v>
      </c>
      <c r="C43" s="1551"/>
      <c r="D43" s="1551"/>
      <c r="E43" s="1551"/>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2"/>
      <c r="AL43" s="1553" t="s">
        <v>121</v>
      </c>
      <c r="AM43" s="1554"/>
      <c r="AN43" s="1554"/>
      <c r="AO43" s="1554"/>
      <c r="AP43" s="1554"/>
      <c r="AQ43" s="1554"/>
      <c r="AR43" s="1554"/>
      <c r="AS43" s="1554"/>
      <c r="AT43" s="1554"/>
      <c r="AU43" s="1555"/>
      <c r="AV43" s="1559">
        <v>150</v>
      </c>
      <c r="AW43" s="1560"/>
      <c r="AX43" s="1560"/>
      <c r="AY43" s="1560"/>
      <c r="AZ43" s="1560"/>
      <c r="BA43" s="1560"/>
      <c r="BB43" s="1560"/>
      <c r="BC43" s="1561"/>
      <c r="BD43" s="1540">
        <f>CF43+CV43+DL43</f>
        <v>-109461</v>
      </c>
      <c r="BE43" s="1541"/>
      <c r="BF43" s="1541"/>
      <c r="BG43" s="1541"/>
      <c r="BH43" s="1541"/>
      <c r="BI43" s="1541"/>
      <c r="BJ43" s="1541"/>
      <c r="BK43" s="1541"/>
      <c r="BL43" s="1541"/>
      <c r="BM43" s="1541"/>
      <c r="BN43" s="1541"/>
      <c r="BO43" s="1541"/>
      <c r="BP43" s="1541"/>
      <c r="BQ43" s="1542"/>
      <c r="BR43" s="1540">
        <f>BD43</f>
        <v>-109461</v>
      </c>
      <c r="BS43" s="1541"/>
      <c r="BT43" s="1541"/>
      <c r="BU43" s="1541"/>
      <c r="BV43" s="1541"/>
      <c r="BW43" s="1541"/>
      <c r="BX43" s="1541"/>
      <c r="BY43" s="1541"/>
      <c r="BZ43" s="1541"/>
      <c r="CA43" s="1541"/>
      <c r="CB43" s="1541"/>
      <c r="CC43" s="1541"/>
      <c r="CD43" s="1541"/>
      <c r="CE43" s="1542"/>
      <c r="CF43" s="1540">
        <f>40591-147920</f>
        <v>-107329</v>
      </c>
      <c r="CG43" s="1541"/>
      <c r="CH43" s="1541"/>
      <c r="CI43" s="1541"/>
      <c r="CJ43" s="1541"/>
      <c r="CK43" s="1541"/>
      <c r="CL43" s="1541"/>
      <c r="CM43" s="1541"/>
      <c r="CN43" s="1541"/>
      <c r="CO43" s="1541"/>
      <c r="CP43" s="1541"/>
      <c r="CQ43" s="1541"/>
      <c r="CR43" s="1541"/>
      <c r="CS43" s="1541"/>
      <c r="CT43" s="1541"/>
      <c r="CU43" s="1542"/>
      <c r="CV43" s="1540">
        <f>28834-27509</f>
        <v>1325</v>
      </c>
      <c r="CW43" s="1541"/>
      <c r="CX43" s="1541"/>
      <c r="CY43" s="1541"/>
      <c r="CZ43" s="1541"/>
      <c r="DA43" s="1541"/>
      <c r="DB43" s="1541"/>
      <c r="DC43" s="1541"/>
      <c r="DD43" s="1541"/>
      <c r="DE43" s="1541"/>
      <c r="DF43" s="1541"/>
      <c r="DG43" s="1541"/>
      <c r="DH43" s="1541"/>
      <c r="DI43" s="1541"/>
      <c r="DJ43" s="1541"/>
      <c r="DK43" s="1542"/>
      <c r="DL43" s="1540">
        <f>36-3493</f>
        <v>-3457</v>
      </c>
      <c r="DM43" s="1541"/>
      <c r="DN43" s="1541"/>
      <c r="DO43" s="1541"/>
      <c r="DP43" s="1541"/>
      <c r="DQ43" s="1541"/>
      <c r="DR43" s="1541"/>
      <c r="DS43" s="1541"/>
      <c r="DT43" s="1541"/>
      <c r="DU43" s="1541"/>
      <c r="DV43" s="1541"/>
      <c r="DW43" s="1541"/>
      <c r="DX43" s="1541"/>
      <c r="DY43" s="1541"/>
      <c r="DZ43" s="1541"/>
      <c r="EA43" s="1542"/>
      <c r="EB43" s="1540">
        <v>406435</v>
      </c>
      <c r="EC43" s="1541"/>
      <c r="ED43" s="1541"/>
      <c r="EE43" s="1541"/>
      <c r="EF43" s="1541"/>
      <c r="EG43" s="1541"/>
      <c r="EH43" s="1541"/>
      <c r="EI43" s="1541"/>
      <c r="EJ43" s="1541"/>
      <c r="EK43" s="1541"/>
      <c r="EL43" s="1541"/>
      <c r="EM43" s="1541"/>
      <c r="EN43" s="1541"/>
      <c r="EO43" s="1542"/>
      <c r="EP43" s="1540">
        <v>406435</v>
      </c>
      <c r="EQ43" s="1541"/>
      <c r="ER43" s="1541"/>
      <c r="ES43" s="1541"/>
      <c r="ET43" s="1541"/>
      <c r="EU43" s="1541"/>
      <c r="EV43" s="1541"/>
      <c r="EW43" s="1541"/>
      <c r="EX43" s="1541"/>
      <c r="EY43" s="1541"/>
      <c r="EZ43" s="1541"/>
      <c r="FA43" s="1541"/>
      <c r="FB43" s="1541"/>
      <c r="FC43" s="1542"/>
      <c r="FD43" s="1534">
        <v>398659</v>
      </c>
      <c r="FE43" s="1535"/>
      <c r="FF43" s="1535"/>
      <c r="FG43" s="1535"/>
      <c r="FH43" s="1535"/>
      <c r="FI43" s="1535"/>
      <c r="FJ43" s="1535"/>
      <c r="FK43" s="1535"/>
      <c r="FL43" s="1535"/>
      <c r="FM43" s="1535"/>
      <c r="FN43" s="1535"/>
      <c r="FO43" s="1535"/>
      <c r="FP43" s="1535"/>
      <c r="FQ43" s="1535"/>
      <c r="FR43" s="1535"/>
      <c r="FS43" s="1536"/>
      <c r="FT43" s="1534">
        <v>-341</v>
      </c>
      <c r="FU43" s="1535"/>
      <c r="FV43" s="1535"/>
      <c r="FW43" s="1535"/>
      <c r="FX43" s="1535"/>
      <c r="FY43" s="1535"/>
      <c r="FZ43" s="1535"/>
      <c r="GA43" s="1535"/>
      <c r="GB43" s="1535"/>
      <c r="GC43" s="1535"/>
      <c r="GD43" s="1535"/>
      <c r="GE43" s="1535"/>
      <c r="GF43" s="1535"/>
      <c r="GG43" s="1535"/>
      <c r="GH43" s="1535"/>
      <c r="GI43" s="1536"/>
      <c r="GJ43" s="1534">
        <v>8117</v>
      </c>
      <c r="GK43" s="1535"/>
      <c r="GL43" s="1535"/>
      <c r="GM43" s="1535"/>
      <c r="GN43" s="1535"/>
      <c r="GO43" s="1535"/>
      <c r="GP43" s="1535"/>
      <c r="GQ43" s="1535"/>
      <c r="GR43" s="1535"/>
      <c r="GS43" s="1535"/>
      <c r="GT43" s="1535"/>
      <c r="GU43" s="1535"/>
      <c r="GV43" s="1535"/>
      <c r="GW43" s="1535"/>
      <c r="GX43" s="1535"/>
      <c r="GY43" s="1536"/>
      <c r="GZ43" s="1540"/>
      <c r="HA43" s="1541"/>
      <c r="HB43" s="1541"/>
      <c r="HC43" s="1541"/>
      <c r="HD43" s="1541"/>
      <c r="HE43" s="1541"/>
      <c r="HF43" s="1541"/>
      <c r="HG43" s="1541"/>
      <c r="HH43" s="1541"/>
      <c r="HI43" s="1541"/>
      <c r="HJ43" s="1541"/>
      <c r="HK43" s="1541"/>
      <c r="HL43" s="1541"/>
      <c r="HM43" s="1541"/>
      <c r="HN43" s="1541"/>
      <c r="HO43" s="1541"/>
      <c r="HP43" s="1542"/>
    </row>
    <row r="44" spans="1:231" s="445" customFormat="1" ht="10.35" customHeight="1">
      <c r="A44" s="447"/>
      <c r="B44" s="1546" t="s">
        <v>1690</v>
      </c>
      <c r="C44" s="1546"/>
      <c r="D44" s="1546"/>
      <c r="E44" s="1546"/>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7"/>
      <c r="AL44" s="1556"/>
      <c r="AM44" s="1557"/>
      <c r="AN44" s="1557"/>
      <c r="AO44" s="1557"/>
      <c r="AP44" s="1557"/>
      <c r="AQ44" s="1557"/>
      <c r="AR44" s="1557"/>
      <c r="AS44" s="1557"/>
      <c r="AT44" s="1557"/>
      <c r="AU44" s="1558"/>
      <c r="AV44" s="1562"/>
      <c r="AW44" s="1563"/>
      <c r="AX44" s="1563"/>
      <c r="AY44" s="1563"/>
      <c r="AZ44" s="1563"/>
      <c r="BA44" s="1563"/>
      <c r="BB44" s="1563"/>
      <c r="BC44" s="1564"/>
      <c r="BD44" s="1543"/>
      <c r="BE44" s="1544"/>
      <c r="BF44" s="1544"/>
      <c r="BG44" s="1544"/>
      <c r="BH44" s="1544"/>
      <c r="BI44" s="1544"/>
      <c r="BJ44" s="1544"/>
      <c r="BK44" s="1544"/>
      <c r="BL44" s="1544"/>
      <c r="BM44" s="1544"/>
      <c r="BN44" s="1544"/>
      <c r="BO44" s="1544"/>
      <c r="BP44" s="1544"/>
      <c r="BQ44" s="1545"/>
      <c r="BR44" s="1543"/>
      <c r="BS44" s="1544"/>
      <c r="BT44" s="1544"/>
      <c r="BU44" s="1544"/>
      <c r="BV44" s="1544"/>
      <c r="BW44" s="1544"/>
      <c r="BX44" s="1544"/>
      <c r="BY44" s="1544"/>
      <c r="BZ44" s="1544"/>
      <c r="CA44" s="1544"/>
      <c r="CB44" s="1544"/>
      <c r="CC44" s="1544"/>
      <c r="CD44" s="1544"/>
      <c r="CE44" s="1545"/>
      <c r="CF44" s="1543"/>
      <c r="CG44" s="1544"/>
      <c r="CH44" s="1544"/>
      <c r="CI44" s="1544"/>
      <c r="CJ44" s="1544"/>
      <c r="CK44" s="1544"/>
      <c r="CL44" s="1544"/>
      <c r="CM44" s="1544"/>
      <c r="CN44" s="1544"/>
      <c r="CO44" s="1544"/>
      <c r="CP44" s="1544"/>
      <c r="CQ44" s="1544"/>
      <c r="CR44" s="1544"/>
      <c r="CS44" s="1544"/>
      <c r="CT44" s="1544"/>
      <c r="CU44" s="1545"/>
      <c r="CV44" s="1543"/>
      <c r="CW44" s="1544"/>
      <c r="CX44" s="1544"/>
      <c r="CY44" s="1544"/>
      <c r="CZ44" s="1544"/>
      <c r="DA44" s="1544"/>
      <c r="DB44" s="1544"/>
      <c r="DC44" s="1544"/>
      <c r="DD44" s="1544"/>
      <c r="DE44" s="1544"/>
      <c r="DF44" s="1544"/>
      <c r="DG44" s="1544"/>
      <c r="DH44" s="1544"/>
      <c r="DI44" s="1544"/>
      <c r="DJ44" s="1544"/>
      <c r="DK44" s="1545"/>
      <c r="DL44" s="1543"/>
      <c r="DM44" s="1544"/>
      <c r="DN44" s="1544"/>
      <c r="DO44" s="1544"/>
      <c r="DP44" s="1544"/>
      <c r="DQ44" s="1544"/>
      <c r="DR44" s="1544"/>
      <c r="DS44" s="1544"/>
      <c r="DT44" s="1544"/>
      <c r="DU44" s="1544"/>
      <c r="DV44" s="1544"/>
      <c r="DW44" s="1544"/>
      <c r="DX44" s="1544"/>
      <c r="DY44" s="1544"/>
      <c r="DZ44" s="1544"/>
      <c r="EA44" s="1545"/>
      <c r="EB44" s="1543"/>
      <c r="EC44" s="1544"/>
      <c r="ED44" s="1544"/>
      <c r="EE44" s="1544"/>
      <c r="EF44" s="1544"/>
      <c r="EG44" s="1544"/>
      <c r="EH44" s="1544"/>
      <c r="EI44" s="1544"/>
      <c r="EJ44" s="1544"/>
      <c r="EK44" s="1544"/>
      <c r="EL44" s="1544"/>
      <c r="EM44" s="1544"/>
      <c r="EN44" s="1544"/>
      <c r="EO44" s="1545"/>
      <c r="EP44" s="1543"/>
      <c r="EQ44" s="1544"/>
      <c r="ER44" s="1544"/>
      <c r="ES44" s="1544"/>
      <c r="ET44" s="1544"/>
      <c r="EU44" s="1544"/>
      <c r="EV44" s="1544"/>
      <c r="EW44" s="1544"/>
      <c r="EX44" s="1544"/>
      <c r="EY44" s="1544"/>
      <c r="EZ44" s="1544"/>
      <c r="FA44" s="1544"/>
      <c r="FB44" s="1544"/>
      <c r="FC44" s="1545"/>
      <c r="FD44" s="1537"/>
      <c r="FE44" s="1538"/>
      <c r="FF44" s="1538"/>
      <c r="FG44" s="1538"/>
      <c r="FH44" s="1538"/>
      <c r="FI44" s="1538"/>
      <c r="FJ44" s="1538"/>
      <c r="FK44" s="1538"/>
      <c r="FL44" s="1538"/>
      <c r="FM44" s="1538"/>
      <c r="FN44" s="1538"/>
      <c r="FO44" s="1538"/>
      <c r="FP44" s="1538"/>
      <c r="FQ44" s="1538"/>
      <c r="FR44" s="1538"/>
      <c r="FS44" s="1539"/>
      <c r="FT44" s="1537"/>
      <c r="FU44" s="1538"/>
      <c r="FV44" s="1538"/>
      <c r="FW44" s="1538"/>
      <c r="FX44" s="1538"/>
      <c r="FY44" s="1538"/>
      <c r="FZ44" s="1538"/>
      <c r="GA44" s="1538"/>
      <c r="GB44" s="1538"/>
      <c r="GC44" s="1538"/>
      <c r="GD44" s="1538"/>
      <c r="GE44" s="1538"/>
      <c r="GF44" s="1538"/>
      <c r="GG44" s="1538"/>
      <c r="GH44" s="1538"/>
      <c r="GI44" s="1539"/>
      <c r="GJ44" s="1537"/>
      <c r="GK44" s="1538"/>
      <c r="GL44" s="1538"/>
      <c r="GM44" s="1538"/>
      <c r="GN44" s="1538"/>
      <c r="GO44" s="1538"/>
      <c r="GP44" s="1538"/>
      <c r="GQ44" s="1538"/>
      <c r="GR44" s="1538"/>
      <c r="GS44" s="1538"/>
      <c r="GT44" s="1538"/>
      <c r="GU44" s="1538"/>
      <c r="GV44" s="1538"/>
      <c r="GW44" s="1538"/>
      <c r="GX44" s="1538"/>
      <c r="GY44" s="1539"/>
      <c r="GZ44" s="1543"/>
      <c r="HA44" s="1544"/>
      <c r="HB44" s="1544"/>
      <c r="HC44" s="1544"/>
      <c r="HD44" s="1544"/>
      <c r="HE44" s="1544"/>
      <c r="HF44" s="1544"/>
      <c r="HG44" s="1544"/>
      <c r="HH44" s="1544"/>
      <c r="HI44" s="1544"/>
      <c r="HJ44" s="1544"/>
      <c r="HK44" s="1544"/>
      <c r="HL44" s="1544"/>
      <c r="HM44" s="1544"/>
      <c r="HN44" s="1544"/>
      <c r="HO44" s="1544"/>
      <c r="HP44" s="1545"/>
    </row>
    <row r="45" spans="1:231" s="454" customFormat="1" ht="6" customHeight="1"/>
    <row r="46" spans="1:231" s="456" customFormat="1" ht="10.199999999999999">
      <c r="A46" s="455" t="s">
        <v>1691</v>
      </c>
    </row>
    <row r="47" spans="1:231" s="454" customFormat="1" ht="11.25" customHeight="1">
      <c r="A47" s="457" t="s">
        <v>1692</v>
      </c>
      <c r="B47" s="45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c r="CU47" s="457"/>
      <c r="CV47" s="457"/>
      <c r="CW47" s="457"/>
      <c r="CX47" s="457"/>
      <c r="CY47" s="457"/>
      <c r="CZ47" s="457"/>
      <c r="DA47" s="457"/>
      <c r="DB47" s="457"/>
      <c r="DC47" s="457"/>
      <c r="DD47" s="457"/>
      <c r="DE47" s="457"/>
      <c r="DF47" s="457"/>
      <c r="DG47" s="457"/>
      <c r="DH47" s="457"/>
      <c r="DI47" s="457"/>
      <c r="DJ47" s="457"/>
      <c r="DK47" s="457"/>
      <c r="DL47" s="457"/>
      <c r="DM47" s="457"/>
      <c r="DN47" s="457"/>
      <c r="DO47" s="457"/>
      <c r="DP47" s="457"/>
      <c r="DQ47" s="457"/>
      <c r="DR47" s="457"/>
      <c r="DS47" s="457"/>
      <c r="DT47" s="457"/>
      <c r="DU47" s="457"/>
      <c r="DV47" s="457"/>
      <c r="DW47" s="457"/>
      <c r="DX47" s="457"/>
      <c r="DY47" s="457"/>
      <c r="DZ47" s="457"/>
      <c r="EA47" s="457"/>
      <c r="EB47" s="457"/>
      <c r="EC47" s="457"/>
      <c r="ED47" s="457"/>
      <c r="EE47" s="457"/>
      <c r="EF47" s="457"/>
      <c r="EG47" s="457"/>
      <c r="EH47" s="457"/>
      <c r="EI47" s="457"/>
      <c r="EJ47" s="457"/>
      <c r="EK47" s="457"/>
      <c r="EL47" s="457"/>
      <c r="EM47" s="457"/>
      <c r="EN47" s="457"/>
      <c r="EO47" s="457"/>
      <c r="EP47" s="457"/>
      <c r="EQ47" s="457"/>
      <c r="ER47" s="457"/>
      <c r="ES47" s="457"/>
      <c r="ET47" s="457"/>
      <c r="EU47" s="457"/>
      <c r="EV47" s="457"/>
      <c r="EW47" s="457"/>
      <c r="EX47" s="457"/>
      <c r="EY47" s="457"/>
      <c r="EZ47" s="457"/>
      <c r="FA47" s="457"/>
      <c r="FB47" s="457"/>
      <c r="FC47" s="457"/>
      <c r="FD47" s="457"/>
      <c r="FE47" s="457"/>
      <c r="FF47" s="457"/>
      <c r="FG47" s="457"/>
      <c r="FH47" s="457"/>
      <c r="FI47" s="457"/>
      <c r="FJ47" s="457"/>
      <c r="FK47" s="457"/>
      <c r="FL47" s="457"/>
      <c r="FM47" s="457"/>
      <c r="FN47" s="457"/>
      <c r="FO47" s="457"/>
      <c r="FP47" s="457"/>
      <c r="FQ47" s="457"/>
      <c r="FR47" s="457"/>
      <c r="FS47" s="457"/>
      <c r="FT47" s="457"/>
      <c r="FU47" s="457"/>
      <c r="FV47" s="457"/>
      <c r="FW47" s="457"/>
      <c r="FX47" s="457"/>
      <c r="FY47" s="457"/>
      <c r="FZ47" s="457"/>
      <c r="GA47" s="457"/>
      <c r="GB47" s="457"/>
      <c r="GC47" s="457"/>
      <c r="GD47" s="457"/>
      <c r="GE47" s="457"/>
      <c r="GF47" s="457"/>
      <c r="GG47" s="457"/>
      <c r="GH47" s="457"/>
      <c r="GI47" s="457"/>
      <c r="GJ47" s="457"/>
      <c r="GK47" s="457"/>
      <c r="GL47" s="457"/>
      <c r="GM47" s="457"/>
      <c r="GN47" s="457"/>
      <c r="GO47" s="457"/>
      <c r="GP47" s="457"/>
      <c r="GQ47" s="457"/>
      <c r="GR47" s="457"/>
      <c r="GS47" s="457"/>
      <c r="GT47" s="457"/>
      <c r="GU47" s="457"/>
      <c r="GV47" s="457"/>
      <c r="GW47" s="457"/>
      <c r="GX47" s="457"/>
      <c r="GY47" s="457"/>
      <c r="GZ47" s="457"/>
      <c r="HA47" s="457"/>
      <c r="HB47" s="457"/>
      <c r="HC47" s="457"/>
      <c r="HD47" s="457"/>
      <c r="HE47" s="457"/>
      <c r="HF47" s="457"/>
      <c r="HG47" s="457"/>
      <c r="HH47" s="457"/>
      <c r="HI47" s="457"/>
      <c r="HJ47" s="457"/>
      <c r="HK47" s="457"/>
      <c r="HL47" s="457"/>
      <c r="HM47" s="457"/>
      <c r="HN47" s="457"/>
      <c r="HO47" s="457"/>
      <c r="HP47" s="457"/>
    </row>
    <row r="48" spans="1:231" s="454" customFormat="1" ht="10.199999999999999">
      <c r="A48" s="457" t="s">
        <v>1693</v>
      </c>
      <c r="B48" s="45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c r="CU48" s="457"/>
      <c r="CV48" s="457"/>
      <c r="CW48" s="457"/>
      <c r="CX48" s="457"/>
      <c r="CY48" s="457"/>
      <c r="CZ48" s="457"/>
      <c r="DA48" s="457"/>
      <c r="DB48" s="457"/>
      <c r="DC48" s="457"/>
      <c r="DD48" s="457"/>
      <c r="DE48" s="457"/>
      <c r="DF48" s="457"/>
      <c r="DG48" s="457"/>
      <c r="DH48" s="457"/>
      <c r="DI48" s="457"/>
      <c r="DJ48" s="457"/>
      <c r="DK48" s="457"/>
      <c r="DL48" s="457"/>
      <c r="DM48" s="457"/>
      <c r="DN48" s="457"/>
      <c r="DO48" s="457"/>
      <c r="DP48" s="457"/>
      <c r="DQ48" s="457"/>
      <c r="DR48" s="457"/>
      <c r="DS48" s="457"/>
      <c r="DT48" s="457"/>
      <c r="DU48" s="457"/>
      <c r="DV48" s="457"/>
      <c r="DW48" s="457"/>
      <c r="DX48" s="457"/>
      <c r="DY48" s="457"/>
      <c r="DZ48" s="457"/>
      <c r="EA48" s="457"/>
      <c r="EB48" s="457"/>
      <c r="EC48" s="457"/>
      <c r="ED48" s="457"/>
      <c r="EE48" s="457"/>
      <c r="EF48" s="457"/>
      <c r="EG48" s="457"/>
      <c r="EH48" s="457"/>
      <c r="EI48" s="457"/>
      <c r="EJ48" s="457"/>
      <c r="EK48" s="457"/>
      <c r="EL48" s="457"/>
      <c r="EM48" s="457"/>
      <c r="EN48" s="457"/>
      <c r="EO48" s="457"/>
      <c r="EP48" s="457"/>
      <c r="EQ48" s="457"/>
      <c r="ER48" s="457"/>
      <c r="ES48" s="457"/>
      <c r="ET48" s="457"/>
      <c r="EU48" s="457"/>
      <c r="EV48" s="457"/>
      <c r="EW48" s="457"/>
      <c r="EX48" s="457"/>
      <c r="EY48" s="457"/>
      <c r="EZ48" s="457"/>
      <c r="FA48" s="457"/>
      <c r="FB48" s="457"/>
      <c r="FC48" s="457"/>
      <c r="FD48" s="457"/>
      <c r="FE48" s="457"/>
      <c r="FF48" s="457"/>
      <c r="FG48" s="457"/>
      <c r="FH48" s="457"/>
      <c r="FI48" s="457"/>
      <c r="FJ48" s="457"/>
      <c r="FK48" s="457"/>
      <c r="FL48" s="457"/>
      <c r="FM48" s="457"/>
      <c r="FN48" s="457"/>
      <c r="FO48" s="457"/>
      <c r="FP48" s="457"/>
      <c r="FQ48" s="457"/>
      <c r="FR48" s="457"/>
      <c r="FS48" s="457"/>
      <c r="FT48" s="457"/>
      <c r="FU48" s="457"/>
      <c r="FV48" s="457"/>
      <c r="FW48" s="457"/>
      <c r="FX48" s="457"/>
      <c r="FY48" s="457"/>
      <c r="FZ48" s="457"/>
      <c r="GA48" s="457"/>
      <c r="GB48" s="457"/>
      <c r="GC48" s="457"/>
      <c r="GD48" s="457"/>
      <c r="GE48" s="457"/>
      <c r="GF48" s="457"/>
      <c r="GG48" s="457"/>
      <c r="GH48" s="457"/>
      <c r="GI48" s="457"/>
      <c r="GJ48" s="457"/>
      <c r="GK48" s="457"/>
      <c r="GL48" s="457"/>
      <c r="GM48" s="457"/>
      <c r="GN48" s="457"/>
      <c r="GO48" s="457"/>
      <c r="GP48" s="457"/>
      <c r="GQ48" s="457"/>
      <c r="GR48" s="457"/>
      <c r="GS48" s="457"/>
      <c r="GT48" s="457"/>
      <c r="GU48" s="457"/>
      <c r="GV48" s="457"/>
      <c r="GW48" s="457"/>
      <c r="GX48" s="457"/>
      <c r="GY48" s="457"/>
      <c r="GZ48" s="457"/>
      <c r="HA48" s="457"/>
      <c r="HB48" s="457"/>
      <c r="HC48" s="457"/>
      <c r="HD48" s="457"/>
      <c r="HE48" s="457"/>
      <c r="HF48" s="457"/>
      <c r="HG48" s="457"/>
      <c r="HH48" s="457"/>
      <c r="HI48" s="457"/>
      <c r="HJ48" s="457"/>
      <c r="HK48" s="457"/>
      <c r="HL48" s="457"/>
      <c r="HM48" s="457"/>
      <c r="HN48" s="457"/>
      <c r="HO48" s="457"/>
      <c r="HP48" s="457"/>
    </row>
    <row r="49" spans="1:224" s="456" customFormat="1" ht="21" customHeight="1">
      <c r="A49" s="1548" t="s">
        <v>1694</v>
      </c>
      <c r="B49" s="1548"/>
      <c r="C49" s="1548"/>
      <c r="D49" s="1548"/>
      <c r="E49" s="1548"/>
      <c r="F49" s="1548"/>
      <c r="G49" s="1548"/>
      <c r="H49" s="1548"/>
      <c r="I49" s="1548"/>
      <c r="J49" s="1548"/>
      <c r="K49" s="1548"/>
      <c r="L49" s="1548"/>
      <c r="M49" s="1548"/>
      <c r="N49" s="1548"/>
      <c r="O49" s="1548"/>
      <c r="P49" s="1548"/>
      <c r="Q49" s="1548"/>
      <c r="R49" s="1548"/>
      <c r="S49" s="1548"/>
      <c r="T49" s="1548"/>
      <c r="U49" s="1548"/>
      <c r="V49" s="1548"/>
      <c r="W49" s="1548"/>
      <c r="X49" s="1548"/>
      <c r="Y49" s="1548"/>
      <c r="Z49" s="1548"/>
      <c r="AA49" s="1548"/>
      <c r="AB49" s="1548"/>
      <c r="AC49" s="1548"/>
      <c r="AD49" s="1548"/>
      <c r="AE49" s="1548"/>
      <c r="AF49" s="1548"/>
      <c r="AG49" s="1548"/>
      <c r="AH49" s="1548"/>
      <c r="AI49" s="1548"/>
      <c r="AJ49" s="1548"/>
      <c r="AK49" s="1548"/>
      <c r="AL49" s="1548"/>
      <c r="AM49" s="1548"/>
      <c r="AN49" s="1548"/>
      <c r="AO49" s="1548"/>
      <c r="AP49" s="1548"/>
      <c r="AQ49" s="1548"/>
      <c r="AR49" s="1548"/>
      <c r="AS49" s="1548"/>
      <c r="AT49" s="1548"/>
      <c r="AU49" s="1548"/>
      <c r="AV49" s="1548"/>
      <c r="AW49" s="1548"/>
      <c r="AX49" s="1548"/>
      <c r="AY49" s="1548"/>
      <c r="AZ49" s="1548"/>
      <c r="BA49" s="1548"/>
      <c r="BB49" s="1548"/>
      <c r="BC49" s="1548"/>
      <c r="BD49" s="1548"/>
      <c r="BE49" s="1548"/>
      <c r="BF49" s="1548"/>
      <c r="BG49" s="1548"/>
      <c r="BH49" s="1548"/>
      <c r="BI49" s="1548"/>
      <c r="BJ49" s="1548"/>
      <c r="BK49" s="1548"/>
      <c r="BL49" s="1548"/>
      <c r="BM49" s="1548"/>
      <c r="BN49" s="1548"/>
      <c r="BO49" s="1548"/>
      <c r="BP49" s="1548"/>
      <c r="BQ49" s="1548"/>
      <c r="BR49" s="1548"/>
      <c r="BS49" s="1548"/>
      <c r="BT49" s="1548"/>
      <c r="BU49" s="1548"/>
      <c r="BV49" s="1548"/>
      <c r="BW49" s="1548"/>
      <c r="BX49" s="1548"/>
      <c r="BY49" s="1548"/>
      <c r="BZ49" s="1548"/>
      <c r="CA49" s="1548"/>
      <c r="CB49" s="1548"/>
      <c r="CC49" s="1548"/>
      <c r="CD49" s="1548"/>
      <c r="CE49" s="1548"/>
      <c r="CF49" s="1548"/>
      <c r="CG49" s="1548"/>
      <c r="CH49" s="1548"/>
      <c r="CI49" s="1548"/>
      <c r="CJ49" s="1548"/>
      <c r="CK49" s="1548"/>
      <c r="CL49" s="1548"/>
      <c r="CM49" s="1548"/>
      <c r="CN49" s="1548"/>
      <c r="CO49" s="1548"/>
      <c r="CP49" s="1548"/>
      <c r="CQ49" s="1548"/>
      <c r="CR49" s="1548"/>
      <c r="CS49" s="1548"/>
      <c r="CT49" s="1548"/>
      <c r="CU49" s="1548"/>
      <c r="CV49" s="1548"/>
      <c r="CW49" s="1548"/>
      <c r="CX49" s="1548"/>
      <c r="CY49" s="1548"/>
      <c r="CZ49" s="1548"/>
      <c r="DA49" s="1548"/>
      <c r="DB49" s="1548"/>
      <c r="DC49" s="1548"/>
      <c r="DD49" s="1548"/>
      <c r="DE49" s="1548"/>
      <c r="DF49" s="1548"/>
      <c r="DG49" s="1548"/>
      <c r="DH49" s="1548"/>
      <c r="DI49" s="1548"/>
      <c r="DJ49" s="1548"/>
      <c r="DK49" s="1548"/>
      <c r="DL49" s="1548"/>
      <c r="DM49" s="1548"/>
      <c r="DN49" s="1548"/>
      <c r="DO49" s="1548"/>
      <c r="DP49" s="1548"/>
      <c r="DQ49" s="1548"/>
      <c r="DR49" s="1548"/>
      <c r="DS49" s="1548"/>
      <c r="DT49" s="1548"/>
      <c r="DU49" s="1548"/>
      <c r="DV49" s="1548"/>
      <c r="DW49" s="1548"/>
      <c r="DX49" s="1548"/>
      <c r="DY49" s="1548"/>
      <c r="DZ49" s="1548"/>
      <c r="EA49" s="1548"/>
      <c r="EB49" s="1548"/>
      <c r="EC49" s="1548"/>
      <c r="ED49" s="1548"/>
      <c r="EE49" s="1548"/>
      <c r="EF49" s="1548"/>
      <c r="EG49" s="1548"/>
      <c r="EH49" s="1548"/>
      <c r="EI49" s="1548"/>
      <c r="EJ49" s="1548"/>
      <c r="EK49" s="1548"/>
      <c r="EL49" s="1548"/>
      <c r="EM49" s="1548"/>
      <c r="EN49" s="1548"/>
      <c r="EO49" s="1548"/>
      <c r="EP49" s="1548"/>
      <c r="EQ49" s="1548"/>
      <c r="ER49" s="1548"/>
      <c r="ES49" s="1548"/>
      <c r="ET49" s="1548"/>
      <c r="EU49" s="1548"/>
      <c r="EV49" s="1548"/>
      <c r="EW49" s="1548"/>
      <c r="EX49" s="1548"/>
      <c r="EY49" s="1548"/>
      <c r="EZ49" s="1548"/>
      <c r="FA49" s="1548"/>
      <c r="FB49" s="1548"/>
      <c r="FC49" s="1548"/>
      <c r="FD49" s="1548"/>
      <c r="FE49" s="1548"/>
      <c r="FF49" s="1548"/>
      <c r="FG49" s="1548"/>
      <c r="FH49" s="1548"/>
      <c r="FI49" s="1548"/>
      <c r="FJ49" s="1548"/>
      <c r="FK49" s="1548"/>
      <c r="FL49" s="1548"/>
      <c r="FM49" s="1548"/>
      <c r="FN49" s="1548"/>
      <c r="FO49" s="1548"/>
      <c r="FP49" s="1548"/>
      <c r="FQ49" s="1548"/>
      <c r="FR49" s="1548"/>
      <c r="FS49" s="1548"/>
      <c r="FT49" s="1548"/>
      <c r="FU49" s="1548"/>
      <c r="FV49" s="1548"/>
      <c r="FW49" s="1548"/>
      <c r="FX49" s="1548"/>
      <c r="FY49" s="1548"/>
      <c r="FZ49" s="1548"/>
      <c r="GA49" s="1548"/>
      <c r="GB49" s="1548"/>
      <c r="GC49" s="1548"/>
      <c r="GD49" s="1548"/>
      <c r="GE49" s="1548"/>
      <c r="GF49" s="1548"/>
      <c r="GG49" s="1548"/>
      <c r="GH49" s="1548"/>
      <c r="GI49" s="1548"/>
      <c r="GJ49" s="1548"/>
      <c r="GK49" s="1548"/>
      <c r="GL49" s="1548"/>
      <c r="GM49" s="1548"/>
      <c r="GN49" s="1548"/>
      <c r="GO49" s="1548"/>
      <c r="GP49" s="1548"/>
      <c r="GQ49" s="1548"/>
      <c r="GR49" s="1548"/>
      <c r="GS49" s="1548"/>
      <c r="GT49" s="1548"/>
      <c r="GU49" s="1548"/>
      <c r="GV49" s="1548"/>
      <c r="GW49" s="1548"/>
      <c r="GX49" s="1548"/>
      <c r="GY49" s="1548"/>
      <c r="GZ49" s="1548"/>
      <c r="HA49" s="1548"/>
      <c r="HB49" s="1548"/>
      <c r="HC49" s="1548"/>
      <c r="HD49" s="1548"/>
      <c r="HE49" s="1548"/>
      <c r="HF49" s="1548"/>
      <c r="HG49" s="1548"/>
      <c r="HH49" s="1548"/>
      <c r="HI49" s="1548"/>
      <c r="HJ49" s="1548"/>
      <c r="HK49" s="1548"/>
      <c r="HL49" s="1548"/>
      <c r="HM49" s="1548"/>
      <c r="HN49" s="1548"/>
      <c r="HO49" s="1548"/>
      <c r="HP49" s="1548"/>
    </row>
    <row r="50" spans="1:224" s="458" customFormat="1" ht="10.199999999999999">
      <c r="A50" s="455" t="s">
        <v>1695</v>
      </c>
      <c r="B50" s="456"/>
      <c r="C50" s="456"/>
      <c r="D50" s="456"/>
      <c r="E50" s="456"/>
      <c r="F50" s="456"/>
      <c r="G50" s="456"/>
      <c r="H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9"/>
      <c r="AM50" s="459"/>
      <c r="AN50" s="459"/>
      <c r="AO50" s="459"/>
      <c r="AP50" s="459"/>
      <c r="AQ50" s="459"/>
      <c r="AR50" s="459"/>
      <c r="AS50" s="459"/>
      <c r="AT50" s="459"/>
      <c r="AU50" s="459"/>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row>
    <row r="51" spans="1:224" s="454" customFormat="1" ht="9.75" customHeight="1"/>
    <row r="52" spans="1:224">
      <c r="A52" s="432" t="s">
        <v>1641</v>
      </c>
      <c r="FD52" s="1533"/>
      <c r="FE52" s="1533"/>
      <c r="FF52" s="1533"/>
      <c r="FG52" s="1533"/>
      <c r="FH52" s="1533"/>
      <c r="FI52" s="1533"/>
      <c r="FJ52" s="1533"/>
      <c r="FK52" s="1533"/>
      <c r="FL52" s="1533"/>
      <c r="FM52" s="1533"/>
      <c r="FN52" s="1533"/>
      <c r="FO52" s="1533"/>
      <c r="FP52" s="1533"/>
      <c r="FQ52" s="1533"/>
      <c r="FR52" s="1533"/>
      <c r="FS52" s="1533"/>
      <c r="FT52" s="1533"/>
      <c r="FU52" s="1533"/>
      <c r="FV52" s="1533"/>
      <c r="FW52" s="1533"/>
      <c r="FX52" s="1533"/>
      <c r="FY52" s="1533"/>
      <c r="FZ52" s="1533"/>
      <c r="GA52" s="1533"/>
      <c r="GB52" s="1533"/>
      <c r="GC52" s="1533"/>
      <c r="GD52" s="1533"/>
      <c r="GE52" s="1533"/>
      <c r="GF52" s="1533"/>
      <c r="GG52" s="1533"/>
      <c r="GH52" s="1533"/>
      <c r="GI52" s="1533"/>
      <c r="GK52" s="1533" t="s">
        <v>1642</v>
      </c>
      <c r="GL52" s="1533"/>
      <c r="GM52" s="1533"/>
      <c r="GN52" s="1533"/>
      <c r="GO52" s="1533"/>
      <c r="GP52" s="1533"/>
      <c r="GQ52" s="1533"/>
      <c r="GR52" s="1533"/>
      <c r="GS52" s="1533"/>
      <c r="GT52" s="1533"/>
      <c r="GU52" s="1533"/>
      <c r="GV52" s="1533"/>
      <c r="GW52" s="1533"/>
      <c r="GX52" s="1533"/>
      <c r="GY52" s="1533"/>
      <c r="GZ52" s="1533"/>
      <c r="HA52" s="1533"/>
      <c r="HB52" s="1533"/>
      <c r="HC52" s="1533"/>
      <c r="HD52" s="1533"/>
      <c r="HE52" s="1533"/>
      <c r="HF52" s="1533"/>
      <c r="HG52" s="1533"/>
      <c r="HH52" s="1533"/>
      <c r="HI52" s="1533"/>
      <c r="HJ52" s="1533"/>
      <c r="HK52" s="1533"/>
      <c r="HL52" s="1533"/>
      <c r="HM52" s="1533"/>
      <c r="HN52" s="1533"/>
      <c r="HO52" s="1533"/>
      <c r="HP52" s="1533"/>
    </row>
    <row r="53" spans="1:224" s="454" customFormat="1" ht="10.199999999999999">
      <c r="FD53" s="1531" t="s">
        <v>1643</v>
      </c>
      <c r="FE53" s="1531"/>
      <c r="FF53" s="1531"/>
      <c r="FG53" s="1531"/>
      <c r="FH53" s="1531"/>
      <c r="FI53" s="1531"/>
      <c r="FJ53" s="1531"/>
      <c r="FK53" s="1531"/>
      <c r="FL53" s="1531"/>
      <c r="FM53" s="1531"/>
      <c r="FN53" s="1531"/>
      <c r="FO53" s="1531"/>
      <c r="FP53" s="1531"/>
      <c r="FQ53" s="1531"/>
      <c r="FR53" s="1531"/>
      <c r="FS53" s="1531"/>
      <c r="FT53" s="1531"/>
      <c r="FU53" s="1531"/>
      <c r="FV53" s="1531"/>
      <c r="FW53" s="1531"/>
      <c r="FX53" s="1531"/>
      <c r="FY53" s="1531"/>
      <c r="FZ53" s="1531"/>
      <c r="GA53" s="1531"/>
      <c r="GB53" s="1531"/>
      <c r="GC53" s="1531"/>
      <c r="GD53" s="1531"/>
      <c r="GE53" s="1531"/>
      <c r="GF53" s="1531"/>
      <c r="GG53" s="1531"/>
      <c r="GH53" s="1531"/>
      <c r="GI53" s="1531"/>
      <c r="GK53" s="1532" t="s">
        <v>1644</v>
      </c>
      <c r="GL53" s="1532"/>
      <c r="GM53" s="1532"/>
      <c r="GN53" s="1532"/>
      <c r="GO53" s="1532"/>
      <c r="GP53" s="1532"/>
      <c r="GQ53" s="1532"/>
      <c r="GR53" s="1532"/>
      <c r="GS53" s="1532"/>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row>
    <row r="54" spans="1:224">
      <c r="A54" s="432" t="s">
        <v>1645</v>
      </c>
      <c r="FD54" s="1533"/>
      <c r="FE54" s="1533"/>
      <c r="FF54" s="1533"/>
      <c r="FG54" s="1533"/>
      <c r="FH54" s="1533"/>
      <c r="FI54" s="1533"/>
      <c r="FJ54" s="1533"/>
      <c r="FK54" s="1533"/>
      <c r="FL54" s="1533"/>
      <c r="FM54" s="1533"/>
      <c r="FN54" s="1533"/>
      <c r="FO54" s="1533"/>
      <c r="FP54" s="1533"/>
      <c r="FQ54" s="1533"/>
      <c r="FR54" s="1533"/>
      <c r="FS54" s="1533"/>
      <c r="FT54" s="1533"/>
      <c r="FU54" s="1533"/>
      <c r="FV54" s="1533"/>
      <c r="FW54" s="1533"/>
      <c r="FX54" s="1533"/>
      <c r="FY54" s="1533"/>
      <c r="FZ54" s="1533"/>
      <c r="GA54" s="1533"/>
      <c r="GB54" s="1533"/>
      <c r="GC54" s="1533"/>
      <c r="GD54" s="1533"/>
      <c r="GE54" s="1533"/>
      <c r="GF54" s="1533"/>
      <c r="GG54" s="1533"/>
      <c r="GH54" s="1533"/>
      <c r="GI54" s="1533"/>
      <c r="GK54" s="1533" t="s">
        <v>1646</v>
      </c>
      <c r="GL54" s="1533"/>
      <c r="GM54" s="1533"/>
      <c r="GN54" s="1533"/>
      <c r="GO54" s="1533"/>
      <c r="GP54" s="1533"/>
      <c r="GQ54" s="1533"/>
      <c r="GR54" s="1533"/>
      <c r="GS54" s="1533"/>
      <c r="GT54" s="1533"/>
      <c r="GU54" s="1533"/>
      <c r="GV54" s="1533"/>
      <c r="GW54" s="1533"/>
      <c r="GX54" s="1533"/>
      <c r="GY54" s="1533"/>
      <c r="GZ54" s="1533"/>
      <c r="HA54" s="1533"/>
      <c r="HB54" s="1533"/>
      <c r="HC54" s="1533"/>
      <c r="HD54" s="1533"/>
      <c r="HE54" s="1533"/>
      <c r="HF54" s="1533"/>
      <c r="HG54" s="1533"/>
      <c r="HH54" s="1533"/>
      <c r="HI54" s="1533"/>
      <c r="HJ54" s="1533"/>
      <c r="HK54" s="1533"/>
      <c r="HL54" s="1533"/>
      <c r="HM54" s="1533"/>
      <c r="HN54" s="1533"/>
      <c r="HO54" s="1533"/>
      <c r="HP54" s="1533"/>
    </row>
    <row r="55" spans="1:224" s="454" customFormat="1" ht="10.199999999999999">
      <c r="FD55" s="1531" t="s">
        <v>1643</v>
      </c>
      <c r="FE55" s="1531"/>
      <c r="FF55" s="1531"/>
      <c r="FG55" s="1531"/>
      <c r="FH55" s="1531"/>
      <c r="FI55" s="1531"/>
      <c r="FJ55" s="1531"/>
      <c r="FK55" s="1531"/>
      <c r="FL55" s="1531"/>
      <c r="FM55" s="1531"/>
      <c r="FN55" s="1531"/>
      <c r="FO55" s="1531"/>
      <c r="FP55" s="1531"/>
      <c r="FQ55" s="1531"/>
      <c r="FR55" s="1531"/>
      <c r="FS55" s="1531"/>
      <c r="FT55" s="1531"/>
      <c r="FU55" s="1531"/>
      <c r="FV55" s="1531"/>
      <c r="FW55" s="1531"/>
      <c r="FX55" s="1531"/>
      <c r="FY55" s="1531"/>
      <c r="FZ55" s="1531"/>
      <c r="GA55" s="1531"/>
      <c r="GB55" s="1531"/>
      <c r="GC55" s="1531"/>
      <c r="GD55" s="1531"/>
      <c r="GE55" s="1531"/>
      <c r="GF55" s="1531"/>
      <c r="GG55" s="1531"/>
      <c r="GH55" s="1531"/>
      <c r="GI55" s="1531"/>
      <c r="GK55" s="1532" t="s">
        <v>1644</v>
      </c>
      <c r="GL55" s="1532"/>
      <c r="GM55" s="1532"/>
      <c r="GN55" s="1532"/>
      <c r="GO55" s="1532"/>
      <c r="GP55" s="1532"/>
      <c r="GQ55" s="1532"/>
      <c r="GR55" s="1532"/>
      <c r="GS55" s="1532"/>
      <c r="GT55" s="1532"/>
      <c r="GU55" s="1532"/>
      <c r="GV55" s="1532"/>
      <c r="GW55" s="1532"/>
      <c r="GX55" s="1532"/>
      <c r="GY55" s="1532"/>
      <c r="GZ55" s="1532"/>
      <c r="HA55" s="1532"/>
      <c r="HB55" s="1532"/>
      <c r="HC55" s="1532"/>
      <c r="HD55" s="1532"/>
      <c r="HE55" s="1532"/>
      <c r="HF55" s="1532"/>
      <c r="HG55" s="1532"/>
      <c r="HH55" s="1532"/>
      <c r="HI55" s="1532"/>
      <c r="HJ55" s="1532"/>
      <c r="HK55" s="1532"/>
      <c r="HL55" s="1532"/>
      <c r="HM55" s="1532"/>
      <c r="HN55" s="1532"/>
      <c r="HO55" s="1532"/>
      <c r="HP55" s="1532"/>
    </row>
    <row r="56" spans="1:224" ht="3" customHeight="1"/>
  </sheetData>
  <mergeCells count="291">
    <mergeCell ref="A3:HP3"/>
    <mergeCell ref="A4:HP4"/>
    <mergeCell ref="FT11:HP11"/>
    <mergeCell ref="FT12:HP12"/>
    <mergeCell ref="FT13:HP13"/>
    <mergeCell ref="FT14:HP14"/>
    <mergeCell ref="A18:AK19"/>
    <mergeCell ref="AL18:AU19"/>
    <mergeCell ref="AV18:BC19"/>
    <mergeCell ref="BD18:BQ19"/>
    <mergeCell ref="BR18:CE19"/>
    <mergeCell ref="CF18:EA18"/>
    <mergeCell ref="EB18:EO19"/>
    <mergeCell ref="EP18:FC19"/>
    <mergeCell ref="FD18:GY18"/>
    <mergeCell ref="CF20:CU20"/>
    <mergeCell ref="GZ18:HP19"/>
    <mergeCell ref="CF19:CU19"/>
    <mergeCell ref="CV19:DK19"/>
    <mergeCell ref="DL19:EA19"/>
    <mergeCell ref="FD19:FS19"/>
    <mergeCell ref="FT19:GI19"/>
    <mergeCell ref="GJ19:GY19"/>
    <mergeCell ref="FT15:HP15"/>
    <mergeCell ref="FT21:GI24"/>
    <mergeCell ref="GJ21:GY24"/>
    <mergeCell ref="GZ21:HP24"/>
    <mergeCell ref="GJ20:GY20"/>
    <mergeCell ref="GZ20:HP20"/>
    <mergeCell ref="B21:AK21"/>
    <mergeCell ref="AL21:AU24"/>
    <mergeCell ref="AV21:BC24"/>
    <mergeCell ref="BD21:BQ24"/>
    <mergeCell ref="BR21:CE24"/>
    <mergeCell ref="CF21:CU24"/>
    <mergeCell ref="CV21:DK24"/>
    <mergeCell ref="DL21:EA24"/>
    <mergeCell ref="CV20:DK20"/>
    <mergeCell ref="DL20:EA20"/>
    <mergeCell ref="EB20:EO20"/>
    <mergeCell ref="EP20:FC20"/>
    <mergeCell ref="FD20:FS20"/>
    <mergeCell ref="FT20:GI20"/>
    <mergeCell ref="A20:AK20"/>
    <mergeCell ref="AL20:AU20"/>
    <mergeCell ref="AV20:BC20"/>
    <mergeCell ref="BD20:BQ20"/>
    <mergeCell ref="BR20:CE20"/>
    <mergeCell ref="B22:AK22"/>
    <mergeCell ref="B23:AK23"/>
    <mergeCell ref="B24:AK24"/>
    <mergeCell ref="B25:AK25"/>
    <mergeCell ref="AL25:AU26"/>
    <mergeCell ref="AV25:BC26"/>
    <mergeCell ref="EB21:EO24"/>
    <mergeCell ref="EP21:FC24"/>
    <mergeCell ref="FD21:FS24"/>
    <mergeCell ref="EP25:FC26"/>
    <mergeCell ref="FD25:FS26"/>
    <mergeCell ref="FT25:GI26"/>
    <mergeCell ref="GJ25:GY26"/>
    <mergeCell ref="GZ25:HP26"/>
    <mergeCell ref="B26:AK26"/>
    <mergeCell ref="BD25:BQ26"/>
    <mergeCell ref="BR25:CE26"/>
    <mergeCell ref="CF25:CU26"/>
    <mergeCell ref="CV25:DK26"/>
    <mergeCell ref="DL25:EA26"/>
    <mergeCell ref="EB25:EO26"/>
    <mergeCell ref="GZ28:HP28"/>
    <mergeCell ref="GJ27:GY27"/>
    <mergeCell ref="GZ27:HP27"/>
    <mergeCell ref="B28:AK28"/>
    <mergeCell ref="AL28:AU28"/>
    <mergeCell ref="AV28:BC28"/>
    <mergeCell ref="BD28:BQ28"/>
    <mergeCell ref="BR28:CE28"/>
    <mergeCell ref="CF28:CU28"/>
    <mergeCell ref="CV28:DK28"/>
    <mergeCell ref="DL28:EA28"/>
    <mergeCell ref="CV27:DK27"/>
    <mergeCell ref="DL27:EA27"/>
    <mergeCell ref="EB27:EO27"/>
    <mergeCell ref="EP27:FC27"/>
    <mergeCell ref="FD27:FS27"/>
    <mergeCell ref="FT27:GI27"/>
    <mergeCell ref="B27:AK27"/>
    <mergeCell ref="AL27:AU27"/>
    <mergeCell ref="AV27:BC27"/>
    <mergeCell ref="BD27:BQ27"/>
    <mergeCell ref="BR27:CE27"/>
    <mergeCell ref="CF27:CU27"/>
    <mergeCell ref="AV29:BC29"/>
    <mergeCell ref="BD29:BQ29"/>
    <mergeCell ref="BR29:CE29"/>
    <mergeCell ref="CF29:CU29"/>
    <mergeCell ref="EB28:EO28"/>
    <mergeCell ref="EP28:FC28"/>
    <mergeCell ref="FD28:FS28"/>
    <mergeCell ref="FT28:GI28"/>
    <mergeCell ref="GJ28:GY28"/>
    <mergeCell ref="EB30:EO30"/>
    <mergeCell ref="EP30:FC30"/>
    <mergeCell ref="FD30:FS30"/>
    <mergeCell ref="FT30:GI30"/>
    <mergeCell ref="GJ30:GY30"/>
    <mergeCell ref="GZ30:HP30"/>
    <mergeCell ref="GJ29:GY29"/>
    <mergeCell ref="GZ29:HP29"/>
    <mergeCell ref="B30:AK30"/>
    <mergeCell ref="AL30:AU30"/>
    <mergeCell ref="AV30:BC30"/>
    <mergeCell ref="BD30:BQ30"/>
    <mergeCell ref="BR30:CE30"/>
    <mergeCell ref="CF30:CU30"/>
    <mergeCell ref="CV30:DK30"/>
    <mergeCell ref="DL30:EA30"/>
    <mergeCell ref="CV29:DK29"/>
    <mergeCell ref="DL29:EA29"/>
    <mergeCell ref="EB29:EO29"/>
    <mergeCell ref="EP29:FC29"/>
    <mergeCell ref="FD29:FS29"/>
    <mergeCell ref="FT29:GI29"/>
    <mergeCell ref="B29:AK29"/>
    <mergeCell ref="AL29:AU29"/>
    <mergeCell ref="GZ32:HP32"/>
    <mergeCell ref="GJ31:GY31"/>
    <mergeCell ref="GZ31:HP31"/>
    <mergeCell ref="B32:AK32"/>
    <mergeCell ref="AL32:AU32"/>
    <mergeCell ref="AV32:BC32"/>
    <mergeCell ref="BD32:BQ32"/>
    <mergeCell ref="BR32:CE32"/>
    <mergeCell ref="CF32:CU32"/>
    <mergeCell ref="CV32:DK32"/>
    <mergeCell ref="DL32:EA32"/>
    <mergeCell ref="CV31:DK31"/>
    <mergeCell ref="DL31:EA31"/>
    <mergeCell ref="EB31:EO31"/>
    <mergeCell ref="EP31:FC31"/>
    <mergeCell ref="FD31:FS31"/>
    <mergeCell ref="FT31:GI31"/>
    <mergeCell ref="B31:AK31"/>
    <mergeCell ref="AL31:AU31"/>
    <mergeCell ref="AV31:BC31"/>
    <mergeCell ref="BD31:BQ31"/>
    <mergeCell ref="BR31:CE31"/>
    <mergeCell ref="CF31:CU31"/>
    <mergeCell ref="AV33:BC33"/>
    <mergeCell ref="BD33:BQ33"/>
    <mergeCell ref="BR33:CE33"/>
    <mergeCell ref="CF33:CU33"/>
    <mergeCell ref="EB32:EO32"/>
    <mergeCell ref="EP32:FC32"/>
    <mergeCell ref="FD32:FS32"/>
    <mergeCell ref="FT32:GI32"/>
    <mergeCell ref="GJ32:GY32"/>
    <mergeCell ref="EB34:EO34"/>
    <mergeCell ref="EP34:FC34"/>
    <mergeCell ref="FD34:FS34"/>
    <mergeCell ref="FT34:GI34"/>
    <mergeCell ref="GJ34:GY34"/>
    <mergeCell ref="GZ34:HP34"/>
    <mergeCell ref="GJ33:GY33"/>
    <mergeCell ref="GZ33:HP33"/>
    <mergeCell ref="B34:AK34"/>
    <mergeCell ref="AL34:AU34"/>
    <mergeCell ref="AV34:BC34"/>
    <mergeCell ref="BD34:BQ34"/>
    <mergeCell ref="BR34:CE34"/>
    <mergeCell ref="CF34:CU34"/>
    <mergeCell ref="CV34:DK34"/>
    <mergeCell ref="DL34:EA34"/>
    <mergeCell ref="CV33:DK33"/>
    <mergeCell ref="DL33:EA33"/>
    <mergeCell ref="EB33:EO33"/>
    <mergeCell ref="EP33:FC33"/>
    <mergeCell ref="FD33:FS33"/>
    <mergeCell ref="FT33:GI33"/>
    <mergeCell ref="B33:AK33"/>
    <mergeCell ref="AL33:AU33"/>
    <mergeCell ref="GZ36:HP36"/>
    <mergeCell ref="GJ35:GY35"/>
    <mergeCell ref="GZ35:HP35"/>
    <mergeCell ref="B36:AK36"/>
    <mergeCell ref="AL36:AU36"/>
    <mergeCell ref="AV36:BC36"/>
    <mergeCell ref="BD36:BQ36"/>
    <mergeCell ref="BR36:CE36"/>
    <mergeCell ref="CF36:CU36"/>
    <mergeCell ref="CV36:DK36"/>
    <mergeCell ref="DL36:EA36"/>
    <mergeCell ref="CV35:DK35"/>
    <mergeCell ref="DL35:EA35"/>
    <mergeCell ref="EB35:EO35"/>
    <mergeCell ref="EP35:FC35"/>
    <mergeCell ref="FD35:FS35"/>
    <mergeCell ref="FT35:GI35"/>
    <mergeCell ref="B35:AK35"/>
    <mergeCell ref="AL35:AU35"/>
    <mergeCell ref="AV35:BC35"/>
    <mergeCell ref="BD35:BQ35"/>
    <mergeCell ref="BR35:CE35"/>
    <mergeCell ref="CF35:CU35"/>
    <mergeCell ref="AV37:BC37"/>
    <mergeCell ref="BD37:BQ37"/>
    <mergeCell ref="BR37:CE37"/>
    <mergeCell ref="CF37:CU37"/>
    <mergeCell ref="EB36:EO36"/>
    <mergeCell ref="EP36:FC36"/>
    <mergeCell ref="FD36:FS36"/>
    <mergeCell ref="FT36:GI36"/>
    <mergeCell ref="GJ36:GY36"/>
    <mergeCell ref="EB38:EO38"/>
    <mergeCell ref="EP38:FC38"/>
    <mergeCell ref="FD38:FS38"/>
    <mergeCell ref="FT38:GI38"/>
    <mergeCell ref="GJ38:GY38"/>
    <mergeCell ref="GZ38:HP38"/>
    <mergeCell ref="GJ37:GY37"/>
    <mergeCell ref="GZ37:HP37"/>
    <mergeCell ref="B38:AK38"/>
    <mergeCell ref="AL38:AU38"/>
    <mergeCell ref="AV38:BC38"/>
    <mergeCell ref="BD38:BQ38"/>
    <mergeCell ref="BR38:CE38"/>
    <mergeCell ref="CF38:CU38"/>
    <mergeCell ref="CV38:DK38"/>
    <mergeCell ref="DL38:EA38"/>
    <mergeCell ref="CV37:DK37"/>
    <mergeCell ref="DL37:EA37"/>
    <mergeCell ref="EB37:EO37"/>
    <mergeCell ref="EP37:FC37"/>
    <mergeCell ref="FD37:FS37"/>
    <mergeCell ref="FT37:GI37"/>
    <mergeCell ref="B37:AK37"/>
    <mergeCell ref="AL37:AU37"/>
    <mergeCell ref="GJ39:GY39"/>
    <mergeCell ref="GZ39:HP39"/>
    <mergeCell ref="B40:AK40"/>
    <mergeCell ref="AL40:AU42"/>
    <mergeCell ref="AV40:BC42"/>
    <mergeCell ref="BD40:BQ42"/>
    <mergeCell ref="BR40:CE42"/>
    <mergeCell ref="CF40:CU42"/>
    <mergeCell ref="CV40:DK42"/>
    <mergeCell ref="DL40:EA42"/>
    <mergeCell ref="CV39:DK39"/>
    <mergeCell ref="DL39:EA39"/>
    <mergeCell ref="EB39:EO39"/>
    <mergeCell ref="EP39:FC39"/>
    <mergeCell ref="FD39:FS39"/>
    <mergeCell ref="FT39:GI39"/>
    <mergeCell ref="B39:AK39"/>
    <mergeCell ref="AL39:AU39"/>
    <mergeCell ref="AV39:BC39"/>
    <mergeCell ref="BD39:BQ39"/>
    <mergeCell ref="BR39:CE39"/>
    <mergeCell ref="CF39:CU39"/>
    <mergeCell ref="B44:AK44"/>
    <mergeCell ref="A49:HP49"/>
    <mergeCell ref="BR43:CE44"/>
    <mergeCell ref="CF43:CU44"/>
    <mergeCell ref="CV43:DK44"/>
    <mergeCell ref="DL43:EA44"/>
    <mergeCell ref="EB43:EO44"/>
    <mergeCell ref="EP43:FC44"/>
    <mergeCell ref="B41:AK41"/>
    <mergeCell ref="B42:AK42"/>
    <mergeCell ref="B43:AK43"/>
    <mergeCell ref="AL43:AU44"/>
    <mergeCell ref="AV43:BC44"/>
    <mergeCell ref="BD43:BQ44"/>
    <mergeCell ref="EB40:EO42"/>
    <mergeCell ref="EP40:FC42"/>
    <mergeCell ref="FD40:FS42"/>
    <mergeCell ref="FT40:GI42"/>
    <mergeCell ref="GJ40:GY42"/>
    <mergeCell ref="GZ40:HP42"/>
    <mergeCell ref="FD55:GI55"/>
    <mergeCell ref="GK55:HP55"/>
    <mergeCell ref="FD52:GI52"/>
    <mergeCell ref="GK52:HP52"/>
    <mergeCell ref="FD53:GI53"/>
    <mergeCell ref="GK53:HP53"/>
    <mergeCell ref="FD54:GI54"/>
    <mergeCell ref="GK54:HP54"/>
    <mergeCell ref="FD43:FS44"/>
    <mergeCell ref="FT43:GI44"/>
    <mergeCell ref="GJ43:GY44"/>
    <mergeCell ref="GZ43:HP44"/>
  </mergeCells>
  <pageMargins left="0.98425196850393704" right="0.86614173228346458" top="0.78740157480314965" bottom="0.39370078740157483" header="0.19685039370078741" footer="0.19685039370078741"/>
  <pageSetup paperSize="9" scale="63" orientation="landscape"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DS562"/>
  <sheetViews>
    <sheetView view="pageBreakPreview" zoomScale="40" zoomScaleNormal="80" zoomScaleSheetLayoutView="40" workbookViewId="0">
      <pane xSplit="38" ySplit="4" topLeftCell="DE5" activePane="bottomRight" state="frozen"/>
      <selection pane="topRight" activeCell="AM1" sqref="AM1"/>
      <selection pane="bottomLeft" activeCell="A5" sqref="A5"/>
      <selection pane="bottomRight" activeCell="DF326" sqref="DF326"/>
    </sheetView>
  </sheetViews>
  <sheetFormatPr defaultColWidth="9.109375" defaultRowHeight="28.2" outlineLevelRow="1" outlineLevelCol="1"/>
  <cols>
    <col min="1" max="1" width="23.5546875" style="741" customWidth="1"/>
    <col min="2" max="2" width="54" style="534" customWidth="1"/>
    <col min="3" max="3" width="35.6640625" style="464" hidden="1" customWidth="1"/>
    <col min="4" max="4" width="24" style="736" hidden="1" customWidth="1"/>
    <col min="5" max="5" width="23.109375" style="736" hidden="1" customWidth="1"/>
    <col min="6" max="6" width="24.5546875" style="736" hidden="1" customWidth="1"/>
    <col min="7" max="7" width="37.6640625" style="736" hidden="1" customWidth="1"/>
    <col min="8" max="8" width="19.6640625" style="736" hidden="1" customWidth="1"/>
    <col min="9" max="9" width="35.33203125" style="736" hidden="1" customWidth="1"/>
    <col min="10" max="10" width="20.6640625" style="736" hidden="1" customWidth="1"/>
    <col min="11" max="11" width="22" style="736" hidden="1" customWidth="1"/>
    <col min="12" max="12" width="22.88671875" style="736" hidden="1" customWidth="1"/>
    <col min="13" max="13" width="23.88671875" style="736" hidden="1" customWidth="1"/>
    <col min="14" max="15" width="21.6640625" style="736" hidden="1" customWidth="1"/>
    <col min="16" max="16" width="34.33203125" style="736" customWidth="1"/>
    <col min="17" max="17" width="21.88671875" style="736" hidden="1" customWidth="1"/>
    <col min="18" max="18" width="15.88671875" style="736" hidden="1" customWidth="1"/>
    <col min="19" max="19" width="37.5546875" style="736" hidden="1" customWidth="1"/>
    <col min="20" max="20" width="34.33203125" style="736" customWidth="1"/>
    <col min="21" max="21" width="34" style="736" customWidth="1"/>
    <col min="22" max="22" width="23.44140625" style="736" hidden="1" customWidth="1" outlineLevel="1"/>
    <col min="23" max="23" width="17.33203125" style="736" hidden="1" customWidth="1" outlineLevel="1"/>
    <col min="24" max="24" width="22.44140625" style="736" hidden="1" customWidth="1" outlineLevel="1"/>
    <col min="25" max="25" width="17.5546875" style="736" hidden="1" customWidth="1" outlineLevel="1"/>
    <col min="26" max="26" width="33.6640625" style="737" customWidth="1" collapsed="1"/>
    <col min="27" max="27" width="31.109375" style="736" hidden="1" customWidth="1" outlineLevel="1"/>
    <col min="28" max="28" width="14.88671875" style="736" hidden="1" customWidth="1" outlineLevel="1"/>
    <col min="29" max="29" width="36" style="736" hidden="1" customWidth="1" outlineLevel="1"/>
    <col min="30" max="30" width="25" style="736" hidden="1" customWidth="1" outlineLevel="1"/>
    <col min="31" max="32" width="21.88671875" style="736" hidden="1" customWidth="1" outlineLevel="1"/>
    <col min="33" max="33" width="35.5546875" style="738" hidden="1" customWidth="1" outlineLevel="1"/>
    <col min="34" max="34" width="20" style="736" hidden="1" customWidth="1" outlineLevel="1"/>
    <col min="35" max="35" width="18.33203125" style="736" hidden="1" customWidth="1" outlineLevel="1"/>
    <col min="36" max="36" width="29.88671875" style="736" hidden="1" customWidth="1" outlineLevel="1"/>
    <col min="37" max="37" width="25" style="736" hidden="1" customWidth="1" outlineLevel="1"/>
    <col min="38" max="38" width="37.88671875" style="736" customWidth="1" collapsed="1"/>
    <col min="39" max="39" width="38.33203125" style="736" hidden="1" customWidth="1" outlineLevel="1"/>
    <col min="40" max="40" width="38.88671875" style="736" hidden="1" customWidth="1" outlineLevel="1"/>
    <col min="41" max="41" width="24.33203125" style="736" hidden="1" customWidth="1" outlineLevel="1"/>
    <col min="42" max="42" width="16.5546875" style="736" hidden="1" customWidth="1" outlineLevel="1"/>
    <col min="43" max="43" width="35.6640625" style="736" hidden="1" customWidth="1" outlineLevel="1"/>
    <col min="44" max="44" width="36.5546875" style="736" hidden="1" customWidth="1" outlineLevel="1"/>
    <col min="45" max="45" width="37.6640625" style="736" hidden="1" customWidth="1" outlineLevel="1"/>
    <col min="46" max="46" width="35.109375" style="736" hidden="1" customWidth="1" outlineLevel="1"/>
    <col min="47" max="47" width="34.6640625" style="736" hidden="1" customWidth="1" outlineLevel="1"/>
    <col min="48" max="48" width="39.44140625" style="736" hidden="1" customWidth="1" outlineLevel="1"/>
    <col min="49" max="49" width="31.109375" style="736" hidden="1" customWidth="1" outlineLevel="1"/>
    <col min="50" max="50" width="19.6640625" style="736" hidden="1" customWidth="1" outlineLevel="1"/>
    <col min="51" max="51" width="35.109375" style="736" hidden="1" customWidth="1" outlineLevel="1"/>
    <col min="52" max="52" width="29.44140625" style="736" hidden="1" customWidth="1" outlineLevel="1"/>
    <col min="53" max="53" width="19.109375" style="736" hidden="1" customWidth="1" outlineLevel="1"/>
    <col min="54" max="54" width="37.109375" style="736" hidden="1" customWidth="1" outlineLevel="1"/>
    <col min="55" max="55" width="37.109375" style="739" hidden="1" customWidth="1" outlineLevel="1"/>
    <col min="56" max="56" width="35.44140625" style="739" hidden="1" customWidth="1" outlineLevel="1"/>
    <col min="57" max="57" width="38.6640625" style="739" hidden="1" customWidth="1" outlineLevel="1"/>
    <col min="58" max="58" width="38.33203125" style="739" hidden="1" customWidth="1" outlineLevel="1"/>
    <col min="59" max="59" width="35.44140625" style="739" hidden="1" customWidth="1" outlineLevel="1"/>
    <col min="60" max="63" width="35.44140625" style="945" hidden="1" customWidth="1" outlineLevel="1"/>
    <col min="64" max="64" width="38.33203125" style="738" hidden="1" customWidth="1" collapsed="1"/>
    <col min="65" max="65" width="36.33203125" style="738" hidden="1" customWidth="1"/>
    <col min="66" max="66" width="38.33203125" style="736" hidden="1" customWidth="1"/>
    <col min="67" max="68" width="35.44140625" style="945" hidden="1" customWidth="1"/>
    <col min="69" max="69" width="38.33203125" style="738" hidden="1" customWidth="1"/>
    <col min="70" max="70" width="36.33203125" style="738" hidden="1" customWidth="1"/>
    <col min="71" max="71" width="38.33203125" style="736" hidden="1" customWidth="1"/>
    <col min="72" max="72" width="15.109375" style="463" customWidth="1"/>
    <col min="73" max="75" width="38.33203125" style="736" hidden="1" customWidth="1" outlineLevel="1"/>
    <col min="76" max="76" width="37.6640625" style="465" customWidth="1" collapsed="1"/>
    <col min="77" max="81" width="38.33203125" style="736" customWidth="1" outlineLevel="1"/>
    <col min="82" max="88" width="38.33203125" style="736" hidden="1" customWidth="1"/>
    <col min="89" max="89" width="27.88671875" style="468" hidden="1" customWidth="1"/>
    <col min="90" max="90" width="30.5546875" style="468" hidden="1" customWidth="1"/>
    <col min="91" max="91" width="31.6640625" style="464" hidden="1" customWidth="1"/>
    <col min="92" max="92" width="26.33203125" style="464" hidden="1" customWidth="1"/>
    <col min="93" max="93" width="23.6640625" style="464" hidden="1" customWidth="1"/>
    <col min="94" max="94" width="20.109375" style="464" hidden="1" customWidth="1"/>
    <col min="95" max="95" width="17.33203125" style="464" hidden="1" customWidth="1"/>
    <col min="96" max="96" width="18.109375" style="464" hidden="1" customWidth="1"/>
    <col min="97" max="97" width="44.44140625" style="463" hidden="1" customWidth="1"/>
    <col min="98" max="98" width="42.33203125" style="463" hidden="1" customWidth="1"/>
    <col min="99" max="99" width="30.33203125" style="463" hidden="1" customWidth="1"/>
    <col min="100" max="100" width="48.88671875" style="463" hidden="1" customWidth="1"/>
    <col min="101" max="101" width="21.6640625" style="463" hidden="1" customWidth="1"/>
    <col min="102" max="102" width="16.44140625" style="464" hidden="1" customWidth="1"/>
    <col min="103" max="104" width="15.44140625" style="464" hidden="1" customWidth="1"/>
    <col min="105" max="105" width="23.88671875" style="464" hidden="1" customWidth="1"/>
    <col min="106" max="106" width="23.33203125" style="464" hidden="1" customWidth="1"/>
    <col min="107" max="107" width="18.88671875" style="464" hidden="1" customWidth="1"/>
    <col min="108" max="108" width="39.88671875" style="464" hidden="1" customWidth="1"/>
    <col min="109" max="109" width="11.6640625" style="464" customWidth="1"/>
    <col min="110" max="113" width="38.33203125" style="736" customWidth="1" outlineLevel="1"/>
    <col min="114" max="114" width="194.88671875" style="463" customWidth="1"/>
    <col min="115" max="115" width="32.33203125" style="463" customWidth="1"/>
    <col min="116" max="123" width="9.109375" style="463"/>
    <col min="124" max="16384" width="9.109375" style="464"/>
  </cols>
  <sheetData>
    <row r="1" spans="1:123" ht="38.25" customHeight="1">
      <c r="A1" s="1777" t="s">
        <v>1696</v>
      </c>
      <c r="B1" s="1778" t="s">
        <v>1697</v>
      </c>
      <c r="C1" s="461">
        <v>2012</v>
      </c>
      <c r="D1" s="1779">
        <v>2013</v>
      </c>
      <c r="E1" s="1780"/>
      <c r="F1" s="1781"/>
      <c r="G1" s="1782">
        <v>2014</v>
      </c>
      <c r="H1" s="1782"/>
      <c r="I1" s="1782"/>
      <c r="J1" s="1782"/>
      <c r="K1" s="1782"/>
      <c r="L1" s="1782"/>
      <c r="M1" s="1782"/>
      <c r="N1" s="1782"/>
      <c r="O1" s="1782"/>
      <c r="P1" s="1782"/>
      <c r="Q1" s="1782"/>
      <c r="R1" s="1782"/>
      <c r="S1" s="1792">
        <v>2015</v>
      </c>
      <c r="T1" s="1792"/>
      <c r="U1" s="1792"/>
      <c r="V1" s="1792"/>
      <c r="W1" s="1792"/>
      <c r="X1" s="1792"/>
      <c r="Y1" s="1792"/>
      <c r="Z1" s="1792"/>
      <c r="AA1" s="1792"/>
      <c r="AB1" s="1792"/>
      <c r="AC1" s="1792"/>
      <c r="AD1" s="1792"/>
      <c r="AE1" s="1792"/>
      <c r="AF1" s="1792"/>
      <c r="AG1" s="1792"/>
      <c r="AH1" s="1792"/>
      <c r="AI1" s="1792"/>
      <c r="AJ1" s="1792"/>
      <c r="AK1" s="1792"/>
      <c r="AL1" s="1792"/>
      <c r="AM1" s="1792"/>
      <c r="AN1" s="1792"/>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462"/>
      <c r="BR1" s="462"/>
      <c r="BS1" s="462"/>
      <c r="BU1" s="464"/>
      <c r="BV1" s="464"/>
      <c r="BW1" s="464"/>
      <c r="BY1" s="466"/>
      <c r="BZ1" s="466"/>
      <c r="CA1" s="466"/>
      <c r="CB1" s="466"/>
      <c r="CC1" s="464"/>
      <c r="CD1" s="462"/>
      <c r="CE1" s="462"/>
      <c r="CF1" s="462"/>
      <c r="CG1" s="462"/>
      <c r="CH1" s="462"/>
      <c r="CI1" s="462"/>
      <c r="CJ1" s="462"/>
      <c r="CK1" s="467"/>
      <c r="CP1" s="469"/>
      <c r="CQ1" s="469"/>
      <c r="CR1" s="469"/>
      <c r="CS1" s="470"/>
      <c r="CT1" s="470"/>
      <c r="CU1" s="470"/>
      <c r="CV1" s="470"/>
      <c r="CW1" s="470"/>
      <c r="CX1" s="471">
        <v>92.267138382187383</v>
      </c>
      <c r="CY1" s="472">
        <v>6.777322538284082</v>
      </c>
      <c r="CZ1" s="472">
        <v>0.95553907952852735</v>
      </c>
      <c r="DF1" s="466"/>
      <c r="DG1" s="466"/>
      <c r="DH1" s="466"/>
      <c r="DI1" s="466"/>
    </row>
    <row r="2" spans="1:123" s="477" customFormat="1" ht="92.25" customHeight="1">
      <c r="A2" s="1777"/>
      <c r="B2" s="1778"/>
      <c r="C2" s="1793" t="s">
        <v>1698</v>
      </c>
      <c r="D2" s="1795" t="s">
        <v>1699</v>
      </c>
      <c r="E2" s="1795" t="s">
        <v>1700</v>
      </c>
      <c r="F2" s="1795" t="s">
        <v>1701</v>
      </c>
      <c r="G2" s="1787" t="s">
        <v>1702</v>
      </c>
      <c r="H2" s="473"/>
      <c r="I2" s="1787" t="s">
        <v>1703</v>
      </c>
      <c r="J2" s="1785" t="s">
        <v>1704</v>
      </c>
      <c r="K2" s="1785" t="s">
        <v>1705</v>
      </c>
      <c r="L2" s="1785" t="s">
        <v>1706</v>
      </c>
      <c r="M2" s="1785" t="s">
        <v>1707</v>
      </c>
      <c r="N2" s="1785" t="s">
        <v>1708</v>
      </c>
      <c r="O2" s="1785" t="s">
        <v>1709</v>
      </c>
      <c r="P2" s="1787" t="s">
        <v>1710</v>
      </c>
      <c r="Q2" s="1788" t="s">
        <v>1711</v>
      </c>
      <c r="R2" s="1789"/>
      <c r="S2" s="1790" t="s">
        <v>1712</v>
      </c>
      <c r="T2" s="1767" t="s">
        <v>1713</v>
      </c>
      <c r="U2" s="1767" t="s">
        <v>1714</v>
      </c>
      <c r="V2" s="1767" t="s">
        <v>1715</v>
      </c>
      <c r="W2" s="1767"/>
      <c r="X2" s="1767" t="s">
        <v>1716</v>
      </c>
      <c r="Y2" s="1767"/>
      <c r="Z2" s="1783" t="s">
        <v>1717</v>
      </c>
      <c r="AA2" s="1773" t="s">
        <v>1718</v>
      </c>
      <c r="AB2" s="1774"/>
      <c r="AC2" s="1776" t="s">
        <v>1719</v>
      </c>
      <c r="AD2" s="1776"/>
      <c r="AE2" s="1773" t="s">
        <v>1720</v>
      </c>
      <c r="AF2" s="1774"/>
      <c r="AG2" s="1776" t="s">
        <v>1721</v>
      </c>
      <c r="AH2" s="1796" t="s">
        <v>1722</v>
      </c>
      <c r="AI2" s="1797"/>
      <c r="AJ2" s="1796" t="s">
        <v>1723</v>
      </c>
      <c r="AK2" s="1797"/>
      <c r="AL2" s="1767" t="s">
        <v>1724</v>
      </c>
      <c r="AM2" s="1767" t="s">
        <v>1725</v>
      </c>
      <c r="AN2" s="1767"/>
      <c r="AO2" s="1767" t="s">
        <v>1726</v>
      </c>
      <c r="AP2" s="1767"/>
      <c r="AQ2" s="1767" t="s">
        <v>1727</v>
      </c>
      <c r="AR2" s="1767"/>
      <c r="AS2" s="1767" t="s">
        <v>1728</v>
      </c>
      <c r="AT2" s="1767"/>
      <c r="AU2" s="1767" t="s">
        <v>1729</v>
      </c>
      <c r="AV2" s="1767" t="s">
        <v>1730</v>
      </c>
      <c r="AW2" s="1767" t="s">
        <v>1731</v>
      </c>
      <c r="AX2" s="1767"/>
      <c r="AY2" s="1719" t="s">
        <v>1732</v>
      </c>
      <c r="AZ2" s="1767" t="s">
        <v>1733</v>
      </c>
      <c r="BA2" s="1767"/>
      <c r="BB2" s="1719" t="s">
        <v>1734</v>
      </c>
      <c r="BC2" s="1768"/>
      <c r="BD2" s="1768"/>
      <c r="BE2" s="1768"/>
      <c r="BF2" s="1769"/>
      <c r="BG2" s="1770" t="s">
        <v>1735</v>
      </c>
      <c r="BH2" s="1771"/>
      <c r="BI2" s="1771"/>
      <c r="BJ2" s="1771"/>
      <c r="BK2" s="1772"/>
      <c r="BL2" s="1773" t="s">
        <v>1736</v>
      </c>
      <c r="BM2" s="1774"/>
      <c r="BN2" s="1774"/>
      <c r="BO2" s="1774"/>
      <c r="BP2" s="1775"/>
      <c r="BQ2" s="1776" t="s">
        <v>1737</v>
      </c>
      <c r="BR2" s="1776"/>
      <c r="BS2" s="1776"/>
      <c r="BT2" s="474"/>
      <c r="BU2" s="1767" t="s">
        <v>1738</v>
      </c>
      <c r="BV2" s="1767"/>
      <c r="BW2" s="1767"/>
      <c r="BX2" s="1767"/>
      <c r="BY2" s="1761" t="s">
        <v>1739</v>
      </c>
      <c r="BZ2" s="1761"/>
      <c r="CA2" s="1761"/>
      <c r="CB2" s="1761"/>
      <c r="CC2" s="1762" t="s">
        <v>1740</v>
      </c>
      <c r="CD2" s="475"/>
      <c r="CE2" s="475"/>
      <c r="CF2" s="475"/>
      <c r="CG2" s="475"/>
      <c r="CH2" s="475"/>
      <c r="CI2" s="475"/>
      <c r="CJ2" s="475"/>
      <c r="CK2" s="1763" t="s">
        <v>1741</v>
      </c>
      <c r="CL2" s="1763" t="s">
        <v>1742</v>
      </c>
      <c r="CM2" s="1765" t="s">
        <v>1743</v>
      </c>
      <c r="CN2" s="1765" t="s">
        <v>1744</v>
      </c>
      <c r="CO2" s="1736" t="s">
        <v>1745</v>
      </c>
      <c r="CP2" s="1738" t="s">
        <v>1746</v>
      </c>
      <c r="CQ2" s="1739"/>
      <c r="CR2" s="1740"/>
      <c r="CS2" s="1744" t="s">
        <v>1747</v>
      </c>
      <c r="CT2" s="1745"/>
      <c r="CU2" s="1745"/>
      <c r="CV2" s="1745"/>
      <c r="CW2" s="1746"/>
      <c r="CX2" s="1753" t="s">
        <v>1747</v>
      </c>
      <c r="CY2" s="1753"/>
      <c r="CZ2" s="1753"/>
      <c r="DA2" s="1754" t="s">
        <v>1748</v>
      </c>
      <c r="DB2" s="476"/>
      <c r="DD2" s="478"/>
      <c r="DE2" s="478"/>
      <c r="DF2" s="1757" t="s">
        <v>1739</v>
      </c>
      <c r="DG2" s="1757"/>
      <c r="DH2" s="1757"/>
      <c r="DI2" s="1757"/>
      <c r="DJ2" s="474"/>
      <c r="DK2" s="474"/>
      <c r="DL2" s="474"/>
      <c r="DM2" s="474"/>
      <c r="DN2" s="474"/>
      <c r="DO2" s="474"/>
      <c r="DP2" s="474"/>
      <c r="DQ2" s="474"/>
      <c r="DR2" s="474"/>
      <c r="DS2" s="474"/>
    </row>
    <row r="3" spans="1:123" s="477" customFormat="1" ht="100.5" customHeight="1">
      <c r="A3" s="1777"/>
      <c r="B3" s="1778"/>
      <c r="C3" s="1794"/>
      <c r="D3" s="1795"/>
      <c r="E3" s="1795"/>
      <c r="F3" s="1795"/>
      <c r="G3" s="1787"/>
      <c r="H3" s="479" t="s">
        <v>1749</v>
      </c>
      <c r="I3" s="1787"/>
      <c r="J3" s="1786"/>
      <c r="K3" s="1786"/>
      <c r="L3" s="1786"/>
      <c r="M3" s="1786"/>
      <c r="N3" s="1786"/>
      <c r="O3" s="1786"/>
      <c r="P3" s="1787"/>
      <c r="Q3" s="479" t="s">
        <v>280</v>
      </c>
      <c r="R3" s="479" t="s">
        <v>281</v>
      </c>
      <c r="S3" s="1791"/>
      <c r="T3" s="1767"/>
      <c r="U3" s="1767"/>
      <c r="V3" s="480" t="s">
        <v>280</v>
      </c>
      <c r="W3" s="480" t="s">
        <v>281</v>
      </c>
      <c r="X3" s="480" t="s">
        <v>280</v>
      </c>
      <c r="Y3" s="480" t="s">
        <v>281</v>
      </c>
      <c r="Z3" s="1784"/>
      <c r="AA3" s="481" t="s">
        <v>280</v>
      </c>
      <c r="AB3" s="481" t="s">
        <v>281</v>
      </c>
      <c r="AC3" s="481" t="s">
        <v>280</v>
      </c>
      <c r="AD3" s="481" t="s">
        <v>281</v>
      </c>
      <c r="AE3" s="481" t="s">
        <v>280</v>
      </c>
      <c r="AF3" s="481" t="s">
        <v>281</v>
      </c>
      <c r="AG3" s="1776"/>
      <c r="AH3" s="481" t="s">
        <v>280</v>
      </c>
      <c r="AI3" s="481" t="s">
        <v>281</v>
      </c>
      <c r="AJ3" s="481" t="s">
        <v>280</v>
      </c>
      <c r="AK3" s="481" t="s">
        <v>281</v>
      </c>
      <c r="AL3" s="1767"/>
      <c r="AM3" s="480" t="s">
        <v>1750</v>
      </c>
      <c r="AN3" s="480" t="s">
        <v>1751</v>
      </c>
      <c r="AO3" s="480" t="s">
        <v>280</v>
      </c>
      <c r="AP3" s="480" t="s">
        <v>281</v>
      </c>
      <c r="AQ3" s="480" t="s">
        <v>1750</v>
      </c>
      <c r="AR3" s="480" t="s">
        <v>1752</v>
      </c>
      <c r="AS3" s="480" t="s">
        <v>1750</v>
      </c>
      <c r="AT3" s="480" t="s">
        <v>1752</v>
      </c>
      <c r="AU3" s="1767"/>
      <c r="AV3" s="1767"/>
      <c r="AW3" s="480" t="s">
        <v>280</v>
      </c>
      <c r="AX3" s="480" t="s">
        <v>281</v>
      </c>
      <c r="AY3" s="1720"/>
      <c r="AZ3" s="480" t="s">
        <v>280</v>
      </c>
      <c r="BA3" s="480" t="s">
        <v>281</v>
      </c>
      <c r="BB3" s="480" t="s">
        <v>1750</v>
      </c>
      <c r="BC3" s="480" t="s">
        <v>1753</v>
      </c>
      <c r="BD3" s="480" t="s">
        <v>1754</v>
      </c>
      <c r="BE3" s="482" t="s">
        <v>1755</v>
      </c>
      <c r="BF3" s="482" t="s">
        <v>1756</v>
      </c>
      <c r="BG3" s="480" t="s">
        <v>1750</v>
      </c>
      <c r="BH3" s="480" t="s">
        <v>1753</v>
      </c>
      <c r="BI3" s="480" t="s">
        <v>1751</v>
      </c>
      <c r="BJ3" s="483" t="s">
        <v>1757</v>
      </c>
      <c r="BK3" s="483" t="s">
        <v>1758</v>
      </c>
      <c r="BL3" s="481" t="s">
        <v>1750</v>
      </c>
      <c r="BM3" s="481" t="s">
        <v>1753</v>
      </c>
      <c r="BN3" s="481" t="s">
        <v>1752</v>
      </c>
      <c r="BO3" s="475" t="s">
        <v>1757</v>
      </c>
      <c r="BP3" s="475" t="s">
        <v>1759</v>
      </c>
      <c r="BQ3" s="481" t="s">
        <v>1750</v>
      </c>
      <c r="BR3" s="481" t="s">
        <v>1753</v>
      </c>
      <c r="BS3" s="481" t="s">
        <v>1752</v>
      </c>
      <c r="BT3" s="474"/>
      <c r="BU3" s="484" t="s">
        <v>1760</v>
      </c>
      <c r="BV3" s="484" t="s">
        <v>1761</v>
      </c>
      <c r="BW3" s="484" t="s">
        <v>1762</v>
      </c>
      <c r="BX3" s="484" t="s">
        <v>1763</v>
      </c>
      <c r="BY3" s="485" t="s">
        <v>1764</v>
      </c>
      <c r="BZ3" s="485" t="s">
        <v>1765</v>
      </c>
      <c r="CA3" s="485" t="s">
        <v>1766</v>
      </c>
      <c r="CB3" s="485" t="s">
        <v>1767</v>
      </c>
      <c r="CC3" s="1762"/>
      <c r="CD3" s="486" t="s">
        <v>1768</v>
      </c>
      <c r="CE3" s="486"/>
      <c r="CF3" s="486"/>
      <c r="CG3" s="486"/>
      <c r="CH3" s="486"/>
      <c r="CI3" s="486"/>
      <c r="CJ3" s="486"/>
      <c r="CK3" s="1764"/>
      <c r="CL3" s="1764"/>
      <c r="CM3" s="1766"/>
      <c r="CN3" s="1766"/>
      <c r="CO3" s="1737"/>
      <c r="CP3" s="1741"/>
      <c r="CQ3" s="1742"/>
      <c r="CR3" s="1743"/>
      <c r="CS3" s="1747"/>
      <c r="CT3" s="1748"/>
      <c r="CU3" s="1748"/>
      <c r="CV3" s="1748"/>
      <c r="CW3" s="1749"/>
      <c r="CX3" s="1753"/>
      <c r="CY3" s="1753"/>
      <c r="CZ3" s="1753"/>
      <c r="DA3" s="1755"/>
      <c r="DB3" s="487" t="s">
        <v>1769</v>
      </c>
      <c r="DD3" s="478"/>
      <c r="DE3" s="478"/>
      <c r="DF3" s="488" t="s">
        <v>1764</v>
      </c>
      <c r="DG3" s="488" t="s">
        <v>1765</v>
      </c>
      <c r="DH3" s="488" t="s">
        <v>1766</v>
      </c>
      <c r="DI3" s="488" t="s">
        <v>1767</v>
      </c>
      <c r="DJ3" s="474"/>
      <c r="DK3" s="474"/>
      <c r="DL3" s="474"/>
      <c r="DM3" s="474"/>
      <c r="DN3" s="474"/>
      <c r="DO3" s="474"/>
      <c r="DP3" s="474"/>
      <c r="DQ3" s="474"/>
      <c r="DR3" s="474"/>
      <c r="DS3" s="474"/>
    </row>
    <row r="4" spans="1:123" s="503" customFormat="1" ht="19.5" hidden="1" customHeight="1">
      <c r="A4" s="489" t="s">
        <v>242</v>
      </c>
      <c r="B4" s="490" t="s">
        <v>1770</v>
      </c>
      <c r="C4" s="491">
        <v>1</v>
      </c>
      <c r="D4" s="492">
        <v>2</v>
      </c>
      <c r="E4" s="492">
        <v>3</v>
      </c>
      <c r="F4" s="492">
        <v>4</v>
      </c>
      <c r="G4" s="492">
        <v>1</v>
      </c>
      <c r="H4" s="492">
        <v>2</v>
      </c>
      <c r="I4" s="492" t="s">
        <v>1771</v>
      </c>
      <c r="J4" s="492">
        <v>11</v>
      </c>
      <c r="K4" s="492">
        <v>13</v>
      </c>
      <c r="L4" s="492">
        <v>4</v>
      </c>
      <c r="M4" s="492">
        <v>5</v>
      </c>
      <c r="N4" s="492">
        <v>6</v>
      </c>
      <c r="O4" s="492">
        <v>9</v>
      </c>
      <c r="P4" s="492" t="s">
        <v>1772</v>
      </c>
      <c r="Q4" s="493"/>
      <c r="R4" s="493"/>
      <c r="S4" s="493">
        <v>11</v>
      </c>
      <c r="T4" s="493">
        <v>12</v>
      </c>
      <c r="U4" s="494" t="s">
        <v>1773</v>
      </c>
      <c r="V4" s="494"/>
      <c r="W4" s="494"/>
      <c r="X4" s="494"/>
      <c r="Y4" s="494"/>
      <c r="Z4" s="495"/>
      <c r="AA4" s="496"/>
      <c r="AB4" s="496"/>
      <c r="AC4" s="496"/>
      <c r="AD4" s="496"/>
      <c r="AE4" s="496"/>
      <c r="AF4" s="496"/>
      <c r="AG4" s="496"/>
      <c r="AH4" s="496"/>
      <c r="AI4" s="496"/>
      <c r="AJ4" s="496"/>
      <c r="AK4" s="496"/>
      <c r="AL4" s="496"/>
      <c r="AM4" s="496"/>
      <c r="AN4" s="496"/>
      <c r="AO4" s="496"/>
      <c r="AP4" s="496"/>
      <c r="AQ4" s="496">
        <v>19</v>
      </c>
      <c r="AR4" s="496"/>
      <c r="AS4" s="496">
        <v>20</v>
      </c>
      <c r="AT4" s="496"/>
      <c r="AU4" s="496"/>
      <c r="AV4" s="496"/>
      <c r="AW4" s="496"/>
      <c r="AX4" s="496"/>
      <c r="AY4" s="496"/>
      <c r="AZ4" s="496"/>
      <c r="BA4" s="496"/>
      <c r="BB4" s="496">
        <v>21</v>
      </c>
      <c r="BC4" s="493"/>
      <c r="BD4" s="493"/>
      <c r="BE4" s="493"/>
      <c r="BF4" s="493"/>
      <c r="BG4" s="493"/>
      <c r="BH4" s="497"/>
      <c r="BI4" s="497"/>
      <c r="BJ4" s="497"/>
      <c r="BK4" s="497"/>
      <c r="BL4" s="496">
        <v>22</v>
      </c>
      <c r="BM4" s="496"/>
      <c r="BN4" s="496"/>
      <c r="BO4" s="497"/>
      <c r="BP4" s="497"/>
      <c r="BQ4" s="496">
        <v>22</v>
      </c>
      <c r="BR4" s="496"/>
      <c r="BS4" s="496"/>
      <c r="BT4" s="498"/>
      <c r="BU4" s="499"/>
      <c r="BV4" s="499"/>
      <c r="BW4" s="499"/>
      <c r="BX4" s="499"/>
      <c r="BY4" s="499"/>
      <c r="BZ4" s="499"/>
      <c r="CA4" s="499"/>
      <c r="CB4" s="499"/>
      <c r="CC4" s="499"/>
      <c r="CD4" s="499"/>
      <c r="CE4" s="499"/>
      <c r="CF4" s="499"/>
      <c r="CG4" s="499"/>
      <c r="CH4" s="499"/>
      <c r="CI4" s="499"/>
      <c r="CJ4" s="499"/>
      <c r="CK4" s="500"/>
      <c r="CL4" s="500"/>
      <c r="CM4" s="501"/>
      <c r="CN4" s="501"/>
      <c r="CO4" s="501"/>
      <c r="CP4" s="502" t="s">
        <v>1764</v>
      </c>
      <c r="CQ4" s="502" t="s">
        <v>1765</v>
      </c>
      <c r="CR4" s="502" t="s">
        <v>1766</v>
      </c>
      <c r="CS4" s="1750"/>
      <c r="CT4" s="1751"/>
      <c r="CU4" s="1751"/>
      <c r="CV4" s="1751"/>
      <c r="CW4" s="1752"/>
      <c r="CX4" s="1758"/>
      <c r="CY4" s="1759"/>
      <c r="CZ4" s="1760"/>
      <c r="DA4" s="1756"/>
      <c r="DD4" s="504"/>
      <c r="DE4" s="504"/>
      <c r="DF4" s="499"/>
      <c r="DG4" s="499"/>
      <c r="DH4" s="499"/>
      <c r="DI4" s="499"/>
      <c r="DJ4" s="498"/>
      <c r="DK4" s="498"/>
      <c r="DL4" s="498"/>
      <c r="DM4" s="498"/>
      <c r="DN4" s="498"/>
      <c r="DO4" s="498"/>
      <c r="DP4" s="498"/>
      <c r="DQ4" s="498"/>
      <c r="DR4" s="498"/>
      <c r="DS4" s="498"/>
    </row>
    <row r="5" spans="1:123" ht="45.75" customHeight="1">
      <c r="A5" s="505" t="s">
        <v>1774</v>
      </c>
      <c r="B5" s="506" t="s">
        <v>1775</v>
      </c>
      <c r="C5" s="507">
        <f t="shared" ref="C5:N5" si="0">C6+C13</f>
        <v>9710481914.9799995</v>
      </c>
      <c r="D5" s="507">
        <f t="shared" si="0"/>
        <v>8616324237.6128178</v>
      </c>
      <c r="E5" s="507">
        <f t="shared" si="0"/>
        <v>9387789791.6499996</v>
      </c>
      <c r="F5" s="507">
        <f t="shared" si="0"/>
        <v>9096125532.6599998</v>
      </c>
      <c r="G5" s="507">
        <f t="shared" si="0"/>
        <v>6466647936.96</v>
      </c>
      <c r="H5" s="507">
        <f t="shared" si="0"/>
        <v>0</v>
      </c>
      <c r="I5" s="507">
        <f t="shared" si="0"/>
        <v>7413495620.6225748</v>
      </c>
      <c r="J5" s="507">
        <f>J6+J13</f>
        <v>3567351462.3600006</v>
      </c>
      <c r="K5" s="507">
        <f t="shared" si="0"/>
        <v>1860199430.2326782</v>
      </c>
      <c r="L5" s="507">
        <f t="shared" si="0"/>
        <v>1985944728.029896</v>
      </c>
      <c r="M5" s="507">
        <f t="shared" si="0"/>
        <v>5427550892.5926781</v>
      </c>
      <c r="N5" s="507">
        <f t="shared" si="0"/>
        <v>5325104653.9400005</v>
      </c>
      <c r="O5" s="507">
        <f>O6+O13</f>
        <v>2387596905.2299995</v>
      </c>
      <c r="P5" s="507">
        <f>P6+P13</f>
        <v>7712701559.170001</v>
      </c>
      <c r="Q5" s="507">
        <f>P5-I5</f>
        <v>299205938.54742622</v>
      </c>
      <c r="R5" s="507">
        <f>P5/I5*100-100</f>
        <v>4.0359629769673973</v>
      </c>
      <c r="S5" s="507">
        <f>S6+S13</f>
        <v>6745604540.6784496</v>
      </c>
      <c r="T5" s="507">
        <f>T6+T13</f>
        <v>7483414447.6683702</v>
      </c>
      <c r="U5" s="507">
        <f>U6+U13</f>
        <v>8168002434.8483706</v>
      </c>
      <c r="V5" s="507">
        <f t="shared" ref="V5:V68" si="1">U5-T5</f>
        <v>684587987.18000031</v>
      </c>
      <c r="W5" s="507">
        <f>U5/T5*100-100</f>
        <v>9.1480699347515042</v>
      </c>
      <c r="X5" s="507">
        <f>U5-P5</f>
        <v>455300875.67836952</v>
      </c>
      <c r="Y5" s="507">
        <f>U5/P5*100-100</f>
        <v>5.9032606433091104</v>
      </c>
      <c r="Z5" s="507">
        <f>AN5+AV5</f>
        <v>8370658585.3782253</v>
      </c>
      <c r="AA5" s="507">
        <f>Z5-T5</f>
        <v>887244137.70985508</v>
      </c>
      <c r="AB5" s="507">
        <f>Z5/T5*100-100</f>
        <v>11.856140588154872</v>
      </c>
      <c r="AC5" s="507">
        <f>Z5-U5</f>
        <v>202656150.52985477</v>
      </c>
      <c r="AD5" s="507">
        <f>Z5/U5*100-100</f>
        <v>2.4810980670773688</v>
      </c>
      <c r="AE5" s="507">
        <f>Z5-P5</f>
        <v>657957026.2082243</v>
      </c>
      <c r="AF5" s="507">
        <f>Z5/P5*100-100</f>
        <v>8.5308243961021333</v>
      </c>
      <c r="AG5" s="507">
        <f>AN5+AY5</f>
        <v>8741832872.8699989</v>
      </c>
      <c r="AH5" s="507">
        <f>AG5-U5</f>
        <v>573830438.02162838</v>
      </c>
      <c r="AI5" s="507">
        <f>AG5/U5*100-100</f>
        <v>7.0253460696021506</v>
      </c>
      <c r="AJ5" s="507">
        <f>AG5-Z5</f>
        <v>371174287.49177361</v>
      </c>
      <c r="AK5" s="507">
        <f t="shared" ref="AK5:AK17" si="2">AG5/Z5*100-100</f>
        <v>4.4342303978343693</v>
      </c>
      <c r="AL5" s="507">
        <f>AL6+AL13</f>
        <v>8741832872.8699989</v>
      </c>
      <c r="AM5" s="507">
        <f t="shared" ref="AM5:AN20" si="3">AQ5+AS5</f>
        <v>4059847513.1841202</v>
      </c>
      <c r="AN5" s="507">
        <f t="shared" si="3"/>
        <v>4218296473.1500006</v>
      </c>
      <c r="AO5" s="507">
        <f>AN5-AM5</f>
        <v>158448959.96588039</v>
      </c>
      <c r="AP5" s="507">
        <f>AN5/AM5*100-100</f>
        <v>3.9028303267875515</v>
      </c>
      <c r="AQ5" s="507">
        <f>AQ6+AQ13</f>
        <v>2132834528.0598199</v>
      </c>
      <c r="AR5" s="507">
        <f>AR6+AR13</f>
        <v>2192333442.6289835</v>
      </c>
      <c r="AS5" s="507">
        <f>AS6+AS13</f>
        <v>1927012985.1243</v>
      </c>
      <c r="AT5" s="507">
        <f>AT6+AT13</f>
        <v>2025963030.5210168</v>
      </c>
      <c r="AU5" s="507">
        <f t="shared" ref="AU5:AV26" si="4">BB5+BL5</f>
        <v>4108154921.6642499</v>
      </c>
      <c r="AV5" s="507">
        <f t="shared" si="4"/>
        <v>4152362112.2282248</v>
      </c>
      <c r="AW5" s="507">
        <f>AV5-AU5</f>
        <v>44207190.563974857</v>
      </c>
      <c r="AX5" s="507">
        <f>AV5/AU5*100-100</f>
        <v>1.07608382368565</v>
      </c>
      <c r="AY5" s="507">
        <f t="shared" ref="AY5:AY26" si="5">BD5+BN5</f>
        <v>4523536399.7199993</v>
      </c>
      <c r="AZ5" s="507">
        <f>AV5-AY5</f>
        <v>-371174287.49177456</v>
      </c>
      <c r="BA5" s="507">
        <f>AV5/AY5*100-100</f>
        <v>-8.2054007018656847</v>
      </c>
      <c r="BB5" s="507">
        <f t="shared" ref="BB5:BN5" si="6">BB6+BB13</f>
        <v>2012077493.8994899</v>
      </c>
      <c r="BC5" s="507">
        <f t="shared" si="6"/>
        <v>2030659599.7126293</v>
      </c>
      <c r="BD5" s="507">
        <f>BD6+BD13</f>
        <v>2235079989.0199995</v>
      </c>
      <c r="BE5" s="507">
        <f>BD5-BB5</f>
        <v>223002495.12050962</v>
      </c>
      <c r="BF5" s="507">
        <f>BD5-BC5</f>
        <v>204420389.30737019</v>
      </c>
      <c r="BG5" s="507">
        <f>AM5+BB5</f>
        <v>6071925007.0836105</v>
      </c>
      <c r="BH5" s="507">
        <f>BH6+BH13</f>
        <v>6248956072.8626289</v>
      </c>
      <c r="BI5" s="507">
        <f t="shared" ref="BI5" si="7">BI6+BI13</f>
        <v>6453376462.1700001</v>
      </c>
      <c r="BJ5" s="507">
        <f>BI5-BG5</f>
        <v>381451455.08638954</v>
      </c>
      <c r="BK5" s="507">
        <f>BI5-BH5</f>
        <v>204420389.30737114</v>
      </c>
      <c r="BL5" s="507">
        <f t="shared" si="6"/>
        <v>2096077427.76476</v>
      </c>
      <c r="BM5" s="507">
        <f t="shared" si="6"/>
        <v>2121702512.5155954</v>
      </c>
      <c r="BN5" s="507">
        <f t="shared" si="6"/>
        <v>2288456410.7000003</v>
      </c>
      <c r="BO5" s="507">
        <f>BN5-BL5</f>
        <v>192378982.93524027</v>
      </c>
      <c r="BP5" s="507">
        <f>BN5-BM5</f>
        <v>166753898.18440485</v>
      </c>
      <c r="BQ5" s="507">
        <f t="shared" ref="BQ5:BS5" si="8">BQ6+BQ13</f>
        <v>2096077427.76476</v>
      </c>
      <c r="BR5" s="507">
        <f t="shared" si="8"/>
        <v>0</v>
      </c>
      <c r="BS5" s="507">
        <f t="shared" si="8"/>
        <v>0</v>
      </c>
      <c r="BU5" s="507">
        <f t="shared" ref="BU5:CB5" si="9">BU6+BU13</f>
        <v>0</v>
      </c>
      <c r="BV5" s="507">
        <f t="shared" si="9"/>
        <v>0</v>
      </c>
      <c r="BW5" s="507">
        <f t="shared" si="9"/>
        <v>875715794.93000007</v>
      </c>
      <c r="BX5" s="507">
        <f t="shared" si="9"/>
        <v>7866117077.9399996</v>
      </c>
      <c r="BY5" s="507">
        <f t="shared" si="9"/>
        <v>8243413312.6199999</v>
      </c>
      <c r="BZ5" s="507">
        <f t="shared" si="9"/>
        <v>368661520.16999996</v>
      </c>
      <c r="CA5" s="507">
        <f t="shared" si="9"/>
        <v>129758040.08000001</v>
      </c>
      <c r="CB5" s="507">
        <f t="shared" si="9"/>
        <v>8741832872.8699989</v>
      </c>
      <c r="CC5" s="507">
        <f>AL5-CB5</f>
        <v>0</v>
      </c>
      <c r="CD5" s="507"/>
      <c r="CE5" s="507"/>
      <c r="CF5" s="507"/>
      <c r="CG5" s="507"/>
      <c r="CH5" s="507"/>
      <c r="CI5" s="507"/>
      <c r="CJ5" s="507"/>
      <c r="CK5" s="508"/>
      <c r="CL5" s="508"/>
      <c r="CM5" s="509"/>
      <c r="CN5" s="509"/>
      <c r="CO5" s="510"/>
      <c r="CP5" s="511">
        <f>CP6+CP13</f>
        <v>7739347056.7969093</v>
      </c>
      <c r="CQ5" s="511">
        <f>CQ6+CQ13</f>
        <v>341756816.14699155</v>
      </c>
      <c r="CR5" s="511">
        <f>CR6+CR13</f>
        <v>86898561.904469714</v>
      </c>
      <c r="CS5" s="512" t="s">
        <v>1776</v>
      </c>
      <c r="CT5" s="513" t="s">
        <v>1777</v>
      </c>
      <c r="CU5" s="514" t="s">
        <v>1778</v>
      </c>
      <c r="CV5" s="513" t="s">
        <v>1779</v>
      </c>
      <c r="CW5" s="515" t="s">
        <v>1780</v>
      </c>
      <c r="CX5" s="510"/>
      <c r="CY5" s="510"/>
      <c r="CZ5" s="510"/>
      <c r="DA5" s="516"/>
      <c r="DB5" s="511">
        <f>DB6+DB13</f>
        <v>2192333442.6289835</v>
      </c>
      <c r="DD5" s="517"/>
      <c r="DE5" s="517"/>
      <c r="DF5" s="507">
        <f t="shared" ref="DF5:DI5" si="10">DF6+DF13</f>
        <v>8243413.31262</v>
      </c>
      <c r="DG5" s="507">
        <f t="shared" si="10"/>
        <v>368661.52016999997</v>
      </c>
      <c r="DH5" s="507">
        <f t="shared" si="10"/>
        <v>129758.04008000001</v>
      </c>
      <c r="DI5" s="507">
        <f t="shared" si="10"/>
        <v>8741832.8728700001</v>
      </c>
    </row>
    <row r="6" spans="1:123" ht="63.75" customHeight="1">
      <c r="A6" s="505" t="s">
        <v>1781</v>
      </c>
      <c r="B6" s="506" t="s">
        <v>1782</v>
      </c>
      <c r="C6" s="507">
        <f t="shared" ref="C6:S6" si="11">C7+C8+C9</f>
        <v>8985197962.1800003</v>
      </c>
      <c r="D6" s="507">
        <f t="shared" si="11"/>
        <v>8616324237.6128178</v>
      </c>
      <c r="E6" s="507">
        <f t="shared" si="11"/>
        <v>9295485145.3099995</v>
      </c>
      <c r="F6" s="507">
        <f t="shared" si="11"/>
        <v>8839939245.3899994</v>
      </c>
      <c r="G6" s="507">
        <f t="shared" si="11"/>
        <v>6466647936.96</v>
      </c>
      <c r="H6" s="507">
        <f t="shared" si="11"/>
        <v>0</v>
      </c>
      <c r="I6" s="507">
        <f t="shared" si="11"/>
        <v>6906341593.9525747</v>
      </c>
      <c r="J6" s="507">
        <f>J7+J8+J9</f>
        <v>3266781054.3100004</v>
      </c>
      <c r="K6" s="507">
        <f t="shared" si="11"/>
        <v>1777425728.3426781</v>
      </c>
      <c r="L6" s="507">
        <f t="shared" si="11"/>
        <v>1862134811.299896</v>
      </c>
      <c r="M6" s="507">
        <f t="shared" si="11"/>
        <v>5044206782.6526785</v>
      </c>
      <c r="N6" s="507">
        <f t="shared" si="11"/>
        <v>4953087802.1100006</v>
      </c>
      <c r="O6" s="507">
        <f>O7+O8+O9</f>
        <v>1811785001.5499995</v>
      </c>
      <c r="P6" s="507">
        <f>P7+P8+P9</f>
        <v>6764872803.6600008</v>
      </c>
      <c r="Q6" s="507">
        <f t="shared" ref="Q6:Q69" si="12">P6-I6</f>
        <v>-141468790.29257393</v>
      </c>
      <c r="R6" s="507">
        <f t="shared" ref="R6:R69" si="13">P6/I6*100-100</f>
        <v>-2.0483897063019469</v>
      </c>
      <c r="S6" s="507">
        <f t="shared" si="11"/>
        <v>6745604540.6784496</v>
      </c>
      <c r="T6" s="507">
        <f>T7+T8+T9</f>
        <v>7483414447.6683702</v>
      </c>
      <c r="U6" s="507">
        <f>U7+U8+U9</f>
        <v>7861555223.4983702</v>
      </c>
      <c r="V6" s="507">
        <f t="shared" si="1"/>
        <v>378140775.82999992</v>
      </c>
      <c r="W6" s="507">
        <f t="shared" ref="W6:W69" si="14">U6/T6*100-100</f>
        <v>5.0530513641111838</v>
      </c>
      <c r="X6" s="507">
        <f t="shared" ref="X6:X69" si="15">U6-P6</f>
        <v>1096682419.8383694</v>
      </c>
      <c r="Y6" s="507">
        <f t="shared" ref="Y6:Y69" si="16">U6/P6*100-100</f>
        <v>16.211427053662135</v>
      </c>
      <c r="Z6" s="507">
        <f t="shared" ref="Z6:Z69" si="17">AN6+AV6</f>
        <v>7862942261.8182249</v>
      </c>
      <c r="AA6" s="507">
        <f t="shared" ref="AA6:AA69" si="18">Z6-T6</f>
        <v>379527814.14985466</v>
      </c>
      <c r="AB6" s="507">
        <f t="shared" ref="AB6:AB69" si="19">Z6/T6*100-100</f>
        <v>5.0715861964334437</v>
      </c>
      <c r="AC6" s="507">
        <f t="shared" ref="AC6:AC69" si="20">Z6-U6</f>
        <v>1387038.3198547363</v>
      </c>
      <c r="AD6" s="507">
        <f t="shared" ref="AD6:AD69" si="21">Z6/U6*100-100</f>
        <v>1.7643306959286065E-2</v>
      </c>
      <c r="AE6" s="507">
        <f t="shared" ref="AE6:AE69" si="22">Z6-P6</f>
        <v>1098069458.1582241</v>
      </c>
      <c r="AF6" s="507">
        <f t="shared" ref="AF6:AF69" si="23">Z6/P6*100-100</f>
        <v>16.231930592458951</v>
      </c>
      <c r="AG6" s="507">
        <f>AN6+AY6</f>
        <v>7866117077.9399996</v>
      </c>
      <c r="AH6" s="507">
        <f t="shared" ref="AH6:AH69" si="24">AG6-U6</f>
        <v>4561854.4416294098</v>
      </c>
      <c r="AI6" s="507">
        <f t="shared" ref="AI6:AI69" si="25">AG6/U6*100-100</f>
        <v>5.8027378959238263E-2</v>
      </c>
      <c r="AJ6" s="507">
        <f t="shared" ref="AJ6:AJ69" si="26">AG6-Z6</f>
        <v>3174816.1217746735</v>
      </c>
      <c r="AK6" s="507">
        <f t="shared" si="2"/>
        <v>4.0376948171044091E-2</v>
      </c>
      <c r="AL6" s="507">
        <f>AL7+AL8+AL9</f>
        <v>7866117077.9399996</v>
      </c>
      <c r="AM6" s="507">
        <f t="shared" si="3"/>
        <v>3836113497.3541203</v>
      </c>
      <c r="AN6" s="507">
        <f t="shared" si="3"/>
        <v>3836163533.9700003</v>
      </c>
      <c r="AO6" s="507">
        <f t="shared" ref="AO6:AO69" si="27">AN6-AM6</f>
        <v>50036.615880012512</v>
      </c>
      <c r="AP6" s="507">
        <f>AN6/AM6*100-100</f>
        <v>1.3043570247504022E-3</v>
      </c>
      <c r="AQ6" s="507">
        <f>AQ7+AQ8+AQ9</f>
        <v>1951623622.46982</v>
      </c>
      <c r="AR6" s="507">
        <f>AR7+AR8+AR9</f>
        <v>1917302434.3289833</v>
      </c>
      <c r="AS6" s="507">
        <f>AS7+AS8+AS9</f>
        <v>1884489874.8843</v>
      </c>
      <c r="AT6" s="507">
        <f>AT7+AT8+AT9</f>
        <v>1918861099.641017</v>
      </c>
      <c r="AU6" s="507">
        <f t="shared" si="4"/>
        <v>4025441726.1442499</v>
      </c>
      <c r="AV6" s="507">
        <f t="shared" si="4"/>
        <v>4026778727.8482246</v>
      </c>
      <c r="AW6" s="507">
        <f t="shared" ref="AW6:AW69" si="28">AV6-AU6</f>
        <v>1337001.7039747238</v>
      </c>
      <c r="AX6" s="507">
        <f t="shared" ref="AX6:AX69" si="29">AV6/AU6*100-100</f>
        <v>3.3213788571103464E-2</v>
      </c>
      <c r="AY6" s="507">
        <f t="shared" si="5"/>
        <v>4029953543.9699993</v>
      </c>
      <c r="AZ6" s="507">
        <f t="shared" ref="AZ6:AZ69" si="30">AV6-AY6</f>
        <v>-3174816.1217746735</v>
      </c>
      <c r="BA6" s="507">
        <f t="shared" ref="BA6:BA69" si="31">AV6/AY6*100-100</f>
        <v>-7.8780464517393511E-2</v>
      </c>
      <c r="BB6" s="507">
        <f t="shared" ref="BB6:BN6" si="32">BB7+BB8+BB9</f>
        <v>1968613706.31949</v>
      </c>
      <c r="BC6" s="507">
        <f t="shared" si="32"/>
        <v>1969337725.3226292</v>
      </c>
      <c r="BD6" s="507">
        <f t="shared" si="32"/>
        <v>1971193773.4799993</v>
      </c>
      <c r="BE6" s="507">
        <f t="shared" ref="BE6:BE69" si="33">BD6-BB6</f>
        <v>2580067.1605093479</v>
      </c>
      <c r="BF6" s="507">
        <f t="shared" ref="BF6:BF69" si="34">BD6-BC6</f>
        <v>1856048.1573700905</v>
      </c>
      <c r="BG6" s="507">
        <f t="shared" ref="BG6:BH68" si="35">AM6+BB6</f>
        <v>5804727203.6736107</v>
      </c>
      <c r="BH6" s="507">
        <f t="shared" ref="BH6:BI6" si="36">BH7+BH8+BH9</f>
        <v>5805501259.2926292</v>
      </c>
      <c r="BI6" s="507">
        <f t="shared" si="36"/>
        <v>5807357307.4499998</v>
      </c>
      <c r="BJ6" s="507">
        <f t="shared" ref="BJ6:BJ69" si="37">BI6-BG6</f>
        <v>2630103.776389122</v>
      </c>
      <c r="BK6" s="507">
        <f t="shared" ref="BK6:BK69" si="38">BI6-BH6</f>
        <v>1856048.1573705673</v>
      </c>
      <c r="BL6" s="507">
        <f t="shared" si="32"/>
        <v>2056828019.82476</v>
      </c>
      <c r="BM6" s="507">
        <f t="shared" si="32"/>
        <v>2057441002.5255954</v>
      </c>
      <c r="BN6" s="507">
        <f t="shared" si="32"/>
        <v>2058759770.49</v>
      </c>
      <c r="BO6" s="507">
        <f t="shared" ref="BO6" si="39">BN6-BL6</f>
        <v>1931750.6652400494</v>
      </c>
      <c r="BP6" s="507">
        <f t="shared" ref="BP6:BP69" si="40">BN6-BM6</f>
        <v>1318767.964404583</v>
      </c>
      <c r="BQ6" s="507">
        <f t="shared" ref="BQ6:BS6" si="41">BQ7+BQ8+BQ9</f>
        <v>2056828019.82476</v>
      </c>
      <c r="BR6" s="507">
        <f t="shared" si="41"/>
        <v>0</v>
      </c>
      <c r="BS6" s="507">
        <f t="shared" si="41"/>
        <v>0</v>
      </c>
      <c r="BT6" s="518"/>
      <c r="BU6" s="507">
        <f t="shared" ref="BU6:BX6" si="42">BU7+BU8+BU9</f>
        <v>0</v>
      </c>
      <c r="BV6" s="507">
        <f t="shared" si="42"/>
        <v>0</v>
      </c>
      <c r="BW6" s="507">
        <f t="shared" si="42"/>
        <v>0</v>
      </c>
      <c r="BX6" s="507">
        <f t="shared" si="42"/>
        <v>7866117077.9399996</v>
      </c>
      <c r="BY6" s="507">
        <f>SUM(BY7:BY9)</f>
        <v>7509867761.4899998</v>
      </c>
      <c r="BZ6" s="507">
        <f t="shared" ref="BZ6:CB6" si="43">SUM(BZ7:BZ9)</f>
        <v>303810614.52999997</v>
      </c>
      <c r="CA6" s="507">
        <f t="shared" si="43"/>
        <v>52438701.919999994</v>
      </c>
      <c r="CB6" s="507">
        <f t="shared" si="43"/>
        <v>7866117077.9399996</v>
      </c>
      <c r="CC6" s="507">
        <f t="shared" ref="CC6:CC69" si="44">AL6-CB6</f>
        <v>0</v>
      </c>
      <c r="CD6" s="507"/>
      <c r="CE6" s="507"/>
      <c r="CF6" s="507"/>
      <c r="CG6" s="507"/>
      <c r="CH6" s="507"/>
      <c r="CI6" s="507"/>
      <c r="CJ6" s="507"/>
      <c r="CK6" s="508"/>
      <c r="CL6" s="508"/>
      <c r="CM6" s="509"/>
      <c r="CN6" s="509"/>
      <c r="CO6" s="510"/>
      <c r="CP6" s="511">
        <f>CP7+CP8+CP9</f>
        <v>7483414447.6683702</v>
      </c>
      <c r="CQ6" s="511">
        <f>CQ7+CQ8+CQ9</f>
        <v>331178000</v>
      </c>
      <c r="CR6" s="511">
        <f>CR7+CR8+CR9</f>
        <v>46962775.830000006</v>
      </c>
      <c r="CS6" s="519" t="s">
        <v>1464</v>
      </c>
      <c r="CT6" s="514">
        <f>CT7+CT8+CT9</f>
        <v>4886830915.8299999</v>
      </c>
      <c r="CU6" s="514">
        <f>CU7+CU8+CU9</f>
        <v>100.00000000000001</v>
      </c>
      <c r="CV6" s="514">
        <f>CV7+CV8</f>
        <v>4839868140</v>
      </c>
      <c r="CW6" s="515">
        <f>CW7+CW8</f>
        <v>100</v>
      </c>
      <c r="CX6" s="1721" t="s">
        <v>1783</v>
      </c>
      <c r="CY6" s="1722"/>
      <c r="CZ6" s="1723"/>
      <c r="DA6" s="1727" t="s">
        <v>1784</v>
      </c>
      <c r="DB6" s="511">
        <f>DB7+DB8+DB9</f>
        <v>1917302434.3289833</v>
      </c>
      <c r="DD6" s="517"/>
      <c r="DE6" s="517"/>
      <c r="DF6" s="507">
        <f>SUM(DF7:DF9)</f>
        <v>7509867.7614899995</v>
      </c>
      <c r="DG6" s="507">
        <f t="shared" ref="DG6:DI6" si="45">SUM(DG7:DG9)</f>
        <v>303810.61452999996</v>
      </c>
      <c r="DH6" s="507">
        <f t="shared" si="45"/>
        <v>52438.701919999992</v>
      </c>
      <c r="DI6" s="507">
        <f t="shared" si="45"/>
        <v>7866117.0779399993</v>
      </c>
      <c r="DJ6" s="518"/>
      <c r="DK6" s="518"/>
    </row>
    <row r="7" spans="1:123" s="534" customFormat="1" ht="60.75" customHeight="1">
      <c r="A7" s="520" t="s">
        <v>1785</v>
      </c>
      <c r="B7" s="521" t="s">
        <v>1786</v>
      </c>
      <c r="C7" s="522">
        <v>8662185307.4900017</v>
      </c>
      <c r="D7" s="522">
        <v>8616324237.6128178</v>
      </c>
      <c r="E7" s="522">
        <v>8693195481.8400002</v>
      </c>
      <c r="F7" s="522">
        <v>8575081705.4399996</v>
      </c>
      <c r="G7" s="523">
        <v>6466647936.96</v>
      </c>
      <c r="H7" s="523">
        <v>0</v>
      </c>
      <c r="I7" s="522">
        <f>J7+K7+L7</f>
        <v>6437732087.9137602</v>
      </c>
      <c r="J7" s="522">
        <v>3174404394.6100001</v>
      </c>
      <c r="K7" s="522">
        <v>1632171202.2720001</v>
      </c>
      <c r="L7" s="522">
        <v>1631156491.03176</v>
      </c>
      <c r="M7" s="522">
        <f>J7+K7</f>
        <v>4806575596.882</v>
      </c>
      <c r="N7" s="522">
        <v>4818131350.4100008</v>
      </c>
      <c r="O7" s="522">
        <f>P7-N7</f>
        <v>1638131181.8599997</v>
      </c>
      <c r="P7" s="522">
        <v>6456262532.2700005</v>
      </c>
      <c r="Q7" s="522">
        <f t="shared" si="12"/>
        <v>18530444.356240273</v>
      </c>
      <c r="R7" s="522">
        <f t="shared" si="13"/>
        <v>0.28784118542350257</v>
      </c>
      <c r="S7" s="522">
        <v>6745604540.6784496</v>
      </c>
      <c r="T7" s="522">
        <f>7483414.44766837*1000</f>
        <v>7483414447.6683702</v>
      </c>
      <c r="U7" s="522">
        <f>AQ7+AS7+BB7+BL7</f>
        <v>7483414447.6683702</v>
      </c>
      <c r="V7" s="522">
        <f>U7-T7</f>
        <v>0</v>
      </c>
      <c r="W7" s="522">
        <f t="shared" si="14"/>
        <v>0</v>
      </c>
      <c r="X7" s="522">
        <f>U7-P7</f>
        <v>1027151915.3983698</v>
      </c>
      <c r="Y7" s="522">
        <f t="shared" si="16"/>
        <v>15.909388911377278</v>
      </c>
      <c r="Z7" s="524">
        <f t="shared" si="17"/>
        <v>7484350937.8482246</v>
      </c>
      <c r="AA7" s="522">
        <f t="shared" si="18"/>
        <v>936490.17985439301</v>
      </c>
      <c r="AB7" s="522">
        <f t="shared" si="19"/>
        <v>1.2514209742136018E-2</v>
      </c>
      <c r="AC7" s="522">
        <f t="shared" si="20"/>
        <v>936490.17985439301</v>
      </c>
      <c r="AD7" s="522">
        <f t="shared" si="21"/>
        <v>1.2514209742136018E-2</v>
      </c>
      <c r="AE7" s="522">
        <f t="shared" si="22"/>
        <v>1028088405.5782242</v>
      </c>
      <c r="AF7" s="522">
        <f t="shared" si="23"/>
        <v>15.923894055416483</v>
      </c>
      <c r="AG7" s="522">
        <f t="shared" ref="AG7:AG70" si="46">AN7+AY7</f>
        <v>7509867761.4899998</v>
      </c>
      <c r="AH7" s="522">
        <f t="shared" si="24"/>
        <v>26453313.821629524</v>
      </c>
      <c r="AI7" s="522">
        <f t="shared" si="25"/>
        <v>0.3534925668839719</v>
      </c>
      <c r="AJ7" s="522">
        <f t="shared" si="26"/>
        <v>25516823.641775131</v>
      </c>
      <c r="AK7" s="522">
        <f t="shared" si="2"/>
        <v>0.34093569173430183</v>
      </c>
      <c r="AL7" s="522">
        <f>BX7</f>
        <v>7509867761.4899998</v>
      </c>
      <c r="AM7" s="522">
        <f t="shared" si="3"/>
        <v>3682302861.9341202</v>
      </c>
      <c r="AN7" s="522">
        <f>AR7+AT7</f>
        <v>3692620344.9000001</v>
      </c>
      <c r="AO7" s="522">
        <f t="shared" si="27"/>
        <v>10317482.965879917</v>
      </c>
      <c r="AP7" s="522">
        <f t="shared" ref="AP7:AP70" si="47">AN7/AM7*100-100</f>
        <v>0.28019104763319547</v>
      </c>
      <c r="AQ7" s="522">
        <f>1882703.75319982*1000</f>
        <v>1882703753.19982</v>
      </c>
      <c r="AR7" s="522">
        <v>1876694317.8389833</v>
      </c>
      <c r="AS7" s="522">
        <f>1799599.1087343*1000</f>
        <v>1799599108.7342999</v>
      </c>
      <c r="AT7" s="522">
        <v>1815926027.0610168</v>
      </c>
      <c r="AU7" s="522">
        <f t="shared" si="4"/>
        <v>3801111585.7342501</v>
      </c>
      <c r="AV7" s="522">
        <f t="shared" si="4"/>
        <v>3791730592.948225</v>
      </c>
      <c r="AW7" s="522">
        <f t="shared" si="28"/>
        <v>-9380992.7860250473</v>
      </c>
      <c r="AX7" s="522">
        <f t="shared" si="29"/>
        <v>-0.24679603780199955</v>
      </c>
      <c r="AY7" s="522">
        <f t="shared" si="5"/>
        <v>3817247416.5899997</v>
      </c>
      <c r="AZ7" s="522">
        <f t="shared" si="30"/>
        <v>-25516823.641774654</v>
      </c>
      <c r="BA7" s="522">
        <v>0</v>
      </c>
      <c r="BB7" s="522">
        <f>1882264.38156949*1000</f>
        <v>1882264381.56949</v>
      </c>
      <c r="BC7" s="525">
        <f>'[67]Дир_ по реал.услуг'!AT7</f>
        <v>1877480971.5526292</v>
      </c>
      <c r="BD7" s="525">
        <f>BI7-AN7</f>
        <v>1919858407.3299994</v>
      </c>
      <c r="BE7" s="525">
        <f>BD7-BB7</f>
        <v>37594025.760509491</v>
      </c>
      <c r="BF7" s="525">
        <f>BD7-BC7</f>
        <v>42377435.777370214</v>
      </c>
      <c r="BG7" s="525">
        <f t="shared" si="35"/>
        <v>5564567243.5036106</v>
      </c>
      <c r="BH7" s="522">
        <f>AN7+BC7</f>
        <v>5570101316.4526291</v>
      </c>
      <c r="BI7" s="522">
        <v>5612478752.2299995</v>
      </c>
      <c r="BJ7" s="522">
        <f>BI7-BG7</f>
        <v>47911508.726388931</v>
      </c>
      <c r="BK7" s="522">
        <f t="shared" si="38"/>
        <v>42377435.777370453</v>
      </c>
      <c r="BL7" s="525">
        <f>1918847.20416476*1000</f>
        <v>1918847204.1647599</v>
      </c>
      <c r="BM7" s="522">
        <f>'[67]Дир_ по реал.услуг'!AW7</f>
        <v>1914249621.3955956</v>
      </c>
      <c r="BN7" s="522">
        <f>AL7-BI7</f>
        <v>1897389009.2600002</v>
      </c>
      <c r="BO7" s="522">
        <f>BN7-BL7</f>
        <v>-21458194.904759645</v>
      </c>
      <c r="BP7" s="522">
        <f t="shared" si="40"/>
        <v>-16860612.135595322</v>
      </c>
      <c r="BQ7" s="525">
        <f>1918847.20416476*1000</f>
        <v>1918847204.1647599</v>
      </c>
      <c r="BR7" s="522">
        <f>'[67]Дир_ по реал.услуг'!BB7</f>
        <v>0</v>
      </c>
      <c r="BS7" s="522">
        <f>'[67]Дир_ по реал.услуг'!BC7</f>
        <v>0</v>
      </c>
      <c r="BT7" s="518"/>
      <c r="BU7" s="522"/>
      <c r="BV7" s="522"/>
      <c r="BW7" s="522"/>
      <c r="BX7" s="522">
        <v>7509867761.4899998</v>
      </c>
      <c r="BY7" s="522">
        <f>BX7</f>
        <v>7509867761.4899998</v>
      </c>
      <c r="BZ7" s="522"/>
      <c r="CA7" s="522"/>
      <c r="CB7" s="522">
        <f>SUM(BY7:CA7)</f>
        <v>7509867761.4899998</v>
      </c>
      <c r="CC7" s="522">
        <f t="shared" si="44"/>
        <v>0</v>
      </c>
      <c r="CD7" s="522"/>
      <c r="CE7" s="522"/>
      <c r="CF7" s="522"/>
      <c r="CG7" s="522"/>
      <c r="CH7" s="522"/>
      <c r="CI7" s="522"/>
      <c r="CJ7" s="522"/>
      <c r="CK7" s="526" t="s">
        <v>78</v>
      </c>
      <c r="CL7" s="526" t="s">
        <v>1787</v>
      </c>
      <c r="CM7" s="527"/>
      <c r="CN7" s="527"/>
      <c r="CO7" s="528"/>
      <c r="CP7" s="529">
        <f>U7</f>
        <v>7483414447.6683702</v>
      </c>
      <c r="CQ7" s="529"/>
      <c r="CR7" s="529"/>
      <c r="CS7" s="530" t="s">
        <v>1788</v>
      </c>
      <c r="CT7" s="531">
        <f>4508690.14*1000</f>
        <v>4508690140</v>
      </c>
      <c r="CU7" s="532">
        <f>CT7/CT6*100</f>
        <v>92.26204502789156</v>
      </c>
      <c r="CV7" s="533">
        <f>CT7</f>
        <v>4508690140</v>
      </c>
      <c r="CW7" s="532">
        <f>CV7/CV6*100</f>
        <v>93.157292917488448</v>
      </c>
      <c r="CX7" s="1724"/>
      <c r="CY7" s="1725"/>
      <c r="CZ7" s="1726"/>
      <c r="DA7" s="1728"/>
      <c r="DB7" s="529">
        <f>2214499295.05/1.18</f>
        <v>1876694317.8389833</v>
      </c>
      <c r="DD7" s="535"/>
      <c r="DE7" s="535"/>
      <c r="DF7" s="522">
        <f>BY7/1000</f>
        <v>7509867.7614899995</v>
      </c>
      <c r="DG7" s="522">
        <f>BZ7/1000</f>
        <v>0</v>
      </c>
      <c r="DH7" s="522">
        <f>CA7/1000</f>
        <v>0</v>
      </c>
      <c r="DI7" s="522">
        <f>CB7/1000</f>
        <v>7509867.7614899995</v>
      </c>
      <c r="DJ7" s="518"/>
      <c r="DK7" s="518"/>
      <c r="DL7" s="536"/>
      <c r="DM7" s="536"/>
      <c r="DN7" s="536"/>
      <c r="DO7" s="536"/>
      <c r="DP7" s="536"/>
      <c r="DQ7" s="536"/>
      <c r="DR7" s="536"/>
      <c r="DS7" s="536"/>
    </row>
    <row r="8" spans="1:123" s="534" customFormat="1" ht="86.25" customHeight="1">
      <c r="A8" s="537" t="s">
        <v>1789</v>
      </c>
      <c r="B8" s="538" t="s">
        <v>1790</v>
      </c>
      <c r="C8" s="539">
        <v>274092379.47000003</v>
      </c>
      <c r="D8" s="525"/>
      <c r="E8" s="525">
        <v>501001501</v>
      </c>
      <c r="F8" s="525">
        <v>206797513.44999999</v>
      </c>
      <c r="G8" s="540">
        <v>0</v>
      </c>
      <c r="H8" s="540">
        <v>0</v>
      </c>
      <c r="I8" s="525">
        <f>J8+K8+L8</f>
        <v>419417985.56881404</v>
      </c>
      <c r="J8" s="525">
        <v>75018788.840000004</v>
      </c>
      <c r="K8" s="525">
        <v>129379492.84067799</v>
      </c>
      <c r="L8" s="525">
        <v>215019703.888136</v>
      </c>
      <c r="M8" s="525">
        <f>J8+K8</f>
        <v>204398281.68067801</v>
      </c>
      <c r="N8" s="525">
        <v>107095996.73999999</v>
      </c>
      <c r="O8" s="525">
        <f>P8-N8</f>
        <v>159325557.13999999</v>
      </c>
      <c r="P8" s="522">
        <v>266421553.88</v>
      </c>
      <c r="Q8" s="525">
        <f t="shared" si="12"/>
        <v>-152996431.68881404</v>
      </c>
      <c r="R8" s="525">
        <f t="shared" si="13"/>
        <v>-36.478271546061748</v>
      </c>
      <c r="S8" s="525"/>
      <c r="T8" s="525">
        <v>0</v>
      </c>
      <c r="U8" s="522">
        <f>AQ8+AS8+BB8+BL8</f>
        <v>331178000</v>
      </c>
      <c r="V8" s="522">
        <f t="shared" si="1"/>
        <v>331178000</v>
      </c>
      <c r="W8" s="522">
        <v>0</v>
      </c>
      <c r="X8" s="522">
        <f t="shared" si="15"/>
        <v>64756446.120000005</v>
      </c>
      <c r="Y8" s="522">
        <f t="shared" si="16"/>
        <v>24.306008720738561</v>
      </c>
      <c r="Z8" s="524">
        <f t="shared" si="17"/>
        <v>331177994.85000002</v>
      </c>
      <c r="AA8" s="522">
        <f t="shared" si="18"/>
        <v>331177994.85000002</v>
      </c>
      <c r="AB8" s="522">
        <v>0</v>
      </c>
      <c r="AC8" s="522">
        <f t="shared" si="20"/>
        <v>-5.1499999761581421</v>
      </c>
      <c r="AD8" s="522">
        <f t="shared" si="21"/>
        <v>-1.5550549790077639E-6</v>
      </c>
      <c r="AE8" s="522">
        <f t="shared" si="22"/>
        <v>64756440.970000029</v>
      </c>
      <c r="AF8" s="522">
        <f t="shared" si="23"/>
        <v>24.306006787711794</v>
      </c>
      <c r="AG8" s="522">
        <f t="shared" si="46"/>
        <v>303810614.52999997</v>
      </c>
      <c r="AH8" s="522">
        <f t="shared" si="24"/>
        <v>-27367385.470000029</v>
      </c>
      <c r="AI8" s="522">
        <f t="shared" si="25"/>
        <v>-8.2636483914994443</v>
      </c>
      <c r="AJ8" s="522">
        <f t="shared" si="26"/>
        <v>-27367380.320000052</v>
      </c>
      <c r="AK8" s="522">
        <f t="shared" si="2"/>
        <v>-8.2636469649487196</v>
      </c>
      <c r="AL8" s="522">
        <f>BX8</f>
        <v>303810614.52999997</v>
      </c>
      <c r="AM8" s="522">
        <f t="shared" si="3"/>
        <v>132576000</v>
      </c>
      <c r="AN8" s="522">
        <f t="shared" si="3"/>
        <v>119869673.81</v>
      </c>
      <c r="AO8" s="522">
        <f t="shared" si="27"/>
        <v>-12706326.189999998</v>
      </c>
      <c r="AP8" s="522">
        <f t="shared" si="47"/>
        <v>-9.5841828008085912</v>
      </c>
      <c r="AQ8" s="522">
        <v>59893000</v>
      </c>
      <c r="AR8" s="522">
        <v>29533481.440000001</v>
      </c>
      <c r="AS8" s="522">
        <v>72683000</v>
      </c>
      <c r="AT8" s="522">
        <v>90336192.370000005</v>
      </c>
      <c r="AU8" s="522">
        <f t="shared" si="4"/>
        <v>198602000</v>
      </c>
      <c r="AV8" s="522">
        <f t="shared" si="4"/>
        <v>211308321.03999999</v>
      </c>
      <c r="AW8" s="522">
        <f t="shared" si="28"/>
        <v>12706321.039999992</v>
      </c>
      <c r="AX8" s="522">
        <f t="shared" si="29"/>
        <v>6.3978817131750816</v>
      </c>
      <c r="AY8" s="522">
        <f t="shared" si="5"/>
        <v>183940940.71999997</v>
      </c>
      <c r="AZ8" s="522">
        <f t="shared" si="30"/>
        <v>27367380.320000023</v>
      </c>
      <c r="BA8" s="522">
        <f t="shared" si="31"/>
        <v>14.878351830144993</v>
      </c>
      <c r="BB8" s="522">
        <v>73595000</v>
      </c>
      <c r="BC8" s="525">
        <f>'[67]Дир_ по кап.стр.'!AT7</f>
        <v>79948160.519999996</v>
      </c>
      <c r="BD8" s="525">
        <f>BI8-AN8</f>
        <v>36132041.060000002</v>
      </c>
      <c r="BE8" s="525">
        <f t="shared" si="33"/>
        <v>-37462958.939999998</v>
      </c>
      <c r="BF8" s="525">
        <f t="shared" si="34"/>
        <v>-43816119.459999993</v>
      </c>
      <c r="BG8" s="525">
        <f t="shared" si="35"/>
        <v>206171000</v>
      </c>
      <c r="BH8" s="522">
        <f>AN8+BC8</f>
        <v>199817834.32999998</v>
      </c>
      <c r="BI8" s="522">
        <v>156001714.87</v>
      </c>
      <c r="BJ8" s="522">
        <f t="shared" si="37"/>
        <v>-50169285.129999995</v>
      </c>
      <c r="BK8" s="522">
        <f t="shared" si="38"/>
        <v>-43816119.459999979</v>
      </c>
      <c r="BL8" s="525">
        <v>125007000</v>
      </c>
      <c r="BM8" s="522">
        <f>'[67]Дир_ по кап.стр.'!AW7</f>
        <v>131360160.52</v>
      </c>
      <c r="BN8" s="522">
        <f>AL8-BI8</f>
        <v>147808899.65999997</v>
      </c>
      <c r="BO8" s="522">
        <f t="shared" ref="BO8:BO71" si="48">BN8-BL8</f>
        <v>22801899.659999967</v>
      </c>
      <c r="BP8" s="522">
        <f t="shared" si="40"/>
        <v>16448739.139999971</v>
      </c>
      <c r="BQ8" s="525">
        <v>125007000</v>
      </c>
      <c r="BR8" s="522">
        <f>'[67]Дир_ по кап.стр.'!BB7</f>
        <v>0</v>
      </c>
      <c r="BS8" s="522">
        <f>'[67]Дир_ по кап.стр.'!BC7</f>
        <v>0</v>
      </c>
      <c r="BT8" s="541"/>
      <c r="BU8" s="522"/>
      <c r="BV8" s="522"/>
      <c r="BW8" s="522"/>
      <c r="BX8" s="522">
        <v>303810614.52999997</v>
      </c>
      <c r="BY8" s="522"/>
      <c r="BZ8" s="522">
        <f>BX8</f>
        <v>303810614.52999997</v>
      </c>
      <c r="CA8" s="522"/>
      <c r="CB8" s="522">
        <f>SUM(BY8:CA8)</f>
        <v>303810614.52999997</v>
      </c>
      <c r="CC8" s="522">
        <f t="shared" si="44"/>
        <v>0</v>
      </c>
      <c r="CD8" s="522"/>
      <c r="CE8" s="522"/>
      <c r="CF8" s="522"/>
      <c r="CG8" s="522"/>
      <c r="CH8" s="522"/>
      <c r="CI8" s="522"/>
      <c r="CJ8" s="522"/>
      <c r="CK8" s="542" t="s">
        <v>1791</v>
      </c>
      <c r="CL8" s="543" t="s">
        <v>1792</v>
      </c>
      <c r="CM8" s="509"/>
      <c r="CN8" s="509"/>
      <c r="CO8" s="528"/>
      <c r="CP8" s="544"/>
      <c r="CQ8" s="544">
        <f>U8</f>
        <v>331178000</v>
      </c>
      <c r="CR8" s="544"/>
      <c r="CS8" s="545" t="s">
        <v>1793</v>
      </c>
      <c r="CT8" s="546">
        <f>U8</f>
        <v>331178000</v>
      </c>
      <c r="CU8" s="547">
        <f>CT8/CT6*100</f>
        <v>6.7769482043507816</v>
      </c>
      <c r="CV8" s="546">
        <f>CT8</f>
        <v>331178000</v>
      </c>
      <c r="CW8" s="547">
        <f>CV8/CV6*100</f>
        <v>6.8427070825115495</v>
      </c>
      <c r="CX8" s="1721" t="s">
        <v>1794</v>
      </c>
      <c r="CY8" s="1722"/>
      <c r="CZ8" s="1723"/>
      <c r="DA8" s="1727" t="s">
        <v>1795</v>
      </c>
      <c r="DB8" s="544">
        <v>29533481.440000001</v>
      </c>
      <c r="DD8" s="535"/>
      <c r="DE8" s="535"/>
      <c r="DF8" s="522">
        <f t="shared" ref="DF8:DI26" si="49">BY8/1000</f>
        <v>0</v>
      </c>
      <c r="DG8" s="522">
        <f t="shared" si="49"/>
        <v>303810.61452999996</v>
      </c>
      <c r="DH8" s="522">
        <f t="shared" si="49"/>
        <v>0</v>
      </c>
      <c r="DI8" s="522">
        <f t="shared" si="49"/>
        <v>303810.61452999996</v>
      </c>
      <c r="DJ8" s="541"/>
      <c r="DK8" s="541"/>
      <c r="DL8" s="536"/>
      <c r="DM8" s="536"/>
      <c r="DN8" s="536"/>
      <c r="DO8" s="536"/>
      <c r="DP8" s="536"/>
      <c r="DQ8" s="536"/>
      <c r="DR8" s="536"/>
      <c r="DS8" s="536"/>
    </row>
    <row r="9" spans="1:123" s="560" customFormat="1" ht="63" customHeight="1">
      <c r="A9" s="548" t="s">
        <v>1796</v>
      </c>
      <c r="B9" s="549" t="s">
        <v>1797</v>
      </c>
      <c r="C9" s="550">
        <f t="shared" ref="C9:T9" si="50">C10+C11+C12</f>
        <v>48920275.219999999</v>
      </c>
      <c r="D9" s="550">
        <f t="shared" si="50"/>
        <v>0</v>
      </c>
      <c r="E9" s="550">
        <f t="shared" si="50"/>
        <v>101288162.47</v>
      </c>
      <c r="F9" s="550">
        <f t="shared" si="50"/>
        <v>58060026.5</v>
      </c>
      <c r="G9" s="550">
        <f t="shared" si="50"/>
        <v>0</v>
      </c>
      <c r="H9" s="550">
        <f t="shared" si="50"/>
        <v>0</v>
      </c>
      <c r="I9" s="550">
        <f t="shared" si="50"/>
        <v>49191520.469999999</v>
      </c>
      <c r="J9" s="550">
        <f t="shared" si="50"/>
        <v>17357870.859999999</v>
      </c>
      <c r="K9" s="550">
        <f t="shared" si="50"/>
        <v>15875033.23</v>
      </c>
      <c r="L9" s="550">
        <f t="shared" si="50"/>
        <v>15958616.379999999</v>
      </c>
      <c r="M9" s="550">
        <f t="shared" si="50"/>
        <v>33232904.09</v>
      </c>
      <c r="N9" s="550">
        <f t="shared" si="50"/>
        <v>27860454.960000005</v>
      </c>
      <c r="O9" s="550">
        <f>O10+O11+O12</f>
        <v>14328262.549999997</v>
      </c>
      <c r="P9" s="551">
        <f>P10+P11+P12</f>
        <v>42188717.509999998</v>
      </c>
      <c r="Q9" s="550">
        <f t="shared" si="12"/>
        <v>-7002802.9600000009</v>
      </c>
      <c r="R9" s="550">
        <f t="shared" si="13"/>
        <v>-14.235792862452257</v>
      </c>
      <c r="S9" s="550">
        <f t="shared" si="50"/>
        <v>0</v>
      </c>
      <c r="T9" s="550">
        <f t="shared" si="50"/>
        <v>0</v>
      </c>
      <c r="U9" s="550">
        <f>U10+U11+U12</f>
        <v>46962775.830000006</v>
      </c>
      <c r="V9" s="550">
        <f t="shared" si="1"/>
        <v>46962775.830000006</v>
      </c>
      <c r="W9" s="550">
        <v>0</v>
      </c>
      <c r="X9" s="550">
        <f t="shared" si="15"/>
        <v>4774058.3200000077</v>
      </c>
      <c r="Y9" s="550">
        <f t="shared" si="16"/>
        <v>11.315959815247794</v>
      </c>
      <c r="Z9" s="552">
        <f t="shared" si="17"/>
        <v>47413329.119999997</v>
      </c>
      <c r="AA9" s="551">
        <f t="shared" si="18"/>
        <v>47413329.119999997</v>
      </c>
      <c r="AB9" s="551">
        <v>0</v>
      </c>
      <c r="AC9" s="551">
        <f t="shared" si="20"/>
        <v>450553.28999999166</v>
      </c>
      <c r="AD9" s="551">
        <f t="shared" si="21"/>
        <v>0.95938385676123517</v>
      </c>
      <c r="AE9" s="551">
        <f t="shared" si="22"/>
        <v>5224611.6099999994</v>
      </c>
      <c r="AF9" s="551">
        <f t="shared" si="23"/>
        <v>12.383907163714113</v>
      </c>
      <c r="AG9" s="551">
        <f t="shared" si="46"/>
        <v>52438701.919999994</v>
      </c>
      <c r="AH9" s="551">
        <f t="shared" si="24"/>
        <v>5475926.0899999887</v>
      </c>
      <c r="AI9" s="551">
        <f t="shared" si="25"/>
        <v>11.660141448670373</v>
      </c>
      <c r="AJ9" s="551">
        <f t="shared" si="26"/>
        <v>5025372.799999997</v>
      </c>
      <c r="AK9" s="551">
        <f t="shared" si="2"/>
        <v>10.59907180801649</v>
      </c>
      <c r="AL9" s="550">
        <f>AL10+AL11+AL12</f>
        <v>52438701.919999994</v>
      </c>
      <c r="AM9" s="551">
        <f t="shared" si="3"/>
        <v>21234635.420000002</v>
      </c>
      <c r="AN9" s="551">
        <f t="shared" si="3"/>
        <v>23673515.259999998</v>
      </c>
      <c r="AO9" s="551">
        <f t="shared" si="27"/>
        <v>2438879.8399999961</v>
      </c>
      <c r="AP9" s="551">
        <f t="shared" si="47"/>
        <v>11.485385982671119</v>
      </c>
      <c r="AQ9" s="551">
        <f>AQ10+AQ11+AQ12</f>
        <v>9026869.2700000014</v>
      </c>
      <c r="AR9" s="551">
        <f>AR10+AR11+AR12</f>
        <v>11074635.050000001</v>
      </c>
      <c r="AS9" s="551">
        <f>AS10+AS11+AS12</f>
        <v>12207766.150000002</v>
      </c>
      <c r="AT9" s="551">
        <f>AT10+AT11+AT12</f>
        <v>12598880.209999999</v>
      </c>
      <c r="AU9" s="551">
        <f t="shared" si="4"/>
        <v>25728140.41</v>
      </c>
      <c r="AV9" s="551">
        <f t="shared" si="4"/>
        <v>23739813.859999999</v>
      </c>
      <c r="AW9" s="551">
        <f t="shared" si="28"/>
        <v>-1988326.5500000007</v>
      </c>
      <c r="AX9" s="551">
        <f t="shared" si="29"/>
        <v>-7.7282171129133701</v>
      </c>
      <c r="AY9" s="551">
        <f t="shared" si="5"/>
        <v>28765186.659999996</v>
      </c>
      <c r="AZ9" s="551">
        <f t="shared" si="30"/>
        <v>-5025372.799999997</v>
      </c>
      <c r="BA9" s="551">
        <f t="shared" si="31"/>
        <v>-17.47032918436831</v>
      </c>
      <c r="BB9" s="551">
        <f t="shared" ref="BB9:BN9" si="51">BB10+BB11+BB12</f>
        <v>12754324.75</v>
      </c>
      <c r="BC9" s="550">
        <f t="shared" si="51"/>
        <v>11908593.25</v>
      </c>
      <c r="BD9" s="550">
        <f t="shared" si="51"/>
        <v>15203325.09</v>
      </c>
      <c r="BE9" s="550">
        <f t="shared" si="33"/>
        <v>2449000.34</v>
      </c>
      <c r="BF9" s="550">
        <f t="shared" si="34"/>
        <v>3294731.84</v>
      </c>
      <c r="BG9" s="550">
        <f t="shared" si="35"/>
        <v>33988960.170000002</v>
      </c>
      <c r="BH9" s="551">
        <f t="shared" si="51"/>
        <v>35582108.510000005</v>
      </c>
      <c r="BI9" s="551">
        <f t="shared" si="51"/>
        <v>38876840.350000001</v>
      </c>
      <c r="BJ9" s="551">
        <f t="shared" si="37"/>
        <v>4887880.18</v>
      </c>
      <c r="BK9" s="551">
        <f t="shared" si="38"/>
        <v>3294731.8399999961</v>
      </c>
      <c r="BL9" s="550">
        <f t="shared" si="51"/>
        <v>12973815.66</v>
      </c>
      <c r="BM9" s="551">
        <f t="shared" si="51"/>
        <v>11831220.610000001</v>
      </c>
      <c r="BN9" s="551">
        <f t="shared" si="51"/>
        <v>13561861.569999997</v>
      </c>
      <c r="BO9" s="551">
        <f t="shared" si="48"/>
        <v>588045.90999999642</v>
      </c>
      <c r="BP9" s="551">
        <f t="shared" si="40"/>
        <v>1730640.9599999953</v>
      </c>
      <c r="BQ9" s="550">
        <f t="shared" ref="BQ9:BS9" si="52">BQ10+BQ11+BQ12</f>
        <v>12973815.66</v>
      </c>
      <c r="BR9" s="551">
        <f t="shared" si="52"/>
        <v>0</v>
      </c>
      <c r="BS9" s="551">
        <f t="shared" si="52"/>
        <v>0</v>
      </c>
      <c r="BT9" s="553"/>
      <c r="BU9" s="551"/>
      <c r="BV9" s="551"/>
      <c r="BW9" s="551"/>
      <c r="BX9" s="554">
        <f>BX10+BX11+BX12</f>
        <v>52438701.919999994</v>
      </c>
      <c r="BY9" s="551">
        <f t="shared" ref="BY9:CB9" si="53">BY10+BY11+BY12</f>
        <v>0</v>
      </c>
      <c r="BZ9" s="551">
        <f t="shared" si="53"/>
        <v>0</v>
      </c>
      <c r="CA9" s="551">
        <f t="shared" si="53"/>
        <v>52438701.919999994</v>
      </c>
      <c r="CB9" s="551">
        <f t="shared" si="53"/>
        <v>52438701.919999994</v>
      </c>
      <c r="CC9" s="551">
        <f t="shared" si="44"/>
        <v>0</v>
      </c>
      <c r="CD9" s="551"/>
      <c r="CE9" s="551"/>
      <c r="CF9" s="551"/>
      <c r="CG9" s="551"/>
      <c r="CH9" s="551"/>
      <c r="CI9" s="551"/>
      <c r="CJ9" s="551"/>
      <c r="CK9" s="555"/>
      <c r="CL9" s="555"/>
      <c r="CM9" s="556"/>
      <c r="CN9" s="556"/>
      <c r="CO9" s="557"/>
      <c r="CP9" s="558">
        <f>CP10+CP11+CP12</f>
        <v>0</v>
      </c>
      <c r="CQ9" s="558">
        <f>CQ10+CQ11+CQ12</f>
        <v>0</v>
      </c>
      <c r="CR9" s="558">
        <f>CR10+CR11+CR12</f>
        <v>46962775.830000006</v>
      </c>
      <c r="CS9" s="545" t="s">
        <v>1798</v>
      </c>
      <c r="CT9" s="546">
        <f>U9</f>
        <v>46962775.830000006</v>
      </c>
      <c r="CU9" s="559">
        <f>CT9/CT6*100</f>
        <v>0.96100676775766147</v>
      </c>
      <c r="CV9" s="559"/>
      <c r="CW9" s="550"/>
      <c r="CX9" s="1729"/>
      <c r="CY9" s="1730"/>
      <c r="CZ9" s="1731"/>
      <c r="DA9" s="1732"/>
      <c r="DB9" s="558">
        <f>DB10+DB11+DB12</f>
        <v>11074635.050000001</v>
      </c>
      <c r="DD9" s="561"/>
      <c r="DE9" s="561"/>
      <c r="DF9" s="551">
        <f t="shared" si="49"/>
        <v>0</v>
      </c>
      <c r="DG9" s="551">
        <f t="shared" si="49"/>
        <v>0</v>
      </c>
      <c r="DH9" s="551">
        <f t="shared" si="49"/>
        <v>52438.701919999992</v>
      </c>
      <c r="DI9" s="551">
        <f t="shared" si="49"/>
        <v>52438.701919999992</v>
      </c>
      <c r="DJ9" s="553"/>
      <c r="DK9" s="553"/>
      <c r="DL9" s="553"/>
      <c r="DM9" s="553"/>
      <c r="DN9" s="553"/>
      <c r="DO9" s="553"/>
      <c r="DP9" s="553"/>
      <c r="DQ9" s="553"/>
      <c r="DR9" s="553"/>
      <c r="DS9" s="553"/>
    </row>
    <row r="10" spans="1:123" s="534" customFormat="1" ht="67.5" customHeight="1">
      <c r="A10" s="537" t="s">
        <v>1799</v>
      </c>
      <c r="B10" s="538" t="s">
        <v>1797</v>
      </c>
      <c r="C10" s="539">
        <v>44084314.490000002</v>
      </c>
      <c r="D10" s="525"/>
      <c r="E10" s="525">
        <v>97331062.469999999</v>
      </c>
      <c r="F10" s="525">
        <v>55237045.609999999</v>
      </c>
      <c r="G10" s="540">
        <v>0</v>
      </c>
      <c r="H10" s="540">
        <v>0</v>
      </c>
      <c r="I10" s="525">
        <f>J10+K10+L10</f>
        <v>47699334.149999999</v>
      </c>
      <c r="J10" s="525">
        <v>16499679.120000001</v>
      </c>
      <c r="K10" s="525">
        <v>15552157.5</v>
      </c>
      <c r="L10" s="525">
        <v>15647497.529999999</v>
      </c>
      <c r="M10" s="525">
        <f>J10+K10</f>
        <v>32051836.620000001</v>
      </c>
      <c r="N10" s="525">
        <v>26627645.190000001</v>
      </c>
      <c r="O10" s="525">
        <f>P10-N10</f>
        <v>12359327.849999998</v>
      </c>
      <c r="P10" s="522">
        <v>38986973.039999999</v>
      </c>
      <c r="Q10" s="525">
        <f t="shared" si="12"/>
        <v>-8712361.1099999994</v>
      </c>
      <c r="R10" s="525">
        <f t="shared" si="13"/>
        <v>-18.265162953013672</v>
      </c>
      <c r="S10" s="525"/>
      <c r="T10" s="525">
        <v>0</v>
      </c>
      <c r="U10" s="522">
        <f>AQ10+AS10+BB10+BL10</f>
        <v>36924866.140000001</v>
      </c>
      <c r="V10" s="522">
        <f t="shared" si="1"/>
        <v>36924866.140000001</v>
      </c>
      <c r="W10" s="522">
        <v>0</v>
      </c>
      <c r="X10" s="522">
        <f t="shared" si="15"/>
        <v>-2062106.8999999985</v>
      </c>
      <c r="Y10" s="522">
        <f t="shared" si="16"/>
        <v>-5.2892203195264926</v>
      </c>
      <c r="Z10" s="524">
        <f t="shared" si="17"/>
        <v>38417530.850000001</v>
      </c>
      <c r="AA10" s="522">
        <f t="shared" si="18"/>
        <v>38417530.850000001</v>
      </c>
      <c r="AB10" s="522">
        <v>0</v>
      </c>
      <c r="AC10" s="522">
        <f t="shared" si="20"/>
        <v>1492664.7100000009</v>
      </c>
      <c r="AD10" s="522">
        <f t="shared" si="21"/>
        <v>4.0424377013056301</v>
      </c>
      <c r="AE10" s="522">
        <f t="shared" si="22"/>
        <v>-569442.18999999762</v>
      </c>
      <c r="AF10" s="522">
        <f t="shared" si="23"/>
        <v>-1.4605960545225258</v>
      </c>
      <c r="AG10" s="522">
        <f t="shared" si="46"/>
        <v>44592413.869999997</v>
      </c>
      <c r="AH10" s="522">
        <f t="shared" si="24"/>
        <v>7667547.7299999967</v>
      </c>
      <c r="AI10" s="522">
        <f t="shared" si="25"/>
        <v>20.765268859550147</v>
      </c>
      <c r="AJ10" s="522">
        <f t="shared" si="26"/>
        <v>6174883.0199999958</v>
      </c>
      <c r="AK10" s="522">
        <f t="shared" si="2"/>
        <v>16.073086643984553</v>
      </c>
      <c r="AL10" s="522">
        <f t="shared" ref="AL10:AL12" si="54">BX10</f>
        <v>44592413.869999997</v>
      </c>
      <c r="AM10" s="522">
        <f t="shared" si="3"/>
        <v>17080002.770000003</v>
      </c>
      <c r="AN10" s="522">
        <f t="shared" si="3"/>
        <v>20375630.710000001</v>
      </c>
      <c r="AO10" s="522">
        <f t="shared" si="27"/>
        <v>3295627.9399999976</v>
      </c>
      <c r="AP10" s="522">
        <f t="shared" si="47"/>
        <v>19.295242421087707</v>
      </c>
      <c r="AQ10" s="522">
        <f>8404878.89-630000</f>
        <v>7774878.8900000006</v>
      </c>
      <c r="AR10" s="522">
        <v>8525304.2200000007</v>
      </c>
      <c r="AS10" s="522">
        <f>9935123.88-630000</f>
        <v>9305123.8800000008</v>
      </c>
      <c r="AT10" s="522">
        <v>11850326.49</v>
      </c>
      <c r="AU10" s="522">
        <f t="shared" si="4"/>
        <v>19844863.369999997</v>
      </c>
      <c r="AV10" s="522">
        <f t="shared" si="4"/>
        <v>18041900.140000001</v>
      </c>
      <c r="AW10" s="522">
        <f t="shared" si="28"/>
        <v>-1802963.2299999967</v>
      </c>
      <c r="AX10" s="522">
        <f t="shared" si="29"/>
        <v>-9.0852892075114084</v>
      </c>
      <c r="AY10" s="522">
        <f t="shared" si="5"/>
        <v>24216783.159999996</v>
      </c>
      <c r="AZ10" s="522">
        <f t="shared" si="30"/>
        <v>-6174883.0199999958</v>
      </c>
      <c r="BA10" s="522">
        <f t="shared" si="31"/>
        <v>-25.498361938506108</v>
      </c>
      <c r="BB10" s="522">
        <v>9870023.6799999997</v>
      </c>
      <c r="BC10" s="525">
        <f>'[67]Дир_по экон'!AT7</f>
        <v>9116973.8399999999</v>
      </c>
      <c r="BD10" s="525">
        <f>BI10-AN10</f>
        <v>11540864.039999999</v>
      </c>
      <c r="BE10" s="525">
        <f t="shared" si="33"/>
        <v>1670840.3599999994</v>
      </c>
      <c r="BF10" s="525">
        <f t="shared" si="34"/>
        <v>2423890.1999999993</v>
      </c>
      <c r="BG10" s="525">
        <f t="shared" si="35"/>
        <v>26950026.450000003</v>
      </c>
      <c r="BH10" s="522">
        <f>AN10+BC10</f>
        <v>29492604.550000001</v>
      </c>
      <c r="BI10" s="522">
        <v>31916494.75</v>
      </c>
      <c r="BJ10" s="522">
        <f t="shared" si="37"/>
        <v>4966468.299999997</v>
      </c>
      <c r="BK10" s="522">
        <f t="shared" si="38"/>
        <v>2423890.1999999993</v>
      </c>
      <c r="BL10" s="525">
        <v>9974839.6899999995</v>
      </c>
      <c r="BM10" s="522">
        <f>'[67]Дир_по экон'!AW7</f>
        <v>8924926.3000000007</v>
      </c>
      <c r="BN10" s="522">
        <f t="shared" ref="BN10:BN12" si="55">AL10-BI10</f>
        <v>12675919.119999997</v>
      </c>
      <c r="BO10" s="522">
        <f t="shared" si="48"/>
        <v>2701079.4299999978</v>
      </c>
      <c r="BP10" s="522">
        <f t="shared" si="40"/>
        <v>3750992.8199999966</v>
      </c>
      <c r="BQ10" s="525">
        <v>9974839.6899999995</v>
      </c>
      <c r="BR10" s="522">
        <f>'[67]Дир_по экон'!BB7</f>
        <v>0</v>
      </c>
      <c r="BS10" s="522">
        <f>'[67]Дир_по экон'!BC7</f>
        <v>0</v>
      </c>
      <c r="BT10" s="536"/>
      <c r="BU10" s="522"/>
      <c r="BV10" s="522"/>
      <c r="BW10" s="522"/>
      <c r="BX10" s="522">
        <v>44592413.869999997</v>
      </c>
      <c r="BY10" s="522"/>
      <c r="BZ10" s="522"/>
      <c r="CA10" s="522">
        <f>BX10</f>
        <v>44592413.869999997</v>
      </c>
      <c r="CB10" s="522">
        <f t="shared" ref="CB10:CB25" si="56">SUM(BY10:CA10)</f>
        <v>44592413.869999997</v>
      </c>
      <c r="CC10" s="522">
        <f t="shared" si="44"/>
        <v>0</v>
      </c>
      <c r="CD10" s="522"/>
      <c r="CE10" s="522"/>
      <c r="CF10" s="522"/>
      <c r="CG10" s="522"/>
      <c r="CH10" s="522"/>
      <c r="CI10" s="522"/>
      <c r="CJ10" s="522"/>
      <c r="CK10" s="542" t="s">
        <v>77</v>
      </c>
      <c r="CL10" s="542" t="s">
        <v>1800</v>
      </c>
      <c r="CM10" s="509"/>
      <c r="CN10" s="509"/>
      <c r="CO10" s="528"/>
      <c r="CP10" s="544"/>
      <c r="CQ10" s="544"/>
      <c r="CR10" s="544">
        <f>U10</f>
        <v>36924866.140000001</v>
      </c>
      <c r="CS10" s="1733"/>
      <c r="CT10" s="1734"/>
      <c r="CU10" s="1734"/>
      <c r="CV10" s="1734"/>
      <c r="CW10" s="1735"/>
      <c r="CX10" s="1724"/>
      <c r="CY10" s="1725"/>
      <c r="CZ10" s="1726"/>
      <c r="DA10" s="1728"/>
      <c r="DB10" s="544">
        <v>8525304.2200000007</v>
      </c>
      <c r="DD10" s="535"/>
      <c r="DE10" s="535"/>
      <c r="DF10" s="522">
        <f t="shared" si="49"/>
        <v>0</v>
      </c>
      <c r="DG10" s="522">
        <f t="shared" si="49"/>
        <v>0</v>
      </c>
      <c r="DH10" s="522">
        <f t="shared" si="49"/>
        <v>44592.413869999997</v>
      </c>
      <c r="DI10" s="522">
        <f t="shared" si="49"/>
        <v>44592.413869999997</v>
      </c>
      <c r="DJ10" s="536"/>
      <c r="DK10" s="536"/>
      <c r="DL10" s="536"/>
      <c r="DM10" s="536"/>
      <c r="DN10" s="536"/>
      <c r="DO10" s="536"/>
      <c r="DP10" s="536"/>
      <c r="DQ10" s="536"/>
      <c r="DR10" s="536"/>
      <c r="DS10" s="536"/>
    </row>
    <row r="11" spans="1:123" s="534" customFormat="1" ht="56.4">
      <c r="A11" s="537" t="s">
        <v>1801</v>
      </c>
      <c r="B11" s="538" t="s">
        <v>1802</v>
      </c>
      <c r="C11" s="539">
        <v>2425461.4300000002</v>
      </c>
      <c r="D11" s="525"/>
      <c r="E11" s="525">
        <v>2380000</v>
      </c>
      <c r="F11" s="525">
        <v>1845918.1</v>
      </c>
      <c r="G11" s="540">
        <v>0</v>
      </c>
      <c r="H11" s="540">
        <v>0</v>
      </c>
      <c r="I11" s="525">
        <f>J11+K11+L11</f>
        <v>937686.73</v>
      </c>
      <c r="J11" s="525">
        <v>557347.75</v>
      </c>
      <c r="K11" s="525">
        <v>190169.49</v>
      </c>
      <c r="L11" s="525">
        <v>190169.49</v>
      </c>
      <c r="M11" s="525">
        <f>J11+K11</f>
        <v>747517.24</v>
      </c>
      <c r="N11" s="525">
        <v>768717.76</v>
      </c>
      <c r="O11" s="525">
        <f>P11-N11</f>
        <v>1789463.28</v>
      </c>
      <c r="P11" s="522">
        <v>2558181.04</v>
      </c>
      <c r="Q11" s="525">
        <f t="shared" si="12"/>
        <v>1620494.31</v>
      </c>
      <c r="R11" s="525">
        <f t="shared" si="13"/>
        <v>172.81830468049816</v>
      </c>
      <c r="S11" s="525"/>
      <c r="T11" s="525">
        <v>0</v>
      </c>
      <c r="U11" s="522">
        <f>AQ11+AS11+BB11+BL11</f>
        <v>9420060.9199999999</v>
      </c>
      <c r="V11" s="522">
        <f t="shared" si="1"/>
        <v>9420060.9199999999</v>
      </c>
      <c r="W11" s="522">
        <v>0</v>
      </c>
      <c r="X11" s="522">
        <f t="shared" si="15"/>
        <v>6861879.8799999999</v>
      </c>
      <c r="Y11" s="522">
        <f t="shared" si="16"/>
        <v>268.23277057826994</v>
      </c>
      <c r="Z11" s="524">
        <f t="shared" si="17"/>
        <v>8273213.9800000004</v>
      </c>
      <c r="AA11" s="522">
        <f t="shared" si="18"/>
        <v>8273213.9800000004</v>
      </c>
      <c r="AB11" s="522">
        <v>0</v>
      </c>
      <c r="AC11" s="522">
        <f t="shared" si="20"/>
        <v>-1146846.9399999995</v>
      </c>
      <c r="AD11" s="522">
        <f t="shared" si="21"/>
        <v>-12.17451723231531</v>
      </c>
      <c r="AE11" s="522">
        <f t="shared" si="22"/>
        <v>5715032.9400000004</v>
      </c>
      <c r="AF11" s="522">
        <f t="shared" si="23"/>
        <v>223.40220846918635</v>
      </c>
      <c r="AG11" s="522">
        <f t="shared" si="46"/>
        <v>7377018.1099999994</v>
      </c>
      <c r="AH11" s="522">
        <f t="shared" si="24"/>
        <v>-2043042.8100000005</v>
      </c>
      <c r="AI11" s="522">
        <f t="shared" si="25"/>
        <v>-21.688212288121804</v>
      </c>
      <c r="AJ11" s="522">
        <f t="shared" si="26"/>
        <v>-896195.87000000104</v>
      </c>
      <c r="AK11" s="522">
        <f t="shared" si="2"/>
        <v>-10.832499584399741</v>
      </c>
      <c r="AL11" s="522">
        <f t="shared" si="54"/>
        <v>7377018.1100000003</v>
      </c>
      <c r="AM11" s="522">
        <f t="shared" si="3"/>
        <v>3877536.8</v>
      </c>
      <c r="AN11" s="522">
        <f t="shared" si="3"/>
        <v>2916053.18</v>
      </c>
      <c r="AO11" s="522">
        <f t="shared" si="27"/>
        <v>-961483.61999999965</v>
      </c>
      <c r="AP11" s="522">
        <f t="shared" si="47"/>
        <v>-24.796247452764334</v>
      </c>
      <c r="AQ11" s="522">
        <v>1120606.24</v>
      </c>
      <c r="AR11" s="522">
        <v>2290750.56</v>
      </c>
      <c r="AS11" s="522">
        <v>2756930.56</v>
      </c>
      <c r="AT11" s="522">
        <v>625302.62000000011</v>
      </c>
      <c r="AU11" s="522">
        <f t="shared" si="4"/>
        <v>5542524.1200000001</v>
      </c>
      <c r="AV11" s="522">
        <f t="shared" si="4"/>
        <v>5357160.8</v>
      </c>
      <c r="AW11" s="522">
        <f t="shared" si="28"/>
        <v>-185363.3200000003</v>
      </c>
      <c r="AX11" s="522">
        <f t="shared" si="29"/>
        <v>-3.3443845436977711</v>
      </c>
      <c r="AY11" s="522">
        <f t="shared" si="5"/>
        <v>4460964.93</v>
      </c>
      <c r="AZ11" s="522">
        <f t="shared" si="30"/>
        <v>896195.87000000011</v>
      </c>
      <c r="BA11" s="522">
        <f t="shared" si="31"/>
        <v>20.089731348773455</v>
      </c>
      <c r="BB11" s="522">
        <v>2741250.56</v>
      </c>
      <c r="BC11" s="525">
        <f>'[67]Гл инж_Тех дир'!AT7</f>
        <v>2648568.9</v>
      </c>
      <c r="BD11" s="525">
        <f>BI11-AN11</f>
        <v>3606503.6700000004</v>
      </c>
      <c r="BE11" s="525">
        <f t="shared" si="33"/>
        <v>865253.11000000034</v>
      </c>
      <c r="BF11" s="525">
        <f t="shared" si="34"/>
        <v>957934.77000000048</v>
      </c>
      <c r="BG11" s="525">
        <f t="shared" si="35"/>
        <v>6618787.3599999994</v>
      </c>
      <c r="BH11" s="522">
        <f>AN11+BC11</f>
        <v>5564622.0800000001</v>
      </c>
      <c r="BI11" s="522">
        <v>6522556.8500000006</v>
      </c>
      <c r="BJ11" s="522">
        <f t="shared" si="37"/>
        <v>-96230.509999998845</v>
      </c>
      <c r="BK11" s="522">
        <f t="shared" si="38"/>
        <v>957934.77000000048</v>
      </c>
      <c r="BL11" s="525">
        <v>2801273.56</v>
      </c>
      <c r="BM11" s="522">
        <f>'[67]Гл инж_Тех дир'!AW7</f>
        <v>2708591.9</v>
      </c>
      <c r="BN11" s="522">
        <f t="shared" si="55"/>
        <v>854461.25999999978</v>
      </c>
      <c r="BO11" s="522">
        <f t="shared" si="48"/>
        <v>-1946812.3000000003</v>
      </c>
      <c r="BP11" s="522">
        <f t="shared" si="40"/>
        <v>-1854130.6400000001</v>
      </c>
      <c r="BQ11" s="525">
        <v>2801273.56</v>
      </c>
      <c r="BR11" s="522">
        <f>'[67]Гл инж_Тех дир'!BB7</f>
        <v>0</v>
      </c>
      <c r="BS11" s="522">
        <f>'[67]Гл инж_Тех дир'!BC7</f>
        <v>0</v>
      </c>
      <c r="BT11" s="536"/>
      <c r="BU11" s="522"/>
      <c r="BV11" s="522"/>
      <c r="BW11" s="522"/>
      <c r="BX11" s="522">
        <v>7377018.1100000003</v>
      </c>
      <c r="BY11" s="522"/>
      <c r="BZ11" s="522"/>
      <c r="CA11" s="522">
        <f t="shared" ref="CA11:CA12" si="57">BX11</f>
        <v>7377018.1100000003</v>
      </c>
      <c r="CB11" s="522">
        <f t="shared" si="56"/>
        <v>7377018.1100000003</v>
      </c>
      <c r="CC11" s="522">
        <f t="shared" si="44"/>
        <v>0</v>
      </c>
      <c r="CD11" s="522"/>
      <c r="CE11" s="522"/>
      <c r="CF11" s="522"/>
      <c r="CG11" s="522"/>
      <c r="CH11" s="522"/>
      <c r="CI11" s="522"/>
      <c r="CJ11" s="522"/>
      <c r="CK11" s="542" t="s">
        <v>79</v>
      </c>
      <c r="CL11" s="543" t="s">
        <v>1803</v>
      </c>
      <c r="CM11" s="509"/>
      <c r="CN11" s="509"/>
      <c r="CO11" s="528"/>
      <c r="CP11" s="544"/>
      <c r="CQ11" s="544"/>
      <c r="CR11" s="544">
        <f>U11</f>
        <v>9420060.9199999999</v>
      </c>
      <c r="CS11" s="1733"/>
      <c r="CT11" s="1734"/>
      <c r="CU11" s="1734"/>
      <c r="CV11" s="1734"/>
      <c r="CW11" s="1735"/>
      <c r="CX11" s="528"/>
      <c r="CY11" s="528"/>
      <c r="CZ11" s="528"/>
      <c r="DA11" s="528"/>
      <c r="DB11" s="544">
        <v>2290750.56</v>
      </c>
      <c r="DD11" s="535"/>
      <c r="DE11" s="535"/>
      <c r="DF11" s="522">
        <f t="shared" si="49"/>
        <v>0</v>
      </c>
      <c r="DG11" s="522">
        <f t="shared" si="49"/>
        <v>0</v>
      </c>
      <c r="DH11" s="522">
        <f t="shared" si="49"/>
        <v>7377.01811</v>
      </c>
      <c r="DI11" s="522">
        <f t="shared" si="49"/>
        <v>7377.01811</v>
      </c>
      <c r="DJ11" s="536"/>
      <c r="DK11" s="536"/>
      <c r="DL11" s="536"/>
      <c r="DM11" s="536"/>
      <c r="DN11" s="536"/>
      <c r="DO11" s="536"/>
      <c r="DP11" s="536"/>
      <c r="DQ11" s="536"/>
      <c r="DR11" s="536"/>
      <c r="DS11" s="536"/>
    </row>
    <row r="12" spans="1:123" s="534" customFormat="1" ht="66" customHeight="1">
      <c r="A12" s="537" t="s">
        <v>1804</v>
      </c>
      <c r="B12" s="538" t="s">
        <v>1805</v>
      </c>
      <c r="C12" s="539">
        <f>2154645.86+255853.44</f>
        <v>2410499.2999999998</v>
      </c>
      <c r="D12" s="525"/>
      <c r="E12" s="562">
        <v>1577100</v>
      </c>
      <c r="F12" s="563">
        <f>923541.15+53521.64</f>
        <v>977062.79</v>
      </c>
      <c r="G12" s="564">
        <v>0</v>
      </c>
      <c r="H12" s="564">
        <v>0</v>
      </c>
      <c r="I12" s="563">
        <f>J12+K12+L12</f>
        <v>554499.59</v>
      </c>
      <c r="J12" s="563">
        <v>300843.99</v>
      </c>
      <c r="K12" s="563">
        <v>132706.23999999999</v>
      </c>
      <c r="L12" s="563">
        <v>120949.36</v>
      </c>
      <c r="M12" s="563">
        <f>J12+K12</f>
        <v>433550.23</v>
      </c>
      <c r="N12" s="563">
        <v>464092.01</v>
      </c>
      <c r="O12" s="525">
        <f>P12-N12</f>
        <v>179471.42000000004</v>
      </c>
      <c r="P12" s="522">
        <v>643563.43000000005</v>
      </c>
      <c r="Q12" s="563">
        <f t="shared" si="12"/>
        <v>89063.840000000084</v>
      </c>
      <c r="R12" s="563">
        <f t="shared" si="13"/>
        <v>16.062020893469025</v>
      </c>
      <c r="S12" s="563"/>
      <c r="T12" s="563">
        <v>0</v>
      </c>
      <c r="U12" s="522">
        <f>AQ12+AS12+BB12+BL12</f>
        <v>617848.77</v>
      </c>
      <c r="V12" s="565">
        <f t="shared" si="1"/>
        <v>617848.77</v>
      </c>
      <c r="W12" s="565">
        <v>0</v>
      </c>
      <c r="X12" s="565">
        <f t="shared" si="15"/>
        <v>-25714.660000000033</v>
      </c>
      <c r="Y12" s="565">
        <f t="shared" si="16"/>
        <v>-3.9956683057643687</v>
      </c>
      <c r="Z12" s="566">
        <f t="shared" si="17"/>
        <v>722584.29</v>
      </c>
      <c r="AA12" s="565">
        <f t="shared" si="18"/>
        <v>722584.29</v>
      </c>
      <c r="AB12" s="565">
        <v>0</v>
      </c>
      <c r="AC12" s="565">
        <f t="shared" si="20"/>
        <v>104735.52000000002</v>
      </c>
      <c r="AD12" s="565">
        <f t="shared" si="21"/>
        <v>16.951643360882642</v>
      </c>
      <c r="AE12" s="565">
        <f t="shared" si="22"/>
        <v>79020.859999999986</v>
      </c>
      <c r="AF12" s="565">
        <f t="shared" si="23"/>
        <v>12.278643614041272</v>
      </c>
      <c r="AG12" s="565">
        <f t="shared" si="46"/>
        <v>469269.94</v>
      </c>
      <c r="AH12" s="565">
        <f t="shared" si="24"/>
        <v>-148578.83000000002</v>
      </c>
      <c r="AI12" s="565">
        <f t="shared" si="25"/>
        <v>-24.047766575629822</v>
      </c>
      <c r="AJ12" s="565">
        <f t="shared" si="26"/>
        <v>-253314.35000000003</v>
      </c>
      <c r="AK12" s="565">
        <f t="shared" si="2"/>
        <v>-35.056719818804808</v>
      </c>
      <c r="AL12" s="522">
        <f t="shared" si="54"/>
        <v>469269.94</v>
      </c>
      <c r="AM12" s="565">
        <f t="shared" si="3"/>
        <v>277095.84999999998</v>
      </c>
      <c r="AN12" s="565">
        <f t="shared" si="3"/>
        <v>381831.37</v>
      </c>
      <c r="AO12" s="565">
        <f t="shared" si="27"/>
        <v>104735.52000000002</v>
      </c>
      <c r="AP12" s="565">
        <f t="shared" si="47"/>
        <v>37.797577986101203</v>
      </c>
      <c r="AQ12" s="567">
        <v>131384.14000000001</v>
      </c>
      <c r="AR12" s="567">
        <v>258580.27</v>
      </c>
      <c r="AS12" s="567">
        <v>145711.71</v>
      </c>
      <c r="AT12" s="567">
        <v>123251.1</v>
      </c>
      <c r="AU12" s="567">
        <f t="shared" si="4"/>
        <v>340752.92000000004</v>
      </c>
      <c r="AV12" s="567">
        <f t="shared" si="4"/>
        <v>340752.92000000004</v>
      </c>
      <c r="AW12" s="567">
        <f t="shared" si="28"/>
        <v>0</v>
      </c>
      <c r="AX12" s="567">
        <f t="shared" si="29"/>
        <v>0</v>
      </c>
      <c r="AY12" s="567">
        <f t="shared" si="5"/>
        <v>87438.57</v>
      </c>
      <c r="AZ12" s="567">
        <f t="shared" si="30"/>
        <v>253314.35000000003</v>
      </c>
      <c r="BA12" s="567">
        <f t="shared" si="31"/>
        <v>289.70550410419571</v>
      </c>
      <c r="BB12" s="567">
        <v>143050.51</v>
      </c>
      <c r="BC12" s="563">
        <f>'[67]Гл инж_Тех дир'!AT23</f>
        <v>143050.51</v>
      </c>
      <c r="BD12" s="563">
        <f>BI12-AN12</f>
        <v>55957.380000000005</v>
      </c>
      <c r="BE12" s="563">
        <f t="shared" si="33"/>
        <v>-87093.13</v>
      </c>
      <c r="BF12" s="563">
        <f t="shared" si="34"/>
        <v>-87093.13</v>
      </c>
      <c r="BG12" s="563">
        <f t="shared" si="35"/>
        <v>420146.36</v>
      </c>
      <c r="BH12" s="567">
        <f>AN12+BC12</f>
        <v>524881.88</v>
      </c>
      <c r="BI12" s="567">
        <v>437788.75</v>
      </c>
      <c r="BJ12" s="567">
        <f t="shared" si="37"/>
        <v>17642.390000000014</v>
      </c>
      <c r="BK12" s="567">
        <f t="shared" si="38"/>
        <v>-87093.13</v>
      </c>
      <c r="BL12" s="563">
        <v>197702.41</v>
      </c>
      <c r="BM12" s="567">
        <f>'[67]Гл инж_Тех дир'!AW23</f>
        <v>197702.41</v>
      </c>
      <c r="BN12" s="522">
        <f t="shared" si="55"/>
        <v>31481.190000000002</v>
      </c>
      <c r="BO12" s="567">
        <f t="shared" si="48"/>
        <v>-166221.22</v>
      </c>
      <c r="BP12" s="567">
        <f t="shared" si="40"/>
        <v>-166221.22</v>
      </c>
      <c r="BQ12" s="563">
        <v>197702.41</v>
      </c>
      <c r="BR12" s="567">
        <f>'[67]Гл инж_Тех дир'!BB23</f>
        <v>0</v>
      </c>
      <c r="BS12" s="567">
        <f>'[67]Гл инж_Тех дир'!BC23</f>
        <v>0</v>
      </c>
      <c r="BT12" s="536"/>
      <c r="BU12" s="567"/>
      <c r="BV12" s="567"/>
      <c r="BW12" s="567"/>
      <c r="BX12" s="522">
        <v>469269.94</v>
      </c>
      <c r="BY12" s="567"/>
      <c r="BZ12" s="567"/>
      <c r="CA12" s="522">
        <f t="shared" si="57"/>
        <v>469269.94</v>
      </c>
      <c r="CB12" s="522">
        <f t="shared" si="56"/>
        <v>469269.94</v>
      </c>
      <c r="CC12" s="522">
        <f t="shared" si="44"/>
        <v>0</v>
      </c>
      <c r="CD12" s="567"/>
      <c r="CE12" s="567"/>
      <c r="CF12" s="567"/>
      <c r="CG12" s="567"/>
      <c r="CH12" s="567"/>
      <c r="CI12" s="567"/>
      <c r="CJ12" s="567"/>
      <c r="CK12" s="542" t="s">
        <v>79</v>
      </c>
      <c r="CL12" s="542" t="s">
        <v>1806</v>
      </c>
      <c r="CM12" s="509">
        <f>BC12+BM12</f>
        <v>340752.92000000004</v>
      </c>
      <c r="CN12" s="509"/>
      <c r="CO12" s="528"/>
      <c r="CP12" s="568"/>
      <c r="CQ12" s="568"/>
      <c r="CR12" s="568">
        <f>U12</f>
        <v>617848.77</v>
      </c>
      <c r="CS12" s="1705"/>
      <c r="CT12" s="1706"/>
      <c r="CU12" s="1706"/>
      <c r="CV12" s="1706"/>
      <c r="CW12" s="1707"/>
      <c r="CX12" s="528"/>
      <c r="CY12" s="528"/>
      <c r="CZ12" s="528"/>
      <c r="DA12" s="528"/>
      <c r="DB12" s="568">
        <v>258580.27</v>
      </c>
      <c r="DD12" s="535"/>
      <c r="DE12" s="535"/>
      <c r="DF12" s="567">
        <f t="shared" si="49"/>
        <v>0</v>
      </c>
      <c r="DG12" s="567">
        <f t="shared" si="49"/>
        <v>0</v>
      </c>
      <c r="DH12" s="522">
        <f t="shared" si="49"/>
        <v>469.26994000000002</v>
      </c>
      <c r="DI12" s="522">
        <f t="shared" si="49"/>
        <v>469.26994000000002</v>
      </c>
      <c r="DJ12" s="536"/>
      <c r="DK12" s="536"/>
      <c r="DL12" s="536"/>
      <c r="DM12" s="536"/>
      <c r="DN12" s="536"/>
      <c r="DO12" s="536"/>
      <c r="DP12" s="536"/>
      <c r="DQ12" s="536"/>
      <c r="DR12" s="536"/>
      <c r="DS12" s="536"/>
    </row>
    <row r="13" spans="1:123" ht="65.25" customHeight="1">
      <c r="A13" s="505" t="s">
        <v>1807</v>
      </c>
      <c r="B13" s="506" t="s">
        <v>1808</v>
      </c>
      <c r="C13" s="507">
        <f t="shared" ref="C13:T13" si="58">SUM(C14:C25)</f>
        <v>725283952.80000007</v>
      </c>
      <c r="D13" s="507">
        <f t="shared" si="58"/>
        <v>0</v>
      </c>
      <c r="E13" s="507">
        <f t="shared" si="58"/>
        <v>92304646.340000004</v>
      </c>
      <c r="F13" s="507">
        <f t="shared" si="58"/>
        <v>256186287.27000001</v>
      </c>
      <c r="G13" s="507">
        <f t="shared" si="58"/>
        <v>0</v>
      </c>
      <c r="H13" s="507">
        <f t="shared" si="58"/>
        <v>0</v>
      </c>
      <c r="I13" s="507">
        <f t="shared" si="58"/>
        <v>507154026.66999996</v>
      </c>
      <c r="J13" s="507">
        <f t="shared" si="58"/>
        <v>300570408.05000001</v>
      </c>
      <c r="K13" s="507">
        <f t="shared" si="58"/>
        <v>82773701.890000001</v>
      </c>
      <c r="L13" s="507">
        <f t="shared" si="58"/>
        <v>123809916.73</v>
      </c>
      <c r="M13" s="507">
        <f t="shared" si="58"/>
        <v>383344109.94000006</v>
      </c>
      <c r="N13" s="507">
        <f t="shared" si="58"/>
        <v>372016851.82999998</v>
      </c>
      <c r="O13" s="507">
        <f>SUM(O14:O25)</f>
        <v>575811903.67999995</v>
      </c>
      <c r="P13" s="507">
        <f>SUM(P14:P25)</f>
        <v>947828755.51000011</v>
      </c>
      <c r="Q13" s="507">
        <f t="shared" si="12"/>
        <v>440674728.84000015</v>
      </c>
      <c r="R13" s="507">
        <f t="shared" si="13"/>
        <v>86.891694764506497</v>
      </c>
      <c r="S13" s="507">
        <f t="shared" si="58"/>
        <v>0</v>
      </c>
      <c r="T13" s="507">
        <f t="shared" si="58"/>
        <v>0</v>
      </c>
      <c r="U13" s="507">
        <f>SUM(U14:U25)</f>
        <v>306447211.35000002</v>
      </c>
      <c r="V13" s="507">
        <f t="shared" si="1"/>
        <v>306447211.35000002</v>
      </c>
      <c r="W13" s="507">
        <v>0</v>
      </c>
      <c r="X13" s="507">
        <f t="shared" si="15"/>
        <v>-641381544.16000009</v>
      </c>
      <c r="Y13" s="507">
        <f t="shared" si="16"/>
        <v>-67.668504509012351</v>
      </c>
      <c r="Z13" s="507">
        <f t="shared" si="17"/>
        <v>507716323.56</v>
      </c>
      <c r="AA13" s="507">
        <f t="shared" si="18"/>
        <v>507716323.56</v>
      </c>
      <c r="AB13" s="507">
        <v>0</v>
      </c>
      <c r="AC13" s="507">
        <f t="shared" si="20"/>
        <v>201269112.20999998</v>
      </c>
      <c r="AD13" s="507">
        <f t="shared" si="21"/>
        <v>65.678232581508524</v>
      </c>
      <c r="AE13" s="507">
        <f t="shared" si="22"/>
        <v>-440112431.95000011</v>
      </c>
      <c r="AF13" s="507">
        <f t="shared" si="23"/>
        <v>-46.433749703361549</v>
      </c>
      <c r="AG13" s="507">
        <f t="shared" si="46"/>
        <v>875715794.93000007</v>
      </c>
      <c r="AH13" s="507">
        <f t="shared" si="24"/>
        <v>569268583.58000004</v>
      </c>
      <c r="AI13" s="507">
        <f t="shared" si="25"/>
        <v>185.76399539489563</v>
      </c>
      <c r="AJ13" s="507">
        <f t="shared" si="26"/>
        <v>367999471.37000006</v>
      </c>
      <c r="AK13" s="507">
        <f t="shared" si="2"/>
        <v>72.481315705917268</v>
      </c>
      <c r="AL13" s="507">
        <f>SUM(AL14:AL25)</f>
        <v>875715794.93000007</v>
      </c>
      <c r="AM13" s="507">
        <f t="shared" si="3"/>
        <v>223734015.83000001</v>
      </c>
      <c r="AN13" s="507">
        <f t="shared" si="3"/>
        <v>382132939.18000001</v>
      </c>
      <c r="AO13" s="507">
        <f t="shared" si="27"/>
        <v>158398923.34999999</v>
      </c>
      <c r="AP13" s="507">
        <f t="shared" si="47"/>
        <v>70.797872537341988</v>
      </c>
      <c r="AQ13" s="507">
        <f>SUM(AQ14:AQ25)</f>
        <v>181210905.59</v>
      </c>
      <c r="AR13" s="507">
        <f>SUM(AR14:AR25)</f>
        <v>275031008.30000001</v>
      </c>
      <c r="AS13" s="507">
        <f>SUM(AS14:AS25)</f>
        <v>42523110.240000002</v>
      </c>
      <c r="AT13" s="507">
        <f>SUM(AT14:AT25)</f>
        <v>107101930.87999998</v>
      </c>
      <c r="AU13" s="507">
        <f t="shared" si="4"/>
        <v>82713195.519999996</v>
      </c>
      <c r="AV13" s="507">
        <f t="shared" si="4"/>
        <v>125583384.38</v>
      </c>
      <c r="AW13" s="507">
        <f t="shared" si="28"/>
        <v>42870188.859999999</v>
      </c>
      <c r="AX13" s="507">
        <f t="shared" si="29"/>
        <v>51.829927003163618</v>
      </c>
      <c r="AY13" s="507">
        <f t="shared" si="5"/>
        <v>493582855.75000006</v>
      </c>
      <c r="AZ13" s="507">
        <f t="shared" si="30"/>
        <v>-367999471.37000006</v>
      </c>
      <c r="BA13" s="507">
        <f t="shared" si="31"/>
        <v>-74.556777465624123</v>
      </c>
      <c r="BB13" s="507">
        <f t="shared" ref="BB13:BN13" si="59">SUM(BB14:BB25)</f>
        <v>43463787.579999998</v>
      </c>
      <c r="BC13" s="507">
        <f t="shared" si="59"/>
        <v>61321874.390000001</v>
      </c>
      <c r="BD13" s="507">
        <f t="shared" si="59"/>
        <v>263886215.53999996</v>
      </c>
      <c r="BE13" s="507">
        <f t="shared" si="33"/>
        <v>220422427.95999998</v>
      </c>
      <c r="BF13" s="507">
        <f t="shared" si="34"/>
        <v>202564341.14999998</v>
      </c>
      <c r="BG13" s="507">
        <f t="shared" si="35"/>
        <v>267197803.41000003</v>
      </c>
      <c r="BH13" s="507">
        <f t="shared" si="59"/>
        <v>443454813.56999993</v>
      </c>
      <c r="BI13" s="507">
        <f t="shared" si="59"/>
        <v>646019154.72000003</v>
      </c>
      <c r="BJ13" s="507">
        <f t="shared" si="37"/>
        <v>378821351.31</v>
      </c>
      <c r="BK13" s="507">
        <f t="shared" si="38"/>
        <v>202564341.1500001</v>
      </c>
      <c r="BL13" s="507">
        <f t="shared" si="59"/>
        <v>39249407.939999998</v>
      </c>
      <c r="BM13" s="507">
        <f t="shared" si="59"/>
        <v>64261509.990000002</v>
      </c>
      <c r="BN13" s="507">
        <f t="shared" si="59"/>
        <v>229696640.2100001</v>
      </c>
      <c r="BO13" s="507">
        <f t="shared" si="48"/>
        <v>190447232.2700001</v>
      </c>
      <c r="BP13" s="507">
        <f t="shared" si="40"/>
        <v>165435130.22000009</v>
      </c>
      <c r="BQ13" s="507">
        <f t="shared" ref="BQ13:BS13" si="60">SUM(BQ14:BQ25)</f>
        <v>39249407.939999998</v>
      </c>
      <c r="BR13" s="507">
        <f t="shared" si="60"/>
        <v>0</v>
      </c>
      <c r="BS13" s="507">
        <f t="shared" si="60"/>
        <v>0</v>
      </c>
      <c r="BT13" s="569"/>
      <c r="BU13" s="507">
        <f t="shared" ref="BU13:BW13" si="61">SUM(BU14:BU25)</f>
        <v>0</v>
      </c>
      <c r="BV13" s="507">
        <f t="shared" si="61"/>
        <v>0</v>
      </c>
      <c r="BW13" s="507">
        <f t="shared" si="61"/>
        <v>875715794.93000007</v>
      </c>
      <c r="BX13" s="570"/>
      <c r="BY13" s="507">
        <f t="shared" ref="BY13:BZ13" si="62">SUM(BY14:BY25)</f>
        <v>733545551.13000011</v>
      </c>
      <c r="BZ13" s="507">
        <f t="shared" si="62"/>
        <v>64850905.640000001</v>
      </c>
      <c r="CA13" s="507">
        <f>SUM(CA14:CA25)</f>
        <v>77319338.160000011</v>
      </c>
      <c r="CB13" s="507">
        <f>SUM(CB14:CB25)</f>
        <v>875715794.93000007</v>
      </c>
      <c r="CC13" s="507">
        <f t="shared" si="44"/>
        <v>0</v>
      </c>
      <c r="CD13" s="507"/>
      <c r="CE13" s="507"/>
      <c r="CF13" s="507"/>
      <c r="CG13" s="507"/>
      <c r="CH13" s="507"/>
      <c r="CI13" s="507"/>
      <c r="CJ13" s="507"/>
      <c r="CK13" s="508"/>
      <c r="CL13" s="508"/>
      <c r="CM13" s="509"/>
      <c r="CN13" s="509"/>
      <c r="CO13" s="510"/>
      <c r="CP13" s="511">
        <f>SUM(CP14:CP25)</f>
        <v>255932609.12853873</v>
      </c>
      <c r="CQ13" s="511">
        <f>SUM(CQ14:CQ25)</f>
        <v>10578816.14699157</v>
      </c>
      <c r="CR13" s="511">
        <f>SUM(CR14:CR25)</f>
        <v>39935786.074469708</v>
      </c>
      <c r="CS13" s="1716"/>
      <c r="CT13" s="1717"/>
      <c r="CU13" s="1717"/>
      <c r="CV13" s="1717"/>
      <c r="CW13" s="1718"/>
      <c r="CX13" s="510"/>
      <c r="CY13" s="510"/>
      <c r="CZ13" s="510"/>
      <c r="DA13" s="510"/>
      <c r="DB13" s="511">
        <f>SUM(DB14:DB25)</f>
        <v>275031008.30000001</v>
      </c>
      <c r="DC13" s="571"/>
      <c r="DD13" s="572">
        <f>BI13-BI14</f>
        <v>634753407.11000001</v>
      </c>
      <c r="DE13" s="572"/>
      <c r="DF13" s="507">
        <f t="shared" si="49"/>
        <v>733545.55113000015</v>
      </c>
      <c r="DG13" s="507">
        <f t="shared" si="49"/>
        <v>64850.905639999997</v>
      </c>
      <c r="DH13" s="507">
        <f t="shared" si="49"/>
        <v>77319.338160000014</v>
      </c>
      <c r="DI13" s="507">
        <f t="shared" si="49"/>
        <v>875715.79493000009</v>
      </c>
      <c r="DJ13" s="569"/>
      <c r="DK13" s="569"/>
    </row>
    <row r="14" spans="1:123" s="534" customFormat="1" ht="33" customHeight="1">
      <c r="A14" s="537" t="s">
        <v>1809</v>
      </c>
      <c r="B14" s="538" t="s">
        <v>1678</v>
      </c>
      <c r="C14" s="539">
        <v>10824360.859999999</v>
      </c>
      <c r="D14" s="525"/>
      <c r="E14" s="573">
        <v>1149771.9000000001</v>
      </c>
      <c r="F14" s="573">
        <v>6956089.6900000004</v>
      </c>
      <c r="G14" s="540">
        <v>0</v>
      </c>
      <c r="H14" s="540">
        <v>0</v>
      </c>
      <c r="I14" s="522">
        <f t="shared" ref="I14:I25" si="63">J14+K14+L14</f>
        <v>1635501.2</v>
      </c>
      <c r="J14" s="525">
        <v>838536.58</v>
      </c>
      <c r="K14" s="525">
        <v>398482.31</v>
      </c>
      <c r="L14" s="525">
        <v>398482.31</v>
      </c>
      <c r="M14" s="525">
        <f t="shared" ref="M14:M25" si="64">J14+K14</f>
        <v>1237018.8899999999</v>
      </c>
      <c r="N14" s="525">
        <v>2199840.58</v>
      </c>
      <c r="O14" s="525">
        <f t="shared" ref="O14:O25" si="65">P14-N14</f>
        <v>1582058.9</v>
      </c>
      <c r="P14" s="522">
        <v>3781899.48</v>
      </c>
      <c r="Q14" s="525">
        <f t="shared" si="12"/>
        <v>2146398.2800000003</v>
      </c>
      <c r="R14" s="525">
        <f t="shared" si="13"/>
        <v>131.23795201128559</v>
      </c>
      <c r="S14" s="525"/>
      <c r="T14" s="525"/>
      <c r="U14" s="522">
        <f t="shared" ref="U14:U25" si="66">AQ14+AS14+BB14+BL14</f>
        <v>0</v>
      </c>
      <c r="V14" s="522">
        <f t="shared" si="1"/>
        <v>0</v>
      </c>
      <c r="W14" s="522">
        <v>0</v>
      </c>
      <c r="X14" s="522">
        <f t="shared" si="15"/>
        <v>-3781899.48</v>
      </c>
      <c r="Y14" s="522">
        <f t="shared" si="16"/>
        <v>-100</v>
      </c>
      <c r="Z14" s="524">
        <f t="shared" si="17"/>
        <v>7727933</v>
      </c>
      <c r="AA14" s="522">
        <f t="shared" si="18"/>
        <v>7727933</v>
      </c>
      <c r="AB14" s="522">
        <v>0</v>
      </c>
      <c r="AC14" s="522">
        <f t="shared" si="20"/>
        <v>7727933</v>
      </c>
      <c r="AD14" s="522">
        <v>0</v>
      </c>
      <c r="AE14" s="522">
        <f t="shared" si="22"/>
        <v>3946033.52</v>
      </c>
      <c r="AF14" s="522">
        <f t="shared" si="23"/>
        <v>104.33998949120667</v>
      </c>
      <c r="AG14" s="522">
        <f t="shared" si="46"/>
        <v>13968125.219999999</v>
      </c>
      <c r="AH14" s="522">
        <f t="shared" si="24"/>
        <v>13968125.219999999</v>
      </c>
      <c r="AI14" s="522">
        <v>0</v>
      </c>
      <c r="AJ14" s="522">
        <f t="shared" si="26"/>
        <v>6240192.2199999988</v>
      </c>
      <c r="AK14" s="522">
        <f t="shared" si="2"/>
        <v>80.748529005103933</v>
      </c>
      <c r="AL14" s="522">
        <f>BW14</f>
        <v>13968125.219999999</v>
      </c>
      <c r="AM14" s="522">
        <f t="shared" si="3"/>
        <v>0</v>
      </c>
      <c r="AN14" s="522">
        <f t="shared" si="3"/>
        <v>7727933</v>
      </c>
      <c r="AO14" s="522">
        <f t="shared" si="27"/>
        <v>7727933</v>
      </c>
      <c r="AP14" s="522">
        <v>0</v>
      </c>
      <c r="AQ14" s="522">
        <v>0</v>
      </c>
      <c r="AR14" s="522">
        <v>3021564.4499999997</v>
      </c>
      <c r="AS14" s="522">
        <v>0</v>
      </c>
      <c r="AT14" s="522">
        <v>4706368.5500000007</v>
      </c>
      <c r="AU14" s="522">
        <f t="shared" si="4"/>
        <v>0</v>
      </c>
      <c r="AV14" s="522">
        <f t="shared" si="4"/>
        <v>0</v>
      </c>
      <c r="AW14" s="522">
        <f t="shared" si="28"/>
        <v>0</v>
      </c>
      <c r="AX14" s="522">
        <v>0</v>
      </c>
      <c r="AY14" s="522">
        <f t="shared" si="5"/>
        <v>6240192.2199999988</v>
      </c>
      <c r="AZ14" s="522">
        <f t="shared" si="30"/>
        <v>-6240192.2199999988</v>
      </c>
      <c r="BA14" s="522">
        <v>0</v>
      </c>
      <c r="BB14" s="522">
        <v>0</v>
      </c>
      <c r="BC14" s="525">
        <f>'[67]Дир_по фин'!AT7</f>
        <v>0</v>
      </c>
      <c r="BD14" s="525">
        <f t="shared" ref="BD14:BD25" si="67">BI14-AN14</f>
        <v>3537814.6100000013</v>
      </c>
      <c r="BE14" s="525">
        <f t="shared" si="33"/>
        <v>3537814.6100000013</v>
      </c>
      <c r="BF14" s="525">
        <f t="shared" si="34"/>
        <v>3537814.6100000013</v>
      </c>
      <c r="BG14" s="525">
        <f t="shared" si="35"/>
        <v>0</v>
      </c>
      <c r="BH14" s="522">
        <f t="shared" si="35"/>
        <v>7727933</v>
      </c>
      <c r="BI14" s="522">
        <v>11265747.610000001</v>
      </c>
      <c r="BJ14" s="522">
        <f t="shared" si="37"/>
        <v>11265747.610000001</v>
      </c>
      <c r="BK14" s="522">
        <f t="shared" si="38"/>
        <v>3537814.6100000013</v>
      </c>
      <c r="BL14" s="525">
        <v>0</v>
      </c>
      <c r="BM14" s="522">
        <f>'[67]Дир_по фин'!AW7</f>
        <v>0</v>
      </c>
      <c r="BN14" s="522">
        <f t="shared" ref="BN14:BN25" si="68">AL14-BI14</f>
        <v>2702377.6099999975</v>
      </c>
      <c r="BO14" s="522">
        <f t="shared" si="48"/>
        <v>2702377.6099999975</v>
      </c>
      <c r="BP14" s="522">
        <f t="shared" si="40"/>
        <v>2702377.6099999975</v>
      </c>
      <c r="BQ14" s="525">
        <v>0</v>
      </c>
      <c r="BR14" s="522">
        <f>'[67]Дир_по фин'!BB7</f>
        <v>0</v>
      </c>
      <c r="BS14" s="522">
        <f>'[67]Дир_по фин'!BC7</f>
        <v>0</v>
      </c>
      <c r="BT14" s="536"/>
      <c r="BU14" s="522"/>
      <c r="BV14" s="522"/>
      <c r="BW14" s="522">
        <f>11165283.27+2802841.95</f>
        <v>13968125.219999999</v>
      </c>
      <c r="BX14" s="574"/>
      <c r="BY14" s="522"/>
      <c r="BZ14" s="522"/>
      <c r="CA14" s="522">
        <f>BW14</f>
        <v>13968125.219999999</v>
      </c>
      <c r="CB14" s="522">
        <f t="shared" si="56"/>
        <v>13968125.219999999</v>
      </c>
      <c r="CC14" s="522">
        <f t="shared" si="44"/>
        <v>0</v>
      </c>
      <c r="CD14" s="522"/>
      <c r="CE14" s="522"/>
      <c r="CF14" s="522"/>
      <c r="CG14" s="522"/>
      <c r="CH14" s="522"/>
      <c r="CI14" s="522"/>
      <c r="CJ14" s="522"/>
      <c r="CK14" s="542" t="s">
        <v>81</v>
      </c>
      <c r="CL14" s="542" t="s">
        <v>1810</v>
      </c>
      <c r="CM14" s="509"/>
      <c r="CN14" s="509"/>
      <c r="CO14" s="528"/>
      <c r="CP14" s="544"/>
      <c r="CQ14" s="544"/>
      <c r="CR14" s="544">
        <f t="shared" ref="CR14:CR19" si="69">U14</f>
        <v>0</v>
      </c>
      <c r="CS14" s="1705"/>
      <c r="CT14" s="1706"/>
      <c r="CU14" s="1706"/>
      <c r="CV14" s="1706"/>
      <c r="CW14" s="1707"/>
      <c r="CX14" s="528"/>
      <c r="CY14" s="528"/>
      <c r="CZ14" s="528"/>
      <c r="DA14" s="528"/>
      <c r="DB14" s="544">
        <f>2177243.07+844321.38</f>
        <v>3021564.4499999997</v>
      </c>
      <c r="DC14" s="544">
        <f t="shared" ref="DC14:DC25" si="70">DB14-AQ14</f>
        <v>3021564.4499999997</v>
      </c>
      <c r="DD14" s="535"/>
      <c r="DE14" s="535"/>
      <c r="DF14" s="522">
        <f t="shared" si="49"/>
        <v>0</v>
      </c>
      <c r="DG14" s="522">
        <f t="shared" si="49"/>
        <v>0</v>
      </c>
      <c r="DH14" s="522">
        <f t="shared" si="49"/>
        <v>13968.125219999998</v>
      </c>
      <c r="DI14" s="522">
        <f t="shared" si="49"/>
        <v>13968.125219999998</v>
      </c>
      <c r="DJ14" s="536"/>
      <c r="DK14" s="536"/>
      <c r="DL14" s="536"/>
      <c r="DM14" s="536"/>
      <c r="DN14" s="536"/>
      <c r="DO14" s="536"/>
      <c r="DP14" s="536"/>
      <c r="DQ14" s="536"/>
      <c r="DR14" s="536"/>
      <c r="DS14" s="536"/>
    </row>
    <row r="15" spans="1:123" s="534" customFormat="1" ht="37.5" customHeight="1">
      <c r="A15" s="537" t="s">
        <v>1811</v>
      </c>
      <c r="B15" s="538" t="s">
        <v>1812</v>
      </c>
      <c r="C15" s="539">
        <v>228512371.25999999</v>
      </c>
      <c r="D15" s="525"/>
      <c r="E15" s="525">
        <v>2402100</v>
      </c>
      <c r="F15" s="525">
        <v>17560721.379999999</v>
      </c>
      <c r="G15" s="540">
        <v>0</v>
      </c>
      <c r="H15" s="540">
        <v>0</v>
      </c>
      <c r="I15" s="525">
        <f t="shared" si="63"/>
        <v>4323867.82</v>
      </c>
      <c r="J15" s="525">
        <v>1282305.26</v>
      </c>
      <c r="K15" s="525">
        <v>1520778.78</v>
      </c>
      <c r="L15" s="525">
        <v>1520783.78</v>
      </c>
      <c r="M15" s="525">
        <f t="shared" si="64"/>
        <v>2803084.04</v>
      </c>
      <c r="N15" s="525">
        <v>1856581.22</v>
      </c>
      <c r="O15" s="525">
        <f t="shared" si="65"/>
        <v>1376249.1500000001</v>
      </c>
      <c r="P15" s="522">
        <v>3232830.37</v>
      </c>
      <c r="Q15" s="525">
        <f t="shared" si="12"/>
        <v>-1091037.4500000002</v>
      </c>
      <c r="R15" s="525">
        <f t="shared" si="13"/>
        <v>-25.232904783846976</v>
      </c>
      <c r="S15" s="525"/>
      <c r="T15" s="525"/>
      <c r="U15" s="522">
        <f t="shared" si="66"/>
        <v>6532425.629999999</v>
      </c>
      <c r="V15" s="522">
        <f t="shared" si="1"/>
        <v>6532425.629999999</v>
      </c>
      <c r="W15" s="522">
        <v>0</v>
      </c>
      <c r="X15" s="522">
        <f t="shared" si="15"/>
        <v>3299595.2599999988</v>
      </c>
      <c r="Y15" s="522">
        <f t="shared" si="16"/>
        <v>102.06521476102063</v>
      </c>
      <c r="Z15" s="524">
        <f t="shared" si="17"/>
        <v>5123939.84</v>
      </c>
      <c r="AA15" s="522">
        <f t="shared" si="18"/>
        <v>5123939.84</v>
      </c>
      <c r="AB15" s="522">
        <v>0</v>
      </c>
      <c r="AC15" s="522">
        <f t="shared" si="20"/>
        <v>-1408485.7899999991</v>
      </c>
      <c r="AD15" s="522">
        <f t="shared" si="21"/>
        <v>-21.561451592063506</v>
      </c>
      <c r="AE15" s="522">
        <f t="shared" si="22"/>
        <v>1891109.4699999997</v>
      </c>
      <c r="AF15" s="522">
        <f t="shared" si="23"/>
        <v>58.497021295924014</v>
      </c>
      <c r="AG15" s="522">
        <f t="shared" si="46"/>
        <v>51513829.43</v>
      </c>
      <c r="AH15" s="522">
        <f t="shared" si="24"/>
        <v>44981403.799999997</v>
      </c>
      <c r="AI15" s="522">
        <f t="shared" si="25"/>
        <v>688.58654269899444</v>
      </c>
      <c r="AJ15" s="522">
        <f t="shared" si="26"/>
        <v>46389889.590000004</v>
      </c>
      <c r="AK15" s="522">
        <f t="shared" si="2"/>
        <v>905.35585972063245</v>
      </c>
      <c r="AL15" s="522">
        <f t="shared" ref="AL15:AL25" si="71">BW15</f>
        <v>51513829.43</v>
      </c>
      <c r="AM15" s="522">
        <f t="shared" si="3"/>
        <v>3226622.9699999997</v>
      </c>
      <c r="AN15" s="522">
        <f t="shared" si="3"/>
        <v>1872152.4</v>
      </c>
      <c r="AO15" s="522">
        <f t="shared" si="27"/>
        <v>-1354470.5699999998</v>
      </c>
      <c r="AP15" s="522">
        <f t="shared" si="47"/>
        <v>-41.977962178828719</v>
      </c>
      <c r="AQ15" s="522">
        <v>1607209.16</v>
      </c>
      <c r="AR15" s="522">
        <v>884371.93</v>
      </c>
      <c r="AS15" s="522">
        <v>1619413.81</v>
      </c>
      <c r="AT15" s="567">
        <v>987780.46999999986</v>
      </c>
      <c r="AU15" s="522">
        <f t="shared" si="4"/>
        <v>3305802.66</v>
      </c>
      <c r="AV15" s="522">
        <f t="shared" si="4"/>
        <v>3251787.44</v>
      </c>
      <c r="AW15" s="522">
        <f t="shared" si="28"/>
        <v>-54015.220000000205</v>
      </c>
      <c r="AX15" s="522">
        <f t="shared" si="29"/>
        <v>-1.6339517374579202</v>
      </c>
      <c r="AY15" s="522">
        <f t="shared" si="5"/>
        <v>49641677.030000001</v>
      </c>
      <c r="AZ15" s="522">
        <f t="shared" si="30"/>
        <v>-46389889.590000004</v>
      </c>
      <c r="BA15" s="522">
        <f t="shared" si="31"/>
        <v>-93.449481092198312</v>
      </c>
      <c r="BB15" s="522">
        <v>1660091.15</v>
      </c>
      <c r="BC15" s="525">
        <f>'[67]Дир_по экон'!AT8</f>
        <v>1606075.92</v>
      </c>
      <c r="BD15" s="525">
        <f t="shared" si="67"/>
        <v>47161973.280000001</v>
      </c>
      <c r="BE15" s="525">
        <f t="shared" si="33"/>
        <v>45501882.130000003</v>
      </c>
      <c r="BF15" s="525">
        <f t="shared" si="34"/>
        <v>45555897.359999999</v>
      </c>
      <c r="BG15" s="525">
        <f t="shared" si="35"/>
        <v>4886714.1199999992</v>
      </c>
      <c r="BH15" s="522">
        <f t="shared" si="35"/>
        <v>3478228.32</v>
      </c>
      <c r="BI15" s="522">
        <v>49034125.68</v>
      </c>
      <c r="BJ15" s="522">
        <f t="shared" si="37"/>
        <v>44147411.560000002</v>
      </c>
      <c r="BK15" s="522">
        <f t="shared" si="38"/>
        <v>45555897.359999999</v>
      </c>
      <c r="BL15" s="525">
        <v>1645711.51</v>
      </c>
      <c r="BM15" s="522">
        <f>'[67]Дир_по экон'!AW8</f>
        <v>1645711.52</v>
      </c>
      <c r="BN15" s="522">
        <f t="shared" si="68"/>
        <v>2479703.75</v>
      </c>
      <c r="BO15" s="522">
        <f t="shared" si="48"/>
        <v>833992.24</v>
      </c>
      <c r="BP15" s="522">
        <f t="shared" si="40"/>
        <v>833992.23</v>
      </c>
      <c r="BQ15" s="525">
        <v>1645711.51</v>
      </c>
      <c r="BR15" s="522">
        <f>'[67]Дир_по экон'!BB8</f>
        <v>0</v>
      </c>
      <c r="BS15" s="522">
        <f>'[67]Дир_по экон'!BC8</f>
        <v>0</v>
      </c>
      <c r="BT15" s="536"/>
      <c r="BU15" s="522"/>
      <c r="BV15" s="522"/>
      <c r="BW15" s="522">
        <f>2518215.44+421806.69+8.07+1274009.78+2144+383724.37+1615629.09+45298291.99</f>
        <v>51513829.43</v>
      </c>
      <c r="BX15" s="574"/>
      <c r="BY15" s="522">
        <f>2489572.01+259038.48+0.3+756003.83+2027.25+205940.16+1469151.54+45298291.99</f>
        <v>50480025.560000002</v>
      </c>
      <c r="BZ15" s="522">
        <f>88.9+7.71+537.2+0.02+3220.75</f>
        <v>3854.58</v>
      </c>
      <c r="CA15" s="522">
        <f>28554.53+162768.21+0.04+518005.95+116.75+174026.26+146477.55</f>
        <v>1029949.29</v>
      </c>
      <c r="CB15" s="522">
        <f t="shared" si="56"/>
        <v>51513829.43</v>
      </c>
      <c r="CC15" s="522">
        <f t="shared" si="44"/>
        <v>0</v>
      </c>
      <c r="CD15" s="522"/>
      <c r="CE15" s="522"/>
      <c r="CF15" s="522"/>
      <c r="CG15" s="522"/>
      <c r="CH15" s="522"/>
      <c r="CI15" s="522"/>
      <c r="CJ15" s="522"/>
      <c r="CK15" s="542" t="s">
        <v>77</v>
      </c>
      <c r="CL15" s="542" t="s">
        <v>1800</v>
      </c>
      <c r="CM15" s="509"/>
      <c r="CN15" s="509"/>
      <c r="CO15" s="528"/>
      <c r="CP15" s="544"/>
      <c r="CQ15" s="544"/>
      <c r="CR15" s="544">
        <f t="shared" si="69"/>
        <v>6532425.629999999</v>
      </c>
      <c r="CS15" s="1705"/>
      <c r="CT15" s="1706"/>
      <c r="CU15" s="1706"/>
      <c r="CV15" s="1706"/>
      <c r="CW15" s="1707"/>
      <c r="CX15" s="528"/>
      <c r="CY15" s="528"/>
      <c r="CZ15" s="528"/>
      <c r="DA15" s="528"/>
      <c r="DB15" s="544">
        <f>133601.98+15843.86+7.72+332146.13+1003.25+210148.68+213868.97-35922.13+14334.59-1104.97+443.85</f>
        <v>884371.93</v>
      </c>
      <c r="DC15" s="544">
        <f t="shared" si="70"/>
        <v>-722837.22999999986</v>
      </c>
      <c r="DD15" s="575"/>
      <c r="DE15" s="575"/>
      <c r="DF15" s="522">
        <f t="shared" si="49"/>
        <v>50480.025560000002</v>
      </c>
      <c r="DG15" s="522">
        <f t="shared" si="49"/>
        <v>3.8545799999999999</v>
      </c>
      <c r="DH15" s="522">
        <f t="shared" si="49"/>
        <v>1029.94929</v>
      </c>
      <c r="DI15" s="522">
        <f t="shared" si="49"/>
        <v>51513.829429999998</v>
      </c>
      <c r="DJ15" s="536"/>
      <c r="DK15" s="536"/>
      <c r="DL15" s="536"/>
      <c r="DM15" s="536"/>
      <c r="DN15" s="536"/>
      <c r="DO15" s="536"/>
      <c r="DP15" s="536"/>
      <c r="DQ15" s="536"/>
      <c r="DR15" s="536"/>
      <c r="DS15" s="536"/>
    </row>
    <row r="16" spans="1:123" s="534" customFormat="1" ht="63.75" customHeight="1">
      <c r="A16" s="537" t="s">
        <v>1813</v>
      </c>
      <c r="B16" s="538" t="s">
        <v>1814</v>
      </c>
      <c r="C16" s="539"/>
      <c r="D16" s="525"/>
      <c r="E16" s="525"/>
      <c r="F16" s="525"/>
      <c r="G16" s="540">
        <v>0</v>
      </c>
      <c r="H16" s="540">
        <v>0</v>
      </c>
      <c r="I16" s="525">
        <f t="shared" si="63"/>
        <v>581084.59</v>
      </c>
      <c r="J16" s="525">
        <v>581084.59</v>
      </c>
      <c r="K16" s="525">
        <v>0</v>
      </c>
      <c r="L16" s="525">
        <v>0</v>
      </c>
      <c r="M16" s="525">
        <f t="shared" si="64"/>
        <v>581084.59</v>
      </c>
      <c r="N16" s="525">
        <v>2134820.0099999998</v>
      </c>
      <c r="O16" s="525">
        <f t="shared" si="65"/>
        <v>2787437.99</v>
      </c>
      <c r="P16" s="522">
        <v>4922258</v>
      </c>
      <c r="Q16" s="525">
        <f t="shared" si="12"/>
        <v>4341173.41</v>
      </c>
      <c r="R16" s="525">
        <f t="shared" si="13"/>
        <v>747.08114527697251</v>
      </c>
      <c r="S16" s="525"/>
      <c r="T16" s="525"/>
      <c r="U16" s="522">
        <f t="shared" si="66"/>
        <v>0</v>
      </c>
      <c r="V16" s="522">
        <f t="shared" si="1"/>
        <v>0</v>
      </c>
      <c r="W16" s="522">
        <v>0</v>
      </c>
      <c r="X16" s="522">
        <f t="shared" si="15"/>
        <v>-4922258</v>
      </c>
      <c r="Y16" s="522">
        <f t="shared" si="16"/>
        <v>-100</v>
      </c>
      <c r="Z16" s="524">
        <f t="shared" si="17"/>
        <v>1917062.67</v>
      </c>
      <c r="AA16" s="522">
        <f t="shared" si="18"/>
        <v>1917062.67</v>
      </c>
      <c r="AB16" s="522">
        <v>0</v>
      </c>
      <c r="AC16" s="522">
        <f t="shared" si="20"/>
        <v>1917062.67</v>
      </c>
      <c r="AD16" s="522">
        <v>0</v>
      </c>
      <c r="AE16" s="522">
        <f t="shared" si="22"/>
        <v>-3005195.33</v>
      </c>
      <c r="AF16" s="522">
        <f t="shared" si="23"/>
        <v>-61.053185956526455</v>
      </c>
      <c r="AG16" s="522">
        <f t="shared" si="46"/>
        <v>2527541.42</v>
      </c>
      <c r="AH16" s="522">
        <f t="shared" si="24"/>
        <v>2527541.42</v>
      </c>
      <c r="AI16" s="522">
        <v>0</v>
      </c>
      <c r="AJ16" s="522">
        <f t="shared" si="26"/>
        <v>610478.75</v>
      </c>
      <c r="AK16" s="522">
        <f t="shared" si="2"/>
        <v>31.844485814331762</v>
      </c>
      <c r="AL16" s="522">
        <f t="shared" si="71"/>
        <v>2527541.42</v>
      </c>
      <c r="AM16" s="522">
        <f t="shared" si="3"/>
        <v>0</v>
      </c>
      <c r="AN16" s="522">
        <f t="shared" si="3"/>
        <v>1917062.67</v>
      </c>
      <c r="AO16" s="522">
        <f t="shared" si="27"/>
        <v>1917062.67</v>
      </c>
      <c r="AP16" s="522">
        <v>0</v>
      </c>
      <c r="AQ16" s="522">
        <v>0</v>
      </c>
      <c r="AR16" s="522">
        <v>1471588.87</v>
      </c>
      <c r="AS16" s="522">
        <v>0</v>
      </c>
      <c r="AT16" s="522">
        <v>445473.79999999981</v>
      </c>
      <c r="AU16" s="522">
        <f t="shared" si="4"/>
        <v>0</v>
      </c>
      <c r="AV16" s="522">
        <f t="shared" si="4"/>
        <v>0</v>
      </c>
      <c r="AW16" s="522">
        <f t="shared" si="28"/>
        <v>0</v>
      </c>
      <c r="AX16" s="522">
        <v>0</v>
      </c>
      <c r="AY16" s="522">
        <f t="shared" si="5"/>
        <v>610478.75</v>
      </c>
      <c r="AZ16" s="522">
        <f t="shared" si="30"/>
        <v>-610478.75</v>
      </c>
      <c r="BA16" s="522">
        <v>0</v>
      </c>
      <c r="BB16" s="522">
        <v>0</v>
      </c>
      <c r="BC16" s="525">
        <f>'[67]Дир_ имущ'!AT7</f>
        <v>0</v>
      </c>
      <c r="BD16" s="525">
        <f t="shared" si="67"/>
        <v>313079.37999999989</v>
      </c>
      <c r="BE16" s="525">
        <f t="shared" si="33"/>
        <v>313079.37999999989</v>
      </c>
      <c r="BF16" s="525">
        <f t="shared" si="34"/>
        <v>313079.37999999989</v>
      </c>
      <c r="BG16" s="525">
        <f t="shared" si="35"/>
        <v>0</v>
      </c>
      <c r="BH16" s="522">
        <f t="shared" si="35"/>
        <v>1917062.67</v>
      </c>
      <c r="BI16" s="522">
        <v>2230142.0499999998</v>
      </c>
      <c r="BJ16" s="522">
        <f t="shared" si="37"/>
        <v>2230142.0499999998</v>
      </c>
      <c r="BK16" s="522">
        <f t="shared" si="38"/>
        <v>313079.37999999989</v>
      </c>
      <c r="BL16" s="525">
        <v>0</v>
      </c>
      <c r="BM16" s="522">
        <f>'[67]Дир_ имущ'!AW7</f>
        <v>0</v>
      </c>
      <c r="BN16" s="522">
        <f t="shared" si="68"/>
        <v>297399.37000000011</v>
      </c>
      <c r="BO16" s="522">
        <f t="shared" si="48"/>
        <v>297399.37000000011</v>
      </c>
      <c r="BP16" s="522">
        <f t="shared" si="40"/>
        <v>297399.37000000011</v>
      </c>
      <c r="BQ16" s="525">
        <v>0</v>
      </c>
      <c r="BR16" s="522">
        <f>'[67]Дир_ имущ'!BB7</f>
        <v>0</v>
      </c>
      <c r="BS16" s="522">
        <f>'[67]Дир_ имущ'!BC7</f>
        <v>0</v>
      </c>
      <c r="BT16" s="536"/>
      <c r="BU16" s="522"/>
      <c r="BV16" s="522"/>
      <c r="BW16" s="522">
        <f>2105884.17-321236.84+742894.09</f>
        <v>2527541.42</v>
      </c>
      <c r="BX16" s="574"/>
      <c r="BY16" s="522"/>
      <c r="BZ16" s="522"/>
      <c r="CA16" s="522">
        <f>1784647.33+742894.09</f>
        <v>2527541.42</v>
      </c>
      <c r="CB16" s="522">
        <f t="shared" si="56"/>
        <v>2527541.42</v>
      </c>
      <c r="CC16" s="522">
        <f t="shared" si="44"/>
        <v>0</v>
      </c>
      <c r="CD16" s="522"/>
      <c r="CE16" s="522"/>
      <c r="CF16" s="522"/>
      <c r="CG16" s="522"/>
      <c r="CH16" s="522"/>
      <c r="CI16" s="522"/>
      <c r="CJ16" s="522"/>
      <c r="CK16" s="542" t="s">
        <v>1815</v>
      </c>
      <c r="CL16" s="542" t="s">
        <v>1816</v>
      </c>
      <c r="CM16" s="509"/>
      <c r="CN16" s="509"/>
      <c r="CO16" s="528"/>
      <c r="CP16" s="544"/>
      <c r="CQ16" s="544"/>
      <c r="CR16" s="544">
        <f t="shared" si="69"/>
        <v>0</v>
      </c>
      <c r="CS16" s="1705"/>
      <c r="CT16" s="1706"/>
      <c r="CU16" s="1706"/>
      <c r="CV16" s="1706"/>
      <c r="CW16" s="1707"/>
      <c r="CX16" s="528"/>
      <c r="CY16" s="528"/>
      <c r="CZ16" s="528"/>
      <c r="DA16" s="528"/>
      <c r="DB16" s="544">
        <f>1306841.02+164747.85</f>
        <v>1471588.87</v>
      </c>
      <c r="DC16" s="544">
        <f t="shared" si="70"/>
        <v>1471588.87</v>
      </c>
      <c r="DD16" s="535"/>
      <c r="DE16" s="535"/>
      <c r="DF16" s="522">
        <f t="shared" si="49"/>
        <v>0</v>
      </c>
      <c r="DG16" s="522">
        <f t="shared" si="49"/>
        <v>0</v>
      </c>
      <c r="DH16" s="522">
        <f t="shared" si="49"/>
        <v>2527.54142</v>
      </c>
      <c r="DI16" s="522">
        <f t="shared" si="49"/>
        <v>2527.54142</v>
      </c>
      <c r="DJ16" s="536"/>
      <c r="DK16" s="536"/>
      <c r="DL16" s="536"/>
      <c r="DM16" s="536"/>
      <c r="DN16" s="536"/>
      <c r="DO16" s="536"/>
      <c r="DP16" s="536"/>
      <c r="DQ16" s="536"/>
      <c r="DR16" s="536"/>
      <c r="DS16" s="536"/>
    </row>
    <row r="17" spans="1:123" s="534" customFormat="1" ht="33" customHeight="1">
      <c r="A17" s="537" t="s">
        <v>1817</v>
      </c>
      <c r="B17" s="538" t="s">
        <v>1818</v>
      </c>
      <c r="C17" s="539"/>
      <c r="D17" s="525"/>
      <c r="E17" s="525"/>
      <c r="F17" s="525"/>
      <c r="G17" s="540">
        <v>0</v>
      </c>
      <c r="H17" s="540">
        <v>0</v>
      </c>
      <c r="I17" s="525">
        <f t="shared" si="63"/>
        <v>0</v>
      </c>
      <c r="J17" s="525">
        <v>0</v>
      </c>
      <c r="K17" s="525">
        <v>0</v>
      </c>
      <c r="L17" s="525">
        <v>0</v>
      </c>
      <c r="M17" s="525">
        <f t="shared" si="64"/>
        <v>0</v>
      </c>
      <c r="N17" s="525">
        <v>378432.21</v>
      </c>
      <c r="O17" s="525">
        <f t="shared" si="65"/>
        <v>472176.96</v>
      </c>
      <c r="P17" s="522">
        <v>850609.17</v>
      </c>
      <c r="Q17" s="525">
        <f t="shared" si="12"/>
        <v>850609.17</v>
      </c>
      <c r="R17" s="525">
        <v>0</v>
      </c>
      <c r="S17" s="525"/>
      <c r="T17" s="525"/>
      <c r="U17" s="522">
        <f t="shared" si="66"/>
        <v>0</v>
      </c>
      <c r="V17" s="522">
        <f t="shared" si="1"/>
        <v>0</v>
      </c>
      <c r="W17" s="522">
        <v>0</v>
      </c>
      <c r="X17" s="522">
        <f t="shared" si="15"/>
        <v>-850609.17</v>
      </c>
      <c r="Y17" s="522">
        <f>U17/P17*100-100</f>
        <v>-100</v>
      </c>
      <c r="Z17" s="524">
        <f t="shared" si="17"/>
        <v>398805.07999999996</v>
      </c>
      <c r="AA17" s="522">
        <f t="shared" si="18"/>
        <v>398805.07999999996</v>
      </c>
      <c r="AB17" s="522">
        <v>0</v>
      </c>
      <c r="AC17" s="522">
        <f t="shared" si="20"/>
        <v>398805.07999999996</v>
      </c>
      <c r="AD17" s="522">
        <v>0</v>
      </c>
      <c r="AE17" s="522">
        <f t="shared" si="22"/>
        <v>-451804.09000000008</v>
      </c>
      <c r="AF17" s="522">
        <f t="shared" si="23"/>
        <v>-53.11535613941242</v>
      </c>
      <c r="AG17" s="522">
        <f t="shared" si="46"/>
        <v>954276.38000000012</v>
      </c>
      <c r="AH17" s="522">
        <f t="shared" si="24"/>
        <v>954276.38000000012</v>
      </c>
      <c r="AI17" s="522">
        <v>0</v>
      </c>
      <c r="AJ17" s="522">
        <f t="shared" si="26"/>
        <v>555471.30000000016</v>
      </c>
      <c r="AK17" s="522">
        <f t="shared" si="2"/>
        <v>139.28390781782426</v>
      </c>
      <c r="AL17" s="522">
        <f t="shared" si="71"/>
        <v>954276.38000000012</v>
      </c>
      <c r="AM17" s="522">
        <f t="shared" si="3"/>
        <v>0</v>
      </c>
      <c r="AN17" s="522">
        <f t="shared" si="3"/>
        <v>398805.07999999996</v>
      </c>
      <c r="AO17" s="522">
        <f t="shared" si="27"/>
        <v>398805.07999999996</v>
      </c>
      <c r="AP17" s="522">
        <v>0</v>
      </c>
      <c r="AQ17" s="522">
        <v>0</v>
      </c>
      <c r="AR17" s="522">
        <v>135593.22</v>
      </c>
      <c r="AS17" s="522">
        <v>0</v>
      </c>
      <c r="AT17" s="522">
        <v>263211.86</v>
      </c>
      <c r="AU17" s="522">
        <f t="shared" si="4"/>
        <v>0</v>
      </c>
      <c r="AV17" s="522">
        <f t="shared" si="4"/>
        <v>0</v>
      </c>
      <c r="AW17" s="522">
        <f t="shared" si="28"/>
        <v>0</v>
      </c>
      <c r="AX17" s="522">
        <v>0</v>
      </c>
      <c r="AY17" s="522">
        <f t="shared" si="5"/>
        <v>555471.30000000016</v>
      </c>
      <c r="AZ17" s="522">
        <f t="shared" si="30"/>
        <v>-555471.30000000016</v>
      </c>
      <c r="BA17" s="522">
        <v>0</v>
      </c>
      <c r="BB17" s="522">
        <v>0</v>
      </c>
      <c r="BC17" s="525">
        <f>'[67]Дир_ имущ'!AT8</f>
        <v>0</v>
      </c>
      <c r="BD17" s="525">
        <f t="shared" si="67"/>
        <v>210169.49000000011</v>
      </c>
      <c r="BE17" s="525">
        <f t="shared" si="33"/>
        <v>210169.49000000011</v>
      </c>
      <c r="BF17" s="525">
        <f t="shared" si="34"/>
        <v>210169.49000000011</v>
      </c>
      <c r="BG17" s="525">
        <f t="shared" si="35"/>
        <v>0</v>
      </c>
      <c r="BH17" s="522">
        <f t="shared" si="35"/>
        <v>398805.07999999996</v>
      </c>
      <c r="BI17" s="522">
        <v>608974.57000000007</v>
      </c>
      <c r="BJ17" s="522">
        <f t="shared" si="37"/>
        <v>608974.57000000007</v>
      </c>
      <c r="BK17" s="522">
        <f t="shared" si="38"/>
        <v>210169.49000000011</v>
      </c>
      <c r="BL17" s="525">
        <v>0</v>
      </c>
      <c r="BM17" s="522">
        <f>'[67]Дир_ имущ'!AW8</f>
        <v>0</v>
      </c>
      <c r="BN17" s="522">
        <f t="shared" si="68"/>
        <v>345301.81000000006</v>
      </c>
      <c r="BO17" s="522">
        <f t="shared" si="48"/>
        <v>345301.81000000006</v>
      </c>
      <c r="BP17" s="522">
        <f t="shared" si="40"/>
        <v>345301.81000000006</v>
      </c>
      <c r="BQ17" s="525">
        <v>0</v>
      </c>
      <c r="BR17" s="522">
        <f>'[67]Дир_ имущ'!BB8</f>
        <v>0</v>
      </c>
      <c r="BS17" s="522">
        <f>'[67]Дир_ имущ'!BC8</f>
        <v>0</v>
      </c>
      <c r="BT17" s="536"/>
      <c r="BU17" s="522"/>
      <c r="BV17" s="522"/>
      <c r="BW17" s="522">
        <f>1109418.1-155141.72</f>
        <v>954276.38000000012</v>
      </c>
      <c r="BX17" s="574"/>
      <c r="BY17" s="522"/>
      <c r="BZ17" s="522"/>
      <c r="CA17" s="522">
        <f>BW17</f>
        <v>954276.38000000012</v>
      </c>
      <c r="CB17" s="522">
        <f t="shared" si="56"/>
        <v>954276.38000000012</v>
      </c>
      <c r="CC17" s="522">
        <f t="shared" si="44"/>
        <v>0</v>
      </c>
      <c r="CD17" s="522"/>
      <c r="CE17" s="522"/>
      <c r="CF17" s="522"/>
      <c r="CG17" s="522"/>
      <c r="CH17" s="522"/>
      <c r="CI17" s="522"/>
      <c r="CJ17" s="522"/>
      <c r="CK17" s="542" t="s">
        <v>1815</v>
      </c>
      <c r="CL17" s="542" t="s">
        <v>1816</v>
      </c>
      <c r="CM17" s="509"/>
      <c r="CN17" s="509"/>
      <c r="CO17" s="528"/>
      <c r="CP17" s="544"/>
      <c r="CQ17" s="544"/>
      <c r="CR17" s="544">
        <f t="shared" si="69"/>
        <v>0</v>
      </c>
      <c r="CS17" s="1705"/>
      <c r="CT17" s="1706"/>
      <c r="CU17" s="1706"/>
      <c r="CV17" s="1706"/>
      <c r="CW17" s="1707"/>
      <c r="CX17" s="528"/>
      <c r="CY17" s="528"/>
      <c r="CZ17" s="528"/>
      <c r="DA17" s="528"/>
      <c r="DB17" s="544">
        <v>135593.22</v>
      </c>
      <c r="DC17" s="544">
        <f t="shared" si="70"/>
        <v>135593.22</v>
      </c>
      <c r="DD17" s="535"/>
      <c r="DE17" s="535"/>
      <c r="DF17" s="522">
        <f t="shared" si="49"/>
        <v>0</v>
      </c>
      <c r="DG17" s="522">
        <f t="shared" si="49"/>
        <v>0</v>
      </c>
      <c r="DH17" s="522">
        <f t="shared" si="49"/>
        <v>954.27638000000013</v>
      </c>
      <c r="DI17" s="522">
        <f t="shared" si="49"/>
        <v>954.27638000000013</v>
      </c>
      <c r="DJ17" s="536"/>
      <c r="DK17" s="536"/>
      <c r="DL17" s="536"/>
      <c r="DM17" s="536"/>
      <c r="DN17" s="536"/>
      <c r="DO17" s="536"/>
      <c r="DP17" s="536"/>
      <c r="DQ17" s="536"/>
      <c r="DR17" s="536"/>
      <c r="DS17" s="536"/>
    </row>
    <row r="18" spans="1:123" s="534" customFormat="1">
      <c r="A18" s="537" t="s">
        <v>1819</v>
      </c>
      <c r="B18" s="538" t="s">
        <v>1820</v>
      </c>
      <c r="C18" s="539"/>
      <c r="D18" s="525"/>
      <c r="E18" s="525"/>
      <c r="F18" s="525"/>
      <c r="G18" s="540">
        <v>0</v>
      </c>
      <c r="H18" s="540">
        <v>0</v>
      </c>
      <c r="I18" s="525">
        <f t="shared" si="63"/>
        <v>80523000</v>
      </c>
      <c r="J18" s="525">
        <v>0</v>
      </c>
      <c r="K18" s="525">
        <v>0</v>
      </c>
      <c r="L18" s="525">
        <v>80523000</v>
      </c>
      <c r="M18" s="525">
        <f t="shared" si="64"/>
        <v>0</v>
      </c>
      <c r="N18" s="525"/>
      <c r="O18" s="525">
        <f t="shared" si="65"/>
        <v>80523000</v>
      </c>
      <c r="P18" s="522">
        <v>80523000</v>
      </c>
      <c r="Q18" s="525">
        <f t="shared" si="12"/>
        <v>0</v>
      </c>
      <c r="R18" s="525">
        <f t="shared" si="13"/>
        <v>0</v>
      </c>
      <c r="S18" s="525"/>
      <c r="T18" s="525"/>
      <c r="U18" s="522">
        <f t="shared" si="66"/>
        <v>0</v>
      </c>
      <c r="V18" s="522">
        <f t="shared" si="1"/>
        <v>0</v>
      </c>
      <c r="W18" s="522">
        <v>0</v>
      </c>
      <c r="X18" s="522">
        <f t="shared" si="15"/>
        <v>-80523000</v>
      </c>
      <c r="Y18" s="522">
        <f t="shared" si="16"/>
        <v>-100</v>
      </c>
      <c r="Z18" s="524">
        <f t="shared" si="17"/>
        <v>0</v>
      </c>
      <c r="AA18" s="522">
        <f t="shared" si="18"/>
        <v>0</v>
      </c>
      <c r="AB18" s="522">
        <v>0</v>
      </c>
      <c r="AC18" s="522">
        <f t="shared" si="20"/>
        <v>0</v>
      </c>
      <c r="AD18" s="522">
        <v>0</v>
      </c>
      <c r="AE18" s="522">
        <f t="shared" si="22"/>
        <v>-80523000</v>
      </c>
      <c r="AF18" s="522">
        <f t="shared" si="23"/>
        <v>-100</v>
      </c>
      <c r="AG18" s="522">
        <f t="shared" si="46"/>
        <v>0</v>
      </c>
      <c r="AH18" s="522">
        <f t="shared" si="24"/>
        <v>0</v>
      </c>
      <c r="AI18" s="522">
        <v>0</v>
      </c>
      <c r="AJ18" s="522">
        <f t="shared" si="26"/>
        <v>0</v>
      </c>
      <c r="AK18" s="522">
        <v>0</v>
      </c>
      <c r="AL18" s="522">
        <f t="shared" si="71"/>
        <v>0</v>
      </c>
      <c r="AM18" s="522">
        <f t="shared" si="3"/>
        <v>0</v>
      </c>
      <c r="AN18" s="522">
        <f t="shared" si="3"/>
        <v>0</v>
      </c>
      <c r="AO18" s="522">
        <f t="shared" si="27"/>
        <v>0</v>
      </c>
      <c r="AP18" s="522">
        <v>0</v>
      </c>
      <c r="AQ18" s="522">
        <v>0</v>
      </c>
      <c r="AR18" s="522">
        <v>0</v>
      </c>
      <c r="AS18" s="522">
        <v>0</v>
      </c>
      <c r="AT18" s="522">
        <v>0</v>
      </c>
      <c r="AU18" s="522">
        <f t="shared" si="4"/>
        <v>0</v>
      </c>
      <c r="AV18" s="522">
        <f t="shared" si="4"/>
        <v>0</v>
      </c>
      <c r="AW18" s="522">
        <f t="shared" si="28"/>
        <v>0</v>
      </c>
      <c r="AX18" s="522">
        <v>0</v>
      </c>
      <c r="AY18" s="522">
        <f t="shared" si="5"/>
        <v>0</v>
      </c>
      <c r="AZ18" s="522">
        <f t="shared" si="30"/>
        <v>0</v>
      </c>
      <c r="BA18" s="522">
        <v>0</v>
      </c>
      <c r="BB18" s="522">
        <v>0</v>
      </c>
      <c r="BC18" s="525">
        <f>'[67]Дир_по корп'!AT44</f>
        <v>0</v>
      </c>
      <c r="BD18" s="525">
        <f t="shared" si="67"/>
        <v>0</v>
      </c>
      <c r="BE18" s="525">
        <f t="shared" si="33"/>
        <v>0</v>
      </c>
      <c r="BF18" s="525">
        <f t="shared" si="34"/>
        <v>0</v>
      </c>
      <c r="BG18" s="525">
        <f t="shared" si="35"/>
        <v>0</v>
      </c>
      <c r="BH18" s="522">
        <f t="shared" si="35"/>
        <v>0</v>
      </c>
      <c r="BI18" s="522">
        <v>0</v>
      </c>
      <c r="BJ18" s="522">
        <f t="shared" si="37"/>
        <v>0</v>
      </c>
      <c r="BK18" s="522">
        <f t="shared" si="38"/>
        <v>0</v>
      </c>
      <c r="BL18" s="525">
        <v>0</v>
      </c>
      <c r="BM18" s="522">
        <f>'[67]Дир_по корп'!AW44</f>
        <v>0</v>
      </c>
      <c r="BN18" s="522">
        <f t="shared" si="68"/>
        <v>0</v>
      </c>
      <c r="BO18" s="522">
        <f t="shared" si="48"/>
        <v>0</v>
      </c>
      <c r="BP18" s="522">
        <f t="shared" si="40"/>
        <v>0</v>
      </c>
      <c r="BQ18" s="525">
        <v>0</v>
      </c>
      <c r="BR18" s="522">
        <f>'[67]Дир_по корп'!BB44</f>
        <v>0</v>
      </c>
      <c r="BS18" s="522">
        <f>'[67]Дир_по корп'!BC44</f>
        <v>0</v>
      </c>
      <c r="BT18" s="536"/>
      <c r="BU18" s="522"/>
      <c r="BV18" s="522"/>
      <c r="BW18" s="522"/>
      <c r="BX18" s="574"/>
      <c r="BY18" s="522"/>
      <c r="BZ18" s="522"/>
      <c r="CA18" s="522"/>
      <c r="CB18" s="522">
        <f t="shared" si="56"/>
        <v>0</v>
      </c>
      <c r="CC18" s="522">
        <f t="shared" si="44"/>
        <v>0</v>
      </c>
      <c r="CD18" s="522"/>
      <c r="CE18" s="522"/>
      <c r="CF18" s="522"/>
      <c r="CG18" s="522"/>
      <c r="CH18" s="522"/>
      <c r="CI18" s="522"/>
      <c r="CJ18" s="522"/>
      <c r="CK18" s="542" t="s">
        <v>80</v>
      </c>
      <c r="CL18" s="542" t="s">
        <v>1821</v>
      </c>
      <c r="CM18" s="509"/>
      <c r="CN18" s="509"/>
      <c r="CO18" s="528"/>
      <c r="CP18" s="544"/>
      <c r="CQ18" s="544"/>
      <c r="CR18" s="544">
        <f t="shared" si="69"/>
        <v>0</v>
      </c>
      <c r="CS18" s="1705"/>
      <c r="CT18" s="1706"/>
      <c r="CU18" s="1706"/>
      <c r="CV18" s="1706"/>
      <c r="CW18" s="1707"/>
      <c r="CX18" s="528"/>
      <c r="CY18" s="528"/>
      <c r="CZ18" s="528"/>
      <c r="DA18" s="528"/>
      <c r="DB18" s="544"/>
      <c r="DC18" s="544">
        <f t="shared" si="70"/>
        <v>0</v>
      </c>
      <c r="DD18" s="535"/>
      <c r="DE18" s="535"/>
      <c r="DF18" s="522">
        <f t="shared" si="49"/>
        <v>0</v>
      </c>
      <c r="DG18" s="522">
        <f t="shared" si="49"/>
        <v>0</v>
      </c>
      <c r="DH18" s="522">
        <f t="shared" si="49"/>
        <v>0</v>
      </c>
      <c r="DI18" s="522">
        <f t="shared" si="49"/>
        <v>0</v>
      </c>
      <c r="DJ18" s="536"/>
      <c r="DK18" s="536"/>
      <c r="DL18" s="536"/>
      <c r="DM18" s="536"/>
      <c r="DN18" s="536"/>
      <c r="DO18" s="536"/>
      <c r="DP18" s="536"/>
      <c r="DQ18" s="536"/>
      <c r="DR18" s="536"/>
      <c r="DS18" s="536"/>
    </row>
    <row r="19" spans="1:123" s="534" customFormat="1" ht="57.75" customHeight="1">
      <c r="A19" s="537" t="s">
        <v>1822</v>
      </c>
      <c r="B19" s="538" t="s">
        <v>1823</v>
      </c>
      <c r="C19" s="539">
        <v>153000000</v>
      </c>
      <c r="D19" s="576"/>
      <c r="E19" s="576"/>
      <c r="F19" s="576"/>
      <c r="G19" s="577">
        <v>0</v>
      </c>
      <c r="H19" s="577">
        <v>0</v>
      </c>
      <c r="I19" s="576">
        <f t="shared" si="63"/>
        <v>0</v>
      </c>
      <c r="J19" s="576">
        <v>0</v>
      </c>
      <c r="K19" s="576">
        <v>0</v>
      </c>
      <c r="L19" s="576">
        <v>0</v>
      </c>
      <c r="M19" s="576">
        <f t="shared" si="64"/>
        <v>0</v>
      </c>
      <c r="N19" s="576"/>
      <c r="O19" s="525">
        <f t="shared" si="65"/>
        <v>0</v>
      </c>
      <c r="P19" s="522">
        <v>0</v>
      </c>
      <c r="Q19" s="576">
        <f t="shared" si="12"/>
        <v>0</v>
      </c>
      <c r="R19" s="576">
        <v>0</v>
      </c>
      <c r="S19" s="576"/>
      <c r="T19" s="576"/>
      <c r="U19" s="522">
        <f t="shared" si="66"/>
        <v>0</v>
      </c>
      <c r="V19" s="522">
        <f t="shared" si="1"/>
        <v>0</v>
      </c>
      <c r="W19" s="522">
        <v>0</v>
      </c>
      <c r="X19" s="522">
        <f t="shared" si="15"/>
        <v>0</v>
      </c>
      <c r="Y19" s="522">
        <v>0</v>
      </c>
      <c r="Z19" s="524">
        <f t="shared" si="17"/>
        <v>0</v>
      </c>
      <c r="AA19" s="522">
        <f t="shared" si="18"/>
        <v>0</v>
      </c>
      <c r="AB19" s="522">
        <v>0</v>
      </c>
      <c r="AC19" s="522">
        <f t="shared" si="20"/>
        <v>0</v>
      </c>
      <c r="AD19" s="522">
        <v>0</v>
      </c>
      <c r="AE19" s="522">
        <f t="shared" si="22"/>
        <v>0</v>
      </c>
      <c r="AF19" s="522">
        <v>0</v>
      </c>
      <c r="AG19" s="522">
        <f t="shared" si="46"/>
        <v>0</v>
      </c>
      <c r="AH19" s="522">
        <f t="shared" si="24"/>
        <v>0</v>
      </c>
      <c r="AI19" s="522">
        <v>0</v>
      </c>
      <c r="AJ19" s="522">
        <f t="shared" si="26"/>
        <v>0</v>
      </c>
      <c r="AK19" s="522">
        <v>0</v>
      </c>
      <c r="AL19" s="522">
        <f t="shared" si="71"/>
        <v>0</v>
      </c>
      <c r="AM19" s="522">
        <f t="shared" si="3"/>
        <v>0</v>
      </c>
      <c r="AN19" s="522">
        <f t="shared" si="3"/>
        <v>0</v>
      </c>
      <c r="AO19" s="522">
        <f t="shared" si="27"/>
        <v>0</v>
      </c>
      <c r="AP19" s="522">
        <v>0</v>
      </c>
      <c r="AQ19" s="578">
        <v>0</v>
      </c>
      <c r="AR19" s="578">
        <v>0</v>
      </c>
      <c r="AS19" s="578">
        <v>0</v>
      </c>
      <c r="AT19" s="578">
        <v>0</v>
      </c>
      <c r="AU19" s="578">
        <f t="shared" si="4"/>
        <v>0</v>
      </c>
      <c r="AV19" s="578">
        <f t="shared" si="4"/>
        <v>0</v>
      </c>
      <c r="AW19" s="578">
        <f t="shared" si="28"/>
        <v>0</v>
      </c>
      <c r="AX19" s="522">
        <v>0</v>
      </c>
      <c r="AY19" s="578">
        <f t="shared" si="5"/>
        <v>0</v>
      </c>
      <c r="AZ19" s="578">
        <f t="shared" si="30"/>
        <v>0</v>
      </c>
      <c r="BA19" s="522">
        <v>0</v>
      </c>
      <c r="BB19" s="578">
        <v>0</v>
      </c>
      <c r="BC19" s="576">
        <f>'[67]Дир_по фин'!AT8</f>
        <v>0</v>
      </c>
      <c r="BD19" s="576">
        <f t="shared" si="67"/>
        <v>0</v>
      </c>
      <c r="BE19" s="576">
        <f t="shared" si="33"/>
        <v>0</v>
      </c>
      <c r="BF19" s="576">
        <f t="shared" si="34"/>
        <v>0</v>
      </c>
      <c r="BG19" s="576">
        <f t="shared" si="35"/>
        <v>0</v>
      </c>
      <c r="BH19" s="578">
        <f t="shared" si="35"/>
        <v>0</v>
      </c>
      <c r="BI19" s="578">
        <v>0</v>
      </c>
      <c r="BJ19" s="578">
        <f t="shared" si="37"/>
        <v>0</v>
      </c>
      <c r="BK19" s="578">
        <f t="shared" si="38"/>
        <v>0</v>
      </c>
      <c r="BL19" s="576">
        <v>0</v>
      </c>
      <c r="BM19" s="578">
        <f>'[67]Дир_по фин'!AW8</f>
        <v>0</v>
      </c>
      <c r="BN19" s="522">
        <f t="shared" si="68"/>
        <v>0</v>
      </c>
      <c r="BO19" s="578">
        <f t="shared" si="48"/>
        <v>0</v>
      </c>
      <c r="BP19" s="578">
        <f t="shared" si="40"/>
        <v>0</v>
      </c>
      <c r="BQ19" s="576">
        <v>0</v>
      </c>
      <c r="BR19" s="578">
        <f>'[67]Дир_по фин'!BB8</f>
        <v>0</v>
      </c>
      <c r="BS19" s="578">
        <f>'[67]Дир_по фин'!BC8</f>
        <v>0</v>
      </c>
      <c r="BT19" s="536"/>
      <c r="BU19" s="578"/>
      <c r="BV19" s="578"/>
      <c r="BW19" s="578"/>
      <c r="BX19" s="574"/>
      <c r="BY19" s="578"/>
      <c r="BZ19" s="578"/>
      <c r="CA19" s="522"/>
      <c r="CB19" s="522">
        <f t="shared" si="56"/>
        <v>0</v>
      </c>
      <c r="CC19" s="522">
        <f t="shared" si="44"/>
        <v>0</v>
      </c>
      <c r="CD19" s="578"/>
      <c r="CE19" s="578"/>
      <c r="CF19" s="578"/>
      <c r="CG19" s="578"/>
      <c r="CH19" s="578"/>
      <c r="CI19" s="578"/>
      <c r="CJ19" s="578"/>
      <c r="CK19" s="542" t="s">
        <v>81</v>
      </c>
      <c r="CL19" s="542" t="s">
        <v>1810</v>
      </c>
      <c r="CM19" s="509"/>
      <c r="CN19" s="509"/>
      <c r="CO19" s="528"/>
      <c r="CP19" s="579"/>
      <c r="CQ19" s="579"/>
      <c r="CR19" s="544">
        <f t="shared" si="69"/>
        <v>0</v>
      </c>
      <c r="CS19" s="1705"/>
      <c r="CT19" s="1706"/>
      <c r="CU19" s="1706"/>
      <c r="CV19" s="1706"/>
      <c r="CW19" s="1707"/>
      <c r="CX19" s="528"/>
      <c r="CY19" s="528"/>
      <c r="CZ19" s="528"/>
      <c r="DA19" s="528"/>
      <c r="DB19" s="579"/>
      <c r="DC19" s="579">
        <f t="shared" si="70"/>
        <v>0</v>
      </c>
      <c r="DD19" s="535"/>
      <c r="DE19" s="535"/>
      <c r="DF19" s="578">
        <f t="shared" si="49"/>
        <v>0</v>
      </c>
      <c r="DG19" s="578">
        <f t="shared" si="49"/>
        <v>0</v>
      </c>
      <c r="DH19" s="522">
        <f t="shared" si="49"/>
        <v>0</v>
      </c>
      <c r="DI19" s="522">
        <f t="shared" si="49"/>
        <v>0</v>
      </c>
      <c r="DJ19" s="536"/>
      <c r="DK19" s="536"/>
      <c r="DL19" s="536"/>
      <c r="DM19" s="536"/>
      <c r="DN19" s="536"/>
      <c r="DO19" s="536"/>
      <c r="DP19" s="536"/>
      <c r="DQ19" s="536"/>
      <c r="DR19" s="536"/>
      <c r="DS19" s="536"/>
    </row>
    <row r="20" spans="1:123" s="534" customFormat="1" ht="63" customHeight="1">
      <c r="A20" s="537" t="s">
        <v>1824</v>
      </c>
      <c r="B20" s="538" t="s">
        <v>1825</v>
      </c>
      <c r="C20" s="539">
        <v>229798193.34999999</v>
      </c>
      <c r="D20" s="525"/>
      <c r="E20" s="525"/>
      <c r="F20" s="525">
        <v>69554849.859999999</v>
      </c>
      <c r="G20" s="540">
        <v>0</v>
      </c>
      <c r="H20" s="540">
        <v>0</v>
      </c>
      <c r="I20" s="525">
        <f t="shared" si="63"/>
        <v>77405950.730000004</v>
      </c>
      <c r="J20" s="525">
        <v>37905950.730000004</v>
      </c>
      <c r="K20" s="525">
        <v>39500000</v>
      </c>
      <c r="L20" s="525">
        <v>0</v>
      </c>
      <c r="M20" s="525">
        <f t="shared" si="64"/>
        <v>77405950.730000004</v>
      </c>
      <c r="N20" s="525">
        <v>55359532.960000001</v>
      </c>
      <c r="O20" s="525">
        <f t="shared" si="65"/>
        <v>35305355.380000003</v>
      </c>
      <c r="P20" s="522">
        <v>90664888.340000004</v>
      </c>
      <c r="Q20" s="525">
        <f t="shared" si="12"/>
        <v>13258937.609999999</v>
      </c>
      <c r="R20" s="525">
        <f t="shared" si="13"/>
        <v>17.129093415890665</v>
      </c>
      <c r="S20" s="525"/>
      <c r="T20" s="525"/>
      <c r="U20" s="522">
        <f t="shared" si="66"/>
        <v>156100000</v>
      </c>
      <c r="V20" s="522">
        <f t="shared" si="1"/>
        <v>156100000</v>
      </c>
      <c r="W20" s="522">
        <v>0</v>
      </c>
      <c r="X20" s="522">
        <f t="shared" si="15"/>
        <v>65435111.659999996</v>
      </c>
      <c r="Y20" s="522">
        <f t="shared" si="16"/>
        <v>72.17249462064467</v>
      </c>
      <c r="Z20" s="524">
        <f t="shared" si="17"/>
        <v>275548874.13999999</v>
      </c>
      <c r="AA20" s="522">
        <f t="shared" si="18"/>
        <v>275548874.13999999</v>
      </c>
      <c r="AB20" s="522">
        <v>0</v>
      </c>
      <c r="AC20" s="522">
        <f t="shared" si="20"/>
        <v>119448874.13999999</v>
      </c>
      <c r="AD20" s="522">
        <f t="shared" si="21"/>
        <v>76.520739359385004</v>
      </c>
      <c r="AE20" s="522">
        <f t="shared" si="22"/>
        <v>184883985.79999998</v>
      </c>
      <c r="AF20" s="522">
        <f t="shared" si="23"/>
        <v>203.92016047785933</v>
      </c>
      <c r="AG20" s="522">
        <f t="shared" si="46"/>
        <v>342816877.94999999</v>
      </c>
      <c r="AH20" s="522">
        <f t="shared" si="24"/>
        <v>186716877.94999999</v>
      </c>
      <c r="AI20" s="522">
        <f t="shared" si="25"/>
        <v>119.61363097373479</v>
      </c>
      <c r="AJ20" s="522">
        <f t="shared" si="26"/>
        <v>67268003.810000002</v>
      </c>
      <c r="AK20" s="522">
        <f>AG20/Z20*100-100</f>
        <v>24.41236750465643</v>
      </c>
      <c r="AL20" s="522">
        <f t="shared" si="71"/>
        <v>342816877.94999999</v>
      </c>
      <c r="AM20" s="522">
        <f t="shared" si="3"/>
        <v>143600000</v>
      </c>
      <c r="AN20" s="522">
        <f t="shared" si="3"/>
        <v>235148874.13999999</v>
      </c>
      <c r="AO20" s="522">
        <f t="shared" si="27"/>
        <v>91548874.139999986</v>
      </c>
      <c r="AP20" s="522">
        <f t="shared" si="47"/>
        <v>63.752697869080777</v>
      </c>
      <c r="AQ20" s="522">
        <f>128900000+8500000</f>
        <v>137400000</v>
      </c>
      <c r="AR20" s="522">
        <v>211724975.28</v>
      </c>
      <c r="AS20" s="522">
        <v>6200000</v>
      </c>
      <c r="AT20" s="522">
        <v>23423898.859999985</v>
      </c>
      <c r="AU20" s="522">
        <f t="shared" si="4"/>
        <v>12500000</v>
      </c>
      <c r="AV20" s="522">
        <f t="shared" si="4"/>
        <v>40400000</v>
      </c>
      <c r="AW20" s="522">
        <f t="shared" si="28"/>
        <v>27900000</v>
      </c>
      <c r="AX20" s="522">
        <f t="shared" si="29"/>
        <v>223.20000000000005</v>
      </c>
      <c r="AY20" s="522">
        <f t="shared" si="5"/>
        <v>107668003.81</v>
      </c>
      <c r="AZ20" s="522">
        <f t="shared" si="30"/>
        <v>-67268003.810000002</v>
      </c>
      <c r="BA20" s="522">
        <v>0</v>
      </c>
      <c r="BB20" s="522">
        <v>7100000</v>
      </c>
      <c r="BC20" s="525">
        <f>'[67]Дир_по экон'!AT9</f>
        <v>17500000</v>
      </c>
      <c r="BD20" s="525">
        <f t="shared" si="67"/>
        <v>49951880.800000012</v>
      </c>
      <c r="BE20" s="525">
        <f t="shared" si="33"/>
        <v>42851880.800000012</v>
      </c>
      <c r="BF20" s="525">
        <f t="shared" si="34"/>
        <v>32451880.800000012</v>
      </c>
      <c r="BG20" s="525">
        <f t="shared" si="35"/>
        <v>150700000</v>
      </c>
      <c r="BH20" s="522">
        <f t="shared" si="35"/>
        <v>252648874.13999999</v>
      </c>
      <c r="BI20" s="522">
        <v>285100754.94</v>
      </c>
      <c r="BJ20" s="522">
        <f t="shared" si="37"/>
        <v>134400754.94</v>
      </c>
      <c r="BK20" s="522">
        <f t="shared" si="38"/>
        <v>32451880.800000012</v>
      </c>
      <c r="BL20" s="525">
        <v>5400000</v>
      </c>
      <c r="BM20" s="522">
        <f>'[67]Дир_по экон'!AW9</f>
        <v>22900000</v>
      </c>
      <c r="BN20" s="522">
        <f t="shared" si="68"/>
        <v>57716123.00999999</v>
      </c>
      <c r="BO20" s="522">
        <f t="shared" si="48"/>
        <v>52316123.00999999</v>
      </c>
      <c r="BP20" s="522">
        <f t="shared" si="40"/>
        <v>34816123.00999999</v>
      </c>
      <c r="BQ20" s="525">
        <v>5400000</v>
      </c>
      <c r="BR20" s="522">
        <f>'[67]Дир_по экон'!BB9</f>
        <v>0</v>
      </c>
      <c r="BS20" s="522">
        <f>'[67]Дир_по экон'!BC9</f>
        <v>0</v>
      </c>
      <c r="BT20" s="536"/>
      <c r="BU20" s="522"/>
      <c r="BV20" s="522"/>
      <c r="BW20" s="522">
        <v>342816877.94999999</v>
      </c>
      <c r="BX20" s="574"/>
      <c r="BY20" s="522">
        <v>298606514.16000003</v>
      </c>
      <c r="BZ20" s="522">
        <f>31265599.12+127636.16+4619515.95</f>
        <v>36012751.230000004</v>
      </c>
      <c r="CA20" s="522">
        <f>8197612.56</f>
        <v>8197612.5599999996</v>
      </c>
      <c r="CB20" s="522">
        <f t="shared" si="56"/>
        <v>342816877.95000005</v>
      </c>
      <c r="CC20" s="522">
        <f t="shared" si="44"/>
        <v>0</v>
      </c>
      <c r="CD20" s="522"/>
      <c r="CE20" s="522"/>
      <c r="CF20" s="522"/>
      <c r="CG20" s="522"/>
      <c r="CH20" s="522"/>
      <c r="CI20" s="522"/>
      <c r="CJ20" s="522"/>
      <c r="CK20" s="542" t="s">
        <v>77</v>
      </c>
      <c r="CL20" s="542" t="s">
        <v>1800</v>
      </c>
      <c r="CM20" s="509"/>
      <c r="CN20" s="509"/>
      <c r="CO20" s="528"/>
      <c r="CP20" s="544">
        <f>U20*$CU$7/100</f>
        <v>144021052.28853872</v>
      </c>
      <c r="CQ20" s="544">
        <f>U20*$CU$8/100</f>
        <v>10578816.14699157</v>
      </c>
      <c r="CR20" s="544">
        <f>U20*$CU$9/100</f>
        <v>1500131.5644697098</v>
      </c>
      <c r="CS20" s="1688" t="s">
        <v>1826</v>
      </c>
      <c r="CT20" s="1689"/>
      <c r="CU20" s="1689"/>
      <c r="CV20" s="1689"/>
      <c r="CW20" s="1690"/>
      <c r="CX20" s="528"/>
      <c r="CY20" s="528"/>
      <c r="CZ20" s="528"/>
      <c r="DA20" s="528"/>
      <c r="DB20" s="544">
        <v>211724975.28</v>
      </c>
      <c r="DC20" s="544">
        <f t="shared" si="70"/>
        <v>74324975.280000001</v>
      </c>
      <c r="DD20" s="535"/>
      <c r="DE20" s="535"/>
      <c r="DF20" s="522">
        <f t="shared" si="49"/>
        <v>298606.51416000002</v>
      </c>
      <c r="DG20" s="522">
        <f t="shared" si="49"/>
        <v>36012.751230000002</v>
      </c>
      <c r="DH20" s="522">
        <f t="shared" si="49"/>
        <v>8197.6125599999996</v>
      </c>
      <c r="DI20" s="522">
        <f t="shared" si="49"/>
        <v>342816.87795000005</v>
      </c>
      <c r="DJ20" s="536"/>
      <c r="DK20" s="536"/>
      <c r="DL20" s="536"/>
      <c r="DM20" s="536"/>
      <c r="DN20" s="536"/>
      <c r="DO20" s="536"/>
      <c r="DP20" s="536"/>
      <c r="DQ20" s="536"/>
      <c r="DR20" s="536"/>
      <c r="DS20" s="536"/>
    </row>
    <row r="21" spans="1:123" s="534" customFormat="1" ht="60.75" customHeight="1">
      <c r="A21" s="537" t="s">
        <v>1827</v>
      </c>
      <c r="B21" s="538" t="s">
        <v>1828</v>
      </c>
      <c r="C21" s="539">
        <v>18903230.850000001</v>
      </c>
      <c r="D21" s="525"/>
      <c r="E21" s="573">
        <v>18652774.440000001</v>
      </c>
      <c r="F21" s="573">
        <v>29043606.84</v>
      </c>
      <c r="G21" s="540">
        <v>0</v>
      </c>
      <c r="H21" s="540">
        <v>0</v>
      </c>
      <c r="I21" s="522">
        <f t="shared" si="63"/>
        <v>33863036.049999997</v>
      </c>
      <c r="J21" s="525">
        <v>17140944.609999999</v>
      </c>
      <c r="K21" s="525">
        <v>8354440.7999999998</v>
      </c>
      <c r="L21" s="525">
        <v>8367650.6399999997</v>
      </c>
      <c r="M21" s="525">
        <f t="shared" si="64"/>
        <v>25495385.41</v>
      </c>
      <c r="N21" s="525">
        <v>26480441.920000002</v>
      </c>
      <c r="O21" s="525">
        <f t="shared" si="65"/>
        <v>13225086.100000001</v>
      </c>
      <c r="P21" s="522">
        <v>39705528.020000003</v>
      </c>
      <c r="Q21" s="525">
        <f t="shared" si="12"/>
        <v>5842491.9700000063</v>
      </c>
      <c r="R21" s="525">
        <f t="shared" si="13"/>
        <v>17.253302277366259</v>
      </c>
      <c r="S21" s="525"/>
      <c r="T21" s="525"/>
      <c r="U21" s="522">
        <f t="shared" si="66"/>
        <v>31903228.879999999</v>
      </c>
      <c r="V21" s="522">
        <f t="shared" si="1"/>
        <v>31903228.879999999</v>
      </c>
      <c r="W21" s="522">
        <v>0</v>
      </c>
      <c r="X21" s="522">
        <f t="shared" si="15"/>
        <v>-7802299.1400000043</v>
      </c>
      <c r="Y21" s="522">
        <f t="shared" si="16"/>
        <v>-19.650410230207555</v>
      </c>
      <c r="Z21" s="524">
        <f t="shared" si="17"/>
        <v>50692631.399999999</v>
      </c>
      <c r="AA21" s="522">
        <f t="shared" si="18"/>
        <v>50692631.399999999</v>
      </c>
      <c r="AB21" s="522">
        <v>0</v>
      </c>
      <c r="AC21" s="522">
        <f t="shared" si="20"/>
        <v>18789402.52</v>
      </c>
      <c r="AD21" s="522">
        <f t="shared" si="21"/>
        <v>58.894987058125025</v>
      </c>
      <c r="AE21" s="522">
        <f t="shared" si="22"/>
        <v>10987103.379999995</v>
      </c>
      <c r="AF21" s="522">
        <f t="shared" si="23"/>
        <v>27.671470265968253</v>
      </c>
      <c r="AG21" s="522">
        <f t="shared" si="46"/>
        <v>50606073.400000006</v>
      </c>
      <c r="AH21" s="522">
        <f t="shared" si="24"/>
        <v>18702844.520000007</v>
      </c>
      <c r="AI21" s="522">
        <f t="shared" si="25"/>
        <v>58.623672827438298</v>
      </c>
      <c r="AJ21" s="522">
        <f t="shared" si="26"/>
        <v>-86557.999999992549</v>
      </c>
      <c r="AK21" s="522">
        <f>AG21/Z21*100-100</f>
        <v>-0.17075065469967399</v>
      </c>
      <c r="AL21" s="522">
        <f t="shared" si="71"/>
        <v>50606073.400000006</v>
      </c>
      <c r="AM21" s="522">
        <f t="shared" ref="AM21:AN82" si="72">AQ21+AS21</f>
        <v>15951614.439999999</v>
      </c>
      <c r="AN21" s="522">
        <f t="shared" si="72"/>
        <v>24716812.879999999</v>
      </c>
      <c r="AO21" s="522">
        <f t="shared" si="27"/>
        <v>8765198.4399999995</v>
      </c>
      <c r="AP21" s="522">
        <f t="shared" si="47"/>
        <v>54.948660356412176</v>
      </c>
      <c r="AQ21" s="522">
        <v>7975807.2199999997</v>
      </c>
      <c r="AR21" s="522">
        <v>11187139.77</v>
      </c>
      <c r="AS21" s="522">
        <v>7975807.2199999997</v>
      </c>
      <c r="AT21" s="522">
        <v>13529673.109999999</v>
      </c>
      <c r="AU21" s="522">
        <f t="shared" si="4"/>
        <v>15951614.439999999</v>
      </c>
      <c r="AV21" s="522">
        <f t="shared" si="4"/>
        <v>25975818.52</v>
      </c>
      <c r="AW21" s="522">
        <f t="shared" si="28"/>
        <v>10024204.08</v>
      </c>
      <c r="AX21" s="522">
        <f t="shared" si="29"/>
        <v>62.841313759837846</v>
      </c>
      <c r="AY21" s="522">
        <f t="shared" si="5"/>
        <v>25889260.520000007</v>
      </c>
      <c r="AZ21" s="522">
        <f t="shared" si="30"/>
        <v>86557.999999992549</v>
      </c>
      <c r="BA21" s="522">
        <f t="shared" si="31"/>
        <v>0.33433940661660699</v>
      </c>
      <c r="BB21" s="522">
        <v>7975807.2199999997</v>
      </c>
      <c r="BC21" s="525">
        <f>'[67]Дир_ имущ'!AT9</f>
        <v>12987909.26</v>
      </c>
      <c r="BD21" s="525">
        <f t="shared" si="67"/>
        <v>12256984.860000003</v>
      </c>
      <c r="BE21" s="525">
        <f t="shared" si="33"/>
        <v>4281177.6400000034</v>
      </c>
      <c r="BF21" s="525">
        <f t="shared" si="34"/>
        <v>-730924.39999999665</v>
      </c>
      <c r="BG21" s="525">
        <f t="shared" si="35"/>
        <v>23927421.66</v>
      </c>
      <c r="BH21" s="522">
        <f t="shared" si="35"/>
        <v>37704722.140000001</v>
      </c>
      <c r="BI21" s="522">
        <v>36973797.740000002</v>
      </c>
      <c r="BJ21" s="522">
        <f t="shared" si="37"/>
        <v>13046376.080000002</v>
      </c>
      <c r="BK21" s="522">
        <f t="shared" si="38"/>
        <v>-730924.39999999851</v>
      </c>
      <c r="BL21" s="525">
        <v>7975807.2199999997</v>
      </c>
      <c r="BM21" s="522">
        <f>'[67]Дир_ имущ'!AW9</f>
        <v>12987909.26</v>
      </c>
      <c r="BN21" s="522">
        <f t="shared" si="68"/>
        <v>13632275.660000004</v>
      </c>
      <c r="BO21" s="522">
        <f t="shared" si="48"/>
        <v>5656468.4400000041</v>
      </c>
      <c r="BP21" s="522">
        <f t="shared" si="40"/>
        <v>644366.4000000041</v>
      </c>
      <c r="BQ21" s="525">
        <v>7975807.2199999997</v>
      </c>
      <c r="BR21" s="522">
        <f>'[67]Дир_ имущ'!BB9</f>
        <v>0</v>
      </c>
      <c r="BS21" s="522">
        <f>'[67]Дир_ имущ'!BC9</f>
        <v>0</v>
      </c>
      <c r="BT21" s="536"/>
      <c r="BU21" s="522"/>
      <c r="BV21" s="522"/>
      <c r="BW21" s="522">
        <f>59715166.95-9109093.55</f>
        <v>50606073.400000006</v>
      </c>
      <c r="BX21" s="574"/>
      <c r="BY21" s="522"/>
      <c r="BZ21" s="522"/>
      <c r="CA21" s="522">
        <f>BW21</f>
        <v>50606073.400000006</v>
      </c>
      <c r="CB21" s="522">
        <f t="shared" si="56"/>
        <v>50606073.400000006</v>
      </c>
      <c r="CC21" s="522">
        <f t="shared" si="44"/>
        <v>0</v>
      </c>
      <c r="CD21" s="522"/>
      <c r="CE21" s="522"/>
      <c r="CF21" s="522"/>
      <c r="CG21" s="522"/>
      <c r="CH21" s="522"/>
      <c r="CI21" s="522"/>
      <c r="CJ21" s="522"/>
      <c r="CK21" s="542" t="s">
        <v>1815</v>
      </c>
      <c r="CL21" s="542" t="s">
        <v>1816</v>
      </c>
      <c r="CM21" s="509"/>
      <c r="CN21" s="509"/>
      <c r="CO21" s="528"/>
      <c r="CP21" s="544"/>
      <c r="CQ21" s="544"/>
      <c r="CR21" s="544">
        <f>U21</f>
        <v>31903228.879999999</v>
      </c>
      <c r="CS21" s="1705"/>
      <c r="CT21" s="1706"/>
      <c r="CU21" s="1706"/>
      <c r="CV21" s="1706"/>
      <c r="CW21" s="1707"/>
      <c r="CX21" s="528"/>
      <c r="CY21" s="528"/>
      <c r="CZ21" s="528"/>
      <c r="DA21" s="528"/>
      <c r="DB21" s="544">
        <v>11187139.77</v>
      </c>
      <c r="DC21" s="544">
        <f t="shared" si="70"/>
        <v>3211332.55</v>
      </c>
      <c r="DD21" s="535"/>
      <c r="DE21" s="535"/>
      <c r="DF21" s="522">
        <f t="shared" si="49"/>
        <v>0</v>
      </c>
      <c r="DG21" s="522">
        <f t="shared" si="49"/>
        <v>0</v>
      </c>
      <c r="DH21" s="522">
        <f t="shared" si="49"/>
        <v>50606.073400000008</v>
      </c>
      <c r="DI21" s="522">
        <f t="shared" si="49"/>
        <v>50606.073400000008</v>
      </c>
      <c r="DJ21" s="536"/>
      <c r="DK21" s="536"/>
      <c r="DL21" s="536"/>
      <c r="DM21" s="536"/>
      <c r="DN21" s="536"/>
      <c r="DO21" s="536"/>
      <c r="DP21" s="536"/>
      <c r="DQ21" s="536"/>
      <c r="DR21" s="536"/>
      <c r="DS21" s="536"/>
    </row>
    <row r="22" spans="1:123" s="534" customFormat="1" ht="96.75" customHeight="1">
      <c r="A22" s="537" t="s">
        <v>1829</v>
      </c>
      <c r="B22" s="538" t="s">
        <v>1830</v>
      </c>
      <c r="C22" s="539">
        <v>5238837.4800000004</v>
      </c>
      <c r="D22" s="525"/>
      <c r="E22" s="573"/>
      <c r="F22" s="573">
        <v>6105052.71</v>
      </c>
      <c r="G22" s="540">
        <v>0</v>
      </c>
      <c r="H22" s="540">
        <v>0</v>
      </c>
      <c r="I22" s="522">
        <f t="shared" si="63"/>
        <v>181320975.18000001</v>
      </c>
      <c r="J22" s="525">
        <v>181320975.18000001</v>
      </c>
      <c r="K22" s="525">
        <v>0</v>
      </c>
      <c r="L22" s="525">
        <v>0</v>
      </c>
      <c r="M22" s="525">
        <f t="shared" si="64"/>
        <v>181320975.18000001</v>
      </c>
      <c r="N22" s="525">
        <v>186166812.68000001</v>
      </c>
      <c r="O22" s="525">
        <f t="shared" si="65"/>
        <v>303622470.56</v>
      </c>
      <c r="P22" s="522">
        <v>489789283.24000001</v>
      </c>
      <c r="Q22" s="525">
        <f t="shared" si="12"/>
        <v>308468308.06</v>
      </c>
      <c r="R22" s="525">
        <f t="shared" si="13"/>
        <v>170.12279343511085</v>
      </c>
      <c r="S22" s="525"/>
      <c r="T22" s="525"/>
      <c r="U22" s="522">
        <f t="shared" si="66"/>
        <v>0</v>
      </c>
      <c r="V22" s="522">
        <f t="shared" si="1"/>
        <v>0</v>
      </c>
      <c r="W22" s="522">
        <v>0</v>
      </c>
      <c r="X22" s="522">
        <f t="shared" si="15"/>
        <v>-489789283.24000001</v>
      </c>
      <c r="Y22" s="522">
        <f t="shared" si="16"/>
        <v>-100</v>
      </c>
      <c r="Z22" s="524">
        <f t="shared" si="17"/>
        <v>26975247.050000001</v>
      </c>
      <c r="AA22" s="522">
        <f t="shared" si="18"/>
        <v>26975247.050000001</v>
      </c>
      <c r="AB22" s="522">
        <v>0</v>
      </c>
      <c r="AC22" s="522">
        <f t="shared" si="20"/>
        <v>26975247.050000001</v>
      </c>
      <c r="AD22" s="522">
        <v>0</v>
      </c>
      <c r="AE22" s="522">
        <f t="shared" si="22"/>
        <v>-462814036.19</v>
      </c>
      <c r="AF22" s="522">
        <f t="shared" si="23"/>
        <v>-94.492479118457567</v>
      </c>
      <c r="AG22" s="522">
        <f t="shared" si="46"/>
        <v>69460505.810000002</v>
      </c>
      <c r="AH22" s="522">
        <f t="shared" si="24"/>
        <v>69460505.810000002</v>
      </c>
      <c r="AI22" s="522">
        <v>0</v>
      </c>
      <c r="AJ22" s="522">
        <f t="shared" si="26"/>
        <v>42485258.760000005</v>
      </c>
      <c r="AK22" s="522">
        <f>AG22/Z22*100-100</f>
        <v>157.49719986345781</v>
      </c>
      <c r="AL22" s="522">
        <f t="shared" si="71"/>
        <v>69460505.810000002</v>
      </c>
      <c r="AM22" s="522">
        <f t="shared" si="72"/>
        <v>0</v>
      </c>
      <c r="AN22" s="522">
        <f t="shared" si="72"/>
        <v>26975247.050000001</v>
      </c>
      <c r="AO22" s="522">
        <f t="shared" si="27"/>
        <v>26975247.050000001</v>
      </c>
      <c r="AP22" s="522">
        <v>0</v>
      </c>
      <c r="AQ22" s="522">
        <v>0</v>
      </c>
      <c r="AR22" s="522">
        <v>2676156.94</v>
      </c>
      <c r="AS22" s="522">
        <v>0</v>
      </c>
      <c r="AT22" s="522">
        <v>24299090.109999999</v>
      </c>
      <c r="AU22" s="522">
        <f t="shared" si="4"/>
        <v>0</v>
      </c>
      <c r="AV22" s="522">
        <f t="shared" si="4"/>
        <v>0</v>
      </c>
      <c r="AW22" s="522">
        <f t="shared" si="28"/>
        <v>0</v>
      </c>
      <c r="AX22" s="522">
        <v>0</v>
      </c>
      <c r="AY22" s="522">
        <f t="shared" si="5"/>
        <v>42485258.760000005</v>
      </c>
      <c r="AZ22" s="522">
        <f t="shared" si="30"/>
        <v>-42485258.760000005</v>
      </c>
      <c r="BA22" s="522">
        <v>0</v>
      </c>
      <c r="BB22" s="522">
        <v>0</v>
      </c>
      <c r="BC22" s="525">
        <f>'[67]Дир_по экон'!AT10</f>
        <v>0</v>
      </c>
      <c r="BD22" s="525">
        <f t="shared" si="67"/>
        <v>5593920.1399999969</v>
      </c>
      <c r="BE22" s="525">
        <f t="shared" si="33"/>
        <v>5593920.1399999969</v>
      </c>
      <c r="BF22" s="525">
        <f t="shared" si="34"/>
        <v>5593920.1399999969</v>
      </c>
      <c r="BG22" s="525">
        <f t="shared" si="35"/>
        <v>0</v>
      </c>
      <c r="BH22" s="522">
        <f t="shared" si="35"/>
        <v>26975247.050000001</v>
      </c>
      <c r="BI22" s="522">
        <f>32568062.22+1104.97</f>
        <v>32569167.189999998</v>
      </c>
      <c r="BJ22" s="522">
        <f t="shared" si="37"/>
        <v>32569167.189999998</v>
      </c>
      <c r="BK22" s="522">
        <f t="shared" si="38"/>
        <v>5593920.1399999969</v>
      </c>
      <c r="BL22" s="525">
        <v>0</v>
      </c>
      <c r="BM22" s="522">
        <f>'[67]Дир_по экон'!AW10</f>
        <v>0</v>
      </c>
      <c r="BN22" s="522">
        <f t="shared" si="68"/>
        <v>36891338.620000005</v>
      </c>
      <c r="BO22" s="522">
        <f t="shared" si="48"/>
        <v>36891338.620000005</v>
      </c>
      <c r="BP22" s="522">
        <f t="shared" si="40"/>
        <v>36891338.620000005</v>
      </c>
      <c r="BQ22" s="525">
        <v>0</v>
      </c>
      <c r="BR22" s="522">
        <f>'[67]Дир_по экон'!BB10</f>
        <v>0</v>
      </c>
      <c r="BS22" s="522">
        <f>'[67]Дир_по экон'!BC10</f>
        <v>0</v>
      </c>
      <c r="BT22" s="536"/>
      <c r="BU22" s="522"/>
      <c r="BV22" s="522"/>
      <c r="BW22" s="522">
        <f>14326040.11-457585.18+6335990.13-26936.74+55560840.37-6277842.88</f>
        <v>69460505.810000002</v>
      </c>
      <c r="BX22" s="574"/>
      <c r="BY22" s="522">
        <f>11326315.05+6280134.39+22983996.65</f>
        <v>40590446.090000004</v>
      </c>
      <c r="BZ22" s="522">
        <f>1888.94+2542139.88+26290271.01</f>
        <v>28834299.830000002</v>
      </c>
      <c r="CA22" s="522">
        <f>28919+6840.89</f>
        <v>35759.89</v>
      </c>
      <c r="CB22" s="522">
        <f t="shared" si="56"/>
        <v>69460505.810000002</v>
      </c>
      <c r="CC22" s="522">
        <f t="shared" si="44"/>
        <v>0</v>
      </c>
      <c r="CD22" s="522"/>
      <c r="CE22" s="522"/>
      <c r="CF22" s="522"/>
      <c r="CG22" s="522"/>
      <c r="CH22" s="522"/>
      <c r="CI22" s="522"/>
      <c r="CJ22" s="522"/>
      <c r="CK22" s="542" t="s">
        <v>77</v>
      </c>
      <c r="CL22" s="542" t="s">
        <v>1800</v>
      </c>
      <c r="CM22" s="509"/>
      <c r="CN22" s="509"/>
      <c r="CO22" s="528"/>
      <c r="CP22" s="544">
        <f>U22*'[68]на  27.02.2015'!$L$26</f>
        <v>0</v>
      </c>
      <c r="CQ22" s="544">
        <f>U22*'[68]на  27.02.2015'!$L$25</f>
        <v>0</v>
      </c>
      <c r="CR22" s="544">
        <f>U22*'[68]на  27.02.2015'!$L$27</f>
        <v>0</v>
      </c>
      <c r="CS22" s="1705"/>
      <c r="CT22" s="1706"/>
      <c r="CU22" s="1706"/>
      <c r="CV22" s="1706"/>
      <c r="CW22" s="1707"/>
      <c r="CX22" s="528"/>
      <c r="CY22" s="528"/>
      <c r="CZ22" s="528"/>
      <c r="DA22" s="528"/>
      <c r="DB22" s="544">
        <f>1759.86+2673292.11+1104.97</f>
        <v>2676156.94</v>
      </c>
      <c r="DC22" s="544">
        <f t="shared" si="70"/>
        <v>2676156.94</v>
      </c>
      <c r="DD22" s="535"/>
      <c r="DE22" s="535"/>
      <c r="DF22" s="522">
        <f t="shared" si="49"/>
        <v>40590.446090000005</v>
      </c>
      <c r="DG22" s="522">
        <f t="shared" si="49"/>
        <v>28834.299830000004</v>
      </c>
      <c r="DH22" s="522">
        <f t="shared" si="49"/>
        <v>35.759889999999999</v>
      </c>
      <c r="DI22" s="522">
        <f t="shared" si="49"/>
        <v>69460.505810000002</v>
      </c>
      <c r="DJ22" s="536"/>
      <c r="DK22" s="536"/>
      <c r="DL22" s="536"/>
      <c r="DM22" s="536"/>
      <c r="DN22" s="536"/>
      <c r="DO22" s="536"/>
      <c r="DP22" s="536"/>
      <c r="DQ22" s="536"/>
      <c r="DR22" s="536"/>
      <c r="DS22" s="536"/>
    </row>
    <row r="23" spans="1:123" s="534" customFormat="1" ht="86.25" customHeight="1">
      <c r="A23" s="537" t="s">
        <v>1831</v>
      </c>
      <c r="B23" s="538" t="s">
        <v>1832</v>
      </c>
      <c r="C23" s="539">
        <v>78952959</v>
      </c>
      <c r="D23" s="525"/>
      <c r="E23" s="573">
        <v>70100000</v>
      </c>
      <c r="F23" s="573">
        <v>47748978.240000002</v>
      </c>
      <c r="G23" s="540">
        <v>0</v>
      </c>
      <c r="H23" s="540">
        <v>0</v>
      </c>
      <c r="I23" s="522">
        <f t="shared" si="63"/>
        <v>127500611.09999999</v>
      </c>
      <c r="J23" s="525">
        <v>61500611.100000001</v>
      </c>
      <c r="K23" s="525">
        <v>33000000</v>
      </c>
      <c r="L23" s="525">
        <v>33000000</v>
      </c>
      <c r="M23" s="525">
        <f t="shared" si="64"/>
        <v>94500611.099999994</v>
      </c>
      <c r="N23" s="525">
        <v>97391958.909999996</v>
      </c>
      <c r="O23" s="525">
        <f t="shared" si="65"/>
        <v>136918068.64000002</v>
      </c>
      <c r="P23" s="522">
        <v>234310027.55000001</v>
      </c>
      <c r="Q23" s="525">
        <f t="shared" si="12"/>
        <v>106809416.45000002</v>
      </c>
      <c r="R23" s="525">
        <f t="shared" si="13"/>
        <v>83.771689820551785</v>
      </c>
      <c r="S23" s="525"/>
      <c r="T23" s="525"/>
      <c r="U23" s="522">
        <f t="shared" si="66"/>
        <v>111911556.84</v>
      </c>
      <c r="V23" s="522">
        <f t="shared" si="1"/>
        <v>111911556.84</v>
      </c>
      <c r="W23" s="522">
        <v>0</v>
      </c>
      <c r="X23" s="522">
        <f t="shared" si="15"/>
        <v>-122398470.71000001</v>
      </c>
      <c r="Y23" s="522">
        <f t="shared" si="16"/>
        <v>-52.237828653697328</v>
      </c>
      <c r="Z23" s="524">
        <f t="shared" si="17"/>
        <v>139331830.38</v>
      </c>
      <c r="AA23" s="522">
        <f t="shared" si="18"/>
        <v>139331830.38</v>
      </c>
      <c r="AB23" s="522">
        <v>0</v>
      </c>
      <c r="AC23" s="522">
        <f t="shared" si="20"/>
        <v>27420273.539999992</v>
      </c>
      <c r="AD23" s="522">
        <f t="shared" si="21"/>
        <v>24.501735400931608</v>
      </c>
      <c r="AE23" s="522">
        <f t="shared" si="22"/>
        <v>-94978197.170000017</v>
      </c>
      <c r="AF23" s="522">
        <f t="shared" si="23"/>
        <v>-40.535267808686669</v>
      </c>
      <c r="AG23" s="522">
        <f t="shared" si="46"/>
        <v>343868565.32000005</v>
      </c>
      <c r="AH23" s="522">
        <f t="shared" si="24"/>
        <v>231957008.48000005</v>
      </c>
      <c r="AI23" s="522">
        <f t="shared" si="25"/>
        <v>207.26814551568526</v>
      </c>
      <c r="AJ23" s="522">
        <f t="shared" si="26"/>
        <v>204536734.94000006</v>
      </c>
      <c r="AK23" s="522">
        <f>AG23/Z23*100-100</f>
        <v>146.79828319355784</v>
      </c>
      <c r="AL23" s="522">
        <f t="shared" si="71"/>
        <v>343868565.32000005</v>
      </c>
      <c r="AM23" s="522">
        <f t="shared" si="72"/>
        <v>60955778.420000002</v>
      </c>
      <c r="AN23" s="522">
        <f t="shared" si="72"/>
        <v>83376051.959999993</v>
      </c>
      <c r="AO23" s="522">
        <f t="shared" si="27"/>
        <v>22420273.539999992</v>
      </c>
      <c r="AP23" s="522">
        <f t="shared" si="47"/>
        <v>36.781211102775046</v>
      </c>
      <c r="AQ23" s="522">
        <v>34227889.210000001</v>
      </c>
      <c r="AR23" s="522">
        <v>43929617.840000004</v>
      </c>
      <c r="AS23" s="522">
        <f>34227889.21-7500000</f>
        <v>26727889.210000001</v>
      </c>
      <c r="AT23" s="522">
        <v>39446434.11999999</v>
      </c>
      <c r="AU23" s="522">
        <f t="shared" si="4"/>
        <v>50955778.420000002</v>
      </c>
      <c r="AV23" s="522">
        <f t="shared" si="4"/>
        <v>55955778.420000002</v>
      </c>
      <c r="AW23" s="522">
        <f t="shared" si="28"/>
        <v>5000000</v>
      </c>
      <c r="AX23" s="522">
        <f t="shared" si="29"/>
        <v>9.81242982648169</v>
      </c>
      <c r="AY23" s="522">
        <f t="shared" si="5"/>
        <v>260492513.36000004</v>
      </c>
      <c r="AZ23" s="522">
        <f t="shared" si="30"/>
        <v>-204536734.94000006</v>
      </c>
      <c r="BA23" s="522">
        <f t="shared" si="31"/>
        <v>-78.519237386807646</v>
      </c>
      <c r="BB23" s="522">
        <f>34227889.21-7500000</f>
        <v>26727889.210000001</v>
      </c>
      <c r="BC23" s="525">
        <f>'[67]Дир_ по реал.услуг'!AT21</f>
        <v>29227889.210000001</v>
      </c>
      <c r="BD23" s="525">
        <f t="shared" si="67"/>
        <v>144860392.97999996</v>
      </c>
      <c r="BE23" s="525">
        <f t="shared" si="33"/>
        <v>118132503.76999995</v>
      </c>
      <c r="BF23" s="525">
        <f t="shared" si="34"/>
        <v>115632503.76999995</v>
      </c>
      <c r="BG23" s="525">
        <f t="shared" si="35"/>
        <v>87683667.629999995</v>
      </c>
      <c r="BH23" s="522">
        <f t="shared" si="35"/>
        <v>112603941.16999999</v>
      </c>
      <c r="BI23" s="522">
        <v>228236444.93999997</v>
      </c>
      <c r="BJ23" s="522">
        <f t="shared" si="37"/>
        <v>140552777.30999997</v>
      </c>
      <c r="BK23" s="522">
        <f t="shared" si="38"/>
        <v>115632503.76999998</v>
      </c>
      <c r="BL23" s="525">
        <f>34227889.21-10000000</f>
        <v>24227889.210000001</v>
      </c>
      <c r="BM23" s="522">
        <f>'[67]Дир_ по реал.услуг'!AW21</f>
        <v>26727889.210000001</v>
      </c>
      <c r="BN23" s="522">
        <f t="shared" si="68"/>
        <v>115632120.38000008</v>
      </c>
      <c r="BO23" s="522">
        <f t="shared" si="48"/>
        <v>91404231.170000076</v>
      </c>
      <c r="BP23" s="522">
        <f t="shared" si="40"/>
        <v>88904231.170000076</v>
      </c>
      <c r="BQ23" s="525">
        <f>34227889.21-10000000</f>
        <v>24227889.210000001</v>
      </c>
      <c r="BR23" s="522">
        <f>'[67]Дир_ по реал.услуг'!BB21</f>
        <v>0</v>
      </c>
      <c r="BS23" s="522">
        <f>'[67]Дир_ по реал.услуг'!BC21</f>
        <v>0</v>
      </c>
      <c r="BT23" s="536"/>
      <c r="BU23" s="522"/>
      <c r="BV23" s="522"/>
      <c r="BW23" s="522">
        <f>405764907.22-61896341.9</f>
        <v>343868565.32000005</v>
      </c>
      <c r="BX23" s="574"/>
      <c r="BY23" s="522">
        <f>BW23</f>
        <v>343868565.32000005</v>
      </c>
      <c r="BZ23" s="522"/>
      <c r="CA23" s="522"/>
      <c r="CB23" s="522">
        <f t="shared" si="56"/>
        <v>343868565.32000005</v>
      </c>
      <c r="CC23" s="522">
        <f t="shared" si="44"/>
        <v>0</v>
      </c>
      <c r="CD23" s="522"/>
      <c r="CE23" s="522"/>
      <c r="CF23" s="522"/>
      <c r="CG23" s="522"/>
      <c r="CH23" s="522"/>
      <c r="CI23" s="522"/>
      <c r="CJ23" s="522"/>
      <c r="CK23" s="542" t="s">
        <v>78</v>
      </c>
      <c r="CL23" s="542" t="s">
        <v>1833</v>
      </c>
      <c r="CM23" s="509"/>
      <c r="CN23" s="509"/>
      <c r="CO23" s="528"/>
      <c r="CP23" s="544">
        <f>U23</f>
        <v>111911556.84</v>
      </c>
      <c r="CQ23" s="544"/>
      <c r="CR23" s="544"/>
      <c r="CS23" s="1705"/>
      <c r="CT23" s="1706"/>
      <c r="CU23" s="1706"/>
      <c r="CV23" s="1706"/>
      <c r="CW23" s="1707"/>
      <c r="CX23" s="528"/>
      <c r="CY23" s="528"/>
      <c r="CZ23" s="528"/>
      <c r="DA23" s="528"/>
      <c r="DB23" s="544">
        <v>43929617.840000004</v>
      </c>
      <c r="DC23" s="544">
        <f t="shared" si="70"/>
        <v>9701728.6300000027</v>
      </c>
      <c r="DD23" s="535"/>
      <c r="DE23" s="535"/>
      <c r="DF23" s="522">
        <f t="shared" si="49"/>
        <v>343868.56532000005</v>
      </c>
      <c r="DG23" s="522">
        <f t="shared" si="49"/>
        <v>0</v>
      </c>
      <c r="DH23" s="522">
        <f t="shared" si="49"/>
        <v>0</v>
      </c>
      <c r="DI23" s="522">
        <f t="shared" si="49"/>
        <v>343868.56532000005</v>
      </c>
      <c r="DJ23" s="536"/>
      <c r="DK23" s="536"/>
      <c r="DL23" s="536"/>
      <c r="DM23" s="536"/>
      <c r="DN23" s="536"/>
      <c r="DO23" s="536"/>
      <c r="DP23" s="536"/>
      <c r="DQ23" s="536"/>
      <c r="DR23" s="536"/>
      <c r="DS23" s="536"/>
    </row>
    <row r="24" spans="1:123" s="534" customFormat="1" ht="83.25" customHeight="1">
      <c r="A24" s="537" t="s">
        <v>1834</v>
      </c>
      <c r="B24" s="538" t="s">
        <v>1835</v>
      </c>
      <c r="C24" s="539"/>
      <c r="D24" s="525"/>
      <c r="E24" s="525"/>
      <c r="F24" s="525">
        <v>79190150</v>
      </c>
      <c r="G24" s="540">
        <v>0</v>
      </c>
      <c r="H24" s="540">
        <v>0</v>
      </c>
      <c r="I24" s="525">
        <f t="shared" si="63"/>
        <v>0</v>
      </c>
      <c r="J24" s="525">
        <v>0</v>
      </c>
      <c r="K24" s="525">
        <v>0</v>
      </c>
      <c r="L24" s="525">
        <v>0</v>
      </c>
      <c r="M24" s="525">
        <f t="shared" si="64"/>
        <v>0</v>
      </c>
      <c r="N24" s="525"/>
      <c r="O24" s="525">
        <f t="shared" si="65"/>
        <v>0</v>
      </c>
      <c r="P24" s="522"/>
      <c r="Q24" s="525">
        <f t="shared" si="12"/>
        <v>0</v>
      </c>
      <c r="R24" s="525">
        <v>0</v>
      </c>
      <c r="S24" s="525"/>
      <c r="T24" s="525"/>
      <c r="U24" s="522">
        <f t="shared" si="66"/>
        <v>0</v>
      </c>
      <c r="V24" s="522">
        <f t="shared" si="1"/>
        <v>0</v>
      </c>
      <c r="W24" s="522">
        <v>0</v>
      </c>
      <c r="X24" s="522">
        <f t="shared" si="15"/>
        <v>0</v>
      </c>
      <c r="Y24" s="522">
        <v>0</v>
      </c>
      <c r="Z24" s="524">
        <f t="shared" si="17"/>
        <v>0</v>
      </c>
      <c r="AA24" s="522">
        <f t="shared" si="18"/>
        <v>0</v>
      </c>
      <c r="AB24" s="522">
        <v>0</v>
      </c>
      <c r="AC24" s="522">
        <f t="shared" si="20"/>
        <v>0</v>
      </c>
      <c r="AD24" s="522">
        <v>0</v>
      </c>
      <c r="AE24" s="522">
        <f t="shared" si="22"/>
        <v>0</v>
      </c>
      <c r="AF24" s="522">
        <v>0</v>
      </c>
      <c r="AG24" s="522">
        <f t="shared" si="46"/>
        <v>0</v>
      </c>
      <c r="AH24" s="522">
        <f t="shared" si="24"/>
        <v>0</v>
      </c>
      <c r="AI24" s="522">
        <v>0</v>
      </c>
      <c r="AJ24" s="522">
        <f t="shared" si="26"/>
        <v>0</v>
      </c>
      <c r="AK24" s="522">
        <v>0</v>
      </c>
      <c r="AL24" s="522">
        <f t="shared" si="71"/>
        <v>0</v>
      </c>
      <c r="AM24" s="522">
        <f t="shared" si="72"/>
        <v>0</v>
      </c>
      <c r="AN24" s="522">
        <f t="shared" si="72"/>
        <v>0</v>
      </c>
      <c r="AO24" s="522">
        <f t="shared" si="27"/>
        <v>0</v>
      </c>
      <c r="AP24" s="522">
        <v>0</v>
      </c>
      <c r="AQ24" s="522">
        <v>0</v>
      </c>
      <c r="AR24" s="522">
        <v>0</v>
      </c>
      <c r="AS24" s="522">
        <v>0</v>
      </c>
      <c r="AT24" s="522">
        <v>0</v>
      </c>
      <c r="AU24" s="522">
        <f t="shared" si="4"/>
        <v>0</v>
      </c>
      <c r="AV24" s="522">
        <f t="shared" si="4"/>
        <v>0</v>
      </c>
      <c r="AW24" s="522">
        <f t="shared" si="28"/>
        <v>0</v>
      </c>
      <c r="AX24" s="522">
        <v>0</v>
      </c>
      <c r="AY24" s="522">
        <f t="shared" si="5"/>
        <v>0</v>
      </c>
      <c r="AZ24" s="522">
        <f t="shared" si="30"/>
        <v>0</v>
      </c>
      <c r="BA24" s="522">
        <v>0</v>
      </c>
      <c r="BB24" s="522">
        <v>0</v>
      </c>
      <c r="BC24" s="525">
        <f>'[67]Дир_по экон'!AT11</f>
        <v>0</v>
      </c>
      <c r="BD24" s="525">
        <f t="shared" si="67"/>
        <v>0</v>
      </c>
      <c r="BE24" s="525">
        <f t="shared" si="33"/>
        <v>0</v>
      </c>
      <c r="BF24" s="525">
        <f t="shared" si="34"/>
        <v>0</v>
      </c>
      <c r="BG24" s="525">
        <f t="shared" si="35"/>
        <v>0</v>
      </c>
      <c r="BH24" s="522">
        <f t="shared" si="35"/>
        <v>0</v>
      </c>
      <c r="BI24" s="522">
        <v>0</v>
      </c>
      <c r="BJ24" s="522">
        <f t="shared" si="37"/>
        <v>0</v>
      </c>
      <c r="BK24" s="522">
        <f t="shared" si="38"/>
        <v>0</v>
      </c>
      <c r="BL24" s="525">
        <v>0</v>
      </c>
      <c r="BM24" s="522">
        <f>'[67]Дир_по экон'!AW11</f>
        <v>0</v>
      </c>
      <c r="BN24" s="522">
        <f t="shared" si="68"/>
        <v>0</v>
      </c>
      <c r="BO24" s="522">
        <f t="shared" si="48"/>
        <v>0</v>
      </c>
      <c r="BP24" s="522">
        <f t="shared" si="40"/>
        <v>0</v>
      </c>
      <c r="BQ24" s="525">
        <v>0</v>
      </c>
      <c r="BR24" s="522">
        <f>'[67]Дир_по экон'!BB11</f>
        <v>0</v>
      </c>
      <c r="BS24" s="522">
        <f>'[67]Дир_по экон'!BC11</f>
        <v>0</v>
      </c>
      <c r="BT24" s="536"/>
      <c r="BU24" s="522"/>
      <c r="BV24" s="522"/>
      <c r="BW24" s="522"/>
      <c r="BX24" s="574"/>
      <c r="BY24" s="522"/>
      <c r="BZ24" s="522"/>
      <c r="CA24" s="522"/>
      <c r="CB24" s="522">
        <f t="shared" si="56"/>
        <v>0</v>
      </c>
      <c r="CC24" s="522">
        <f t="shared" si="44"/>
        <v>0</v>
      </c>
      <c r="CD24" s="522"/>
      <c r="CE24" s="522"/>
      <c r="CF24" s="522"/>
      <c r="CG24" s="522"/>
      <c r="CH24" s="522"/>
      <c r="CI24" s="522"/>
      <c r="CJ24" s="522"/>
      <c r="CK24" s="542" t="s">
        <v>77</v>
      </c>
      <c r="CL24" s="542" t="s">
        <v>1800</v>
      </c>
      <c r="CM24" s="509"/>
      <c r="CN24" s="509"/>
      <c r="CO24" s="528"/>
      <c r="CP24" s="544"/>
      <c r="CQ24" s="544"/>
      <c r="CR24" s="544">
        <f>U24</f>
        <v>0</v>
      </c>
      <c r="CS24" s="1705"/>
      <c r="CT24" s="1706"/>
      <c r="CU24" s="1706"/>
      <c r="CV24" s="1706"/>
      <c r="CW24" s="1707"/>
      <c r="CX24" s="528"/>
      <c r="CY24" s="528"/>
      <c r="CZ24" s="528"/>
      <c r="DA24" s="528"/>
      <c r="DB24" s="544"/>
      <c r="DC24" s="544">
        <f t="shared" si="70"/>
        <v>0</v>
      </c>
      <c r="DD24" s="535"/>
      <c r="DE24" s="535"/>
      <c r="DF24" s="522">
        <f t="shared" si="49"/>
        <v>0</v>
      </c>
      <c r="DG24" s="522">
        <f t="shared" si="49"/>
        <v>0</v>
      </c>
      <c r="DH24" s="522">
        <f t="shared" si="49"/>
        <v>0</v>
      </c>
      <c r="DI24" s="522">
        <f t="shared" si="49"/>
        <v>0</v>
      </c>
      <c r="DJ24" s="536"/>
      <c r="DK24" s="536"/>
      <c r="DL24" s="536"/>
      <c r="DM24" s="536"/>
      <c r="DN24" s="536"/>
      <c r="DO24" s="536"/>
      <c r="DP24" s="536"/>
      <c r="DQ24" s="536"/>
      <c r="DR24" s="536"/>
      <c r="DS24" s="536"/>
    </row>
    <row r="25" spans="1:123" s="534" customFormat="1" ht="72.75" customHeight="1">
      <c r="A25" s="537" t="s">
        <v>1836</v>
      </c>
      <c r="B25" s="538" t="s">
        <v>1676</v>
      </c>
      <c r="C25" s="539">
        <v>54000</v>
      </c>
      <c r="D25" s="525"/>
      <c r="E25" s="525">
        <v>0</v>
      </c>
      <c r="F25" s="525">
        <v>26838.55</v>
      </c>
      <c r="G25" s="540">
        <v>0</v>
      </c>
      <c r="H25" s="540">
        <v>0</v>
      </c>
      <c r="I25" s="525">
        <f t="shared" si="63"/>
        <v>0</v>
      </c>
      <c r="J25" s="525">
        <v>0</v>
      </c>
      <c r="K25" s="525">
        <v>0</v>
      </c>
      <c r="L25" s="525">
        <v>0</v>
      </c>
      <c r="M25" s="525">
        <f t="shared" si="64"/>
        <v>0</v>
      </c>
      <c r="N25" s="525">
        <v>48431.34</v>
      </c>
      <c r="O25" s="525">
        <f t="shared" si="65"/>
        <v>0</v>
      </c>
      <c r="P25" s="522">
        <v>48431.34</v>
      </c>
      <c r="Q25" s="525">
        <f t="shared" si="12"/>
        <v>48431.34</v>
      </c>
      <c r="R25" s="525">
        <v>0</v>
      </c>
      <c r="S25" s="525"/>
      <c r="T25" s="525"/>
      <c r="U25" s="522">
        <f t="shared" si="66"/>
        <v>0</v>
      </c>
      <c r="V25" s="522">
        <f t="shared" si="1"/>
        <v>0</v>
      </c>
      <c r="W25" s="522">
        <v>0</v>
      </c>
      <c r="X25" s="522">
        <f t="shared" si="15"/>
        <v>-48431.34</v>
      </c>
      <c r="Y25" s="522">
        <f t="shared" si="16"/>
        <v>-100</v>
      </c>
      <c r="Z25" s="524">
        <f t="shared" si="17"/>
        <v>0</v>
      </c>
      <c r="AA25" s="522">
        <f t="shared" si="18"/>
        <v>0</v>
      </c>
      <c r="AB25" s="522">
        <v>0</v>
      </c>
      <c r="AC25" s="522">
        <f t="shared" si="20"/>
        <v>0</v>
      </c>
      <c r="AD25" s="522">
        <v>0</v>
      </c>
      <c r="AE25" s="522">
        <f t="shared" si="22"/>
        <v>-48431.34</v>
      </c>
      <c r="AF25" s="522">
        <f t="shared" si="23"/>
        <v>-100</v>
      </c>
      <c r="AG25" s="522">
        <f t="shared" si="46"/>
        <v>0</v>
      </c>
      <c r="AH25" s="522">
        <f t="shared" si="24"/>
        <v>0</v>
      </c>
      <c r="AI25" s="522">
        <v>0</v>
      </c>
      <c r="AJ25" s="522">
        <f t="shared" si="26"/>
        <v>0</v>
      </c>
      <c r="AK25" s="522">
        <v>0</v>
      </c>
      <c r="AL25" s="522">
        <f t="shared" si="71"/>
        <v>0</v>
      </c>
      <c r="AM25" s="522">
        <f t="shared" si="72"/>
        <v>0</v>
      </c>
      <c r="AN25" s="522">
        <f t="shared" si="72"/>
        <v>0</v>
      </c>
      <c r="AO25" s="522">
        <f t="shared" si="27"/>
        <v>0</v>
      </c>
      <c r="AP25" s="522">
        <v>0</v>
      </c>
      <c r="AQ25" s="522">
        <v>0</v>
      </c>
      <c r="AR25" s="522">
        <v>0</v>
      </c>
      <c r="AS25" s="522">
        <v>0</v>
      </c>
      <c r="AT25" s="522">
        <v>0</v>
      </c>
      <c r="AU25" s="522">
        <f t="shared" si="4"/>
        <v>0</v>
      </c>
      <c r="AV25" s="522">
        <f t="shared" si="4"/>
        <v>0</v>
      </c>
      <c r="AW25" s="522">
        <f t="shared" si="28"/>
        <v>0</v>
      </c>
      <c r="AX25" s="522">
        <v>0</v>
      </c>
      <c r="AY25" s="522">
        <f t="shared" si="5"/>
        <v>0</v>
      </c>
      <c r="AZ25" s="522">
        <f t="shared" si="30"/>
        <v>0</v>
      </c>
      <c r="BA25" s="522">
        <v>0</v>
      </c>
      <c r="BB25" s="522">
        <v>0</v>
      </c>
      <c r="BC25" s="525">
        <f>'[67]Дир_по экон'!AT12</f>
        <v>0</v>
      </c>
      <c r="BD25" s="525">
        <f t="shared" si="67"/>
        <v>0</v>
      </c>
      <c r="BE25" s="525">
        <f t="shared" si="33"/>
        <v>0</v>
      </c>
      <c r="BF25" s="525">
        <f t="shared" si="34"/>
        <v>0</v>
      </c>
      <c r="BG25" s="525">
        <f t="shared" si="35"/>
        <v>0</v>
      </c>
      <c r="BH25" s="522">
        <f t="shared" si="35"/>
        <v>0</v>
      </c>
      <c r="BI25" s="522">
        <v>0</v>
      </c>
      <c r="BJ25" s="522">
        <f t="shared" si="37"/>
        <v>0</v>
      </c>
      <c r="BK25" s="522">
        <f t="shared" si="38"/>
        <v>0</v>
      </c>
      <c r="BL25" s="525">
        <v>0</v>
      </c>
      <c r="BM25" s="522">
        <f>'[67]Дир_по экон'!AW12</f>
        <v>0</v>
      </c>
      <c r="BN25" s="522">
        <f t="shared" si="68"/>
        <v>0</v>
      </c>
      <c r="BO25" s="522">
        <f t="shared" si="48"/>
        <v>0</v>
      </c>
      <c r="BP25" s="522">
        <f t="shared" si="40"/>
        <v>0</v>
      </c>
      <c r="BQ25" s="525">
        <v>0</v>
      </c>
      <c r="BR25" s="522">
        <f>'[67]Дир_по экон'!BB12</f>
        <v>0</v>
      </c>
      <c r="BS25" s="522">
        <f>'[67]Дир_по экон'!BC12</f>
        <v>0</v>
      </c>
      <c r="BT25" s="536"/>
      <c r="BU25" s="522"/>
      <c r="BV25" s="522"/>
      <c r="BW25" s="522"/>
      <c r="BX25" s="574"/>
      <c r="BY25" s="522"/>
      <c r="BZ25" s="522"/>
      <c r="CA25" s="522"/>
      <c r="CB25" s="522">
        <f t="shared" si="56"/>
        <v>0</v>
      </c>
      <c r="CC25" s="522">
        <f t="shared" si="44"/>
        <v>0</v>
      </c>
      <c r="CD25" s="522"/>
      <c r="CE25" s="522"/>
      <c r="CF25" s="522"/>
      <c r="CG25" s="522"/>
      <c r="CH25" s="522"/>
      <c r="CI25" s="522"/>
      <c r="CJ25" s="522"/>
      <c r="CK25" s="543" t="s">
        <v>77</v>
      </c>
      <c r="CL25" s="542" t="s">
        <v>1800</v>
      </c>
      <c r="CM25" s="509"/>
      <c r="CN25" s="509"/>
      <c r="CO25" s="528"/>
      <c r="CP25" s="544"/>
      <c r="CQ25" s="544"/>
      <c r="CR25" s="544">
        <f>U25</f>
        <v>0</v>
      </c>
      <c r="CS25" s="1705"/>
      <c r="CT25" s="1706"/>
      <c r="CU25" s="1706"/>
      <c r="CV25" s="1706"/>
      <c r="CW25" s="1707"/>
      <c r="CX25" s="528"/>
      <c r="CY25" s="528"/>
      <c r="CZ25" s="528"/>
      <c r="DA25" s="528"/>
      <c r="DB25" s="544"/>
      <c r="DC25" s="544">
        <f t="shared" si="70"/>
        <v>0</v>
      </c>
      <c r="DD25" s="535"/>
      <c r="DE25" s="535"/>
      <c r="DF25" s="522">
        <f t="shared" si="49"/>
        <v>0</v>
      </c>
      <c r="DG25" s="522">
        <f t="shared" si="49"/>
        <v>0</v>
      </c>
      <c r="DH25" s="522">
        <f t="shared" si="49"/>
        <v>0</v>
      </c>
      <c r="DI25" s="522">
        <f t="shared" si="49"/>
        <v>0</v>
      </c>
      <c r="DJ25" s="536"/>
      <c r="DK25" s="536"/>
      <c r="DL25" s="536"/>
      <c r="DM25" s="536"/>
      <c r="DN25" s="536"/>
      <c r="DO25" s="536"/>
      <c r="DP25" s="536"/>
      <c r="DQ25" s="536"/>
      <c r="DR25" s="536"/>
      <c r="DS25" s="536"/>
    </row>
    <row r="26" spans="1:123" ht="31.5" customHeight="1">
      <c r="A26" s="1714" t="s">
        <v>1837</v>
      </c>
      <c r="B26" s="1715"/>
      <c r="C26" s="507">
        <f t="shared" ref="C26:T26" si="73">C5</f>
        <v>9710481914.9799995</v>
      </c>
      <c r="D26" s="507">
        <f t="shared" si="73"/>
        <v>8616324237.6128178</v>
      </c>
      <c r="E26" s="507">
        <f t="shared" si="73"/>
        <v>9387789791.6499996</v>
      </c>
      <c r="F26" s="507">
        <f t="shared" si="73"/>
        <v>9096125532.6599998</v>
      </c>
      <c r="G26" s="507">
        <f t="shared" si="73"/>
        <v>6466647936.96</v>
      </c>
      <c r="H26" s="507">
        <f t="shared" si="73"/>
        <v>0</v>
      </c>
      <c r="I26" s="507">
        <f t="shared" si="73"/>
        <v>7413495620.6225748</v>
      </c>
      <c r="J26" s="507">
        <f t="shared" si="73"/>
        <v>3567351462.3600006</v>
      </c>
      <c r="K26" s="507">
        <f t="shared" si="73"/>
        <v>1860199430.2326782</v>
      </c>
      <c r="L26" s="507">
        <f t="shared" si="73"/>
        <v>1985944728.029896</v>
      </c>
      <c r="M26" s="507">
        <f t="shared" si="73"/>
        <v>5427550892.5926781</v>
      </c>
      <c r="N26" s="507">
        <f t="shared" si="73"/>
        <v>5325104653.9400005</v>
      </c>
      <c r="O26" s="507">
        <f>O5</f>
        <v>2387596905.2299995</v>
      </c>
      <c r="P26" s="580">
        <f>P5</f>
        <v>7712701559.170001</v>
      </c>
      <c r="Q26" s="507">
        <f t="shared" si="12"/>
        <v>299205938.54742622</v>
      </c>
      <c r="R26" s="507">
        <f t="shared" si="13"/>
        <v>4.0359629769673973</v>
      </c>
      <c r="S26" s="507">
        <f t="shared" si="73"/>
        <v>6745604540.6784496</v>
      </c>
      <c r="T26" s="507">
        <f t="shared" si="73"/>
        <v>7483414447.6683702</v>
      </c>
      <c r="U26" s="580">
        <f>U5</f>
        <v>8168002434.8483706</v>
      </c>
      <c r="V26" s="580">
        <f t="shared" si="1"/>
        <v>684587987.18000031</v>
      </c>
      <c r="W26" s="580">
        <f t="shared" si="14"/>
        <v>9.1480699347515042</v>
      </c>
      <c r="X26" s="580">
        <f t="shared" si="15"/>
        <v>455300875.67836952</v>
      </c>
      <c r="Y26" s="580">
        <f t="shared" si="16"/>
        <v>5.9032606433091104</v>
      </c>
      <c r="Z26" s="580">
        <f t="shared" si="17"/>
        <v>8370658585.3782253</v>
      </c>
      <c r="AA26" s="580">
        <f t="shared" si="18"/>
        <v>887244137.70985508</v>
      </c>
      <c r="AB26" s="580">
        <f t="shared" si="19"/>
        <v>11.856140588154872</v>
      </c>
      <c r="AC26" s="580">
        <f t="shared" si="20"/>
        <v>202656150.52985477</v>
      </c>
      <c r="AD26" s="580">
        <f t="shared" si="21"/>
        <v>2.4810980670773688</v>
      </c>
      <c r="AE26" s="580">
        <f t="shared" si="22"/>
        <v>657957026.2082243</v>
      </c>
      <c r="AF26" s="580">
        <f t="shared" si="23"/>
        <v>8.5308243961021333</v>
      </c>
      <c r="AG26" s="580">
        <f t="shared" si="46"/>
        <v>8741832872.8699989</v>
      </c>
      <c r="AH26" s="580">
        <f t="shared" si="24"/>
        <v>573830438.02162838</v>
      </c>
      <c r="AI26" s="580">
        <f t="shared" si="25"/>
        <v>7.0253460696021506</v>
      </c>
      <c r="AJ26" s="580">
        <f t="shared" si="26"/>
        <v>371174287.49177361</v>
      </c>
      <c r="AK26" s="580">
        <f>AG26/Z26*100-100</f>
        <v>4.4342303978343693</v>
      </c>
      <c r="AL26" s="580">
        <f>AL5</f>
        <v>8741832872.8699989</v>
      </c>
      <c r="AM26" s="580">
        <f t="shared" si="72"/>
        <v>4059847513.1841202</v>
      </c>
      <c r="AN26" s="580">
        <f t="shared" si="72"/>
        <v>4218296473.1500006</v>
      </c>
      <c r="AO26" s="580">
        <f t="shared" si="27"/>
        <v>158448959.96588039</v>
      </c>
      <c r="AP26" s="580">
        <f t="shared" si="47"/>
        <v>3.9028303267875515</v>
      </c>
      <c r="AQ26" s="580">
        <f>AQ5</f>
        <v>2132834528.0598199</v>
      </c>
      <c r="AR26" s="580">
        <f>AR5</f>
        <v>2192333442.6289835</v>
      </c>
      <c r="AS26" s="580">
        <f>AS5</f>
        <v>1927012985.1243</v>
      </c>
      <c r="AT26" s="580">
        <f>AT5</f>
        <v>2025963030.5210168</v>
      </c>
      <c r="AU26" s="580">
        <f t="shared" si="4"/>
        <v>4108154921.6642499</v>
      </c>
      <c r="AV26" s="580">
        <f t="shared" si="4"/>
        <v>4152362112.2282248</v>
      </c>
      <c r="AW26" s="580">
        <f t="shared" si="28"/>
        <v>44207190.563974857</v>
      </c>
      <c r="AX26" s="580">
        <f t="shared" si="29"/>
        <v>1.07608382368565</v>
      </c>
      <c r="AY26" s="580">
        <f t="shared" si="5"/>
        <v>4523536399.7199993</v>
      </c>
      <c r="AZ26" s="580">
        <f t="shared" si="30"/>
        <v>-371174287.49177456</v>
      </c>
      <c r="BA26" s="580">
        <f t="shared" si="31"/>
        <v>-8.2054007018656847</v>
      </c>
      <c r="BB26" s="580">
        <f t="shared" ref="BB26:BN26" si="74">BB5</f>
        <v>2012077493.8994899</v>
      </c>
      <c r="BC26" s="580">
        <f t="shared" si="74"/>
        <v>2030659599.7126293</v>
      </c>
      <c r="BD26" s="580">
        <f t="shared" si="74"/>
        <v>2235079989.0199995</v>
      </c>
      <c r="BE26" s="580">
        <f t="shared" si="33"/>
        <v>223002495.12050962</v>
      </c>
      <c r="BF26" s="580">
        <f t="shared" si="34"/>
        <v>204420389.30737019</v>
      </c>
      <c r="BG26" s="580">
        <f t="shared" si="35"/>
        <v>6071925007.0836105</v>
      </c>
      <c r="BH26" s="580">
        <f t="shared" ref="BH26:BI26" si="75">BH5</f>
        <v>6248956072.8626289</v>
      </c>
      <c r="BI26" s="580">
        <f t="shared" si="75"/>
        <v>6453376462.1700001</v>
      </c>
      <c r="BJ26" s="580">
        <f t="shared" si="37"/>
        <v>381451455.08638954</v>
      </c>
      <c r="BK26" s="580">
        <f t="shared" si="38"/>
        <v>204420389.30737114</v>
      </c>
      <c r="BL26" s="580">
        <f t="shared" si="74"/>
        <v>2096077427.76476</v>
      </c>
      <c r="BM26" s="580">
        <f t="shared" si="74"/>
        <v>2121702512.5155954</v>
      </c>
      <c r="BN26" s="580">
        <f t="shared" si="74"/>
        <v>2288456410.7000003</v>
      </c>
      <c r="BO26" s="580">
        <f t="shared" si="48"/>
        <v>192378982.93524027</v>
      </c>
      <c r="BP26" s="580">
        <f t="shared" si="40"/>
        <v>166753898.18440485</v>
      </c>
      <c r="BQ26" s="580">
        <f t="shared" ref="BQ26:BS26" si="76">BQ5</f>
        <v>2096077427.76476</v>
      </c>
      <c r="BR26" s="580">
        <f t="shared" si="76"/>
        <v>0</v>
      </c>
      <c r="BS26" s="580">
        <f t="shared" si="76"/>
        <v>0</v>
      </c>
      <c r="BU26" s="580">
        <f t="shared" ref="BU26:BV26" si="77">BU5</f>
        <v>0</v>
      </c>
      <c r="BV26" s="580">
        <f t="shared" si="77"/>
        <v>0</v>
      </c>
      <c r="BW26" s="580">
        <f>BW5</f>
        <v>875715794.93000007</v>
      </c>
      <c r="BX26" s="581"/>
      <c r="BY26" s="580">
        <f>BY5</f>
        <v>8243413312.6199999</v>
      </c>
      <c r="BZ26" s="580">
        <f t="shared" ref="BZ26:CB26" si="78">BZ5</f>
        <v>368661520.16999996</v>
      </c>
      <c r="CA26" s="580">
        <f t="shared" si="78"/>
        <v>129758040.08000001</v>
      </c>
      <c r="CB26" s="580">
        <f t="shared" si="78"/>
        <v>8741832872.8699989</v>
      </c>
      <c r="CC26" s="580">
        <f t="shared" si="44"/>
        <v>0</v>
      </c>
      <c r="CD26" s="580"/>
      <c r="CE26" s="580"/>
      <c r="CF26" s="580"/>
      <c r="CG26" s="580"/>
      <c r="CH26" s="580"/>
      <c r="CI26" s="580"/>
      <c r="CJ26" s="580"/>
      <c r="CK26" s="508"/>
      <c r="CL26" s="508"/>
      <c r="CM26" s="509"/>
      <c r="CN26" s="509"/>
      <c r="CO26" s="510"/>
      <c r="CP26" s="582">
        <f>CP5</f>
        <v>7739347056.7969093</v>
      </c>
      <c r="CQ26" s="582">
        <f>CQ5</f>
        <v>341756816.14699155</v>
      </c>
      <c r="CR26" s="582">
        <f>CR5</f>
        <v>86898561.904469714</v>
      </c>
      <c r="CS26" s="1679"/>
      <c r="CT26" s="1680"/>
      <c r="CU26" s="1680"/>
      <c r="CV26" s="1680"/>
      <c r="CW26" s="1681"/>
      <c r="CX26" s="510"/>
      <c r="CY26" s="510"/>
      <c r="CZ26" s="510"/>
      <c r="DA26" s="510"/>
      <c r="DB26" s="582">
        <f>DB5</f>
        <v>2192333442.6289835</v>
      </c>
      <c r="DD26" s="517"/>
      <c r="DE26" s="517"/>
      <c r="DF26" s="580">
        <f t="shared" si="49"/>
        <v>8243413.31262</v>
      </c>
      <c r="DG26" s="580">
        <f t="shared" si="49"/>
        <v>368661.52016999997</v>
      </c>
      <c r="DH26" s="580">
        <f t="shared" si="49"/>
        <v>129758.04008000001</v>
      </c>
      <c r="DI26" s="580">
        <f t="shared" si="49"/>
        <v>8741832.8728699982</v>
      </c>
    </row>
    <row r="27" spans="1:123" s="534" customFormat="1">
      <c r="A27" s="583" t="s">
        <v>1838</v>
      </c>
      <c r="B27" s="584"/>
      <c r="C27" s="585"/>
      <c r="D27" s="585"/>
      <c r="E27" s="585">
        <f>E13-E14</f>
        <v>91154874.439999998</v>
      </c>
      <c r="F27" s="585">
        <f>F13-F14</f>
        <v>249230197.58000001</v>
      </c>
      <c r="G27" s="585"/>
      <c r="H27" s="585"/>
      <c r="I27" s="585"/>
      <c r="J27" s="585"/>
      <c r="K27" s="585"/>
      <c r="L27" s="585"/>
      <c r="M27" s="585"/>
      <c r="N27" s="585"/>
      <c r="O27" s="585"/>
      <c r="P27" s="576"/>
      <c r="Q27" s="585"/>
      <c r="R27" s="585"/>
      <c r="S27" s="585"/>
      <c r="T27" s="585"/>
      <c r="U27" s="576"/>
      <c r="V27" s="576"/>
      <c r="W27" s="576"/>
      <c r="X27" s="576"/>
      <c r="Y27" s="576"/>
      <c r="Z27" s="586"/>
      <c r="AA27" s="578"/>
      <c r="AB27" s="578"/>
      <c r="AC27" s="578"/>
      <c r="AD27" s="578"/>
      <c r="AE27" s="578"/>
      <c r="AF27" s="578"/>
      <c r="AG27" s="578"/>
      <c r="AH27" s="578"/>
      <c r="AI27" s="578"/>
      <c r="AJ27" s="578"/>
      <c r="AK27" s="578"/>
      <c r="AL27" s="576"/>
      <c r="AM27" s="578"/>
      <c r="AN27" s="578"/>
      <c r="AO27" s="578"/>
      <c r="AP27" s="578"/>
      <c r="AQ27" s="578"/>
      <c r="AR27" s="578"/>
      <c r="AS27" s="578"/>
      <c r="AT27" s="578"/>
      <c r="AU27" s="578">
        <f t="shared" ref="AU27:AV90" si="79">BB27+BL27</f>
        <v>0</v>
      </c>
      <c r="AV27" s="578"/>
      <c r="AW27" s="578">
        <f t="shared" si="28"/>
        <v>0</v>
      </c>
      <c r="AX27" s="578"/>
      <c r="AY27" s="578"/>
      <c r="AZ27" s="578">
        <f t="shared" si="30"/>
        <v>0</v>
      </c>
      <c r="BA27" s="578"/>
      <c r="BB27" s="578"/>
      <c r="BC27" s="576"/>
      <c r="BD27" s="576"/>
      <c r="BE27" s="576">
        <f t="shared" si="33"/>
        <v>0</v>
      </c>
      <c r="BF27" s="576">
        <f t="shared" si="34"/>
        <v>0</v>
      </c>
      <c r="BG27" s="576">
        <f t="shared" si="35"/>
        <v>0</v>
      </c>
      <c r="BH27" s="578"/>
      <c r="BI27" s="578"/>
      <c r="BJ27" s="578">
        <f t="shared" si="37"/>
        <v>0</v>
      </c>
      <c r="BK27" s="578">
        <f t="shared" si="38"/>
        <v>0</v>
      </c>
      <c r="BL27" s="576"/>
      <c r="BM27" s="578"/>
      <c r="BN27" s="578"/>
      <c r="BO27" s="578">
        <f t="shared" si="48"/>
        <v>0</v>
      </c>
      <c r="BP27" s="578">
        <f t="shared" si="40"/>
        <v>0</v>
      </c>
      <c r="BQ27" s="576"/>
      <c r="BR27" s="578"/>
      <c r="BS27" s="578"/>
      <c r="BT27" s="536"/>
      <c r="BU27" s="578"/>
      <c r="BV27" s="578"/>
      <c r="BW27" s="578"/>
      <c r="BX27" s="574"/>
      <c r="BY27" s="578"/>
      <c r="BZ27" s="578"/>
      <c r="CA27" s="578"/>
      <c r="CB27" s="578"/>
      <c r="CC27" s="578">
        <f t="shared" si="44"/>
        <v>0</v>
      </c>
      <c r="CD27" s="578"/>
      <c r="CE27" s="578"/>
      <c r="CF27" s="578"/>
      <c r="CG27" s="578"/>
      <c r="CH27" s="578"/>
      <c r="CI27" s="578"/>
      <c r="CJ27" s="578"/>
      <c r="CK27" s="587"/>
      <c r="CL27" s="587"/>
      <c r="CM27" s="528"/>
      <c r="CN27" s="528"/>
      <c r="CO27" s="528"/>
      <c r="CP27" s="588"/>
      <c r="CQ27" s="588"/>
      <c r="CR27" s="588"/>
      <c r="CS27" s="1691"/>
      <c r="CT27" s="1692"/>
      <c r="CU27" s="1692"/>
      <c r="CV27" s="1692"/>
      <c r="CW27" s="1693"/>
      <c r="CX27" s="528"/>
      <c r="CY27" s="528"/>
      <c r="CZ27" s="528"/>
      <c r="DA27" s="528"/>
      <c r="DB27" s="588"/>
      <c r="DD27" s="535"/>
      <c r="DE27" s="535"/>
      <c r="DF27" s="578"/>
      <c r="DG27" s="578"/>
      <c r="DH27" s="578"/>
      <c r="DI27" s="578"/>
      <c r="DJ27" s="536"/>
      <c r="DK27" s="536"/>
      <c r="DL27" s="536"/>
      <c r="DM27" s="536"/>
      <c r="DN27" s="536"/>
      <c r="DO27" s="536"/>
      <c r="DP27" s="536"/>
      <c r="DQ27" s="536"/>
      <c r="DR27" s="536"/>
      <c r="DS27" s="536"/>
    </row>
    <row r="28" spans="1:123">
      <c r="A28" s="505" t="s">
        <v>1839</v>
      </c>
      <c r="B28" s="506" t="s">
        <v>1840</v>
      </c>
      <c r="C28" s="507">
        <f>C29</f>
        <v>4244793232.3099999</v>
      </c>
      <c r="D28" s="507">
        <f t="shared" ref="D28:T29" si="80">D29</f>
        <v>4085738859.0738869</v>
      </c>
      <c r="E28" s="507">
        <f t="shared" si="80"/>
        <v>4108780110</v>
      </c>
      <c r="F28" s="507">
        <f t="shared" si="80"/>
        <v>4052089419.21</v>
      </c>
      <c r="G28" s="507">
        <f t="shared" si="80"/>
        <v>2470880649.5999999</v>
      </c>
      <c r="H28" s="507">
        <f t="shared" si="80"/>
        <v>0</v>
      </c>
      <c r="I28" s="507">
        <f t="shared" si="80"/>
        <v>2408084000.5599999</v>
      </c>
      <c r="J28" s="507">
        <f>J29</f>
        <v>1141525015.4400001</v>
      </c>
      <c r="K28" s="507">
        <f t="shared" si="80"/>
        <v>556373073.76999998</v>
      </c>
      <c r="L28" s="507">
        <f t="shared" si="80"/>
        <v>710185911.35000002</v>
      </c>
      <c r="M28" s="507">
        <f t="shared" si="80"/>
        <v>1697898089.21</v>
      </c>
      <c r="N28" s="507">
        <f t="shared" si="80"/>
        <v>1733622150.3100002</v>
      </c>
      <c r="O28" s="507">
        <f t="shared" si="80"/>
        <v>811180626.53999972</v>
      </c>
      <c r="P28" s="580">
        <f t="shared" si="80"/>
        <v>2544802776.8499999</v>
      </c>
      <c r="Q28" s="507">
        <f t="shared" si="12"/>
        <v>136718776.28999996</v>
      </c>
      <c r="R28" s="507">
        <f t="shared" si="13"/>
        <v>5.6774919918992026</v>
      </c>
      <c r="S28" s="507">
        <f t="shared" si="80"/>
        <v>2588333500</v>
      </c>
      <c r="T28" s="507">
        <f t="shared" si="80"/>
        <v>2974724298.8804603</v>
      </c>
      <c r="U28" s="580">
        <f>U29</f>
        <v>2974724298.86971</v>
      </c>
      <c r="V28" s="580">
        <f t="shared" si="1"/>
        <v>-1.0750293731689453E-2</v>
      </c>
      <c r="W28" s="580">
        <f t="shared" si="14"/>
        <v>-3.6138203540758695E-10</v>
      </c>
      <c r="X28" s="580">
        <f t="shared" si="15"/>
        <v>429921522.01971006</v>
      </c>
      <c r="Y28" s="580">
        <f t="shared" si="16"/>
        <v>16.894099846585135</v>
      </c>
      <c r="Z28" s="580">
        <f t="shared" si="17"/>
        <v>3023399835.126256</v>
      </c>
      <c r="AA28" s="580">
        <f t="shared" si="18"/>
        <v>48675536.245795727</v>
      </c>
      <c r="AB28" s="580">
        <f t="shared" si="19"/>
        <v>1.6363041194814087</v>
      </c>
      <c r="AC28" s="580">
        <f t="shared" si="20"/>
        <v>48675536.256546021</v>
      </c>
      <c r="AD28" s="580">
        <f t="shared" si="21"/>
        <v>1.6363041198487167</v>
      </c>
      <c r="AE28" s="580">
        <f t="shared" si="22"/>
        <v>478597058.27625608</v>
      </c>
      <c r="AF28" s="580">
        <f t="shared" si="23"/>
        <v>18.806842818234884</v>
      </c>
      <c r="AG28" s="580">
        <f t="shared" si="46"/>
        <v>3193462254.54</v>
      </c>
      <c r="AH28" s="580">
        <f t="shared" si="24"/>
        <v>218737955.67028999</v>
      </c>
      <c r="AI28" s="580">
        <f t="shared" si="25"/>
        <v>7.3532177672197321</v>
      </c>
      <c r="AJ28" s="580">
        <f t="shared" si="26"/>
        <v>170062419.41374397</v>
      </c>
      <c r="AK28" s="580">
        <f>AG28/Z28*100-100</f>
        <v>5.6248736087743509</v>
      </c>
      <c r="AL28" s="580">
        <f>AL29</f>
        <v>3193462254.54</v>
      </c>
      <c r="AM28" s="580">
        <f t="shared" si="72"/>
        <v>1437834125.050885</v>
      </c>
      <c r="AN28" s="580">
        <f t="shared" si="72"/>
        <v>1458528013.98</v>
      </c>
      <c r="AO28" s="580">
        <f t="shared" si="27"/>
        <v>20693888.929115057</v>
      </c>
      <c r="AP28" s="580">
        <f t="shared" si="47"/>
        <v>1.4392403524559967</v>
      </c>
      <c r="AQ28" s="580">
        <f t="shared" ref="AQ28:AT29" si="81">AQ29</f>
        <v>961679342.058249</v>
      </c>
      <c r="AR28" s="580">
        <f t="shared" si="81"/>
        <v>955982864.61000001</v>
      </c>
      <c r="AS28" s="580">
        <f t="shared" si="81"/>
        <v>476154782.99263602</v>
      </c>
      <c r="AT28" s="580">
        <f t="shared" si="81"/>
        <v>502545149.37</v>
      </c>
      <c r="AU28" s="580">
        <f t="shared" si="79"/>
        <v>1536890173.818825</v>
      </c>
      <c r="AV28" s="580">
        <f t="shared" si="79"/>
        <v>1564871821.146256</v>
      </c>
      <c r="AW28" s="580">
        <f t="shared" si="28"/>
        <v>27981647.327430964</v>
      </c>
      <c r="AX28" s="580">
        <f t="shared" si="29"/>
        <v>1.8206666815952559</v>
      </c>
      <c r="AY28" s="580">
        <f t="shared" ref="AY28:AY91" si="82">BD28+BN28</f>
        <v>1734934240.5599999</v>
      </c>
      <c r="AZ28" s="580">
        <f t="shared" si="30"/>
        <v>-170062419.41374397</v>
      </c>
      <c r="BA28" s="580">
        <v>0</v>
      </c>
      <c r="BB28" s="580">
        <f t="shared" ref="BB28:BN29" si="83">BB29</f>
        <v>671576040.576442</v>
      </c>
      <c r="BC28" s="580">
        <f t="shared" si="83"/>
        <v>695740842.2927655</v>
      </c>
      <c r="BD28" s="580">
        <f t="shared" si="83"/>
        <v>778554078.61999989</v>
      </c>
      <c r="BE28" s="580">
        <f t="shared" si="33"/>
        <v>106978038.04355788</v>
      </c>
      <c r="BF28" s="580">
        <f t="shared" si="34"/>
        <v>82813236.327234387</v>
      </c>
      <c r="BG28" s="580">
        <f t="shared" si="35"/>
        <v>2109410165.627327</v>
      </c>
      <c r="BH28" s="580">
        <f t="shared" si="83"/>
        <v>2154268856.2727656</v>
      </c>
      <c r="BI28" s="580">
        <f t="shared" si="83"/>
        <v>2237082092.5999999</v>
      </c>
      <c r="BJ28" s="580">
        <f t="shared" si="37"/>
        <v>127671926.97267294</v>
      </c>
      <c r="BK28" s="580">
        <f t="shared" si="38"/>
        <v>82813236.327234268</v>
      </c>
      <c r="BL28" s="580">
        <f t="shared" si="83"/>
        <v>865314133.242383</v>
      </c>
      <c r="BM28" s="580">
        <f t="shared" si="83"/>
        <v>869130978.85349047</v>
      </c>
      <c r="BN28" s="580">
        <f t="shared" si="83"/>
        <v>956380161.94000006</v>
      </c>
      <c r="BO28" s="580">
        <f t="shared" si="48"/>
        <v>91066028.697617054</v>
      </c>
      <c r="BP28" s="580">
        <f t="shared" si="40"/>
        <v>87249183.086509585</v>
      </c>
      <c r="BQ28" s="580">
        <f t="shared" ref="BQ28:BS29" si="84">BQ29</f>
        <v>865314133.242383</v>
      </c>
      <c r="BR28" s="580">
        <f t="shared" si="84"/>
        <v>0</v>
      </c>
      <c r="BS28" s="580">
        <f t="shared" si="84"/>
        <v>0</v>
      </c>
      <c r="BT28" s="569"/>
      <c r="BU28" s="580">
        <f t="shared" ref="BU28:BW29" si="85">BU29</f>
        <v>3193462254.54</v>
      </c>
      <c r="BV28" s="580">
        <f t="shared" si="85"/>
        <v>0</v>
      </c>
      <c r="BW28" s="580">
        <f t="shared" si="85"/>
        <v>0</v>
      </c>
      <c r="BX28" s="570">
        <f>AL28-BU28-BV28</f>
        <v>0</v>
      </c>
      <c r="BY28" s="580">
        <f>BY29</f>
        <v>3193462254.54</v>
      </c>
      <c r="BZ28" s="580">
        <f t="shared" ref="BZ28:CB29" si="86">BZ29</f>
        <v>0</v>
      </c>
      <c r="CA28" s="580">
        <f t="shared" si="86"/>
        <v>0</v>
      </c>
      <c r="CB28" s="580">
        <f t="shared" si="86"/>
        <v>3193462254.54</v>
      </c>
      <c r="CC28" s="580">
        <f t="shared" si="44"/>
        <v>0</v>
      </c>
      <c r="CD28" s="580"/>
      <c r="CE28" s="580"/>
      <c r="CF28" s="580"/>
      <c r="CG28" s="580"/>
      <c r="CH28" s="580"/>
      <c r="CI28" s="580"/>
      <c r="CJ28" s="580"/>
      <c r="CK28" s="508"/>
      <c r="CL28" s="508"/>
      <c r="CM28" s="510"/>
      <c r="CN28" s="510"/>
      <c r="CO28" s="510"/>
      <c r="CP28" s="582">
        <f t="shared" ref="CP28:CR29" si="87">CP29</f>
        <v>2974724298.86971</v>
      </c>
      <c r="CQ28" s="582">
        <f t="shared" si="87"/>
        <v>0</v>
      </c>
      <c r="CR28" s="582">
        <f t="shared" si="87"/>
        <v>0</v>
      </c>
      <c r="CS28" s="1679"/>
      <c r="CT28" s="1680"/>
      <c r="CU28" s="1680"/>
      <c r="CV28" s="1680"/>
      <c r="CW28" s="1681"/>
      <c r="CX28" s="510"/>
      <c r="CY28" s="510"/>
      <c r="CZ28" s="510"/>
      <c r="DA28" s="510"/>
      <c r="DB28" s="582">
        <f>DB29</f>
        <v>955982864.61000001</v>
      </c>
      <c r="DD28" s="517"/>
      <c r="DE28" s="517"/>
      <c r="DF28" s="580">
        <f t="shared" ref="DF28:DI91" si="88">BY28/1000</f>
        <v>3193462.2545400001</v>
      </c>
      <c r="DG28" s="580">
        <f t="shared" si="88"/>
        <v>0</v>
      </c>
      <c r="DH28" s="580">
        <f t="shared" si="88"/>
        <v>0</v>
      </c>
      <c r="DI28" s="580">
        <f t="shared" si="88"/>
        <v>3193462.2545400001</v>
      </c>
      <c r="DJ28" s="569"/>
      <c r="DK28" s="569"/>
    </row>
    <row r="29" spans="1:123" ht="82.8">
      <c r="A29" s="505" t="s">
        <v>1841</v>
      </c>
      <c r="B29" s="506" t="s">
        <v>1842</v>
      </c>
      <c r="C29" s="507">
        <f>C30</f>
        <v>4244793232.3099999</v>
      </c>
      <c r="D29" s="507">
        <f t="shared" si="80"/>
        <v>4085738859.0738869</v>
      </c>
      <c r="E29" s="507">
        <f t="shared" si="80"/>
        <v>4108780110</v>
      </c>
      <c r="F29" s="507">
        <f t="shared" si="80"/>
        <v>4052089419.21</v>
      </c>
      <c r="G29" s="507">
        <f t="shared" si="80"/>
        <v>2470880649.5999999</v>
      </c>
      <c r="H29" s="507">
        <f t="shared" si="80"/>
        <v>0</v>
      </c>
      <c r="I29" s="507">
        <f t="shared" si="80"/>
        <v>2408084000.5599999</v>
      </c>
      <c r="J29" s="507">
        <f>J30</f>
        <v>1141525015.4400001</v>
      </c>
      <c r="K29" s="507">
        <f t="shared" si="80"/>
        <v>556373073.76999998</v>
      </c>
      <c r="L29" s="507">
        <f t="shared" si="80"/>
        <v>710185911.35000002</v>
      </c>
      <c r="M29" s="507">
        <f t="shared" si="80"/>
        <v>1697898089.21</v>
      </c>
      <c r="N29" s="507">
        <f t="shared" si="80"/>
        <v>1733622150.3100002</v>
      </c>
      <c r="O29" s="507">
        <f t="shared" si="80"/>
        <v>811180626.53999972</v>
      </c>
      <c r="P29" s="580">
        <f t="shared" si="80"/>
        <v>2544802776.8499999</v>
      </c>
      <c r="Q29" s="507">
        <f t="shared" si="12"/>
        <v>136718776.28999996</v>
      </c>
      <c r="R29" s="507">
        <f t="shared" si="13"/>
        <v>5.6774919918992026</v>
      </c>
      <c r="S29" s="507">
        <f t="shared" si="80"/>
        <v>2588333500</v>
      </c>
      <c r="T29" s="507">
        <f t="shared" si="80"/>
        <v>2974724298.8804603</v>
      </c>
      <c r="U29" s="580">
        <f>U30</f>
        <v>2974724298.86971</v>
      </c>
      <c r="V29" s="580">
        <f t="shared" si="1"/>
        <v>-1.0750293731689453E-2</v>
      </c>
      <c r="W29" s="580">
        <f t="shared" si="14"/>
        <v>-3.6138203540758695E-10</v>
      </c>
      <c r="X29" s="580">
        <f t="shared" si="15"/>
        <v>429921522.01971006</v>
      </c>
      <c r="Y29" s="580">
        <f t="shared" si="16"/>
        <v>16.894099846585135</v>
      </c>
      <c r="Z29" s="580">
        <f t="shared" si="17"/>
        <v>3023399835.126256</v>
      </c>
      <c r="AA29" s="580">
        <f t="shared" si="18"/>
        <v>48675536.245795727</v>
      </c>
      <c r="AB29" s="580">
        <f t="shared" si="19"/>
        <v>1.6363041194814087</v>
      </c>
      <c r="AC29" s="580">
        <f t="shared" si="20"/>
        <v>48675536.256546021</v>
      </c>
      <c r="AD29" s="580">
        <f t="shared" si="21"/>
        <v>1.6363041198487167</v>
      </c>
      <c r="AE29" s="580">
        <f t="shared" si="22"/>
        <v>478597058.27625608</v>
      </c>
      <c r="AF29" s="580">
        <f t="shared" si="23"/>
        <v>18.806842818234884</v>
      </c>
      <c r="AG29" s="580">
        <f t="shared" si="46"/>
        <v>3193462254.54</v>
      </c>
      <c r="AH29" s="580">
        <f t="shared" si="24"/>
        <v>218737955.67028999</v>
      </c>
      <c r="AI29" s="580">
        <f t="shared" si="25"/>
        <v>7.3532177672197321</v>
      </c>
      <c r="AJ29" s="580">
        <f t="shared" si="26"/>
        <v>170062419.41374397</v>
      </c>
      <c r="AK29" s="580">
        <f>AG29/Z29*100-100</f>
        <v>5.6248736087743509</v>
      </c>
      <c r="AL29" s="580">
        <f>AL30</f>
        <v>3193462254.54</v>
      </c>
      <c r="AM29" s="580">
        <f t="shared" si="72"/>
        <v>1437834125.050885</v>
      </c>
      <c r="AN29" s="580">
        <f t="shared" si="72"/>
        <v>1458528013.98</v>
      </c>
      <c r="AO29" s="580">
        <f t="shared" si="27"/>
        <v>20693888.929115057</v>
      </c>
      <c r="AP29" s="580">
        <f t="shared" si="47"/>
        <v>1.4392403524559967</v>
      </c>
      <c r="AQ29" s="580">
        <f t="shared" si="81"/>
        <v>961679342.058249</v>
      </c>
      <c r="AR29" s="580">
        <f t="shared" si="81"/>
        <v>955982864.61000001</v>
      </c>
      <c r="AS29" s="580">
        <f t="shared" si="81"/>
        <v>476154782.99263602</v>
      </c>
      <c r="AT29" s="580">
        <f t="shared" si="81"/>
        <v>502545149.37</v>
      </c>
      <c r="AU29" s="580">
        <f t="shared" si="79"/>
        <v>1536890173.818825</v>
      </c>
      <c r="AV29" s="580">
        <f t="shared" si="79"/>
        <v>1564871821.146256</v>
      </c>
      <c r="AW29" s="580">
        <f t="shared" si="28"/>
        <v>27981647.327430964</v>
      </c>
      <c r="AX29" s="580">
        <f t="shared" si="29"/>
        <v>1.8206666815952559</v>
      </c>
      <c r="AY29" s="580">
        <f t="shared" si="82"/>
        <v>1734934240.5599999</v>
      </c>
      <c r="AZ29" s="580">
        <f t="shared" si="30"/>
        <v>-170062419.41374397</v>
      </c>
      <c r="BA29" s="580">
        <v>0</v>
      </c>
      <c r="BB29" s="580">
        <f t="shared" si="83"/>
        <v>671576040.576442</v>
      </c>
      <c r="BC29" s="580">
        <f t="shared" si="83"/>
        <v>695740842.2927655</v>
      </c>
      <c r="BD29" s="580">
        <f t="shared" si="83"/>
        <v>778554078.61999989</v>
      </c>
      <c r="BE29" s="580">
        <f t="shared" si="33"/>
        <v>106978038.04355788</v>
      </c>
      <c r="BF29" s="580">
        <f t="shared" si="34"/>
        <v>82813236.327234387</v>
      </c>
      <c r="BG29" s="580">
        <f t="shared" si="35"/>
        <v>2109410165.627327</v>
      </c>
      <c r="BH29" s="580">
        <f t="shared" si="83"/>
        <v>2154268856.2727656</v>
      </c>
      <c r="BI29" s="580">
        <f t="shared" si="83"/>
        <v>2237082092.5999999</v>
      </c>
      <c r="BJ29" s="580">
        <f t="shared" si="37"/>
        <v>127671926.97267294</v>
      </c>
      <c r="BK29" s="580">
        <f t="shared" si="38"/>
        <v>82813236.327234268</v>
      </c>
      <c r="BL29" s="580">
        <f t="shared" si="83"/>
        <v>865314133.242383</v>
      </c>
      <c r="BM29" s="580">
        <f t="shared" si="83"/>
        <v>869130978.85349047</v>
      </c>
      <c r="BN29" s="580">
        <f t="shared" si="83"/>
        <v>956380161.94000006</v>
      </c>
      <c r="BO29" s="580">
        <f t="shared" si="48"/>
        <v>91066028.697617054</v>
      </c>
      <c r="BP29" s="580">
        <f t="shared" si="40"/>
        <v>87249183.086509585</v>
      </c>
      <c r="BQ29" s="580">
        <f t="shared" si="84"/>
        <v>865314133.242383</v>
      </c>
      <c r="BR29" s="580">
        <f t="shared" si="84"/>
        <v>0</v>
      </c>
      <c r="BS29" s="580">
        <f t="shared" si="84"/>
        <v>0</v>
      </c>
      <c r="BU29" s="580">
        <f t="shared" si="85"/>
        <v>3193462254.54</v>
      </c>
      <c r="BV29" s="580">
        <f t="shared" si="85"/>
        <v>0</v>
      </c>
      <c r="BW29" s="580">
        <f t="shared" si="85"/>
        <v>0</v>
      </c>
      <c r="BX29" s="581"/>
      <c r="BY29" s="589">
        <f>BY30</f>
        <v>3193462254.54</v>
      </c>
      <c r="BZ29" s="589">
        <f t="shared" si="86"/>
        <v>0</v>
      </c>
      <c r="CA29" s="589">
        <f t="shared" si="86"/>
        <v>0</v>
      </c>
      <c r="CB29" s="589">
        <f t="shared" si="86"/>
        <v>3193462254.54</v>
      </c>
      <c r="CC29" s="589">
        <f t="shared" si="44"/>
        <v>0</v>
      </c>
      <c r="CD29" s="580"/>
      <c r="CE29" s="580"/>
      <c r="CF29" s="580"/>
      <c r="CG29" s="580"/>
      <c r="CH29" s="580"/>
      <c r="CI29" s="580"/>
      <c r="CJ29" s="580"/>
      <c r="CK29" s="508"/>
      <c r="CL29" s="508"/>
      <c r="CM29" s="510"/>
      <c r="CN29" s="510"/>
      <c r="CO29" s="510"/>
      <c r="CP29" s="582">
        <f t="shared" si="87"/>
        <v>2974724298.86971</v>
      </c>
      <c r="CQ29" s="582">
        <f t="shared" si="87"/>
        <v>0</v>
      </c>
      <c r="CR29" s="582">
        <f t="shared" si="87"/>
        <v>0</v>
      </c>
      <c r="CS29" s="1679"/>
      <c r="CT29" s="1680"/>
      <c r="CU29" s="1680"/>
      <c r="CV29" s="1680"/>
      <c r="CW29" s="1681"/>
      <c r="CX29" s="510"/>
      <c r="CY29" s="510"/>
      <c r="CZ29" s="510"/>
      <c r="DA29" s="510"/>
      <c r="DB29" s="582">
        <f>DB30</f>
        <v>955982864.61000001</v>
      </c>
      <c r="DD29" s="517"/>
      <c r="DE29" s="517"/>
      <c r="DF29" s="589">
        <f t="shared" si="88"/>
        <v>3193462.2545400001</v>
      </c>
      <c r="DG29" s="589">
        <f t="shared" si="88"/>
        <v>0</v>
      </c>
      <c r="DH29" s="589">
        <f t="shared" si="88"/>
        <v>0</v>
      </c>
      <c r="DI29" s="589">
        <f t="shared" si="88"/>
        <v>3193462.2545400001</v>
      </c>
    </row>
    <row r="30" spans="1:123" s="534" customFormat="1" ht="117" customHeight="1">
      <c r="A30" s="520" t="s">
        <v>1843</v>
      </c>
      <c r="B30" s="521" t="s">
        <v>1844</v>
      </c>
      <c r="C30" s="590">
        <v>4244793232.3099999</v>
      </c>
      <c r="D30" s="578">
        <v>4085738859.0738869</v>
      </c>
      <c r="E30" s="522">
        <v>4108780110</v>
      </c>
      <c r="F30" s="522">
        <v>4052089419.21</v>
      </c>
      <c r="G30" s="523">
        <v>2470880649.5999999</v>
      </c>
      <c r="H30" s="523">
        <v>0</v>
      </c>
      <c r="I30" s="522">
        <f>J30+K30+L30</f>
        <v>2408084000.5599999</v>
      </c>
      <c r="J30" s="522">
        <v>1141525015.4400001</v>
      </c>
      <c r="K30" s="522">
        <v>556373073.76999998</v>
      </c>
      <c r="L30" s="522">
        <v>710185911.35000002</v>
      </c>
      <c r="M30" s="522">
        <f>J30+K30</f>
        <v>1697898089.21</v>
      </c>
      <c r="N30" s="522">
        <v>1733622150.3100002</v>
      </c>
      <c r="O30" s="522">
        <f>P30-N30</f>
        <v>811180626.53999972</v>
      </c>
      <c r="P30" s="522">
        <f>2547992696.64-3189919.79</f>
        <v>2544802776.8499999</v>
      </c>
      <c r="Q30" s="522">
        <f t="shared" si="12"/>
        <v>136718776.28999996</v>
      </c>
      <c r="R30" s="522">
        <f t="shared" si="13"/>
        <v>5.6774919918992026</v>
      </c>
      <c r="S30" s="522">
        <v>2588333500</v>
      </c>
      <c r="T30" s="522">
        <f>2974724.29888046*1000</f>
        <v>2974724298.8804603</v>
      </c>
      <c r="U30" s="522">
        <f>AQ30+AS30+BB30+BL30</f>
        <v>2974724298.86971</v>
      </c>
      <c r="V30" s="522">
        <f t="shared" si="1"/>
        <v>-1.0750293731689453E-2</v>
      </c>
      <c r="W30" s="522">
        <f t="shared" si="14"/>
        <v>-3.6138203540758695E-10</v>
      </c>
      <c r="X30" s="522">
        <f t="shared" si="15"/>
        <v>429921522.01971006</v>
      </c>
      <c r="Y30" s="522">
        <f t="shared" si="16"/>
        <v>16.894099846585135</v>
      </c>
      <c r="Z30" s="524">
        <f t="shared" si="17"/>
        <v>3023399835.126256</v>
      </c>
      <c r="AA30" s="522">
        <f t="shared" si="18"/>
        <v>48675536.245795727</v>
      </c>
      <c r="AB30" s="522">
        <f t="shared" si="19"/>
        <v>1.6363041194814087</v>
      </c>
      <c r="AC30" s="522">
        <f t="shared" si="20"/>
        <v>48675536.256546021</v>
      </c>
      <c r="AD30" s="522">
        <f t="shared" si="21"/>
        <v>1.6363041198487167</v>
      </c>
      <c r="AE30" s="522">
        <f t="shared" si="22"/>
        <v>478597058.27625608</v>
      </c>
      <c r="AF30" s="522">
        <f t="shared" si="23"/>
        <v>18.806842818234884</v>
      </c>
      <c r="AG30" s="522">
        <f t="shared" si="46"/>
        <v>3193462254.54</v>
      </c>
      <c r="AH30" s="522">
        <f t="shared" si="24"/>
        <v>218737955.67028999</v>
      </c>
      <c r="AI30" s="522">
        <f t="shared" si="25"/>
        <v>7.3532177672197321</v>
      </c>
      <c r="AJ30" s="522">
        <f t="shared" si="26"/>
        <v>170062419.41374397</v>
      </c>
      <c r="AK30" s="522">
        <f>AG30/Z30*100-100</f>
        <v>5.6248736087743509</v>
      </c>
      <c r="AL30" s="522">
        <f>SUM(BU30:BV30)</f>
        <v>3193462254.54</v>
      </c>
      <c r="AM30" s="522">
        <f t="shared" si="72"/>
        <v>1437834125.050885</v>
      </c>
      <c r="AN30" s="522">
        <f t="shared" si="72"/>
        <v>1458528013.98</v>
      </c>
      <c r="AO30" s="522">
        <f t="shared" si="27"/>
        <v>20693888.929115057</v>
      </c>
      <c r="AP30" s="522">
        <f t="shared" si="47"/>
        <v>1.4392403524559967</v>
      </c>
      <c r="AQ30" s="522">
        <f>961679.342058249*1000</f>
        <v>961679342.058249</v>
      </c>
      <c r="AR30" s="522">
        <v>955982864.61000001</v>
      </c>
      <c r="AS30" s="522">
        <f>476154.782992636*1000</f>
        <v>476154782.99263602</v>
      </c>
      <c r="AT30" s="522">
        <v>502545149.37</v>
      </c>
      <c r="AU30" s="522">
        <f t="shared" si="79"/>
        <v>1536890173.818825</v>
      </c>
      <c r="AV30" s="522">
        <f t="shared" si="79"/>
        <v>1564871821.146256</v>
      </c>
      <c r="AW30" s="522">
        <f t="shared" si="28"/>
        <v>27981647.327430964</v>
      </c>
      <c r="AX30" s="522">
        <f t="shared" si="29"/>
        <v>1.8206666815952559</v>
      </c>
      <c r="AY30" s="522">
        <f t="shared" si="82"/>
        <v>1734934240.5599999</v>
      </c>
      <c r="AZ30" s="522">
        <f t="shared" si="30"/>
        <v>-170062419.41374397</v>
      </c>
      <c r="BA30" s="522">
        <v>0</v>
      </c>
      <c r="BB30" s="522">
        <f>671576.040576442*1000</f>
        <v>671576040.576442</v>
      </c>
      <c r="BC30" s="525">
        <f>'[67]Дир_ по реал.услуг'!AT8</f>
        <v>695740842.2927655</v>
      </c>
      <c r="BD30" s="525">
        <f>BI30-AN30</f>
        <v>778554078.61999989</v>
      </c>
      <c r="BE30" s="525">
        <f t="shared" si="33"/>
        <v>106978038.04355788</v>
      </c>
      <c r="BF30" s="525">
        <f t="shared" si="34"/>
        <v>82813236.327234387</v>
      </c>
      <c r="BG30" s="525">
        <f t="shared" si="35"/>
        <v>2109410165.627327</v>
      </c>
      <c r="BH30" s="522">
        <f>AN30+BC30</f>
        <v>2154268856.2727656</v>
      </c>
      <c r="BI30" s="522">
        <v>2237082092.5999999</v>
      </c>
      <c r="BJ30" s="522">
        <f t="shared" si="37"/>
        <v>127671926.97267294</v>
      </c>
      <c r="BK30" s="522">
        <f t="shared" si="38"/>
        <v>82813236.327234268</v>
      </c>
      <c r="BL30" s="525">
        <f>865314.133242383*1000</f>
        <v>865314133.242383</v>
      </c>
      <c r="BM30" s="522">
        <f>'[67]Дир_ по реал.услуг'!AW8</f>
        <v>869130978.85349047</v>
      </c>
      <c r="BN30" s="522">
        <f>AL30-BI30</f>
        <v>956380161.94000006</v>
      </c>
      <c r="BO30" s="522">
        <f t="shared" si="48"/>
        <v>91066028.697617054</v>
      </c>
      <c r="BP30" s="522">
        <f t="shared" si="40"/>
        <v>87249183.086509585</v>
      </c>
      <c r="BQ30" s="525">
        <f>865314.133242383*1000</f>
        <v>865314133.242383</v>
      </c>
      <c r="BR30" s="522">
        <f>'[67]Дир_ по реал.услуг'!BB8</f>
        <v>0</v>
      </c>
      <c r="BS30" s="522">
        <f>'[67]Дир_ по реал.услуг'!BC8</f>
        <v>0</v>
      </c>
      <c r="BT30" s="536"/>
      <c r="BU30" s="522">
        <v>3193462254.54</v>
      </c>
      <c r="BV30" s="522"/>
      <c r="BW30" s="522"/>
      <c r="BX30" s="574"/>
      <c r="BY30" s="591">
        <f>BU30</f>
        <v>3193462254.54</v>
      </c>
      <c r="BZ30" s="591"/>
      <c r="CA30" s="591"/>
      <c r="CB30" s="522">
        <f t="shared" ref="CB30" si="89">SUM(BY30:CA30)</f>
        <v>3193462254.54</v>
      </c>
      <c r="CC30" s="522">
        <f t="shared" si="44"/>
        <v>0</v>
      </c>
      <c r="CD30" s="522"/>
      <c r="CE30" s="522"/>
      <c r="CF30" s="522"/>
      <c r="CG30" s="522"/>
      <c r="CH30" s="522"/>
      <c r="CI30" s="522"/>
      <c r="CJ30" s="522"/>
      <c r="CK30" s="526" t="s">
        <v>78</v>
      </c>
      <c r="CL30" s="526" t="s">
        <v>1787</v>
      </c>
      <c r="CM30" s="528"/>
      <c r="CN30" s="528"/>
      <c r="CO30" s="528"/>
      <c r="CP30" s="529">
        <f>U30</f>
        <v>2974724298.86971</v>
      </c>
      <c r="CQ30" s="529"/>
      <c r="CR30" s="529"/>
      <c r="CS30" s="1711"/>
      <c r="CT30" s="1712"/>
      <c r="CU30" s="1712"/>
      <c r="CV30" s="1712"/>
      <c r="CW30" s="1713"/>
      <c r="CX30" s="528"/>
      <c r="CY30" s="528"/>
      <c r="CZ30" s="528"/>
      <c r="DA30" s="528"/>
      <c r="DB30" s="529">
        <f>955982864.61</f>
        <v>955982864.61000001</v>
      </c>
      <c r="DD30" s="575"/>
      <c r="DE30" s="575"/>
      <c r="DF30" s="591">
        <f t="shared" si="88"/>
        <v>3193462.2545400001</v>
      </c>
      <c r="DG30" s="591">
        <f t="shared" si="88"/>
        <v>0</v>
      </c>
      <c r="DH30" s="591">
        <f t="shared" si="88"/>
        <v>0</v>
      </c>
      <c r="DI30" s="522">
        <f t="shared" si="88"/>
        <v>3193462.2545400001</v>
      </c>
      <c r="DJ30" s="536"/>
      <c r="DK30" s="536"/>
      <c r="DL30" s="536"/>
      <c r="DM30" s="536"/>
      <c r="DN30" s="536"/>
      <c r="DO30" s="536"/>
      <c r="DP30" s="536"/>
      <c r="DQ30" s="536"/>
      <c r="DR30" s="536"/>
      <c r="DS30" s="536"/>
    </row>
    <row r="31" spans="1:123">
      <c r="A31" s="1666" t="s">
        <v>1845</v>
      </c>
      <c r="B31" s="1666"/>
      <c r="C31" s="507">
        <f>C28</f>
        <v>4244793232.3099999</v>
      </c>
      <c r="D31" s="507">
        <f t="shared" ref="D31:T31" si="90">D28</f>
        <v>4085738859.0738869</v>
      </c>
      <c r="E31" s="507">
        <f t="shared" si="90"/>
        <v>4108780110</v>
      </c>
      <c r="F31" s="507">
        <f t="shared" si="90"/>
        <v>4052089419.21</v>
      </c>
      <c r="G31" s="507">
        <f t="shared" si="90"/>
        <v>2470880649.5999999</v>
      </c>
      <c r="H31" s="507">
        <f t="shared" si="90"/>
        <v>0</v>
      </c>
      <c r="I31" s="507">
        <f t="shared" si="90"/>
        <v>2408084000.5599999</v>
      </c>
      <c r="J31" s="507">
        <f t="shared" si="90"/>
        <v>1141525015.4400001</v>
      </c>
      <c r="K31" s="507">
        <f t="shared" si="90"/>
        <v>556373073.76999998</v>
      </c>
      <c r="L31" s="507">
        <f t="shared" si="90"/>
        <v>710185911.35000002</v>
      </c>
      <c r="M31" s="507">
        <f t="shared" si="90"/>
        <v>1697898089.21</v>
      </c>
      <c r="N31" s="507">
        <f t="shared" si="90"/>
        <v>1733622150.3100002</v>
      </c>
      <c r="O31" s="507">
        <f>O28</f>
        <v>811180626.53999972</v>
      </c>
      <c r="P31" s="580">
        <f>P28</f>
        <v>2544802776.8499999</v>
      </c>
      <c r="Q31" s="507">
        <f t="shared" si="12"/>
        <v>136718776.28999996</v>
      </c>
      <c r="R31" s="507">
        <f t="shared" si="13"/>
        <v>5.6774919918992026</v>
      </c>
      <c r="S31" s="507">
        <f t="shared" si="90"/>
        <v>2588333500</v>
      </c>
      <c r="T31" s="507">
        <f t="shared" si="90"/>
        <v>2974724298.8804603</v>
      </c>
      <c r="U31" s="580">
        <f>U28</f>
        <v>2974724298.86971</v>
      </c>
      <c r="V31" s="580">
        <f t="shared" si="1"/>
        <v>-1.0750293731689453E-2</v>
      </c>
      <c r="W31" s="580">
        <f t="shared" si="14"/>
        <v>-3.6138203540758695E-10</v>
      </c>
      <c r="X31" s="580">
        <f t="shared" si="15"/>
        <v>429921522.01971006</v>
      </c>
      <c r="Y31" s="580">
        <f t="shared" si="16"/>
        <v>16.894099846585135</v>
      </c>
      <c r="Z31" s="580">
        <f t="shared" si="17"/>
        <v>3023399835.126256</v>
      </c>
      <c r="AA31" s="580">
        <f t="shared" si="18"/>
        <v>48675536.245795727</v>
      </c>
      <c r="AB31" s="580">
        <f t="shared" si="19"/>
        <v>1.6363041194814087</v>
      </c>
      <c r="AC31" s="580">
        <f t="shared" si="20"/>
        <v>48675536.256546021</v>
      </c>
      <c r="AD31" s="580">
        <f t="shared" si="21"/>
        <v>1.6363041198487167</v>
      </c>
      <c r="AE31" s="580">
        <f t="shared" si="22"/>
        <v>478597058.27625608</v>
      </c>
      <c r="AF31" s="580">
        <f t="shared" si="23"/>
        <v>18.806842818234884</v>
      </c>
      <c r="AG31" s="580">
        <f t="shared" si="46"/>
        <v>3193462254.54</v>
      </c>
      <c r="AH31" s="580">
        <f t="shared" si="24"/>
        <v>218737955.67028999</v>
      </c>
      <c r="AI31" s="580">
        <f t="shared" si="25"/>
        <v>7.3532177672197321</v>
      </c>
      <c r="AJ31" s="580">
        <f t="shared" si="26"/>
        <v>170062419.41374397</v>
      </c>
      <c r="AK31" s="580">
        <f>AG31/Z31*100-100</f>
        <v>5.6248736087743509</v>
      </c>
      <c r="AL31" s="580">
        <f>AL28</f>
        <v>3193462254.54</v>
      </c>
      <c r="AM31" s="580">
        <f t="shared" si="72"/>
        <v>1437834125.050885</v>
      </c>
      <c r="AN31" s="580">
        <f t="shared" si="72"/>
        <v>1458528013.98</v>
      </c>
      <c r="AO31" s="580">
        <f t="shared" si="27"/>
        <v>20693888.929115057</v>
      </c>
      <c r="AP31" s="580">
        <f t="shared" si="47"/>
        <v>1.4392403524559967</v>
      </c>
      <c r="AQ31" s="580">
        <f>AQ28</f>
        <v>961679342.058249</v>
      </c>
      <c r="AR31" s="580">
        <f>AR28</f>
        <v>955982864.61000001</v>
      </c>
      <c r="AS31" s="580">
        <f>AS28</f>
        <v>476154782.99263602</v>
      </c>
      <c r="AT31" s="580">
        <f>AT28</f>
        <v>502545149.37</v>
      </c>
      <c r="AU31" s="580">
        <f t="shared" si="79"/>
        <v>1536890173.818825</v>
      </c>
      <c r="AV31" s="580">
        <f t="shared" si="79"/>
        <v>1564871821.146256</v>
      </c>
      <c r="AW31" s="580">
        <f t="shared" si="28"/>
        <v>27981647.327430964</v>
      </c>
      <c r="AX31" s="580">
        <f t="shared" si="29"/>
        <v>1.8206666815952559</v>
      </c>
      <c r="AY31" s="580">
        <f t="shared" si="82"/>
        <v>1734934240.5599999</v>
      </c>
      <c r="AZ31" s="580">
        <f t="shared" si="30"/>
        <v>-170062419.41374397</v>
      </c>
      <c r="BA31" s="580">
        <v>0</v>
      </c>
      <c r="BB31" s="580">
        <f t="shared" ref="BB31:BN31" si="91">BB28</f>
        <v>671576040.576442</v>
      </c>
      <c r="BC31" s="580">
        <f t="shared" si="91"/>
        <v>695740842.2927655</v>
      </c>
      <c r="BD31" s="580">
        <f t="shared" si="91"/>
        <v>778554078.61999989</v>
      </c>
      <c r="BE31" s="580">
        <f t="shared" si="33"/>
        <v>106978038.04355788</v>
      </c>
      <c r="BF31" s="580">
        <f t="shared" si="34"/>
        <v>82813236.327234387</v>
      </c>
      <c r="BG31" s="580">
        <f t="shared" si="35"/>
        <v>2109410165.627327</v>
      </c>
      <c r="BH31" s="580">
        <f t="shared" ref="BH31:BI31" si="92">BH28</f>
        <v>2154268856.2727656</v>
      </c>
      <c r="BI31" s="580">
        <f t="shared" si="92"/>
        <v>2237082092.5999999</v>
      </c>
      <c r="BJ31" s="580">
        <f t="shared" si="37"/>
        <v>127671926.97267294</v>
      </c>
      <c r="BK31" s="580">
        <f t="shared" si="38"/>
        <v>82813236.327234268</v>
      </c>
      <c r="BL31" s="580">
        <f t="shared" si="91"/>
        <v>865314133.242383</v>
      </c>
      <c r="BM31" s="580">
        <f t="shared" si="91"/>
        <v>869130978.85349047</v>
      </c>
      <c r="BN31" s="580">
        <f t="shared" si="91"/>
        <v>956380161.94000006</v>
      </c>
      <c r="BO31" s="580">
        <f t="shared" si="48"/>
        <v>91066028.697617054</v>
      </c>
      <c r="BP31" s="580">
        <f t="shared" si="40"/>
        <v>87249183.086509585</v>
      </c>
      <c r="BQ31" s="580">
        <f t="shared" ref="BQ31:BS31" si="93">BQ28</f>
        <v>865314133.242383</v>
      </c>
      <c r="BR31" s="580">
        <f t="shared" si="93"/>
        <v>0</v>
      </c>
      <c r="BS31" s="580">
        <f t="shared" si="93"/>
        <v>0</v>
      </c>
      <c r="BU31" s="580">
        <f t="shared" ref="BU31:BV31" si="94">BU28</f>
        <v>3193462254.54</v>
      </c>
      <c r="BV31" s="580">
        <f t="shared" si="94"/>
        <v>0</v>
      </c>
      <c r="BW31" s="580">
        <f t="shared" ref="BW31" si="95">BW27</f>
        <v>0</v>
      </c>
      <c r="BX31" s="581"/>
      <c r="BY31" s="580">
        <f>BY28</f>
        <v>3193462254.54</v>
      </c>
      <c r="BZ31" s="580">
        <f t="shared" ref="BZ31:CB31" si="96">BZ28</f>
        <v>0</v>
      </c>
      <c r="CA31" s="580">
        <f t="shared" si="96"/>
        <v>0</v>
      </c>
      <c r="CB31" s="580">
        <f t="shared" si="96"/>
        <v>3193462254.54</v>
      </c>
      <c r="CC31" s="580">
        <f t="shared" si="44"/>
        <v>0</v>
      </c>
      <c r="CD31" s="580"/>
      <c r="CE31" s="580"/>
      <c r="CF31" s="580"/>
      <c r="CG31" s="580"/>
      <c r="CH31" s="580"/>
      <c r="CI31" s="580"/>
      <c r="CJ31" s="580"/>
      <c r="CK31" s="508"/>
      <c r="CL31" s="508"/>
      <c r="CM31" s="510"/>
      <c r="CN31" s="510"/>
      <c r="CO31" s="510"/>
      <c r="CP31" s="582">
        <f>CP28</f>
        <v>2974724298.86971</v>
      </c>
      <c r="CQ31" s="582">
        <f>CQ28</f>
        <v>0</v>
      </c>
      <c r="CR31" s="582">
        <f>CR28</f>
        <v>0</v>
      </c>
      <c r="CS31" s="1679"/>
      <c r="CT31" s="1680"/>
      <c r="CU31" s="1680"/>
      <c r="CV31" s="1680"/>
      <c r="CW31" s="1681"/>
      <c r="CX31" s="510"/>
      <c r="CY31" s="510"/>
      <c r="CZ31" s="510"/>
      <c r="DA31" s="510"/>
      <c r="DB31" s="582">
        <f>DB28</f>
        <v>955982864.61000001</v>
      </c>
      <c r="DD31" s="572">
        <f>BI28+BI34</f>
        <v>5059847613.0900002</v>
      </c>
      <c r="DE31" s="572"/>
      <c r="DF31" s="580">
        <f t="shared" si="88"/>
        <v>3193462.2545400001</v>
      </c>
      <c r="DG31" s="580">
        <f t="shared" si="88"/>
        <v>0</v>
      </c>
      <c r="DH31" s="580">
        <f t="shared" si="88"/>
        <v>0</v>
      </c>
      <c r="DI31" s="580">
        <f t="shared" si="88"/>
        <v>3193462.2545400001</v>
      </c>
    </row>
    <row r="32" spans="1:123" s="534" customFormat="1">
      <c r="A32" s="583" t="s">
        <v>1846</v>
      </c>
      <c r="B32" s="584"/>
      <c r="C32" s="578"/>
      <c r="D32" s="578"/>
      <c r="E32" s="578">
        <f>E31+E34+E301</f>
        <v>8951195360.6264801</v>
      </c>
      <c r="F32" s="578">
        <f>F31+F34+F301</f>
        <v>8705684234.8800011</v>
      </c>
      <c r="G32" s="578"/>
      <c r="H32" s="578"/>
      <c r="I32" s="578">
        <f t="shared" ref="I32:P32" si="97">I31+I34+I301</f>
        <v>7265944930.4920015</v>
      </c>
      <c r="J32" s="578">
        <f t="shared" si="97"/>
        <v>3503767276.5099998</v>
      </c>
      <c r="K32" s="578">
        <f t="shared" si="97"/>
        <v>1768967929.1199999</v>
      </c>
      <c r="L32" s="578">
        <f t="shared" si="97"/>
        <v>1993209724.862</v>
      </c>
      <c r="M32" s="578">
        <f t="shared" si="97"/>
        <v>5272735205.6300011</v>
      </c>
      <c r="N32" s="578">
        <f t="shared" si="97"/>
        <v>5232207530.4300003</v>
      </c>
      <c r="O32" s="578">
        <f t="shared" si="97"/>
        <v>2194552065.6499996</v>
      </c>
      <c r="P32" s="578">
        <f t="shared" si="97"/>
        <v>7426759596.079999</v>
      </c>
      <c r="Q32" s="578">
        <f t="shared" si="12"/>
        <v>160814665.58799744</v>
      </c>
      <c r="R32" s="578">
        <f t="shared" si="13"/>
        <v>2.2132656815650762</v>
      </c>
      <c r="S32" s="578"/>
      <c r="T32" s="578"/>
      <c r="U32" s="578"/>
      <c r="V32" s="578">
        <f t="shared" si="1"/>
        <v>0</v>
      </c>
      <c r="W32" s="578"/>
      <c r="X32" s="578">
        <f t="shared" si="15"/>
        <v>-7426759596.079999</v>
      </c>
      <c r="Y32" s="578">
        <f t="shared" si="16"/>
        <v>-100</v>
      </c>
      <c r="Z32" s="586">
        <f t="shared" si="17"/>
        <v>0</v>
      </c>
      <c r="AA32" s="578">
        <f t="shared" si="18"/>
        <v>0</v>
      </c>
      <c r="AB32" s="578"/>
      <c r="AC32" s="578">
        <f t="shared" si="20"/>
        <v>0</v>
      </c>
      <c r="AD32" s="578"/>
      <c r="AE32" s="578">
        <f t="shared" si="22"/>
        <v>-7426759596.079999</v>
      </c>
      <c r="AF32" s="578">
        <f t="shared" si="23"/>
        <v>-100</v>
      </c>
      <c r="AG32" s="578">
        <f t="shared" si="46"/>
        <v>0</v>
      </c>
      <c r="AH32" s="578">
        <f t="shared" si="24"/>
        <v>0</v>
      </c>
      <c r="AI32" s="578"/>
      <c r="AJ32" s="578">
        <f t="shared" si="26"/>
        <v>0</v>
      </c>
      <c r="AK32" s="578"/>
      <c r="AL32" s="578"/>
      <c r="AM32" s="578">
        <f t="shared" si="72"/>
        <v>0</v>
      </c>
      <c r="AN32" s="578">
        <f t="shared" si="72"/>
        <v>0</v>
      </c>
      <c r="AO32" s="578">
        <f t="shared" si="27"/>
        <v>0</v>
      </c>
      <c r="AP32" s="578"/>
      <c r="AQ32" s="578"/>
      <c r="AR32" s="578">
        <v>0</v>
      </c>
      <c r="AS32" s="578"/>
      <c r="AT32" s="578">
        <v>0</v>
      </c>
      <c r="AU32" s="578">
        <f t="shared" si="79"/>
        <v>0</v>
      </c>
      <c r="AV32" s="578">
        <f t="shared" si="79"/>
        <v>0</v>
      </c>
      <c r="AW32" s="578">
        <f t="shared" si="28"/>
        <v>0</v>
      </c>
      <c r="AX32" s="578"/>
      <c r="AY32" s="578">
        <f t="shared" si="82"/>
        <v>0</v>
      </c>
      <c r="AZ32" s="578">
        <f t="shared" si="30"/>
        <v>0</v>
      </c>
      <c r="BA32" s="578"/>
      <c r="BB32" s="578"/>
      <c r="BC32" s="576"/>
      <c r="BD32" s="576"/>
      <c r="BE32" s="576">
        <f t="shared" si="33"/>
        <v>0</v>
      </c>
      <c r="BF32" s="576">
        <f t="shared" si="34"/>
        <v>0</v>
      </c>
      <c r="BG32" s="576">
        <f t="shared" si="35"/>
        <v>0</v>
      </c>
      <c r="BH32" s="578"/>
      <c r="BI32" s="578"/>
      <c r="BJ32" s="578">
        <f t="shared" si="37"/>
        <v>0</v>
      </c>
      <c r="BK32" s="578">
        <f t="shared" si="38"/>
        <v>0</v>
      </c>
      <c r="BL32" s="576"/>
      <c r="BM32" s="578"/>
      <c r="BN32" s="578"/>
      <c r="BO32" s="578">
        <f t="shared" si="48"/>
        <v>0</v>
      </c>
      <c r="BP32" s="578">
        <f t="shared" si="40"/>
        <v>0</v>
      </c>
      <c r="BQ32" s="576"/>
      <c r="BR32" s="578"/>
      <c r="BS32" s="578"/>
      <c r="BT32" s="536"/>
      <c r="BU32" s="578"/>
      <c r="BV32" s="578"/>
      <c r="BW32" s="578"/>
      <c r="BX32" s="574"/>
      <c r="BY32" s="578"/>
      <c r="BZ32" s="578"/>
      <c r="CA32" s="578"/>
      <c r="CB32" s="578"/>
      <c r="CC32" s="578">
        <f t="shared" si="44"/>
        <v>0</v>
      </c>
      <c r="CD32" s="578"/>
      <c r="CE32" s="578"/>
      <c r="CF32" s="578"/>
      <c r="CG32" s="578"/>
      <c r="CH32" s="578"/>
      <c r="CI32" s="578"/>
      <c r="CJ32" s="578"/>
      <c r="CK32" s="587"/>
      <c r="CL32" s="587"/>
      <c r="CM32" s="528"/>
      <c r="CN32" s="528"/>
      <c r="CO32" s="528"/>
      <c r="CP32" s="592"/>
      <c r="CQ32" s="592"/>
      <c r="CR32" s="592"/>
      <c r="CS32" s="1685"/>
      <c r="CT32" s="1686"/>
      <c r="CU32" s="1686"/>
      <c r="CV32" s="1686"/>
      <c r="CW32" s="1687"/>
      <c r="CX32" s="528"/>
      <c r="CY32" s="528"/>
      <c r="CZ32" s="528"/>
      <c r="DA32" s="528"/>
      <c r="DB32" s="592"/>
      <c r="DD32" s="535"/>
      <c r="DE32" s="535"/>
      <c r="DF32" s="578">
        <f t="shared" si="88"/>
        <v>0</v>
      </c>
      <c r="DG32" s="578">
        <f t="shared" si="88"/>
        <v>0</v>
      </c>
      <c r="DH32" s="578">
        <f t="shared" si="88"/>
        <v>0</v>
      </c>
      <c r="DI32" s="578">
        <f t="shared" si="88"/>
        <v>0</v>
      </c>
      <c r="DJ32" s="536"/>
      <c r="DK32" s="536"/>
      <c r="DL32" s="536"/>
      <c r="DM32" s="536"/>
      <c r="DN32" s="536"/>
      <c r="DO32" s="536"/>
      <c r="DP32" s="536"/>
      <c r="DQ32" s="536"/>
      <c r="DR32" s="536"/>
      <c r="DS32" s="536"/>
    </row>
    <row r="33" spans="1:123" s="534" customFormat="1">
      <c r="A33" s="583"/>
      <c r="B33" s="584"/>
      <c r="C33" s="585"/>
      <c r="D33" s="585"/>
      <c r="E33" s="585">
        <f>E38-E52</f>
        <v>909360852</v>
      </c>
      <c r="F33" s="585">
        <f>F38-F52</f>
        <v>931015988.43000007</v>
      </c>
      <c r="G33" s="593"/>
      <c r="H33" s="593"/>
      <c r="I33" s="585">
        <f t="shared" ref="I33:P33" si="98">I38-I52</f>
        <v>998439071.88000011</v>
      </c>
      <c r="J33" s="585">
        <f t="shared" si="98"/>
        <v>513603112.62000006</v>
      </c>
      <c r="K33" s="585">
        <f t="shared" si="98"/>
        <v>244908370.81000003</v>
      </c>
      <c r="L33" s="585">
        <f t="shared" si="98"/>
        <v>239927588.44999999</v>
      </c>
      <c r="M33" s="585">
        <f t="shared" si="98"/>
        <v>758511483.42999995</v>
      </c>
      <c r="N33" s="585">
        <f t="shared" si="98"/>
        <v>740561339.26999986</v>
      </c>
      <c r="O33" s="585">
        <f t="shared" si="98"/>
        <v>222914618.45000008</v>
      </c>
      <c r="P33" s="585">
        <f t="shared" si="98"/>
        <v>963475957.72000003</v>
      </c>
      <c r="Q33" s="578">
        <f t="shared" si="12"/>
        <v>-34963114.160000086</v>
      </c>
      <c r="R33" s="578">
        <f t="shared" si="13"/>
        <v>-3.5017774388743277</v>
      </c>
      <c r="S33" s="578"/>
      <c r="T33" s="578"/>
      <c r="U33" s="578"/>
      <c r="V33" s="578">
        <f t="shared" si="1"/>
        <v>0</v>
      </c>
      <c r="W33" s="578"/>
      <c r="X33" s="578">
        <f t="shared" si="15"/>
        <v>-963475957.72000003</v>
      </c>
      <c r="Y33" s="578">
        <f t="shared" si="16"/>
        <v>-100</v>
      </c>
      <c r="Z33" s="586">
        <f t="shared" si="17"/>
        <v>0</v>
      </c>
      <c r="AA33" s="578">
        <f t="shared" si="18"/>
        <v>0</v>
      </c>
      <c r="AB33" s="578"/>
      <c r="AC33" s="578">
        <f t="shared" si="20"/>
        <v>0</v>
      </c>
      <c r="AD33" s="578"/>
      <c r="AE33" s="578">
        <f t="shared" si="22"/>
        <v>-963475957.72000003</v>
      </c>
      <c r="AF33" s="578">
        <f t="shared" si="23"/>
        <v>-100</v>
      </c>
      <c r="AG33" s="578">
        <f t="shared" si="46"/>
        <v>0</v>
      </c>
      <c r="AH33" s="578">
        <f t="shared" si="24"/>
        <v>0</v>
      </c>
      <c r="AI33" s="578"/>
      <c r="AJ33" s="578">
        <f t="shared" si="26"/>
        <v>0</v>
      </c>
      <c r="AK33" s="578"/>
      <c r="AL33" s="578"/>
      <c r="AM33" s="578">
        <f t="shared" si="72"/>
        <v>0</v>
      </c>
      <c r="AN33" s="578">
        <f t="shared" si="72"/>
        <v>0</v>
      </c>
      <c r="AO33" s="578">
        <f t="shared" si="27"/>
        <v>0</v>
      </c>
      <c r="AP33" s="578"/>
      <c r="AQ33" s="578"/>
      <c r="AR33" s="578">
        <v>0</v>
      </c>
      <c r="AS33" s="578"/>
      <c r="AT33" s="578">
        <v>0</v>
      </c>
      <c r="AU33" s="578">
        <f t="shared" si="79"/>
        <v>0</v>
      </c>
      <c r="AV33" s="578">
        <f t="shared" si="79"/>
        <v>0</v>
      </c>
      <c r="AW33" s="578">
        <f t="shared" si="28"/>
        <v>0</v>
      </c>
      <c r="AX33" s="578"/>
      <c r="AY33" s="578">
        <f t="shared" si="82"/>
        <v>0</v>
      </c>
      <c r="AZ33" s="578">
        <f t="shared" si="30"/>
        <v>0</v>
      </c>
      <c r="BA33" s="578"/>
      <c r="BB33" s="578"/>
      <c r="BC33" s="576"/>
      <c r="BD33" s="576"/>
      <c r="BE33" s="576">
        <f t="shared" si="33"/>
        <v>0</v>
      </c>
      <c r="BF33" s="576">
        <f t="shared" si="34"/>
        <v>0</v>
      </c>
      <c r="BG33" s="576">
        <f t="shared" si="35"/>
        <v>0</v>
      </c>
      <c r="BH33" s="578"/>
      <c r="BI33" s="578"/>
      <c r="BJ33" s="578">
        <f t="shared" si="37"/>
        <v>0</v>
      </c>
      <c r="BK33" s="578">
        <f t="shared" si="38"/>
        <v>0</v>
      </c>
      <c r="BL33" s="576"/>
      <c r="BM33" s="578"/>
      <c r="BN33" s="578"/>
      <c r="BO33" s="578">
        <f t="shared" si="48"/>
        <v>0</v>
      </c>
      <c r="BP33" s="578">
        <f t="shared" si="40"/>
        <v>0</v>
      </c>
      <c r="BQ33" s="576"/>
      <c r="BR33" s="578"/>
      <c r="BS33" s="578"/>
      <c r="BT33" s="536"/>
      <c r="BU33" s="578"/>
      <c r="BV33" s="578"/>
      <c r="BW33" s="578"/>
      <c r="BX33" s="574"/>
      <c r="BY33" s="578"/>
      <c r="BZ33" s="578"/>
      <c r="CA33" s="578"/>
      <c r="CB33" s="578"/>
      <c r="CC33" s="578">
        <f t="shared" si="44"/>
        <v>0</v>
      </c>
      <c r="CD33" s="578"/>
      <c r="CE33" s="578"/>
      <c r="CF33" s="578"/>
      <c r="CG33" s="578"/>
      <c r="CH33" s="578"/>
      <c r="CI33" s="578"/>
      <c r="CJ33" s="578"/>
      <c r="CK33" s="587"/>
      <c r="CL33" s="587"/>
      <c r="CM33" s="528"/>
      <c r="CN33" s="528"/>
      <c r="CO33" s="528"/>
      <c r="CP33" s="592"/>
      <c r="CQ33" s="592"/>
      <c r="CR33" s="592"/>
      <c r="CS33" s="1685"/>
      <c r="CT33" s="1686"/>
      <c r="CU33" s="1686"/>
      <c r="CV33" s="1686"/>
      <c r="CW33" s="1687"/>
      <c r="CX33" s="528"/>
      <c r="CY33" s="528"/>
      <c r="CZ33" s="528"/>
      <c r="DA33" s="528"/>
      <c r="DB33" s="592"/>
      <c r="DC33" s="571"/>
      <c r="DD33" s="535"/>
      <c r="DE33" s="535"/>
      <c r="DF33" s="578">
        <f t="shared" si="88"/>
        <v>0</v>
      </c>
      <c r="DG33" s="578">
        <f t="shared" si="88"/>
        <v>0</v>
      </c>
      <c r="DH33" s="578">
        <f t="shared" si="88"/>
        <v>0</v>
      </c>
      <c r="DI33" s="578">
        <f t="shared" si="88"/>
        <v>0</v>
      </c>
      <c r="DJ33" s="536"/>
      <c r="DK33" s="536"/>
      <c r="DL33" s="536"/>
      <c r="DM33" s="536"/>
      <c r="DN33" s="536"/>
      <c r="DO33" s="536"/>
      <c r="DP33" s="536"/>
      <c r="DQ33" s="536"/>
      <c r="DR33" s="536"/>
      <c r="DS33" s="536"/>
    </row>
    <row r="34" spans="1:123">
      <c r="A34" s="505" t="s">
        <v>1839</v>
      </c>
      <c r="B34" s="506" t="s">
        <v>1840</v>
      </c>
      <c r="C34" s="580">
        <f>C35+C38+C56+C72+C85+C139+C230</f>
        <v>3903001892.0259995</v>
      </c>
      <c r="D34" s="580">
        <f t="shared" ref="D34:S34" si="99">D35+D38+D56+D72+D85+D139+D230</f>
        <v>3359426039.024178</v>
      </c>
      <c r="E34" s="580">
        <f t="shared" si="99"/>
        <v>4179342794.1764789</v>
      </c>
      <c r="F34" s="580">
        <f t="shared" si="99"/>
        <v>3945232720.5499997</v>
      </c>
      <c r="G34" s="580">
        <f t="shared" si="99"/>
        <v>3366281105.9767146</v>
      </c>
      <c r="H34" s="580">
        <f t="shared" si="99"/>
        <v>0</v>
      </c>
      <c r="I34" s="580">
        <f t="shared" si="99"/>
        <v>3903770733.0800009</v>
      </c>
      <c r="J34" s="580">
        <f>J35+J38+J56+J72+J85+J139+J230</f>
        <v>1873246123.8</v>
      </c>
      <c r="K34" s="580">
        <f t="shared" si="99"/>
        <v>1028079476.02</v>
      </c>
      <c r="L34" s="580">
        <f t="shared" si="99"/>
        <v>1002445133.2600002</v>
      </c>
      <c r="M34" s="580">
        <f t="shared" si="99"/>
        <v>2901325599.8200002</v>
      </c>
      <c r="N34" s="580">
        <f t="shared" si="99"/>
        <v>2789063452.2400002</v>
      </c>
      <c r="O34" s="580">
        <f>O35+O38+O56+O72+O85+O139+O230</f>
        <v>987415600.3900001</v>
      </c>
      <c r="P34" s="580">
        <f>P35+P38+P56+P72+P85+P139+P230</f>
        <v>3776479052.6300001</v>
      </c>
      <c r="Q34" s="580">
        <f t="shared" si="12"/>
        <v>-127291680.45000076</v>
      </c>
      <c r="R34" s="580">
        <f t="shared" si="13"/>
        <v>-3.2607365840249969</v>
      </c>
      <c r="S34" s="580">
        <f t="shared" si="99"/>
        <v>3578962017.3510051</v>
      </c>
      <c r="T34" s="580">
        <f>T35+T38+T56+T72+T85+T139+T230</f>
        <v>3538623144.1550665</v>
      </c>
      <c r="U34" s="580">
        <f>U35+U38+U56+U72+U85+U139+U230</f>
        <v>3768456824.7570519</v>
      </c>
      <c r="V34" s="580">
        <f t="shared" si="1"/>
        <v>229833680.60198545</v>
      </c>
      <c r="W34" s="580">
        <f t="shared" si="14"/>
        <v>6.4950030347711305</v>
      </c>
      <c r="X34" s="580">
        <f t="shared" si="15"/>
        <v>-8022227.8729481697</v>
      </c>
      <c r="Y34" s="580">
        <f t="shared" si="16"/>
        <v>-0.21242611864512639</v>
      </c>
      <c r="Z34" s="580">
        <f t="shared" si="17"/>
        <v>3805196374.4254885</v>
      </c>
      <c r="AA34" s="580">
        <f t="shared" si="18"/>
        <v>266573230.27042198</v>
      </c>
      <c r="AB34" s="580">
        <f t="shared" si="19"/>
        <v>7.5332472380037245</v>
      </c>
      <c r="AC34" s="580">
        <f t="shared" si="20"/>
        <v>36739549.668436527</v>
      </c>
      <c r="AD34" s="580">
        <f t="shared" si="21"/>
        <v>0.97492292938250102</v>
      </c>
      <c r="AE34" s="580">
        <f t="shared" si="22"/>
        <v>28717321.795488358</v>
      </c>
      <c r="AF34" s="580">
        <f t="shared" si="23"/>
        <v>0.76042581979871215</v>
      </c>
      <c r="AG34" s="580">
        <f t="shared" si="46"/>
        <v>3812346771.723</v>
      </c>
      <c r="AH34" s="580">
        <f t="shared" si="24"/>
        <v>43889946.965948105</v>
      </c>
      <c r="AI34" s="580">
        <f t="shared" si="25"/>
        <v>1.1646663079064865</v>
      </c>
      <c r="AJ34" s="580">
        <f t="shared" si="26"/>
        <v>7150397.2975115776</v>
      </c>
      <c r="AK34" s="580">
        <f>AG34/Z34*100-100</f>
        <v>0.18791138732206036</v>
      </c>
      <c r="AL34" s="580">
        <f>AL35+AL38+AL56+AL72+AL85+AL139+AL230</f>
        <v>3812346771.7230005</v>
      </c>
      <c r="AM34" s="580">
        <f t="shared" si="72"/>
        <v>1955195775.1060073</v>
      </c>
      <c r="AN34" s="580">
        <f t="shared" si="72"/>
        <v>1842474976.8299999</v>
      </c>
      <c r="AO34" s="580">
        <f t="shared" si="27"/>
        <v>-112720798.27600741</v>
      </c>
      <c r="AP34" s="580">
        <f t="shared" si="47"/>
        <v>-5.7651924022746925</v>
      </c>
      <c r="AQ34" s="580">
        <f>AQ35+AQ38+AQ56+AQ72+AQ85+AQ139+AQ230</f>
        <v>883768739.35259151</v>
      </c>
      <c r="AR34" s="580">
        <f>AR35+AR38+AR56+AR72+AR85+AR139+AR230</f>
        <v>900677724.91000009</v>
      </c>
      <c r="AS34" s="580">
        <f>AS35+AS38+AS56+AS72+AS85+AS139+AS230</f>
        <v>1071427035.7534158</v>
      </c>
      <c r="AT34" s="580">
        <f>AT35+AT38+AT56+AT72+AT85+AT139+AT230</f>
        <v>941797251.91999996</v>
      </c>
      <c r="AU34" s="580">
        <f t="shared" si="79"/>
        <v>1813261049.6510448</v>
      </c>
      <c r="AV34" s="580">
        <f t="shared" si="79"/>
        <v>1962721397.5954885</v>
      </c>
      <c r="AW34" s="580">
        <f t="shared" si="28"/>
        <v>149460347.9444437</v>
      </c>
      <c r="AX34" s="580">
        <f t="shared" si="29"/>
        <v>8.2426271701587979</v>
      </c>
      <c r="AY34" s="580">
        <f t="shared" si="82"/>
        <v>1969871794.8930001</v>
      </c>
      <c r="AZ34" s="580">
        <f t="shared" si="30"/>
        <v>-7150397.2975115776</v>
      </c>
      <c r="BA34" s="580">
        <f t="shared" si="31"/>
        <v>-0.36298795261951966</v>
      </c>
      <c r="BB34" s="580">
        <f t="shared" ref="BB34:BN34" si="100">BB35+BB38+BB56+BB72+BB85+BB139+BB230</f>
        <v>953444848.73323822</v>
      </c>
      <c r="BC34" s="580">
        <f t="shared" si="100"/>
        <v>1044074670.7523745</v>
      </c>
      <c r="BD34" s="580">
        <f t="shared" si="100"/>
        <v>980290543.66000009</v>
      </c>
      <c r="BE34" s="580">
        <f t="shared" si="33"/>
        <v>26845694.926761866</v>
      </c>
      <c r="BF34" s="580">
        <f t="shared" si="34"/>
        <v>-63784127.092374444</v>
      </c>
      <c r="BG34" s="580">
        <f t="shared" si="35"/>
        <v>2908640623.8392458</v>
      </c>
      <c r="BH34" s="580">
        <f t="shared" ref="BH34:BI34" si="101">BH35+BH38+BH56+BH72+BH85+BH139+BH230</f>
        <v>2886549647.5823741</v>
      </c>
      <c r="BI34" s="580">
        <f t="shared" si="101"/>
        <v>2822765520.4900007</v>
      </c>
      <c r="BJ34" s="580">
        <f t="shared" si="37"/>
        <v>-85875103.349245071</v>
      </c>
      <c r="BK34" s="580">
        <f t="shared" si="38"/>
        <v>-63784127.092373371</v>
      </c>
      <c r="BL34" s="580">
        <f t="shared" si="100"/>
        <v>859816200.91780651</v>
      </c>
      <c r="BM34" s="580">
        <f t="shared" si="100"/>
        <v>918646726.8431139</v>
      </c>
      <c r="BN34" s="580">
        <f t="shared" si="100"/>
        <v>989581251.23299992</v>
      </c>
      <c r="BO34" s="580">
        <f t="shared" si="48"/>
        <v>129765050.31519341</v>
      </c>
      <c r="BP34" s="580">
        <f t="shared" si="40"/>
        <v>70934524.389886022</v>
      </c>
      <c r="BQ34" s="580">
        <f t="shared" ref="BQ34:BS34" si="102">BQ35+BQ38+BQ56+BQ72+BQ85+BQ139+BQ230</f>
        <v>859816200.91780651</v>
      </c>
      <c r="BR34" s="580">
        <f t="shared" si="102"/>
        <v>0</v>
      </c>
      <c r="BS34" s="580">
        <f t="shared" si="102"/>
        <v>0</v>
      </c>
      <c r="BU34" s="580">
        <f t="shared" ref="BU34:BV34" si="103">BU35+BU38+BU56+BU72+BU85+BU139+BU230</f>
        <v>3411888443.1400003</v>
      </c>
      <c r="BV34" s="580">
        <f t="shared" si="103"/>
        <v>400458328.58299994</v>
      </c>
      <c r="BW34" s="580">
        <f t="shared" ref="BW34" si="104">BW35+BW38+BW56+BW72+BW85+BW140+BW233</f>
        <v>0</v>
      </c>
      <c r="BX34" s="581"/>
      <c r="BY34" s="580">
        <f t="shared" ref="BY34:CB34" si="105">BY35+BY38+BY56+BY72+BY85+BY139+BY230</f>
        <v>3706938201</v>
      </c>
      <c r="BZ34" s="580">
        <f t="shared" si="105"/>
        <v>71668869.850000009</v>
      </c>
      <c r="CA34" s="580">
        <f t="shared" si="105"/>
        <v>33739700.870000005</v>
      </c>
      <c r="CB34" s="580">
        <f t="shared" si="105"/>
        <v>3812346771.7200003</v>
      </c>
      <c r="CC34" s="580">
        <f t="shared" si="44"/>
        <v>3.0002593994140625E-3</v>
      </c>
      <c r="CD34" s="580"/>
      <c r="CE34" s="580"/>
      <c r="CF34" s="580"/>
      <c r="CG34" s="580"/>
      <c r="CH34" s="580"/>
      <c r="CI34" s="580"/>
      <c r="CJ34" s="580"/>
      <c r="CK34" s="508"/>
      <c r="CL34" s="508"/>
      <c r="CM34" s="510"/>
      <c r="CN34" s="510"/>
      <c r="CO34" s="510"/>
      <c r="CP34" s="582">
        <f>CP35+CP38+CP56+CP72+CP85+CP139+CP230</f>
        <v>3581200022.5516486</v>
      </c>
      <c r="CQ34" s="582">
        <f>CQ35+CQ38+CQ56+CQ72+CQ85+CQ139+CQ230</f>
        <v>160817811.79253244</v>
      </c>
      <c r="CR34" s="582">
        <f>CR35+CR38+CR56+CR72+CR85+CR139+CR230</f>
        <v>26438990.412871424</v>
      </c>
      <c r="CS34" s="1679"/>
      <c r="CT34" s="1680"/>
      <c r="CU34" s="1680"/>
      <c r="CV34" s="1680"/>
      <c r="CW34" s="1681"/>
      <c r="CX34" s="510"/>
      <c r="CY34" s="510"/>
      <c r="CZ34" s="510"/>
      <c r="DA34" s="510"/>
      <c r="DB34" s="582">
        <f>DB35+DB38+DB56+DB72+DB85+DB139+DB230</f>
        <v>900677724.91000009</v>
      </c>
      <c r="DD34" s="517"/>
      <c r="DE34" s="517"/>
      <c r="DF34" s="580">
        <f t="shared" si="88"/>
        <v>3706938.2009999999</v>
      </c>
      <c r="DG34" s="580">
        <f t="shared" si="88"/>
        <v>71668.869850000003</v>
      </c>
      <c r="DH34" s="580">
        <f t="shared" si="88"/>
        <v>33739.700870000008</v>
      </c>
      <c r="DI34" s="580">
        <f t="shared" si="88"/>
        <v>3812346.7717200001</v>
      </c>
    </row>
    <row r="35" spans="1:123">
      <c r="A35" s="505" t="s">
        <v>1847</v>
      </c>
      <c r="B35" s="506" t="s">
        <v>64</v>
      </c>
      <c r="C35" s="580">
        <f t="shared" ref="C35:S35" si="106">C36+C37</f>
        <v>211858438.81</v>
      </c>
      <c r="D35" s="580">
        <f t="shared" si="106"/>
        <v>320675590</v>
      </c>
      <c r="E35" s="594">
        <f t="shared" si="106"/>
        <v>352381315.56</v>
      </c>
      <c r="F35" s="594">
        <f t="shared" si="106"/>
        <v>297900504.12</v>
      </c>
      <c r="G35" s="580">
        <f t="shared" si="106"/>
        <v>206057330</v>
      </c>
      <c r="H35" s="580">
        <f t="shared" si="106"/>
        <v>0</v>
      </c>
      <c r="I35" s="580">
        <f t="shared" si="106"/>
        <v>326412603.35000002</v>
      </c>
      <c r="J35" s="580">
        <f>J36+J37</f>
        <v>160609730.24000001</v>
      </c>
      <c r="K35" s="580">
        <f t="shared" si="106"/>
        <v>81931596.74000001</v>
      </c>
      <c r="L35" s="580">
        <f t="shared" si="106"/>
        <v>83871276.370000005</v>
      </c>
      <c r="M35" s="580">
        <f t="shared" si="106"/>
        <v>242541326.97999999</v>
      </c>
      <c r="N35" s="580">
        <f t="shared" si="106"/>
        <v>240976483.78</v>
      </c>
      <c r="O35" s="580">
        <f>O36+O37</f>
        <v>80852149.879999995</v>
      </c>
      <c r="P35" s="580">
        <f>P36+P37</f>
        <v>321828633.65999997</v>
      </c>
      <c r="Q35" s="580">
        <f t="shared" si="12"/>
        <v>-4583969.6900000572</v>
      </c>
      <c r="R35" s="580">
        <f t="shared" si="13"/>
        <v>-1.4043482521674662</v>
      </c>
      <c r="S35" s="580">
        <f t="shared" si="106"/>
        <v>297196020</v>
      </c>
      <c r="T35" s="580">
        <f>T36+T37</f>
        <v>297196020</v>
      </c>
      <c r="U35" s="580">
        <f>U36+U37</f>
        <v>319845333.33249998</v>
      </c>
      <c r="V35" s="580">
        <f t="shared" si="1"/>
        <v>22649313.332499981</v>
      </c>
      <c r="W35" s="580">
        <f t="shared" si="14"/>
        <v>7.6210015640518947</v>
      </c>
      <c r="X35" s="580">
        <f t="shared" si="15"/>
        <v>-1983300.3274999857</v>
      </c>
      <c r="Y35" s="580">
        <f t="shared" si="16"/>
        <v>-0.616259748222177</v>
      </c>
      <c r="Z35" s="580">
        <f t="shared" si="17"/>
        <v>347132062.44999999</v>
      </c>
      <c r="AA35" s="580">
        <f t="shared" si="18"/>
        <v>49936042.449999988</v>
      </c>
      <c r="AB35" s="580">
        <f t="shared" si="19"/>
        <v>16.802392727197343</v>
      </c>
      <c r="AC35" s="580">
        <f t="shared" si="20"/>
        <v>27286729.117500007</v>
      </c>
      <c r="AD35" s="580">
        <f t="shared" si="21"/>
        <v>8.5312262752740224</v>
      </c>
      <c r="AE35" s="580">
        <f t="shared" si="22"/>
        <v>25303428.790000021</v>
      </c>
      <c r="AF35" s="580">
        <f t="shared" si="23"/>
        <v>7.8623920134875789</v>
      </c>
      <c r="AG35" s="580">
        <f t="shared" si="46"/>
        <v>360665697.98000002</v>
      </c>
      <c r="AH35" s="580">
        <f t="shared" si="24"/>
        <v>40820364.647500038</v>
      </c>
      <c r="AI35" s="580">
        <f t="shared" si="25"/>
        <v>12.762532509756724</v>
      </c>
      <c r="AJ35" s="580">
        <f t="shared" si="26"/>
        <v>13533635.530000031</v>
      </c>
      <c r="AK35" s="580">
        <f>AG35/Z35*100-100</f>
        <v>3.898699369479715</v>
      </c>
      <c r="AL35" s="580">
        <f>AL36+AL37</f>
        <v>360665697.98000002</v>
      </c>
      <c r="AM35" s="580">
        <f t="shared" si="72"/>
        <v>159618000</v>
      </c>
      <c r="AN35" s="580">
        <f t="shared" si="72"/>
        <v>172574907.88999999</v>
      </c>
      <c r="AO35" s="580">
        <f t="shared" si="27"/>
        <v>12956907.889999986</v>
      </c>
      <c r="AP35" s="580">
        <f t="shared" si="47"/>
        <v>8.1174478379631267</v>
      </c>
      <c r="AQ35" s="580">
        <f>AQ36+AQ37</f>
        <v>79886000</v>
      </c>
      <c r="AR35" s="580">
        <f>AR36+AR37</f>
        <v>85984794.669999987</v>
      </c>
      <c r="AS35" s="580">
        <f>AS36+AS37</f>
        <v>79732000</v>
      </c>
      <c r="AT35" s="580">
        <f>AT36+AT37</f>
        <v>86590113.219999999</v>
      </c>
      <c r="AU35" s="580">
        <f t="shared" si="79"/>
        <v>160227333.33249998</v>
      </c>
      <c r="AV35" s="580">
        <f t="shared" si="79"/>
        <v>174557154.56</v>
      </c>
      <c r="AW35" s="580">
        <f t="shared" si="28"/>
        <v>14329821.227500021</v>
      </c>
      <c r="AX35" s="580">
        <f t="shared" si="29"/>
        <v>8.9434311421529458</v>
      </c>
      <c r="AY35" s="580">
        <f t="shared" si="82"/>
        <v>188090790.09000003</v>
      </c>
      <c r="AZ35" s="580">
        <f t="shared" si="30"/>
        <v>-13533635.530000031</v>
      </c>
      <c r="BA35" s="580">
        <f t="shared" si="31"/>
        <v>-7.1952675213519512</v>
      </c>
      <c r="BB35" s="580">
        <f t="shared" ref="BB35:BN35" si="107">BB36+BB37</f>
        <v>80266000</v>
      </c>
      <c r="BC35" s="580">
        <f t="shared" si="107"/>
        <v>87319043.430000007</v>
      </c>
      <c r="BD35" s="580">
        <f t="shared" si="107"/>
        <v>88544804.50000003</v>
      </c>
      <c r="BE35" s="580">
        <f t="shared" si="33"/>
        <v>8278804.5000000298</v>
      </c>
      <c r="BF35" s="580">
        <f t="shared" si="34"/>
        <v>1225761.0700000226</v>
      </c>
      <c r="BG35" s="580">
        <f t="shared" si="35"/>
        <v>239884000</v>
      </c>
      <c r="BH35" s="580">
        <f t="shared" ref="BH35:BI35" si="108">BH36+BH37</f>
        <v>259893951.31999999</v>
      </c>
      <c r="BI35" s="580">
        <f t="shared" si="108"/>
        <v>261119712.39000002</v>
      </c>
      <c r="BJ35" s="580">
        <f t="shared" si="37"/>
        <v>21235712.390000015</v>
      </c>
      <c r="BK35" s="580">
        <f t="shared" si="38"/>
        <v>1225761.0700000226</v>
      </c>
      <c r="BL35" s="580">
        <f t="shared" si="107"/>
        <v>79961333.332499996</v>
      </c>
      <c r="BM35" s="580">
        <f t="shared" si="107"/>
        <v>87238111.129999995</v>
      </c>
      <c r="BN35" s="580">
        <f t="shared" si="107"/>
        <v>99545985.590000004</v>
      </c>
      <c r="BO35" s="580">
        <f t="shared" si="48"/>
        <v>19584652.257500008</v>
      </c>
      <c r="BP35" s="580">
        <f t="shared" si="40"/>
        <v>12307874.460000008</v>
      </c>
      <c r="BQ35" s="580">
        <f t="shared" ref="BQ35:BS35" si="109">BQ36+BQ37</f>
        <v>79961333.332499996</v>
      </c>
      <c r="BR35" s="580">
        <f t="shared" si="109"/>
        <v>0</v>
      </c>
      <c r="BS35" s="580">
        <f t="shared" si="109"/>
        <v>0</v>
      </c>
      <c r="BU35" s="580">
        <f t="shared" ref="BU35:BW35" si="110">BU36+BU37</f>
        <v>351339339.13</v>
      </c>
      <c r="BV35" s="580">
        <f t="shared" si="110"/>
        <v>9326358.8499999996</v>
      </c>
      <c r="BW35" s="580">
        <f t="shared" si="110"/>
        <v>0</v>
      </c>
      <c r="BX35" s="581"/>
      <c r="BY35" s="580">
        <f>BY36+BY37</f>
        <v>360093474.20000005</v>
      </c>
      <c r="BZ35" s="580">
        <f t="shared" ref="BZ35:CB35" si="111">BZ36+BZ37</f>
        <v>463893.58</v>
      </c>
      <c r="CA35" s="580">
        <f t="shared" si="111"/>
        <v>108330.2</v>
      </c>
      <c r="CB35" s="580">
        <f t="shared" si="111"/>
        <v>360665697.98000002</v>
      </c>
      <c r="CC35" s="580">
        <f t="shared" si="44"/>
        <v>0</v>
      </c>
      <c r="CD35" s="580"/>
      <c r="CE35" s="580"/>
      <c r="CF35" s="580"/>
      <c r="CG35" s="580"/>
      <c r="CH35" s="580"/>
      <c r="CI35" s="580"/>
      <c r="CJ35" s="580"/>
      <c r="CK35" s="508"/>
      <c r="CL35" s="508"/>
      <c r="CM35" s="510"/>
      <c r="CN35" s="510"/>
      <c r="CO35" s="510"/>
      <c r="CP35" s="582">
        <f>CP36+CP37</f>
        <v>295095845.45884097</v>
      </c>
      <c r="CQ35" s="582">
        <f>CQ36+CQ37</f>
        <v>21675752.573976632</v>
      </c>
      <c r="CR35" s="582">
        <f>CR36+CR37</f>
        <v>3073735.2996823764</v>
      </c>
      <c r="CS35" s="1679"/>
      <c r="CT35" s="1680"/>
      <c r="CU35" s="1680"/>
      <c r="CV35" s="1680"/>
      <c r="CW35" s="1681"/>
      <c r="CX35" s="510"/>
      <c r="CY35" s="510"/>
      <c r="CZ35" s="510"/>
      <c r="DA35" s="510"/>
      <c r="DB35" s="582">
        <f>DB36+DB37</f>
        <v>85984794.669999987</v>
      </c>
      <c r="DD35" s="517"/>
      <c r="DE35" s="517"/>
      <c r="DF35" s="580">
        <f t="shared" si="88"/>
        <v>360093.47420000006</v>
      </c>
      <c r="DG35" s="580">
        <f t="shared" si="88"/>
        <v>463.89358000000004</v>
      </c>
      <c r="DH35" s="580">
        <f t="shared" si="88"/>
        <v>108.33019999999999</v>
      </c>
      <c r="DI35" s="580">
        <f t="shared" si="88"/>
        <v>360665.69798</v>
      </c>
      <c r="DJ35" s="569"/>
    </row>
    <row r="36" spans="1:123" s="534" customFormat="1" ht="29.25" customHeight="1">
      <c r="A36" s="537" t="s">
        <v>1150</v>
      </c>
      <c r="B36" s="538" t="s">
        <v>1848</v>
      </c>
      <c r="C36" s="576">
        <v>211858438.81</v>
      </c>
      <c r="D36" s="576">
        <v>320675590</v>
      </c>
      <c r="E36" s="576">
        <v>352381315.56</v>
      </c>
      <c r="F36" s="576">
        <f>297900504.12-114973.8</f>
        <v>297785530.31999999</v>
      </c>
      <c r="G36" s="577">
        <v>206057330</v>
      </c>
      <c r="H36" s="577">
        <v>0</v>
      </c>
      <c r="I36" s="576">
        <f>J36+K36+L36</f>
        <v>326297629.55000001</v>
      </c>
      <c r="J36" s="576">
        <v>160552243.34</v>
      </c>
      <c r="K36" s="576">
        <v>81902853.290000007</v>
      </c>
      <c r="L36" s="576">
        <v>83842532.920000002</v>
      </c>
      <c r="M36" s="576">
        <f>J36+K36</f>
        <v>242455096.63</v>
      </c>
      <c r="N36" s="576">
        <v>240918996.81999999</v>
      </c>
      <c r="O36" s="525">
        <f>P36-N36</f>
        <v>80852149.879999995</v>
      </c>
      <c r="P36" s="522">
        <v>321771146.69999999</v>
      </c>
      <c r="Q36" s="576">
        <f t="shared" si="12"/>
        <v>-4526482.8500000238</v>
      </c>
      <c r="R36" s="576">
        <f t="shared" si="13"/>
        <v>-1.3872251711551087</v>
      </c>
      <c r="S36" s="576">
        <v>297084140</v>
      </c>
      <c r="T36" s="576">
        <v>297084140</v>
      </c>
      <c r="U36" s="522">
        <f>AQ36+AS36+BB36+BL36</f>
        <v>319845333.33249998</v>
      </c>
      <c r="V36" s="522">
        <f t="shared" si="1"/>
        <v>22761193.332499981</v>
      </c>
      <c r="W36" s="522">
        <f t="shared" si="14"/>
        <v>7.661530949615809</v>
      </c>
      <c r="X36" s="522">
        <f t="shared" si="15"/>
        <v>-1925813.3675000072</v>
      </c>
      <c r="Y36" s="522">
        <f t="shared" si="16"/>
        <v>-0.59850405707616972</v>
      </c>
      <c r="Z36" s="524">
        <f t="shared" si="17"/>
        <v>347132062.44999999</v>
      </c>
      <c r="AA36" s="522">
        <f t="shared" si="18"/>
        <v>50047922.449999988</v>
      </c>
      <c r="AB36" s="522">
        <f t="shared" si="19"/>
        <v>16.846379766351703</v>
      </c>
      <c r="AC36" s="522">
        <f t="shared" si="20"/>
        <v>27286729.117500007</v>
      </c>
      <c r="AD36" s="522">
        <f t="shared" si="21"/>
        <v>8.5312262752740224</v>
      </c>
      <c r="AE36" s="522">
        <f t="shared" si="22"/>
        <v>25360915.75</v>
      </c>
      <c r="AF36" s="522">
        <f t="shared" si="23"/>
        <v>7.8816624828219801</v>
      </c>
      <c r="AG36" s="522">
        <f t="shared" si="46"/>
        <v>360665697.98000002</v>
      </c>
      <c r="AH36" s="522">
        <f t="shared" si="24"/>
        <v>40820364.647500038</v>
      </c>
      <c r="AI36" s="522">
        <f t="shared" si="25"/>
        <v>12.762532509756724</v>
      </c>
      <c r="AJ36" s="522">
        <f t="shared" si="26"/>
        <v>13533635.530000031</v>
      </c>
      <c r="AK36" s="522">
        <f>AG36/Z36*100-100</f>
        <v>3.898699369479715</v>
      </c>
      <c r="AL36" s="522">
        <f t="shared" ref="AL36:AL37" si="112">SUM(BU36:BV36)</f>
        <v>360665697.98000002</v>
      </c>
      <c r="AM36" s="522">
        <f t="shared" si="72"/>
        <v>159618000</v>
      </c>
      <c r="AN36" s="522">
        <f t="shared" si="72"/>
        <v>172574907.88999999</v>
      </c>
      <c r="AO36" s="522">
        <f t="shared" si="27"/>
        <v>12956907.889999986</v>
      </c>
      <c r="AP36" s="522">
        <f t="shared" si="47"/>
        <v>8.1174478379631267</v>
      </c>
      <c r="AQ36" s="578">
        <v>79886000</v>
      </c>
      <c r="AR36" s="578">
        <v>85984794.669999987</v>
      </c>
      <c r="AS36" s="578">
        <v>79732000</v>
      </c>
      <c r="AT36" s="578">
        <v>86590113.219999999</v>
      </c>
      <c r="AU36" s="578">
        <f t="shared" si="79"/>
        <v>160227333.33249998</v>
      </c>
      <c r="AV36" s="578">
        <f t="shared" si="79"/>
        <v>174557154.56</v>
      </c>
      <c r="AW36" s="578">
        <f t="shared" si="28"/>
        <v>14329821.227500021</v>
      </c>
      <c r="AX36" s="578">
        <f t="shared" si="29"/>
        <v>8.9434311421529458</v>
      </c>
      <c r="AY36" s="578">
        <f t="shared" si="82"/>
        <v>188090790.09000003</v>
      </c>
      <c r="AZ36" s="578">
        <f t="shared" si="30"/>
        <v>-13533635.530000031</v>
      </c>
      <c r="BA36" s="578">
        <f t="shared" si="31"/>
        <v>-7.1952675213519512</v>
      </c>
      <c r="BB36" s="578">
        <v>80266000</v>
      </c>
      <c r="BC36" s="576">
        <f>'[67]Дир_по экон'!AT13</f>
        <v>87319043.430000007</v>
      </c>
      <c r="BD36" s="576">
        <f>BI36-AN36</f>
        <v>88544804.50000003</v>
      </c>
      <c r="BE36" s="576">
        <f t="shared" si="33"/>
        <v>8278804.5000000298</v>
      </c>
      <c r="BF36" s="576">
        <f t="shared" si="34"/>
        <v>1225761.0700000226</v>
      </c>
      <c r="BG36" s="576">
        <f t="shared" si="35"/>
        <v>239884000</v>
      </c>
      <c r="BH36" s="578">
        <f>AN36+BC36</f>
        <v>259893951.31999999</v>
      </c>
      <c r="BI36" s="578">
        <f>254963314.87+6156397.52</f>
        <v>261119712.39000002</v>
      </c>
      <c r="BJ36" s="578">
        <f t="shared" si="37"/>
        <v>21235712.390000015</v>
      </c>
      <c r="BK36" s="578">
        <f t="shared" si="38"/>
        <v>1225761.0700000226</v>
      </c>
      <c r="BL36" s="576">
        <v>79961333.332499996</v>
      </c>
      <c r="BM36" s="578">
        <f>'[67]Дир_по экон'!AW13</f>
        <v>87238111.129999995</v>
      </c>
      <c r="BN36" s="522">
        <f t="shared" ref="BN36:BN37" si="113">AL36-BI36</f>
        <v>99545985.590000004</v>
      </c>
      <c r="BO36" s="578">
        <f t="shared" si="48"/>
        <v>19584652.257500008</v>
      </c>
      <c r="BP36" s="578">
        <f t="shared" si="40"/>
        <v>12307874.460000008</v>
      </c>
      <c r="BQ36" s="576">
        <v>79961333.332499996</v>
      </c>
      <c r="BR36" s="578">
        <f>'[67]Дир_по экон'!BB13</f>
        <v>0</v>
      </c>
      <c r="BS36" s="578">
        <f>'[67]Дир_по экон'!BC13</f>
        <v>0</v>
      </c>
      <c r="BT36" s="536"/>
      <c r="BU36" s="522">
        <v>351339339.13</v>
      </c>
      <c r="BV36" s="522">
        <v>9326358.8499999996</v>
      </c>
      <c r="BW36" s="522"/>
      <c r="BX36" s="595"/>
      <c r="BY36" s="525">
        <f>346860927.37+3925654.22+9306892.61</f>
        <v>360093474.20000005</v>
      </c>
      <c r="BZ36" s="525">
        <f>434072.43+10359.2+19461.95</f>
        <v>463893.58</v>
      </c>
      <c r="CA36" s="525">
        <f>106415.5+1910.41+4.29</f>
        <v>108330.2</v>
      </c>
      <c r="CB36" s="522">
        <f t="shared" ref="CB36:CB37" si="114">SUM(BY36:CA36)</f>
        <v>360665697.98000002</v>
      </c>
      <c r="CC36" s="522">
        <f t="shared" si="44"/>
        <v>0</v>
      </c>
      <c r="CD36" s="578"/>
      <c r="CE36" s="578"/>
      <c r="CF36" s="578"/>
      <c r="CG36" s="578"/>
      <c r="CH36" s="578"/>
      <c r="CI36" s="578"/>
      <c r="CJ36" s="578"/>
      <c r="CK36" s="542" t="s">
        <v>77</v>
      </c>
      <c r="CL36" s="542" t="s">
        <v>1800</v>
      </c>
      <c r="CM36" s="510" t="s">
        <v>64</v>
      </c>
      <c r="CN36" s="528" t="s">
        <v>1849</v>
      </c>
      <c r="CO36" s="528"/>
      <c r="CP36" s="544">
        <f>U36*$CU$7/100</f>
        <v>295095845.45884097</v>
      </c>
      <c r="CQ36" s="544">
        <f>U36*$CU$8/100</f>
        <v>21675752.573976632</v>
      </c>
      <c r="CR36" s="544">
        <f>U36*$CU$9/100</f>
        <v>3073735.2996823764</v>
      </c>
      <c r="CS36" s="1688" t="s">
        <v>1826</v>
      </c>
      <c r="CT36" s="1689"/>
      <c r="CU36" s="1689"/>
      <c r="CV36" s="1689"/>
      <c r="CW36" s="1690"/>
      <c r="CX36" s="528"/>
      <c r="CY36" s="528"/>
      <c r="CZ36" s="528"/>
      <c r="DA36" s="528"/>
      <c r="DB36" s="579">
        <f>82993816.85+819757.13+2127050.58+44170.11</f>
        <v>85984794.669999987</v>
      </c>
      <c r="DD36" s="535">
        <f>254963314.87</f>
        <v>254963314.87</v>
      </c>
      <c r="DE36" s="535"/>
      <c r="DF36" s="525">
        <f t="shared" si="88"/>
        <v>360093.47420000006</v>
      </c>
      <c r="DG36" s="525">
        <f t="shared" si="88"/>
        <v>463.89358000000004</v>
      </c>
      <c r="DH36" s="525">
        <f t="shared" si="88"/>
        <v>108.33019999999999</v>
      </c>
      <c r="DI36" s="522">
        <f t="shared" si="88"/>
        <v>360665.69798</v>
      </c>
      <c r="DJ36" s="536"/>
      <c r="DK36" s="536"/>
      <c r="DL36" s="536"/>
      <c r="DM36" s="536"/>
      <c r="DN36" s="536"/>
      <c r="DO36" s="536"/>
      <c r="DP36" s="536"/>
      <c r="DQ36" s="536"/>
      <c r="DR36" s="536"/>
      <c r="DS36" s="536"/>
    </row>
    <row r="37" spans="1:123" s="534" customFormat="1" ht="36.75" customHeight="1">
      <c r="A37" s="537" t="s">
        <v>1850</v>
      </c>
      <c r="B37" s="538" t="s">
        <v>1851</v>
      </c>
      <c r="C37" s="576"/>
      <c r="D37" s="576"/>
      <c r="E37" s="576"/>
      <c r="F37" s="576">
        <v>114973.8</v>
      </c>
      <c r="G37" s="577">
        <v>0</v>
      </c>
      <c r="H37" s="577">
        <v>0</v>
      </c>
      <c r="I37" s="576">
        <f>J37+K37+L37</f>
        <v>114973.8</v>
      </c>
      <c r="J37" s="576">
        <v>57486.9</v>
      </c>
      <c r="K37" s="576">
        <v>28743.45</v>
      </c>
      <c r="L37" s="576">
        <v>28743.45</v>
      </c>
      <c r="M37" s="576">
        <f>J37+K37</f>
        <v>86230.35</v>
      </c>
      <c r="N37" s="576">
        <v>57486.96</v>
      </c>
      <c r="O37" s="525">
        <f>P37-N37</f>
        <v>0</v>
      </c>
      <c r="P37" s="522">
        <v>57486.96</v>
      </c>
      <c r="Q37" s="576">
        <f t="shared" si="12"/>
        <v>-57486.840000000004</v>
      </c>
      <c r="R37" s="576">
        <f t="shared" si="13"/>
        <v>-49.999947814197675</v>
      </c>
      <c r="S37" s="576">
        <v>111880</v>
      </c>
      <c r="T37" s="576">
        <v>111880</v>
      </c>
      <c r="U37" s="522">
        <f>AQ37+AS37+BB37+BL37</f>
        <v>0</v>
      </c>
      <c r="V37" s="522">
        <f t="shared" si="1"/>
        <v>-111880</v>
      </c>
      <c r="W37" s="522">
        <f t="shared" si="14"/>
        <v>-100</v>
      </c>
      <c r="X37" s="522">
        <f t="shared" si="15"/>
        <v>-57486.96</v>
      </c>
      <c r="Y37" s="522">
        <f t="shared" si="16"/>
        <v>-100</v>
      </c>
      <c r="Z37" s="524">
        <f t="shared" si="17"/>
        <v>0</v>
      </c>
      <c r="AA37" s="522">
        <f t="shared" si="18"/>
        <v>-111880</v>
      </c>
      <c r="AB37" s="522">
        <f t="shared" si="19"/>
        <v>-100</v>
      </c>
      <c r="AC37" s="522">
        <f t="shared" si="20"/>
        <v>0</v>
      </c>
      <c r="AD37" s="522">
        <v>0</v>
      </c>
      <c r="AE37" s="522">
        <f t="shared" si="22"/>
        <v>-57486.96</v>
      </c>
      <c r="AF37" s="522">
        <f t="shared" si="23"/>
        <v>-100</v>
      </c>
      <c r="AG37" s="522">
        <f t="shared" si="46"/>
        <v>0</v>
      </c>
      <c r="AH37" s="522">
        <f t="shared" si="24"/>
        <v>0</v>
      </c>
      <c r="AI37" s="522">
        <v>0</v>
      </c>
      <c r="AJ37" s="522">
        <f t="shared" si="26"/>
        <v>0</v>
      </c>
      <c r="AK37" s="522">
        <v>0</v>
      </c>
      <c r="AL37" s="522">
        <f t="shared" si="112"/>
        <v>0</v>
      </c>
      <c r="AM37" s="522">
        <f t="shared" si="72"/>
        <v>0</v>
      </c>
      <c r="AN37" s="522">
        <f t="shared" si="72"/>
        <v>0</v>
      </c>
      <c r="AO37" s="522">
        <f t="shared" si="27"/>
        <v>0</v>
      </c>
      <c r="AP37" s="522">
        <v>0</v>
      </c>
      <c r="AQ37" s="578">
        <v>0</v>
      </c>
      <c r="AR37" s="578">
        <v>0</v>
      </c>
      <c r="AS37" s="578">
        <v>0</v>
      </c>
      <c r="AT37" s="578">
        <v>0</v>
      </c>
      <c r="AU37" s="578">
        <f t="shared" si="79"/>
        <v>0</v>
      </c>
      <c r="AV37" s="578">
        <f t="shared" si="79"/>
        <v>0</v>
      </c>
      <c r="AW37" s="578">
        <f t="shared" si="28"/>
        <v>0</v>
      </c>
      <c r="AX37" s="578">
        <v>0</v>
      </c>
      <c r="AY37" s="578">
        <f t="shared" si="82"/>
        <v>0</v>
      </c>
      <c r="AZ37" s="578">
        <f t="shared" si="30"/>
        <v>0</v>
      </c>
      <c r="BA37" s="578">
        <v>0</v>
      </c>
      <c r="BB37" s="578">
        <v>0</v>
      </c>
      <c r="BC37" s="576">
        <f>'[67]Дир_по экон'!AT14</f>
        <v>0</v>
      </c>
      <c r="BD37" s="576">
        <f>BI37-AN37</f>
        <v>0</v>
      </c>
      <c r="BE37" s="576">
        <f t="shared" si="33"/>
        <v>0</v>
      </c>
      <c r="BF37" s="576">
        <f t="shared" si="34"/>
        <v>0</v>
      </c>
      <c r="BG37" s="576">
        <f t="shared" si="35"/>
        <v>0</v>
      </c>
      <c r="BH37" s="578">
        <f>AN37+BC37</f>
        <v>0</v>
      </c>
      <c r="BI37" s="578"/>
      <c r="BJ37" s="578">
        <f t="shared" si="37"/>
        <v>0</v>
      </c>
      <c r="BK37" s="578">
        <f t="shared" si="38"/>
        <v>0</v>
      </c>
      <c r="BL37" s="576">
        <v>0</v>
      </c>
      <c r="BM37" s="578">
        <f>'[67]Дир_по экон'!AW14</f>
        <v>0</v>
      </c>
      <c r="BN37" s="522">
        <f t="shared" si="113"/>
        <v>0</v>
      </c>
      <c r="BO37" s="578">
        <f t="shared" si="48"/>
        <v>0</v>
      </c>
      <c r="BP37" s="578">
        <f t="shared" si="40"/>
        <v>0</v>
      </c>
      <c r="BQ37" s="576">
        <v>0</v>
      </c>
      <c r="BR37" s="578">
        <f>'[67]Дир_по экон'!BB14</f>
        <v>0</v>
      </c>
      <c r="BS37" s="578">
        <f>'[67]Дир_по экон'!BC14</f>
        <v>0</v>
      </c>
      <c r="BT37" s="536"/>
      <c r="BU37" s="522">
        <v>0</v>
      </c>
      <c r="BV37" s="522">
        <v>0</v>
      </c>
      <c r="BW37" s="522"/>
      <c r="BX37" s="595"/>
      <c r="BY37" s="522"/>
      <c r="BZ37" s="522"/>
      <c r="CA37" s="522"/>
      <c r="CB37" s="522">
        <f t="shared" si="114"/>
        <v>0</v>
      </c>
      <c r="CC37" s="522">
        <f t="shared" si="44"/>
        <v>0</v>
      </c>
      <c r="CD37" s="578"/>
      <c r="CE37" s="578"/>
      <c r="CF37" s="578"/>
      <c r="CG37" s="578"/>
      <c r="CH37" s="578"/>
      <c r="CI37" s="578"/>
      <c r="CJ37" s="578"/>
      <c r="CK37" s="542" t="s">
        <v>77</v>
      </c>
      <c r="CL37" s="542" t="s">
        <v>1800</v>
      </c>
      <c r="CM37" s="510" t="s">
        <v>64</v>
      </c>
      <c r="CN37" s="528" t="s">
        <v>1849</v>
      </c>
      <c r="CO37" s="528"/>
      <c r="CP37" s="544">
        <f>U37*$CU$7/100</f>
        <v>0</v>
      </c>
      <c r="CQ37" s="544">
        <f>U37*$CU$8/100</f>
        <v>0</v>
      </c>
      <c r="CR37" s="544">
        <f>U37*$CU$9/100</f>
        <v>0</v>
      </c>
      <c r="CS37" s="1688" t="s">
        <v>1826</v>
      </c>
      <c r="CT37" s="1689"/>
      <c r="CU37" s="1689"/>
      <c r="CV37" s="1689"/>
      <c r="CW37" s="1690"/>
      <c r="CX37" s="528"/>
      <c r="CY37" s="528"/>
      <c r="CZ37" s="528"/>
      <c r="DA37" s="528"/>
      <c r="DB37" s="579"/>
      <c r="DD37" s="535"/>
      <c r="DE37" s="535"/>
      <c r="DF37" s="522">
        <f t="shared" si="88"/>
        <v>0</v>
      </c>
      <c r="DG37" s="522">
        <f t="shared" si="88"/>
        <v>0</v>
      </c>
      <c r="DH37" s="522">
        <f t="shared" si="88"/>
        <v>0</v>
      </c>
      <c r="DI37" s="522">
        <f t="shared" si="88"/>
        <v>0</v>
      </c>
      <c r="DJ37" s="536"/>
      <c r="DK37" s="536"/>
      <c r="DL37" s="536"/>
      <c r="DM37" s="536"/>
      <c r="DN37" s="536"/>
      <c r="DO37" s="536"/>
      <c r="DP37" s="536"/>
      <c r="DQ37" s="536"/>
      <c r="DR37" s="536"/>
      <c r="DS37" s="536"/>
    </row>
    <row r="38" spans="1:123" ht="55.2">
      <c r="A38" s="505" t="s">
        <v>1852</v>
      </c>
      <c r="B38" s="506" t="s">
        <v>1853</v>
      </c>
      <c r="C38" s="580">
        <f>SUM(C39:C54)</f>
        <v>1035169590.8299999</v>
      </c>
      <c r="D38" s="580">
        <f t="shared" ref="D38:N38" si="115">SUM(D39:D54)</f>
        <v>1102317893.3199999</v>
      </c>
      <c r="E38" s="594">
        <f t="shared" si="115"/>
        <v>1185806552</v>
      </c>
      <c r="F38" s="580">
        <f t="shared" si="115"/>
        <v>1202019227.4000001</v>
      </c>
      <c r="G38" s="580">
        <f t="shared" si="115"/>
        <v>1105013224.6325636</v>
      </c>
      <c r="H38" s="580">
        <f t="shared" si="115"/>
        <v>0</v>
      </c>
      <c r="I38" s="580">
        <f t="shared" si="115"/>
        <v>1259136300.74</v>
      </c>
      <c r="J38" s="580">
        <f>SUM(J39:J54)</f>
        <v>646574147.71000004</v>
      </c>
      <c r="K38" s="580">
        <f t="shared" si="115"/>
        <v>309419623.97000003</v>
      </c>
      <c r="L38" s="580">
        <f t="shared" si="115"/>
        <v>303142529.06</v>
      </c>
      <c r="M38" s="580">
        <f t="shared" si="115"/>
        <v>955993771.67999995</v>
      </c>
      <c r="N38" s="580">
        <f t="shared" si="115"/>
        <v>929040241.12999988</v>
      </c>
      <c r="O38" s="580">
        <f>SUM(O39:O55)</f>
        <v>279024739.85000008</v>
      </c>
      <c r="P38" s="580">
        <f>SUM(P39:P55)</f>
        <v>1208064980.98</v>
      </c>
      <c r="Q38" s="580">
        <f t="shared" si="12"/>
        <v>-51071319.75999999</v>
      </c>
      <c r="R38" s="580">
        <f t="shared" si="13"/>
        <v>-4.0560596759846561</v>
      </c>
      <c r="S38" s="580">
        <f>SUM(S39:S55)</f>
        <v>1193753477.0388</v>
      </c>
      <c r="T38" s="580">
        <f>SUM(T39:T55)</f>
        <v>1268136781.5015049</v>
      </c>
      <c r="U38" s="580">
        <f>SUM(U39:U55)</f>
        <v>1294515298.7345521</v>
      </c>
      <c r="V38" s="580">
        <f t="shared" si="1"/>
        <v>26378517.233047247</v>
      </c>
      <c r="W38" s="580">
        <f t="shared" si="14"/>
        <v>2.0801003186591913</v>
      </c>
      <c r="X38" s="580">
        <f t="shared" si="15"/>
        <v>86450317.754552126</v>
      </c>
      <c r="Y38" s="580">
        <f t="shared" si="16"/>
        <v>7.1560983155411435</v>
      </c>
      <c r="Z38" s="580">
        <f t="shared" si="17"/>
        <v>1307994142.604836</v>
      </c>
      <c r="AA38" s="580">
        <f t="shared" si="18"/>
        <v>39857361.103331089</v>
      </c>
      <c r="AB38" s="580">
        <f t="shared" si="19"/>
        <v>3.1429859684488406</v>
      </c>
      <c r="AC38" s="580">
        <f t="shared" si="20"/>
        <v>13478843.870283842</v>
      </c>
      <c r="AD38" s="580">
        <f t="shared" si="21"/>
        <v>1.0412270819402494</v>
      </c>
      <c r="AE38" s="580">
        <f t="shared" si="22"/>
        <v>99929161.624835968</v>
      </c>
      <c r="AF38" s="580">
        <f t="shared" si="23"/>
        <v>8.2718366311530787</v>
      </c>
      <c r="AG38" s="580">
        <f t="shared" si="46"/>
        <v>1289373007.763</v>
      </c>
      <c r="AH38" s="580">
        <f t="shared" si="24"/>
        <v>-5142290.9715521336</v>
      </c>
      <c r="AI38" s="580">
        <f t="shared" si="25"/>
        <v>-0.39723678635384374</v>
      </c>
      <c r="AJ38" s="580">
        <f t="shared" si="26"/>
        <v>-18621134.841835976</v>
      </c>
      <c r="AK38" s="580">
        <f t="shared" ref="AK38:AK46" si="116">AG38/Z38*100-100</f>
        <v>-1.4236405374685006</v>
      </c>
      <c r="AL38" s="580">
        <f>SUM(AL39:AL55)</f>
        <v>1289373007.763</v>
      </c>
      <c r="AM38" s="580">
        <f t="shared" si="72"/>
        <v>692929064.15600729</v>
      </c>
      <c r="AN38" s="580">
        <f t="shared" si="72"/>
        <v>595833251.98000002</v>
      </c>
      <c r="AO38" s="580">
        <f t="shared" si="27"/>
        <v>-97095812.176007271</v>
      </c>
      <c r="AP38" s="580">
        <f t="shared" si="47"/>
        <v>-14.012374021902332</v>
      </c>
      <c r="AQ38" s="580">
        <f>SUM(AQ39:AQ55)</f>
        <v>295742443.06259167</v>
      </c>
      <c r="AR38" s="580">
        <f>SUM(AR39:AR55)</f>
        <v>291984906</v>
      </c>
      <c r="AS38" s="580">
        <f>SUM(AS39:AS55)</f>
        <v>397186621.09341568</v>
      </c>
      <c r="AT38" s="580">
        <f>SUM(AT39:AT55)</f>
        <v>303848345.98000002</v>
      </c>
      <c r="AU38" s="580">
        <f t="shared" si="79"/>
        <v>601586234.57854486</v>
      </c>
      <c r="AV38" s="580">
        <f t="shared" si="79"/>
        <v>712160890.62483585</v>
      </c>
      <c r="AW38" s="580">
        <f t="shared" si="28"/>
        <v>110574656.04629099</v>
      </c>
      <c r="AX38" s="580">
        <f t="shared" si="29"/>
        <v>18.380516323442237</v>
      </c>
      <c r="AY38" s="580">
        <f t="shared" si="82"/>
        <v>693539755.78299999</v>
      </c>
      <c r="AZ38" s="580">
        <f t="shared" si="30"/>
        <v>18621134.841835856</v>
      </c>
      <c r="BA38" s="580">
        <f t="shared" si="31"/>
        <v>2.6849412289008114</v>
      </c>
      <c r="BB38" s="580">
        <f t="shared" ref="BB38:BN38" si="117">SUM(BB39:BB55)</f>
        <v>308275869.30323833</v>
      </c>
      <c r="BC38" s="580">
        <f t="shared" si="117"/>
        <v>388834560.39819336</v>
      </c>
      <c r="BD38" s="580">
        <f t="shared" si="117"/>
        <v>346303954.16000003</v>
      </c>
      <c r="BE38" s="580">
        <f t="shared" si="33"/>
        <v>38028084.856761694</v>
      </c>
      <c r="BF38" s="580">
        <f t="shared" si="34"/>
        <v>-42530606.238193333</v>
      </c>
      <c r="BG38" s="580">
        <f t="shared" si="35"/>
        <v>1001204933.4592457</v>
      </c>
      <c r="BH38" s="580">
        <f t="shared" ref="BH38:BI38" si="118">SUM(BH39:BH55)</f>
        <v>984667812.37819314</v>
      </c>
      <c r="BI38" s="580">
        <f t="shared" si="118"/>
        <v>942137206.1400001</v>
      </c>
      <c r="BJ38" s="580">
        <f t="shared" si="37"/>
        <v>-59067727.319245577</v>
      </c>
      <c r="BK38" s="580">
        <f t="shared" si="38"/>
        <v>-42530606.238193035</v>
      </c>
      <c r="BL38" s="580">
        <f t="shared" si="117"/>
        <v>293310365.27530646</v>
      </c>
      <c r="BM38" s="580">
        <f t="shared" si="117"/>
        <v>323326330.22664249</v>
      </c>
      <c r="BN38" s="580">
        <f t="shared" si="117"/>
        <v>347235801.62299997</v>
      </c>
      <c r="BO38" s="580">
        <f t="shared" si="48"/>
        <v>53925436.347693503</v>
      </c>
      <c r="BP38" s="580">
        <f t="shared" si="40"/>
        <v>23909471.396357477</v>
      </c>
      <c r="BQ38" s="580">
        <f t="shared" ref="BQ38:BS38" si="119">SUM(BQ39:BQ55)</f>
        <v>293310365.27530646</v>
      </c>
      <c r="BR38" s="580">
        <f t="shared" si="119"/>
        <v>0</v>
      </c>
      <c r="BS38" s="580">
        <f t="shared" si="119"/>
        <v>0</v>
      </c>
      <c r="BU38" s="580">
        <f>SUM(BU39:BU55)</f>
        <v>1107460010.5799999</v>
      </c>
      <c r="BV38" s="580">
        <f t="shared" ref="BV38:BW38" si="120">SUM(BV39:BV55)</f>
        <v>181912997.18300003</v>
      </c>
      <c r="BW38" s="580">
        <f t="shared" si="120"/>
        <v>0</v>
      </c>
      <c r="BX38" s="581"/>
      <c r="BY38" s="580">
        <f t="shared" ref="BY38:CB38" si="121">SUM(BY39:BY55)</f>
        <v>1214687458.04</v>
      </c>
      <c r="BZ38" s="580">
        <f t="shared" si="121"/>
        <v>48581510.820000008</v>
      </c>
      <c r="CA38" s="580">
        <f t="shared" si="121"/>
        <v>26104038.900000002</v>
      </c>
      <c r="CB38" s="580">
        <f t="shared" si="121"/>
        <v>1289373007.76</v>
      </c>
      <c r="CC38" s="580">
        <f t="shared" si="44"/>
        <v>3.0000209808349609E-3</v>
      </c>
      <c r="CD38" s="580"/>
      <c r="CE38" s="580"/>
      <c r="CF38" s="580"/>
      <c r="CG38" s="580"/>
      <c r="CH38" s="580"/>
      <c r="CI38" s="580"/>
      <c r="CJ38" s="580"/>
      <c r="CK38" s="508"/>
      <c r="CL38" s="508"/>
      <c r="CM38" s="510"/>
      <c r="CN38" s="510"/>
      <c r="CO38" s="510"/>
      <c r="CP38" s="582">
        <f>SUM(CP39:CP55)</f>
        <v>1194346287.8114176</v>
      </c>
      <c r="CQ38" s="582">
        <f>SUM(CQ39:CQ55)</f>
        <v>87728631.292637408</v>
      </c>
      <c r="CR38" s="582">
        <f>SUM(CR39:CR55)</f>
        <v>12440379.630497359</v>
      </c>
      <c r="CS38" s="1679"/>
      <c r="CT38" s="1680"/>
      <c r="CU38" s="1680"/>
      <c r="CV38" s="1680"/>
      <c r="CW38" s="1681"/>
      <c r="CX38" s="510"/>
      <c r="CY38" s="510"/>
      <c r="CZ38" s="510"/>
      <c r="DA38" s="510"/>
      <c r="DB38" s="582">
        <f>SUM(DB39:DB55)</f>
        <v>291984906</v>
      </c>
      <c r="DD38" s="517"/>
      <c r="DE38" s="517"/>
      <c r="DF38" s="580">
        <f t="shared" si="88"/>
        <v>1214687.4580399999</v>
      </c>
      <c r="DG38" s="580">
        <f t="shared" si="88"/>
        <v>48581.51082000001</v>
      </c>
      <c r="DH38" s="580">
        <f t="shared" si="88"/>
        <v>26104.038900000003</v>
      </c>
      <c r="DI38" s="580">
        <f t="shared" si="88"/>
        <v>1289373.0077599999</v>
      </c>
    </row>
    <row r="39" spans="1:123" s="534" customFormat="1" ht="94.5" customHeight="1">
      <c r="A39" s="537" t="s">
        <v>1854</v>
      </c>
      <c r="B39" s="521" t="s">
        <v>1855</v>
      </c>
      <c r="C39" s="525">
        <f>456549794.94+2847543</f>
        <v>459397337.94</v>
      </c>
      <c r="D39" s="576">
        <v>835837327.39999998</v>
      </c>
      <c r="E39" s="525">
        <v>504643428</v>
      </c>
      <c r="F39" s="525">
        <f>423426659.64+3220000.91</f>
        <v>426646660.55000001</v>
      </c>
      <c r="G39" s="596">
        <v>837905097.40024161</v>
      </c>
      <c r="H39" s="596">
        <v>0</v>
      </c>
      <c r="I39" s="525">
        <f t="shared" ref="I39:I55" si="122">J39+K39+L39</f>
        <v>491930643.84000003</v>
      </c>
      <c r="J39" s="525">
        <v>226775540.21000001</v>
      </c>
      <c r="K39" s="525">
        <v>132366208.38</v>
      </c>
      <c r="L39" s="525">
        <v>132788895.25</v>
      </c>
      <c r="M39" s="525">
        <f t="shared" ref="M39:M55" si="123">J39+K39</f>
        <v>359141748.59000003</v>
      </c>
      <c r="N39" s="525">
        <v>329949530.39999998</v>
      </c>
      <c r="O39" s="525">
        <f t="shared" ref="O39:O55" si="124">P39-N39</f>
        <v>115659713.66000003</v>
      </c>
      <c r="P39" s="522">
        <f>55624316.67+389984927.39</f>
        <v>445609244.06</v>
      </c>
      <c r="Q39" s="525">
        <f t="shared" si="12"/>
        <v>-46321399.780000031</v>
      </c>
      <c r="R39" s="525">
        <f t="shared" si="13"/>
        <v>-9.4162460420062786</v>
      </c>
      <c r="S39" s="525">
        <f>905435.06595*1000</f>
        <v>905435065.94999993</v>
      </c>
      <c r="T39" s="525">
        <v>962477477.34777987</v>
      </c>
      <c r="U39" s="522">
        <f t="shared" ref="U39:U55" si="125">AQ39+AS39+BB39+BL39</f>
        <v>529898435.92946392</v>
      </c>
      <c r="V39" s="522">
        <f t="shared" si="1"/>
        <v>-432579041.41831595</v>
      </c>
      <c r="W39" s="522">
        <f t="shared" si="14"/>
        <v>-44.944328734874759</v>
      </c>
      <c r="X39" s="522">
        <f t="shared" si="15"/>
        <v>84289191.869463921</v>
      </c>
      <c r="Y39" s="522">
        <f t="shared" si="16"/>
        <v>18.91549445911285</v>
      </c>
      <c r="Z39" s="524">
        <f t="shared" si="17"/>
        <v>528554712.63999999</v>
      </c>
      <c r="AA39" s="522">
        <f t="shared" si="18"/>
        <v>-433922764.70777988</v>
      </c>
      <c r="AB39" s="522">
        <f t="shared" si="19"/>
        <v>-45.083939616281221</v>
      </c>
      <c r="AC39" s="522">
        <f t="shared" si="20"/>
        <v>-1343723.2894639373</v>
      </c>
      <c r="AD39" s="522">
        <f t="shared" si="21"/>
        <v>-0.25358128998946938</v>
      </c>
      <c r="AE39" s="522">
        <f t="shared" si="22"/>
        <v>82945468.579999983</v>
      </c>
      <c r="AF39" s="522">
        <f t="shared" si="23"/>
        <v>18.61394701426606</v>
      </c>
      <c r="AG39" s="522">
        <f t="shared" si="46"/>
        <v>479574758.44999999</v>
      </c>
      <c r="AH39" s="522">
        <f t="shared" si="24"/>
        <v>-50323677.479463935</v>
      </c>
      <c r="AI39" s="522">
        <f t="shared" si="25"/>
        <v>-9.4968533717587036</v>
      </c>
      <c r="AJ39" s="522">
        <f t="shared" si="26"/>
        <v>-48979954.189999998</v>
      </c>
      <c r="AK39" s="522">
        <f t="shared" si="116"/>
        <v>-9.2667708789043246</v>
      </c>
      <c r="AL39" s="522">
        <f t="shared" ref="AL39:AL55" si="126">SUM(BU39:BV39)</f>
        <v>479574758.44999999</v>
      </c>
      <c r="AM39" s="522">
        <f t="shared" si="72"/>
        <v>264949217.96473196</v>
      </c>
      <c r="AN39" s="522">
        <f t="shared" si="72"/>
        <v>239957237.38</v>
      </c>
      <c r="AO39" s="522">
        <f t="shared" si="27"/>
        <v>-24991980.584731966</v>
      </c>
      <c r="AP39" s="522">
        <f t="shared" si="47"/>
        <v>-9.4327436694146911</v>
      </c>
      <c r="AQ39" s="522">
        <f>132474.608982366*1000</f>
        <v>132474608.98236598</v>
      </c>
      <c r="AR39" s="522">
        <v>122480010.83999999</v>
      </c>
      <c r="AS39" s="522">
        <f>132474.608982366*1000</f>
        <v>132474608.98236598</v>
      </c>
      <c r="AT39" s="522">
        <v>117477226.54000001</v>
      </c>
      <c r="AU39" s="522">
        <f t="shared" si="79"/>
        <v>264949217.96473196</v>
      </c>
      <c r="AV39" s="522">
        <f t="shared" si="79"/>
        <v>288597475.25999999</v>
      </c>
      <c r="AW39" s="522">
        <f t="shared" si="28"/>
        <v>23648257.295268029</v>
      </c>
      <c r="AX39" s="522">
        <f t="shared" si="29"/>
        <v>8.9255810894357523</v>
      </c>
      <c r="AY39" s="522">
        <f t="shared" si="82"/>
        <v>239617521.06999999</v>
      </c>
      <c r="AZ39" s="522">
        <f t="shared" si="30"/>
        <v>48979954.189999998</v>
      </c>
      <c r="BA39" s="522">
        <f t="shared" si="31"/>
        <v>20.440890119922145</v>
      </c>
      <c r="BB39" s="522">
        <f>132474.608982366*1000</f>
        <v>132474608.98236598</v>
      </c>
      <c r="BC39" s="525">
        <f>'[67]Дир_по экон'!AT53</f>
        <v>144215550.32999998</v>
      </c>
      <c r="BD39" s="525">
        <f t="shared" ref="BD39:BD55" si="127">BI39-AN39</f>
        <v>113025051.54000002</v>
      </c>
      <c r="BE39" s="525">
        <f t="shared" si="33"/>
        <v>-19449557.442365959</v>
      </c>
      <c r="BF39" s="525">
        <f t="shared" si="34"/>
        <v>-31190498.789999962</v>
      </c>
      <c r="BG39" s="525">
        <f t="shared" si="35"/>
        <v>397423826.94709796</v>
      </c>
      <c r="BH39" s="522">
        <f t="shared" si="35"/>
        <v>384172787.70999998</v>
      </c>
      <c r="BI39" s="522">
        <f>305633538.63+47348750.29</f>
        <v>352982288.92000002</v>
      </c>
      <c r="BJ39" s="522">
        <f t="shared" si="37"/>
        <v>-44441538.02709794</v>
      </c>
      <c r="BK39" s="522">
        <f t="shared" si="38"/>
        <v>-31190498.789999962</v>
      </c>
      <c r="BL39" s="525">
        <f>132474.608982366*1000</f>
        <v>132474608.98236598</v>
      </c>
      <c r="BM39" s="522">
        <f>'[67]Дир_по экон'!AW53</f>
        <v>144381924.93000004</v>
      </c>
      <c r="BN39" s="522">
        <f t="shared" ref="BN39:BN55" si="128">AL39-BI39</f>
        <v>126592469.52999997</v>
      </c>
      <c r="BO39" s="522">
        <f t="shared" si="48"/>
        <v>-5882139.4523660094</v>
      </c>
      <c r="BP39" s="522">
        <f t="shared" si="40"/>
        <v>-17789455.400000066</v>
      </c>
      <c r="BQ39" s="525">
        <f>132474.608982366*1000</f>
        <v>132474608.98236598</v>
      </c>
      <c r="BR39" s="522">
        <f>'[67]Дир_по экон'!BB53</f>
        <v>0</v>
      </c>
      <c r="BS39" s="522">
        <f>'[67]Дир_по экон'!BC53</f>
        <v>0</v>
      </c>
      <c r="BT39" s="536"/>
      <c r="BU39" s="522">
        <v>413864540.69</v>
      </c>
      <c r="BV39" s="522">
        <v>65710217.759999998</v>
      </c>
      <c r="BW39" s="522"/>
      <c r="BX39" s="574"/>
      <c r="BY39" s="522">
        <f>389328390.23+65710217.76</f>
        <v>455038607.99000001</v>
      </c>
      <c r="BZ39" s="522">
        <v>19159011.879999999</v>
      </c>
      <c r="CA39" s="522">
        <v>5377138.5800000001</v>
      </c>
      <c r="CB39" s="522">
        <f>SUM(BY39:CA39)</f>
        <v>479574758.44999999</v>
      </c>
      <c r="CC39" s="522">
        <f t="shared" si="44"/>
        <v>0</v>
      </c>
      <c r="CD39" s="522"/>
      <c r="CE39" s="522"/>
      <c r="CF39" s="522"/>
      <c r="CG39" s="522"/>
      <c r="CH39" s="522"/>
      <c r="CI39" s="522"/>
      <c r="CJ39" s="522"/>
      <c r="CK39" s="543" t="s">
        <v>77</v>
      </c>
      <c r="CL39" s="543" t="s">
        <v>1856</v>
      </c>
      <c r="CM39" s="528" t="s">
        <v>1857</v>
      </c>
      <c r="CN39" s="528" t="s">
        <v>1849</v>
      </c>
      <c r="CO39" s="528"/>
      <c r="CP39" s="544">
        <f t="shared" ref="CP39:CP55" si="129">U39*$CU$7/100</f>
        <v>488895133.55933511</v>
      </c>
      <c r="CQ39" s="544">
        <f t="shared" ref="CQ39:CQ55" si="130">U39*$CU$8/100</f>
        <v>35910942.538604684</v>
      </c>
      <c r="CR39" s="544">
        <f t="shared" ref="CR39:CR55" si="131">U39*$CU$9/100</f>
        <v>5092359.8315241439</v>
      </c>
      <c r="CS39" s="1688" t="s">
        <v>1826</v>
      </c>
      <c r="CT39" s="1689"/>
      <c r="CU39" s="1689"/>
      <c r="CV39" s="1689"/>
      <c r="CW39" s="1690"/>
      <c r="CX39" s="528"/>
      <c r="CY39" s="528"/>
      <c r="CZ39" s="528"/>
      <c r="DA39" s="528"/>
      <c r="DB39" s="544">
        <f>107265669.85+15214340.99</f>
        <v>122480010.83999999</v>
      </c>
      <c r="DD39" s="535"/>
      <c r="DE39" s="535"/>
      <c r="DF39" s="522">
        <f t="shared" si="88"/>
        <v>455038.60798999999</v>
      </c>
      <c r="DG39" s="522">
        <f t="shared" si="88"/>
        <v>19159.011879999998</v>
      </c>
      <c r="DH39" s="522">
        <f t="shared" si="88"/>
        <v>5377.1385799999998</v>
      </c>
      <c r="DI39" s="522">
        <f t="shared" si="88"/>
        <v>479574.75844999996</v>
      </c>
      <c r="DJ39" s="597">
        <f>DI39+DI40+DI41+DI42+DI43+DI44+DI45+DI46+DI47+DI48+DI49+DI50+DI51</f>
        <v>996568.79250999982</v>
      </c>
      <c r="DK39" s="536"/>
      <c r="DL39" s="536"/>
      <c r="DM39" s="536"/>
      <c r="DN39" s="536"/>
      <c r="DO39" s="536"/>
      <c r="DP39" s="536"/>
      <c r="DQ39" s="536"/>
      <c r="DR39" s="536"/>
      <c r="DS39" s="536"/>
    </row>
    <row r="40" spans="1:123" s="534" customFormat="1">
      <c r="A40" s="537" t="s">
        <v>1858</v>
      </c>
      <c r="B40" s="521" t="s">
        <v>1859</v>
      </c>
      <c r="C40" s="525">
        <v>230897337.09999999</v>
      </c>
      <c r="D40" s="576"/>
      <c r="E40" s="525">
        <f>274106384+13825671</f>
        <v>287932055</v>
      </c>
      <c r="F40" s="525">
        <v>290034687.00999999</v>
      </c>
      <c r="G40" s="596">
        <v>0</v>
      </c>
      <c r="H40" s="596">
        <v>0</v>
      </c>
      <c r="I40" s="525">
        <f t="shared" si="122"/>
        <v>327120590.90999997</v>
      </c>
      <c r="J40" s="525">
        <v>169267544.94</v>
      </c>
      <c r="K40" s="525">
        <v>79298564.590000004</v>
      </c>
      <c r="L40" s="525">
        <v>78554481.379999995</v>
      </c>
      <c r="M40" s="525">
        <f t="shared" si="123"/>
        <v>248566109.53</v>
      </c>
      <c r="N40" s="525">
        <v>231034467.18000001</v>
      </c>
      <c r="O40" s="525">
        <f t="shared" si="124"/>
        <v>69621733.360000014</v>
      </c>
      <c r="P40" s="522">
        <f>37105253.13+263550947.41</f>
        <v>300656200.54000002</v>
      </c>
      <c r="Q40" s="525">
        <f t="shared" si="12"/>
        <v>-26464390.369999945</v>
      </c>
      <c r="R40" s="525">
        <f t="shared" si="13"/>
        <v>-8.0901022758549175</v>
      </c>
      <c r="S40" s="525"/>
      <c r="T40" s="525"/>
      <c r="U40" s="522">
        <f t="shared" si="125"/>
        <v>370394224.91100824</v>
      </c>
      <c r="V40" s="522">
        <f t="shared" si="1"/>
        <v>370394224.91100824</v>
      </c>
      <c r="W40" s="522">
        <v>0</v>
      </c>
      <c r="X40" s="522">
        <f t="shared" si="15"/>
        <v>69738024.371008217</v>
      </c>
      <c r="Y40" s="522">
        <f t="shared" si="16"/>
        <v>23.195272289662981</v>
      </c>
      <c r="Z40" s="524">
        <f t="shared" si="17"/>
        <v>342865763.95866793</v>
      </c>
      <c r="AA40" s="522">
        <f t="shared" si="18"/>
        <v>342865763.95866793</v>
      </c>
      <c r="AB40" s="522">
        <v>0</v>
      </c>
      <c r="AC40" s="522">
        <f t="shared" si="20"/>
        <v>-27528460.952340305</v>
      </c>
      <c r="AD40" s="522">
        <f t="shared" si="21"/>
        <v>-7.4322057691246073</v>
      </c>
      <c r="AE40" s="522">
        <f t="shared" si="22"/>
        <v>42209563.418667912</v>
      </c>
      <c r="AF40" s="522">
        <f t="shared" si="23"/>
        <v>14.039146155261889</v>
      </c>
      <c r="AG40" s="522">
        <f t="shared" si="46"/>
        <v>339484454.60000002</v>
      </c>
      <c r="AH40" s="522">
        <f t="shared" si="24"/>
        <v>-30909770.311008215</v>
      </c>
      <c r="AI40" s="522">
        <f t="shared" si="25"/>
        <v>-8.3451004989169775</v>
      </c>
      <c r="AJ40" s="522">
        <f t="shared" si="26"/>
        <v>-3381309.3586679101</v>
      </c>
      <c r="AK40" s="522">
        <f t="shared" si="116"/>
        <v>-0.98619043197194856</v>
      </c>
      <c r="AL40" s="522">
        <f t="shared" si="126"/>
        <v>339484454.60000002</v>
      </c>
      <c r="AM40" s="522">
        <f t="shared" si="72"/>
        <v>216940479.52645022</v>
      </c>
      <c r="AN40" s="522">
        <f t="shared" si="72"/>
        <v>134096166.7</v>
      </c>
      <c r="AO40" s="522">
        <f t="shared" si="27"/>
        <v>-82844312.826450214</v>
      </c>
      <c r="AP40" s="522">
        <f t="shared" si="47"/>
        <v>-38.187577075190113</v>
      </c>
      <c r="AQ40" s="522">
        <f>74667.8653600632*1000</f>
        <v>74667865.360063195</v>
      </c>
      <c r="AR40" s="522">
        <v>64990707.640000001</v>
      </c>
      <c r="AS40" s="522">
        <f>142272.614166387*1000</f>
        <v>142272614.16638702</v>
      </c>
      <c r="AT40" s="522">
        <v>69105459.060000002</v>
      </c>
      <c r="AU40" s="522">
        <f t="shared" si="79"/>
        <v>153453745.38455802</v>
      </c>
      <c r="AV40" s="522">
        <f t="shared" si="79"/>
        <v>208769597.25866792</v>
      </c>
      <c r="AW40" s="522">
        <f t="shared" si="28"/>
        <v>55315851.874109894</v>
      </c>
      <c r="AX40" s="522">
        <f t="shared" si="29"/>
        <v>36.047247811050369</v>
      </c>
      <c r="AY40" s="522">
        <f t="shared" si="82"/>
        <v>205388287.90000004</v>
      </c>
      <c r="AZ40" s="522">
        <f t="shared" si="30"/>
        <v>3381309.3586678803</v>
      </c>
      <c r="BA40" s="522">
        <f t="shared" si="31"/>
        <v>1.6463009615787882</v>
      </c>
      <c r="BB40" s="522">
        <f>76838.6715930871*1000</f>
        <v>76838671.593087107</v>
      </c>
      <c r="BC40" s="525">
        <f>'[67]Дир_по экон'!AT54</f>
        <v>123248669.15050791</v>
      </c>
      <c r="BD40" s="525">
        <f t="shared" si="127"/>
        <v>102056632.01000001</v>
      </c>
      <c r="BE40" s="525">
        <f t="shared" si="33"/>
        <v>25217960.416912898</v>
      </c>
      <c r="BF40" s="525">
        <f t="shared" si="34"/>
        <v>-21192037.140507907</v>
      </c>
      <c r="BG40" s="525">
        <f t="shared" si="35"/>
        <v>293779151.11953735</v>
      </c>
      <c r="BH40" s="522">
        <f t="shared" si="35"/>
        <v>257344835.85050792</v>
      </c>
      <c r="BI40" s="522">
        <f>205611529.4+30541269.31</f>
        <v>236152798.71000001</v>
      </c>
      <c r="BJ40" s="522">
        <f t="shared" si="37"/>
        <v>-57626352.409537345</v>
      </c>
      <c r="BK40" s="522">
        <f t="shared" si="38"/>
        <v>-21192037.140507907</v>
      </c>
      <c r="BL40" s="525">
        <f>76615.0737914709*1000</f>
        <v>76615073.7914709</v>
      </c>
      <c r="BM40" s="522">
        <f>'[67]Дир_по экон'!AW54</f>
        <v>85520928.108160004</v>
      </c>
      <c r="BN40" s="522">
        <f t="shared" si="128"/>
        <v>103331655.89000002</v>
      </c>
      <c r="BO40" s="522">
        <f t="shared" si="48"/>
        <v>26716582.098529115</v>
      </c>
      <c r="BP40" s="522">
        <f t="shared" si="40"/>
        <v>17810727.781840011</v>
      </c>
      <c r="BQ40" s="525">
        <f>76615.0737914709*1000</f>
        <v>76615073.7914709</v>
      </c>
      <c r="BR40" s="522">
        <f>'[67]Дир_по экон'!BB54</f>
        <v>0</v>
      </c>
      <c r="BS40" s="522">
        <f>'[67]Дир_по экон'!BC54</f>
        <v>0</v>
      </c>
      <c r="BT40" s="536"/>
      <c r="BU40" s="522">
        <v>293170398.61000001</v>
      </c>
      <c r="BV40" s="522">
        <v>46314055.990000002</v>
      </c>
      <c r="BW40" s="522"/>
      <c r="BX40" s="574"/>
      <c r="BY40" s="522">
        <f>276236740.73+46314055.99</f>
        <v>322550796.72000003</v>
      </c>
      <c r="BZ40" s="522">
        <v>13526283.460000001</v>
      </c>
      <c r="CA40" s="522">
        <v>3407374.42</v>
      </c>
      <c r="CB40" s="522">
        <f t="shared" ref="CB40:CB50" si="132">SUM(BY40:CA40)</f>
        <v>339484454.60000002</v>
      </c>
      <c r="CC40" s="522">
        <f t="shared" si="44"/>
        <v>0</v>
      </c>
      <c r="CD40" s="522"/>
      <c r="CE40" s="522"/>
      <c r="CF40" s="522"/>
      <c r="CG40" s="522"/>
      <c r="CH40" s="522"/>
      <c r="CI40" s="522"/>
      <c r="CJ40" s="522"/>
      <c r="CK40" s="543" t="s">
        <v>77</v>
      </c>
      <c r="CL40" s="543" t="s">
        <v>1856</v>
      </c>
      <c r="CM40" s="528" t="s">
        <v>1857</v>
      </c>
      <c r="CN40" s="528" t="s">
        <v>1849</v>
      </c>
      <c r="CO40" s="528"/>
      <c r="CP40" s="544">
        <f t="shared" si="129"/>
        <v>341733286.56810439</v>
      </c>
      <c r="CQ40" s="544">
        <f t="shared" si="130"/>
        <v>25101424.774125565</v>
      </c>
      <c r="CR40" s="544">
        <f t="shared" si="131"/>
        <v>3559513.5687783235</v>
      </c>
      <c r="CS40" s="1688" t="s">
        <v>1826</v>
      </c>
      <c r="CT40" s="1689"/>
      <c r="CU40" s="1689"/>
      <c r="CV40" s="1689"/>
      <c r="CW40" s="1690"/>
      <c r="CX40" s="528"/>
      <c r="CY40" s="528"/>
      <c r="CZ40" s="528"/>
      <c r="DA40" s="528"/>
      <c r="DB40" s="544">
        <f>56273248.74+8717458.9</f>
        <v>64990707.640000001</v>
      </c>
      <c r="DD40" s="535"/>
      <c r="DE40" s="535"/>
      <c r="DF40" s="522">
        <f t="shared" si="88"/>
        <v>322550.79672000004</v>
      </c>
      <c r="DG40" s="522">
        <f t="shared" si="88"/>
        <v>13526.283460000001</v>
      </c>
      <c r="DH40" s="522">
        <f t="shared" si="88"/>
        <v>3407.3744200000001</v>
      </c>
      <c r="DI40" s="522">
        <f t="shared" si="88"/>
        <v>339484.4546</v>
      </c>
      <c r="DJ40" s="536"/>
      <c r="DK40" s="536"/>
      <c r="DL40" s="536"/>
      <c r="DM40" s="536"/>
      <c r="DN40" s="536"/>
      <c r="DO40" s="536"/>
      <c r="DP40" s="536"/>
      <c r="DQ40" s="536"/>
      <c r="DR40" s="536"/>
      <c r="DS40" s="536"/>
    </row>
    <row r="41" spans="1:123" s="534" customFormat="1" ht="56.4">
      <c r="A41" s="537" t="s">
        <v>1860</v>
      </c>
      <c r="B41" s="521" t="s">
        <v>1861</v>
      </c>
      <c r="C41" s="525">
        <v>26606752.739999998</v>
      </c>
      <c r="D41" s="576"/>
      <c r="E41" s="525">
        <v>25957487</v>
      </c>
      <c r="F41" s="525">
        <v>27630943.120000001</v>
      </c>
      <c r="G41" s="596">
        <v>0</v>
      </c>
      <c r="H41" s="596">
        <v>0</v>
      </c>
      <c r="I41" s="525">
        <f t="shared" si="122"/>
        <v>28379790.75</v>
      </c>
      <c r="J41" s="525">
        <v>14863113.91</v>
      </c>
      <c r="K41" s="525">
        <v>6791330.1399999997</v>
      </c>
      <c r="L41" s="525">
        <v>6725346.7000000002</v>
      </c>
      <c r="M41" s="525">
        <f t="shared" si="123"/>
        <v>21654444.050000001</v>
      </c>
      <c r="N41" s="525">
        <v>21246461.649999999</v>
      </c>
      <c r="O41" s="525">
        <f t="shared" si="124"/>
        <v>7329837.9800000042</v>
      </c>
      <c r="P41" s="522">
        <f>7236110.51+21340189.12</f>
        <v>28576299.630000003</v>
      </c>
      <c r="Q41" s="525">
        <f t="shared" si="12"/>
        <v>196508.88000000268</v>
      </c>
      <c r="R41" s="525">
        <f t="shared" si="13"/>
        <v>0.69242540133951991</v>
      </c>
      <c r="S41" s="525"/>
      <c r="T41" s="525"/>
      <c r="U41" s="522">
        <f t="shared" si="125"/>
        <v>28602802.29391351</v>
      </c>
      <c r="V41" s="522">
        <f t="shared" si="1"/>
        <v>28602802.29391351</v>
      </c>
      <c r="W41" s="522">
        <v>0</v>
      </c>
      <c r="X41" s="522">
        <f t="shared" si="15"/>
        <v>26502.663913507015</v>
      </c>
      <c r="Y41" s="522">
        <f t="shared" si="16"/>
        <v>9.2743512129487726E-2</v>
      </c>
      <c r="Z41" s="524">
        <f t="shared" si="17"/>
        <v>32192656.7962</v>
      </c>
      <c r="AA41" s="522">
        <f t="shared" si="18"/>
        <v>32192656.7962</v>
      </c>
      <c r="AB41" s="522">
        <v>0</v>
      </c>
      <c r="AC41" s="522">
        <f t="shared" si="20"/>
        <v>3589854.5022864901</v>
      </c>
      <c r="AD41" s="522">
        <f t="shared" si="21"/>
        <v>12.550709071783459</v>
      </c>
      <c r="AE41" s="522">
        <f t="shared" si="22"/>
        <v>3616357.1661999971</v>
      </c>
      <c r="AF41" s="522">
        <f t="shared" si="23"/>
        <v>12.655092552303259</v>
      </c>
      <c r="AG41" s="522">
        <f t="shared" si="46"/>
        <v>31290251.310000002</v>
      </c>
      <c r="AH41" s="522">
        <f t="shared" si="24"/>
        <v>2687449.0160864927</v>
      </c>
      <c r="AI41" s="522">
        <f t="shared" si="25"/>
        <v>9.3957542637644451</v>
      </c>
      <c r="AJ41" s="522">
        <f t="shared" si="26"/>
        <v>-902405.48619999737</v>
      </c>
      <c r="AK41" s="522">
        <f t="shared" si="116"/>
        <v>-2.8031407656497436</v>
      </c>
      <c r="AL41" s="522">
        <f t="shared" si="126"/>
        <v>31290251.310000002</v>
      </c>
      <c r="AM41" s="522">
        <f t="shared" si="72"/>
        <v>15508371.573671538</v>
      </c>
      <c r="AN41" s="522">
        <f t="shared" si="72"/>
        <v>15770823.84</v>
      </c>
      <c r="AO41" s="522">
        <f t="shared" si="27"/>
        <v>262452.26632846147</v>
      </c>
      <c r="AP41" s="522">
        <f t="shared" si="47"/>
        <v>1.6923263998524902</v>
      </c>
      <c r="AQ41" s="522">
        <f>8302.83143834054*1000</f>
        <v>8302831.4383405391</v>
      </c>
      <c r="AR41" s="522">
        <v>8050803.25</v>
      </c>
      <c r="AS41" s="522">
        <f>7205.540135331*1000</f>
        <v>7205540.1353310002</v>
      </c>
      <c r="AT41" s="522">
        <v>7720020.5899999999</v>
      </c>
      <c r="AU41" s="522">
        <f t="shared" si="79"/>
        <v>13094430.720241969</v>
      </c>
      <c r="AV41" s="522">
        <f t="shared" si="79"/>
        <v>16421832.9562</v>
      </c>
      <c r="AW41" s="522">
        <f t="shared" si="28"/>
        <v>3327402.2359580304</v>
      </c>
      <c r="AX41" s="522">
        <f t="shared" si="29"/>
        <v>25.410820119231147</v>
      </c>
      <c r="AY41" s="522">
        <f t="shared" si="82"/>
        <v>15519427.470000003</v>
      </c>
      <c r="AZ41" s="522">
        <f t="shared" si="30"/>
        <v>902405.48619999737</v>
      </c>
      <c r="BA41" s="522">
        <f t="shared" si="31"/>
        <v>5.8146828415184899</v>
      </c>
      <c r="BB41" s="522">
        <f>6637.87232540477*1000</f>
        <v>6637872.3254047697</v>
      </c>
      <c r="BC41" s="525">
        <f>'[67]Дир_по экон'!AT55</f>
        <v>8339479.3855999997</v>
      </c>
      <c r="BD41" s="525">
        <f t="shared" si="127"/>
        <v>7422817.4199999981</v>
      </c>
      <c r="BE41" s="525">
        <f t="shared" si="33"/>
        <v>784945.09459522832</v>
      </c>
      <c r="BF41" s="525">
        <f t="shared" si="34"/>
        <v>-916661.96560000163</v>
      </c>
      <c r="BG41" s="525">
        <f t="shared" si="35"/>
        <v>22146243.899076309</v>
      </c>
      <c r="BH41" s="522">
        <f t="shared" si="35"/>
        <v>24110303.2256</v>
      </c>
      <c r="BI41" s="522">
        <f>16034017.04+7159624.22</f>
        <v>23193641.259999998</v>
      </c>
      <c r="BJ41" s="522">
        <f t="shared" si="37"/>
        <v>1047397.3609236889</v>
      </c>
      <c r="BK41" s="522">
        <f t="shared" si="38"/>
        <v>-916661.96560000256</v>
      </c>
      <c r="BL41" s="525">
        <f>6456.5583948372*1000</f>
        <v>6456558.3948371997</v>
      </c>
      <c r="BM41" s="522">
        <f>'[67]Дир_по экон'!AW55</f>
        <v>8082353.5706000011</v>
      </c>
      <c r="BN41" s="522">
        <f t="shared" si="128"/>
        <v>8096610.0500000045</v>
      </c>
      <c r="BO41" s="522">
        <f t="shared" si="48"/>
        <v>1640051.6551628048</v>
      </c>
      <c r="BP41" s="522">
        <f t="shared" si="40"/>
        <v>14256.479400003329</v>
      </c>
      <c r="BQ41" s="525">
        <f>6456.5583948372*1000</f>
        <v>6456558.3948371997</v>
      </c>
      <c r="BR41" s="522">
        <f>'[67]Дир_по экон'!BB55</f>
        <v>0</v>
      </c>
      <c r="BS41" s="522">
        <f>'[67]Дир_по экон'!BC55</f>
        <v>0</v>
      </c>
      <c r="BT41" s="536"/>
      <c r="BU41" s="522">
        <v>21308044.23</v>
      </c>
      <c r="BV41" s="522">
        <v>9982207.0800000001</v>
      </c>
      <c r="BW41" s="522"/>
      <c r="BX41" s="574"/>
      <c r="BY41" s="522">
        <f>20903670.08+9982207.08</f>
        <v>30885877.159999996</v>
      </c>
      <c r="BZ41" s="522">
        <v>171294.41</v>
      </c>
      <c r="CA41" s="522">
        <v>233079.74</v>
      </c>
      <c r="CB41" s="522">
        <f t="shared" si="132"/>
        <v>31290251.309999995</v>
      </c>
      <c r="CC41" s="522">
        <f t="shared" si="44"/>
        <v>0</v>
      </c>
      <c r="CD41" s="522"/>
      <c r="CE41" s="522"/>
      <c r="CF41" s="522"/>
      <c r="CG41" s="522"/>
      <c r="CH41" s="522"/>
      <c r="CI41" s="522"/>
      <c r="CJ41" s="522"/>
      <c r="CK41" s="543" t="s">
        <v>77</v>
      </c>
      <c r="CL41" s="543" t="s">
        <v>1856</v>
      </c>
      <c r="CM41" s="528" t="s">
        <v>1857</v>
      </c>
      <c r="CN41" s="528" t="s">
        <v>1849</v>
      </c>
      <c r="CO41" s="528"/>
      <c r="CP41" s="544">
        <f t="shared" si="129"/>
        <v>26389530.331649285</v>
      </c>
      <c r="CQ41" s="544">
        <f t="shared" si="130"/>
        <v>1938397.0964513759</v>
      </c>
      <c r="CR41" s="544">
        <f t="shared" si="131"/>
        <v>274874.86581285245</v>
      </c>
      <c r="CS41" s="1688" t="s">
        <v>1826</v>
      </c>
      <c r="CT41" s="1689"/>
      <c r="CU41" s="1689"/>
      <c r="CV41" s="1689"/>
      <c r="CW41" s="1690"/>
      <c r="CX41" s="528"/>
      <c r="CY41" s="528"/>
      <c r="CZ41" s="528"/>
      <c r="DA41" s="528"/>
      <c r="DB41" s="544">
        <f>5989187.69+2061615.56</f>
        <v>8050803.25</v>
      </c>
      <c r="DD41" s="535"/>
      <c r="DE41" s="535"/>
      <c r="DF41" s="522">
        <f t="shared" si="88"/>
        <v>30885.877159999996</v>
      </c>
      <c r="DG41" s="522">
        <f t="shared" si="88"/>
        <v>171.29441</v>
      </c>
      <c r="DH41" s="522">
        <f t="shared" si="88"/>
        <v>233.07973999999999</v>
      </c>
      <c r="DI41" s="522">
        <f t="shared" si="88"/>
        <v>31290.251309999996</v>
      </c>
      <c r="DJ41" s="536"/>
      <c r="DK41" s="536"/>
      <c r="DL41" s="536"/>
      <c r="DM41" s="536"/>
      <c r="DN41" s="536"/>
      <c r="DO41" s="536"/>
      <c r="DP41" s="536"/>
      <c r="DQ41" s="536"/>
      <c r="DR41" s="536"/>
      <c r="DS41" s="536"/>
    </row>
    <row r="42" spans="1:123" s="534" customFormat="1" ht="81.75" customHeight="1">
      <c r="A42" s="537" t="s">
        <v>1862</v>
      </c>
      <c r="B42" s="521" t="s">
        <v>1863</v>
      </c>
      <c r="C42" s="525">
        <v>6724304.7699999996</v>
      </c>
      <c r="D42" s="576"/>
      <c r="E42" s="525">
        <v>5025066</v>
      </c>
      <c r="F42" s="525">
        <v>6395401.6399999997</v>
      </c>
      <c r="G42" s="596">
        <v>0</v>
      </c>
      <c r="H42" s="596">
        <v>0</v>
      </c>
      <c r="I42" s="525">
        <f t="shared" si="122"/>
        <v>14895144.48</v>
      </c>
      <c r="J42" s="525">
        <v>7447572.2400000012</v>
      </c>
      <c r="K42" s="525">
        <v>1616358.96</v>
      </c>
      <c r="L42" s="525">
        <v>5831213.2800000003</v>
      </c>
      <c r="M42" s="525">
        <f t="shared" si="123"/>
        <v>9063931.2000000011</v>
      </c>
      <c r="N42" s="525">
        <v>8821056.8699999992</v>
      </c>
      <c r="O42" s="525">
        <f t="shared" si="124"/>
        <v>-78522.539999999106</v>
      </c>
      <c r="P42" s="522">
        <f>1328249.64+7414284.69</f>
        <v>8742534.3300000001</v>
      </c>
      <c r="Q42" s="525">
        <f t="shared" si="12"/>
        <v>-6152610.1500000004</v>
      </c>
      <c r="R42" s="525">
        <f t="shared" si="13"/>
        <v>-41.306146162336518</v>
      </c>
      <c r="S42" s="525"/>
      <c r="T42" s="525"/>
      <c r="U42" s="522">
        <f t="shared" si="125"/>
        <v>6815097.5800000001</v>
      </c>
      <c r="V42" s="522">
        <f t="shared" si="1"/>
        <v>6815097.5800000001</v>
      </c>
      <c r="W42" s="522">
        <v>0</v>
      </c>
      <c r="X42" s="522">
        <f t="shared" si="15"/>
        <v>-1927436.75</v>
      </c>
      <c r="Y42" s="522">
        <f t="shared" si="16"/>
        <v>-22.046659209401128</v>
      </c>
      <c r="Z42" s="524">
        <f t="shared" si="17"/>
        <v>9149154.6099999994</v>
      </c>
      <c r="AA42" s="522">
        <f t="shared" si="18"/>
        <v>9149154.6099999994</v>
      </c>
      <c r="AB42" s="522">
        <v>0</v>
      </c>
      <c r="AC42" s="522">
        <f t="shared" si="20"/>
        <v>2334057.0299999993</v>
      </c>
      <c r="AD42" s="522">
        <f t="shared" si="21"/>
        <v>34.248328840509402</v>
      </c>
      <c r="AE42" s="522">
        <f t="shared" si="22"/>
        <v>406620.27999999933</v>
      </c>
      <c r="AF42" s="522">
        <f t="shared" si="23"/>
        <v>4.651057286726143</v>
      </c>
      <c r="AG42" s="522">
        <f t="shared" si="46"/>
        <v>10827989.630000001</v>
      </c>
      <c r="AH42" s="522">
        <f t="shared" si="24"/>
        <v>4012892.0500000007</v>
      </c>
      <c r="AI42" s="522">
        <f t="shared" si="25"/>
        <v>58.882385804371722</v>
      </c>
      <c r="AJ42" s="522">
        <f t="shared" si="26"/>
        <v>1678835.0200000014</v>
      </c>
      <c r="AK42" s="522">
        <f t="shared" si="116"/>
        <v>18.349619080270415</v>
      </c>
      <c r="AL42" s="522">
        <f t="shared" si="126"/>
        <v>10827989.630000001</v>
      </c>
      <c r="AM42" s="522">
        <f t="shared" si="72"/>
        <v>4512831.68</v>
      </c>
      <c r="AN42" s="522">
        <f t="shared" si="72"/>
        <v>6659926.3200000003</v>
      </c>
      <c r="AO42" s="522">
        <f t="shared" si="27"/>
        <v>2147094.6400000006</v>
      </c>
      <c r="AP42" s="522">
        <f t="shared" si="47"/>
        <v>47.577547585377715</v>
      </c>
      <c r="AQ42" s="522">
        <f>3428.1637*1000</f>
        <v>3428163.7</v>
      </c>
      <c r="AR42" s="522">
        <v>4675691.38</v>
      </c>
      <c r="AS42" s="522">
        <f>1084.66798*1000</f>
        <v>1084667.98</v>
      </c>
      <c r="AT42" s="522">
        <v>1984234.9400000004</v>
      </c>
      <c r="AU42" s="522">
        <f t="shared" si="79"/>
        <v>2302265.9000000004</v>
      </c>
      <c r="AV42" s="522">
        <f t="shared" si="79"/>
        <v>2489228.29</v>
      </c>
      <c r="AW42" s="522">
        <f t="shared" si="28"/>
        <v>186962.38999999966</v>
      </c>
      <c r="AX42" s="522">
        <f t="shared" si="29"/>
        <v>8.1207991657262397</v>
      </c>
      <c r="AY42" s="522">
        <f t="shared" si="82"/>
        <v>4168063.3100000005</v>
      </c>
      <c r="AZ42" s="522">
        <f t="shared" si="30"/>
        <v>-1678835.0200000005</v>
      </c>
      <c r="BA42" s="522">
        <f t="shared" si="31"/>
        <v>-40.278539339173335</v>
      </c>
      <c r="BB42" s="522">
        <f>1060.39857*1000</f>
        <v>1060398.57</v>
      </c>
      <c r="BC42" s="525">
        <f>'[67]Дир_по экон'!AT56</f>
        <v>1151034.8</v>
      </c>
      <c r="BD42" s="525">
        <f t="shared" si="127"/>
        <v>2261476.459999999</v>
      </c>
      <c r="BE42" s="525">
        <f t="shared" si="33"/>
        <v>1201077.889999999</v>
      </c>
      <c r="BF42" s="525">
        <f t="shared" si="34"/>
        <v>1110441.659999999</v>
      </c>
      <c r="BG42" s="525">
        <f t="shared" si="35"/>
        <v>5573230.25</v>
      </c>
      <c r="BH42" s="522">
        <f t="shared" si="35"/>
        <v>7810961.1200000001</v>
      </c>
      <c r="BI42" s="522">
        <f>7312225.6+1609177.18</f>
        <v>8921402.7799999993</v>
      </c>
      <c r="BJ42" s="522">
        <f t="shared" si="37"/>
        <v>3348172.5299999993</v>
      </c>
      <c r="BK42" s="522">
        <f t="shared" si="38"/>
        <v>1110441.6599999992</v>
      </c>
      <c r="BL42" s="525">
        <f>1241.86733*1000</f>
        <v>1241867.33</v>
      </c>
      <c r="BM42" s="522">
        <f>'[67]Дир_по экон'!AW56</f>
        <v>1338193.4900000002</v>
      </c>
      <c r="BN42" s="522">
        <f t="shared" si="128"/>
        <v>1906586.8500000015</v>
      </c>
      <c r="BO42" s="522">
        <f t="shared" si="48"/>
        <v>664719.52000000142</v>
      </c>
      <c r="BP42" s="522">
        <f t="shared" si="40"/>
        <v>568393.36000000127</v>
      </c>
      <c r="BQ42" s="525">
        <f>1241.86733*1000</f>
        <v>1241867.33</v>
      </c>
      <c r="BR42" s="522">
        <f>'[67]Дир_по экон'!BB56</f>
        <v>0</v>
      </c>
      <c r="BS42" s="522">
        <f>'[67]Дир_по экон'!BC56</f>
        <v>0</v>
      </c>
      <c r="BT42" s="536"/>
      <c r="BU42" s="522">
        <v>8854285.6500000004</v>
      </c>
      <c r="BV42" s="522">
        <v>1973703.98</v>
      </c>
      <c r="BW42" s="522"/>
      <c r="BX42" s="574"/>
      <c r="BY42" s="522">
        <f>8691113.7+1973703.98</f>
        <v>10664817.68</v>
      </c>
      <c r="BZ42" s="522">
        <v>93718.79</v>
      </c>
      <c r="CA42" s="522">
        <v>69453.16</v>
      </c>
      <c r="CB42" s="522">
        <f t="shared" si="132"/>
        <v>10827989.629999999</v>
      </c>
      <c r="CC42" s="522">
        <f t="shared" si="44"/>
        <v>0</v>
      </c>
      <c r="CD42" s="522"/>
      <c r="CE42" s="522"/>
      <c r="CF42" s="522"/>
      <c r="CG42" s="522"/>
      <c r="CH42" s="522"/>
      <c r="CI42" s="522"/>
      <c r="CJ42" s="522"/>
      <c r="CK42" s="543" t="s">
        <v>77</v>
      </c>
      <c r="CL42" s="543" t="s">
        <v>1856</v>
      </c>
      <c r="CM42" s="528" t="s">
        <v>1857</v>
      </c>
      <c r="CN42" s="528" t="s">
        <v>1849</v>
      </c>
      <c r="CO42" s="528"/>
      <c r="CP42" s="544">
        <f t="shared" si="129"/>
        <v>6287748.3979543485</v>
      </c>
      <c r="CQ42" s="544">
        <f t="shared" si="130"/>
        <v>461855.63307256356</v>
      </c>
      <c r="CR42" s="544">
        <f t="shared" si="131"/>
        <v>65493.548973088611</v>
      </c>
      <c r="CS42" s="1688" t="s">
        <v>1826</v>
      </c>
      <c r="CT42" s="1689"/>
      <c r="CU42" s="1689"/>
      <c r="CV42" s="1689"/>
      <c r="CW42" s="1690"/>
      <c r="CX42" s="528"/>
      <c r="CY42" s="528"/>
      <c r="CZ42" s="528"/>
      <c r="DA42" s="528"/>
      <c r="DB42" s="544">
        <f>3960210.1+715481.28</f>
        <v>4675691.38</v>
      </c>
      <c r="DD42" s="535"/>
      <c r="DE42" s="535"/>
      <c r="DF42" s="522">
        <f t="shared" si="88"/>
        <v>10664.81768</v>
      </c>
      <c r="DG42" s="522">
        <f t="shared" si="88"/>
        <v>93.718789999999998</v>
      </c>
      <c r="DH42" s="522">
        <f t="shared" si="88"/>
        <v>69.453159999999997</v>
      </c>
      <c r="DI42" s="522">
        <f t="shared" si="88"/>
        <v>10827.989629999998</v>
      </c>
      <c r="DJ42" s="536"/>
      <c r="DK42" s="536"/>
      <c r="DL42" s="536"/>
      <c r="DM42" s="536"/>
      <c r="DN42" s="536"/>
      <c r="DO42" s="536"/>
      <c r="DP42" s="536"/>
      <c r="DQ42" s="536"/>
      <c r="DR42" s="536"/>
      <c r="DS42" s="536"/>
    </row>
    <row r="43" spans="1:123" s="534" customFormat="1" ht="64.5" customHeight="1">
      <c r="A43" s="537" t="s">
        <v>1864</v>
      </c>
      <c r="B43" s="521" t="s">
        <v>1865</v>
      </c>
      <c r="C43" s="525">
        <v>2009333</v>
      </c>
      <c r="D43" s="576"/>
      <c r="E43" s="525">
        <v>2014504</v>
      </c>
      <c r="F43" s="525">
        <v>664507.6</v>
      </c>
      <c r="G43" s="596">
        <v>0</v>
      </c>
      <c r="H43" s="596">
        <v>0</v>
      </c>
      <c r="I43" s="525">
        <f t="shared" si="122"/>
        <v>798050</v>
      </c>
      <c r="J43" s="525">
        <v>138050</v>
      </c>
      <c r="K43" s="525">
        <v>330000</v>
      </c>
      <c r="L43" s="525">
        <v>330000</v>
      </c>
      <c r="M43" s="525">
        <f t="shared" si="123"/>
        <v>468050</v>
      </c>
      <c r="N43" s="525">
        <v>138050</v>
      </c>
      <c r="O43" s="525">
        <f t="shared" si="124"/>
        <v>0</v>
      </c>
      <c r="P43" s="522">
        <v>138050</v>
      </c>
      <c r="Q43" s="525">
        <f t="shared" si="12"/>
        <v>-660000</v>
      </c>
      <c r="R43" s="525">
        <f t="shared" si="13"/>
        <v>-82.701585113714685</v>
      </c>
      <c r="S43" s="525"/>
      <c r="T43" s="525"/>
      <c r="U43" s="522">
        <f t="shared" si="125"/>
        <v>1320000</v>
      </c>
      <c r="V43" s="522">
        <f t="shared" si="1"/>
        <v>1320000</v>
      </c>
      <c r="W43" s="522">
        <v>0</v>
      </c>
      <c r="X43" s="522">
        <f t="shared" si="15"/>
        <v>1181950</v>
      </c>
      <c r="Y43" s="522">
        <f t="shared" si="16"/>
        <v>856.17529880478094</v>
      </c>
      <c r="Z43" s="524">
        <f t="shared" si="17"/>
        <v>674960</v>
      </c>
      <c r="AA43" s="522">
        <f t="shared" si="18"/>
        <v>674960</v>
      </c>
      <c r="AB43" s="522">
        <v>0</v>
      </c>
      <c r="AC43" s="522">
        <f t="shared" si="20"/>
        <v>-645040</v>
      </c>
      <c r="AD43" s="522">
        <f t="shared" si="21"/>
        <v>-48.866666666666667</v>
      </c>
      <c r="AE43" s="522">
        <f t="shared" si="22"/>
        <v>536910</v>
      </c>
      <c r="AF43" s="522">
        <f t="shared" si="23"/>
        <v>388.92430278884456</v>
      </c>
      <c r="AG43" s="522">
        <f t="shared" si="46"/>
        <v>14960</v>
      </c>
      <c r="AH43" s="522">
        <f t="shared" si="24"/>
        <v>-1305040</v>
      </c>
      <c r="AI43" s="522">
        <f t="shared" si="25"/>
        <v>-98.86666666666666</v>
      </c>
      <c r="AJ43" s="522">
        <f t="shared" si="26"/>
        <v>-660000</v>
      </c>
      <c r="AK43" s="522">
        <f t="shared" si="116"/>
        <v>-97.783572359843546</v>
      </c>
      <c r="AL43" s="522">
        <f t="shared" si="126"/>
        <v>14960</v>
      </c>
      <c r="AM43" s="522">
        <f t="shared" si="72"/>
        <v>660000</v>
      </c>
      <c r="AN43" s="522">
        <f t="shared" si="72"/>
        <v>14960</v>
      </c>
      <c r="AO43" s="522">
        <f t="shared" si="27"/>
        <v>-645040</v>
      </c>
      <c r="AP43" s="522">
        <f t="shared" si="47"/>
        <v>-97.733333333333334</v>
      </c>
      <c r="AQ43" s="522">
        <v>330000</v>
      </c>
      <c r="AR43" s="522">
        <v>0</v>
      </c>
      <c r="AS43" s="522">
        <v>330000</v>
      </c>
      <c r="AT43" s="522">
        <v>14960</v>
      </c>
      <c r="AU43" s="522">
        <f t="shared" si="79"/>
        <v>660000</v>
      </c>
      <c r="AV43" s="522">
        <f t="shared" si="79"/>
        <v>660000</v>
      </c>
      <c r="AW43" s="522">
        <f t="shared" si="28"/>
        <v>0</v>
      </c>
      <c r="AX43" s="522">
        <f t="shared" si="29"/>
        <v>0</v>
      </c>
      <c r="AY43" s="522">
        <f t="shared" si="82"/>
        <v>0</v>
      </c>
      <c r="AZ43" s="522">
        <f t="shared" si="30"/>
        <v>660000</v>
      </c>
      <c r="BA43" s="522" t="e">
        <f t="shared" si="31"/>
        <v>#DIV/0!</v>
      </c>
      <c r="BB43" s="522">
        <v>330000</v>
      </c>
      <c r="BC43" s="525">
        <f>'[67]Дир_по экон'!AT57</f>
        <v>330000</v>
      </c>
      <c r="BD43" s="525">
        <f t="shared" si="127"/>
        <v>0</v>
      </c>
      <c r="BE43" s="525">
        <f t="shared" si="33"/>
        <v>-330000</v>
      </c>
      <c r="BF43" s="525">
        <f t="shared" si="34"/>
        <v>-330000</v>
      </c>
      <c r="BG43" s="525">
        <f t="shared" si="35"/>
        <v>990000</v>
      </c>
      <c r="BH43" s="522">
        <f t="shared" si="35"/>
        <v>344960</v>
      </c>
      <c r="BI43" s="522">
        <v>14960</v>
      </c>
      <c r="BJ43" s="522">
        <f t="shared" si="37"/>
        <v>-975040</v>
      </c>
      <c r="BK43" s="522">
        <f t="shared" si="38"/>
        <v>-330000</v>
      </c>
      <c r="BL43" s="525">
        <v>330000</v>
      </c>
      <c r="BM43" s="522">
        <f>'[67]Дир_по экон'!AW57</f>
        <v>330000</v>
      </c>
      <c r="BN43" s="522">
        <f t="shared" si="128"/>
        <v>0</v>
      </c>
      <c r="BO43" s="522">
        <f t="shared" si="48"/>
        <v>-330000</v>
      </c>
      <c r="BP43" s="522">
        <f t="shared" si="40"/>
        <v>-330000</v>
      </c>
      <c r="BQ43" s="525">
        <v>330000</v>
      </c>
      <c r="BR43" s="522">
        <f>'[67]Дир_по экон'!BB57</f>
        <v>0</v>
      </c>
      <c r="BS43" s="522">
        <f>'[67]Дир_по экон'!BC57</f>
        <v>0</v>
      </c>
      <c r="BT43" s="536"/>
      <c r="BU43" s="522"/>
      <c r="BV43" s="522">
        <v>14960</v>
      </c>
      <c r="BW43" s="522"/>
      <c r="BX43" s="574"/>
      <c r="BY43" s="522">
        <v>14960</v>
      </c>
      <c r="BZ43" s="522"/>
      <c r="CA43" s="522"/>
      <c r="CB43" s="522">
        <f t="shared" si="132"/>
        <v>14960</v>
      </c>
      <c r="CC43" s="522">
        <f t="shared" si="44"/>
        <v>0</v>
      </c>
      <c r="CD43" s="522"/>
      <c r="CE43" s="522"/>
      <c r="CF43" s="522"/>
      <c r="CG43" s="522"/>
      <c r="CH43" s="522"/>
      <c r="CI43" s="522"/>
      <c r="CJ43" s="522"/>
      <c r="CK43" s="543" t="s">
        <v>77</v>
      </c>
      <c r="CL43" s="543" t="s">
        <v>1856</v>
      </c>
      <c r="CM43" s="528" t="s">
        <v>1857</v>
      </c>
      <c r="CN43" s="528" t="s">
        <v>1849</v>
      </c>
      <c r="CO43" s="528"/>
      <c r="CP43" s="544">
        <f t="shared" si="129"/>
        <v>1217858.9943681685</v>
      </c>
      <c r="CQ43" s="544">
        <f t="shared" si="130"/>
        <v>89455.716297430321</v>
      </c>
      <c r="CR43" s="544">
        <f t="shared" si="131"/>
        <v>12685.289334401132</v>
      </c>
      <c r="CS43" s="1688" t="s">
        <v>1826</v>
      </c>
      <c r="CT43" s="1689"/>
      <c r="CU43" s="1689"/>
      <c r="CV43" s="1689"/>
      <c r="CW43" s="1690"/>
      <c r="CX43" s="528"/>
      <c r="CY43" s="528"/>
      <c r="CZ43" s="528"/>
      <c r="DA43" s="528"/>
      <c r="DB43" s="544"/>
      <c r="DD43" s="535"/>
      <c r="DE43" s="535"/>
      <c r="DF43" s="522">
        <f t="shared" si="88"/>
        <v>14.96</v>
      </c>
      <c r="DG43" s="522">
        <f t="shared" si="88"/>
        <v>0</v>
      </c>
      <c r="DH43" s="522">
        <f t="shared" si="88"/>
        <v>0</v>
      </c>
      <c r="DI43" s="522">
        <f t="shared" si="88"/>
        <v>14.96</v>
      </c>
      <c r="DJ43" s="536"/>
      <c r="DK43" s="536"/>
      <c r="DL43" s="536"/>
      <c r="DM43" s="536"/>
      <c r="DN43" s="536"/>
      <c r="DO43" s="536"/>
      <c r="DP43" s="536"/>
      <c r="DQ43" s="536"/>
      <c r="DR43" s="536"/>
      <c r="DS43" s="536"/>
    </row>
    <row r="44" spans="1:123" s="602" customFormat="1" ht="69" customHeight="1">
      <c r="A44" s="598" t="s">
        <v>1866</v>
      </c>
      <c r="B44" s="599" t="s">
        <v>1867</v>
      </c>
      <c r="C44" s="525">
        <v>21716004</v>
      </c>
      <c r="D44" s="525"/>
      <c r="E44" s="525">
        <v>37444559</v>
      </c>
      <c r="F44" s="525">
        <v>26697141.199999999</v>
      </c>
      <c r="G44" s="596">
        <v>0</v>
      </c>
      <c r="H44" s="596">
        <v>0</v>
      </c>
      <c r="I44" s="525">
        <f t="shared" si="122"/>
        <v>15799870</v>
      </c>
      <c r="J44" s="525">
        <v>6760271</v>
      </c>
      <c r="K44" s="525">
        <v>3265583</v>
      </c>
      <c r="L44" s="525">
        <v>5774016</v>
      </c>
      <c r="M44" s="525">
        <f t="shared" si="123"/>
        <v>10025854</v>
      </c>
      <c r="N44" s="525">
        <v>12162563</v>
      </c>
      <c r="O44" s="525">
        <f t="shared" si="124"/>
        <v>3338063</v>
      </c>
      <c r="P44" s="522">
        <v>15500626</v>
      </c>
      <c r="Q44" s="525">
        <f t="shared" si="12"/>
        <v>-299244</v>
      </c>
      <c r="R44" s="525">
        <f t="shared" si="13"/>
        <v>-1.8939649503445253</v>
      </c>
      <c r="S44" s="525"/>
      <c r="T44" s="525"/>
      <c r="U44" s="522">
        <f t="shared" si="125"/>
        <v>14706234</v>
      </c>
      <c r="V44" s="522">
        <f t="shared" si="1"/>
        <v>14706234</v>
      </c>
      <c r="W44" s="522">
        <v>0</v>
      </c>
      <c r="X44" s="522">
        <f t="shared" si="15"/>
        <v>-794392</v>
      </c>
      <c r="Y44" s="522">
        <f t="shared" si="16"/>
        <v>-5.1249026974781486</v>
      </c>
      <c r="Z44" s="524">
        <f t="shared" si="17"/>
        <v>7782061</v>
      </c>
      <c r="AA44" s="522">
        <f t="shared" si="18"/>
        <v>7782061</v>
      </c>
      <c r="AB44" s="522">
        <v>0</v>
      </c>
      <c r="AC44" s="522">
        <f t="shared" si="20"/>
        <v>-6924173</v>
      </c>
      <c r="AD44" s="522">
        <f t="shared" si="21"/>
        <v>-47.083250545312957</v>
      </c>
      <c r="AE44" s="522">
        <f t="shared" si="22"/>
        <v>-7718565</v>
      </c>
      <c r="AF44" s="522">
        <f t="shared" si="23"/>
        <v>-49.795182465533969</v>
      </c>
      <c r="AG44" s="522">
        <f t="shared" si="46"/>
        <v>8683748</v>
      </c>
      <c r="AH44" s="522">
        <f t="shared" si="24"/>
        <v>-6022486</v>
      </c>
      <c r="AI44" s="522">
        <f t="shared" si="25"/>
        <v>-40.951925557556066</v>
      </c>
      <c r="AJ44" s="522">
        <f t="shared" si="26"/>
        <v>901687</v>
      </c>
      <c r="AK44" s="522">
        <f t="shared" si="116"/>
        <v>11.586737754946924</v>
      </c>
      <c r="AL44" s="522">
        <f t="shared" si="126"/>
        <v>8683748</v>
      </c>
      <c r="AM44" s="522">
        <f t="shared" si="72"/>
        <v>10386609</v>
      </c>
      <c r="AN44" s="522">
        <f t="shared" si="72"/>
        <v>3462436</v>
      </c>
      <c r="AO44" s="522">
        <f t="shared" si="27"/>
        <v>-6924173</v>
      </c>
      <c r="AP44" s="522">
        <f t="shared" si="47"/>
        <v>-66.664423393621533</v>
      </c>
      <c r="AQ44" s="522">
        <v>5102888</v>
      </c>
      <c r="AR44" s="522">
        <v>293993</v>
      </c>
      <c r="AS44" s="522">
        <v>5283721</v>
      </c>
      <c r="AT44" s="522">
        <v>3168443</v>
      </c>
      <c r="AU44" s="522">
        <f t="shared" si="79"/>
        <v>4319625</v>
      </c>
      <c r="AV44" s="522">
        <f t="shared" si="79"/>
        <v>4319625</v>
      </c>
      <c r="AW44" s="522">
        <f t="shared" si="28"/>
        <v>0</v>
      </c>
      <c r="AX44" s="522">
        <f t="shared" si="29"/>
        <v>0</v>
      </c>
      <c r="AY44" s="522">
        <f t="shared" si="82"/>
        <v>5221312</v>
      </c>
      <c r="AZ44" s="522">
        <f t="shared" si="30"/>
        <v>-901687</v>
      </c>
      <c r="BA44" s="522">
        <f t="shared" si="31"/>
        <v>-17.269356820661159</v>
      </c>
      <c r="BB44" s="522">
        <v>1781383</v>
      </c>
      <c r="BC44" s="525">
        <f>'[67]Дир_по экон'!AT58</f>
        <v>1781382.9999999998</v>
      </c>
      <c r="BD44" s="525">
        <f t="shared" si="127"/>
        <v>2754935</v>
      </c>
      <c r="BE44" s="525">
        <f t="shared" si="33"/>
        <v>973552</v>
      </c>
      <c r="BF44" s="525">
        <f t="shared" si="34"/>
        <v>973552.00000000023</v>
      </c>
      <c r="BG44" s="525">
        <f t="shared" si="35"/>
        <v>12167992</v>
      </c>
      <c r="BH44" s="522">
        <f t="shared" si="35"/>
        <v>5243819</v>
      </c>
      <c r="BI44" s="522">
        <v>6217371</v>
      </c>
      <c r="BJ44" s="522">
        <f t="shared" si="37"/>
        <v>-5950621</v>
      </c>
      <c r="BK44" s="522">
        <f t="shared" si="38"/>
        <v>973552</v>
      </c>
      <c r="BL44" s="525">
        <v>2538242</v>
      </c>
      <c r="BM44" s="522">
        <f>'[67]Дир_по экон'!AW58</f>
        <v>2538242</v>
      </c>
      <c r="BN44" s="522">
        <f t="shared" si="128"/>
        <v>2466377</v>
      </c>
      <c r="BO44" s="522">
        <f t="shared" si="48"/>
        <v>-71865</v>
      </c>
      <c r="BP44" s="522">
        <f t="shared" si="40"/>
        <v>-71865</v>
      </c>
      <c r="BQ44" s="525">
        <v>2538242</v>
      </c>
      <c r="BR44" s="522">
        <f>'[67]Дир_по экон'!BB58</f>
        <v>0</v>
      </c>
      <c r="BS44" s="522">
        <f>'[67]Дир_по экон'!BC58</f>
        <v>0</v>
      </c>
      <c r="BT44" s="600"/>
      <c r="BU44" s="522">
        <v>8683748</v>
      </c>
      <c r="BV44" s="522"/>
      <c r="BW44" s="522"/>
      <c r="BX44" s="574"/>
      <c r="BY44" s="522">
        <v>8683748</v>
      </c>
      <c r="BZ44" s="522"/>
      <c r="CA44" s="522"/>
      <c r="CB44" s="522">
        <f t="shared" si="132"/>
        <v>8683748</v>
      </c>
      <c r="CC44" s="522">
        <f t="shared" si="44"/>
        <v>0</v>
      </c>
      <c r="CD44" s="522"/>
      <c r="CE44" s="522"/>
      <c r="CF44" s="522"/>
      <c r="CG44" s="522"/>
      <c r="CH44" s="522"/>
      <c r="CI44" s="522"/>
      <c r="CJ44" s="522"/>
      <c r="CK44" s="543" t="s">
        <v>77</v>
      </c>
      <c r="CL44" s="543" t="s">
        <v>1856</v>
      </c>
      <c r="CM44" s="528" t="s">
        <v>1857</v>
      </c>
      <c r="CN44" s="528" t="s">
        <v>1849</v>
      </c>
      <c r="CO44" s="601"/>
      <c r="CP44" s="544">
        <f t="shared" si="129"/>
        <v>13568272.234987099</v>
      </c>
      <c r="CQ44" s="544">
        <f t="shared" si="130"/>
        <v>996633.86099062418</v>
      </c>
      <c r="CR44" s="544">
        <f t="shared" si="131"/>
        <v>141327.90402227824</v>
      </c>
      <c r="CS44" s="1688" t="s">
        <v>1826</v>
      </c>
      <c r="CT44" s="1689"/>
      <c r="CU44" s="1689"/>
      <c r="CV44" s="1689"/>
      <c r="CW44" s="1690"/>
      <c r="CX44" s="601"/>
      <c r="CY44" s="601"/>
      <c r="CZ44" s="601"/>
      <c r="DA44" s="601"/>
      <c r="DB44" s="544">
        <f>293993</f>
        <v>293993</v>
      </c>
      <c r="DD44" s="603"/>
      <c r="DE44" s="603"/>
      <c r="DF44" s="522">
        <f t="shared" si="88"/>
        <v>8683.7479999999996</v>
      </c>
      <c r="DG44" s="522">
        <f t="shared" si="88"/>
        <v>0</v>
      </c>
      <c r="DH44" s="522">
        <f t="shared" si="88"/>
        <v>0</v>
      </c>
      <c r="DI44" s="522">
        <f t="shared" si="88"/>
        <v>8683.7479999999996</v>
      </c>
      <c r="DJ44" s="600"/>
      <c r="DK44" s="600"/>
      <c r="DL44" s="600"/>
      <c r="DM44" s="600"/>
      <c r="DN44" s="600"/>
      <c r="DO44" s="600"/>
      <c r="DP44" s="600"/>
      <c r="DQ44" s="600"/>
      <c r="DR44" s="600"/>
      <c r="DS44" s="600"/>
    </row>
    <row r="45" spans="1:123" s="534" customFormat="1" ht="57.75" customHeight="1">
      <c r="A45" s="520" t="s">
        <v>1868</v>
      </c>
      <c r="B45" s="521" t="s">
        <v>1869</v>
      </c>
      <c r="C45" s="522">
        <v>8597309.8100000005</v>
      </c>
      <c r="D45" s="578"/>
      <c r="E45" s="522">
        <v>10571000</v>
      </c>
      <c r="F45" s="522">
        <v>12993866.220000001</v>
      </c>
      <c r="G45" s="604">
        <v>0</v>
      </c>
      <c r="H45" s="604">
        <v>0</v>
      </c>
      <c r="I45" s="522">
        <f t="shared" si="122"/>
        <v>10233287.75</v>
      </c>
      <c r="J45" s="522">
        <v>4351255.75</v>
      </c>
      <c r="K45" s="522">
        <v>2896366</v>
      </c>
      <c r="L45" s="522">
        <v>2985666</v>
      </c>
      <c r="M45" s="522">
        <f t="shared" si="123"/>
        <v>7247621.75</v>
      </c>
      <c r="N45" s="522">
        <v>6458654.0599999996</v>
      </c>
      <c r="O45" s="522">
        <f t="shared" si="124"/>
        <v>1525838.1400000006</v>
      </c>
      <c r="P45" s="522">
        <v>7984492.2000000002</v>
      </c>
      <c r="Q45" s="522">
        <f t="shared" si="12"/>
        <v>-2248795.5499999998</v>
      </c>
      <c r="R45" s="522">
        <f t="shared" si="13"/>
        <v>-21.975298701045517</v>
      </c>
      <c r="S45" s="522"/>
      <c r="T45" s="522"/>
      <c r="U45" s="522">
        <f t="shared" si="125"/>
        <v>13453228.18</v>
      </c>
      <c r="V45" s="522">
        <f t="shared" si="1"/>
        <v>13453228.18</v>
      </c>
      <c r="W45" s="522">
        <v>0</v>
      </c>
      <c r="X45" s="522">
        <f t="shared" si="15"/>
        <v>5468735.9799999995</v>
      </c>
      <c r="Y45" s="522">
        <f t="shared" si="16"/>
        <v>68.491969721004921</v>
      </c>
      <c r="Z45" s="524">
        <f t="shared" si="17"/>
        <v>10050843.139999999</v>
      </c>
      <c r="AA45" s="522">
        <f t="shared" si="18"/>
        <v>10050843.139999999</v>
      </c>
      <c r="AB45" s="522">
        <v>0</v>
      </c>
      <c r="AC45" s="522">
        <f t="shared" si="20"/>
        <v>-3402385.040000001</v>
      </c>
      <c r="AD45" s="522">
        <f t="shared" si="21"/>
        <v>-25.290472996348157</v>
      </c>
      <c r="AE45" s="522">
        <f t="shared" si="22"/>
        <v>2066350.9399999985</v>
      </c>
      <c r="AF45" s="522">
        <f t="shared" si="23"/>
        <v>25.879553617699045</v>
      </c>
      <c r="AG45" s="522">
        <f t="shared" si="46"/>
        <v>8929226.1899999995</v>
      </c>
      <c r="AH45" s="522">
        <f t="shared" si="24"/>
        <v>-4524001.99</v>
      </c>
      <c r="AI45" s="522">
        <f t="shared" si="25"/>
        <v>-33.627631446298707</v>
      </c>
      <c r="AJ45" s="522">
        <f t="shared" si="26"/>
        <v>-1121616.9499999993</v>
      </c>
      <c r="AK45" s="522">
        <f t="shared" si="116"/>
        <v>-11.159431446464694</v>
      </c>
      <c r="AL45" s="522">
        <f t="shared" si="126"/>
        <v>8929226.1899999995</v>
      </c>
      <c r="AM45" s="522">
        <f t="shared" si="72"/>
        <v>7378029.5699999994</v>
      </c>
      <c r="AN45" s="522">
        <f t="shared" si="72"/>
        <v>3975644.53</v>
      </c>
      <c r="AO45" s="522">
        <f t="shared" si="27"/>
        <v>-3402385.0399999996</v>
      </c>
      <c r="AP45" s="522">
        <f t="shared" si="47"/>
        <v>-46.115090861583518</v>
      </c>
      <c r="AQ45" s="522">
        <v>0</v>
      </c>
      <c r="AR45" s="522">
        <v>0</v>
      </c>
      <c r="AS45" s="522">
        <v>7378029.5699999994</v>
      </c>
      <c r="AT45" s="522">
        <v>3975644.53</v>
      </c>
      <c r="AU45" s="522">
        <f t="shared" si="79"/>
        <v>6075198.6099999994</v>
      </c>
      <c r="AV45" s="522">
        <f t="shared" si="79"/>
        <v>6075198.6099999994</v>
      </c>
      <c r="AW45" s="522">
        <f t="shared" si="28"/>
        <v>0</v>
      </c>
      <c r="AX45" s="522">
        <f t="shared" si="29"/>
        <v>0</v>
      </c>
      <c r="AY45" s="522">
        <f t="shared" si="82"/>
        <v>4953581.66</v>
      </c>
      <c r="AZ45" s="522">
        <f t="shared" si="30"/>
        <v>1121616.9499999993</v>
      </c>
      <c r="BA45" s="522">
        <f t="shared" si="31"/>
        <v>22.642544869241135</v>
      </c>
      <c r="BB45" s="522">
        <v>3047584.0199999996</v>
      </c>
      <c r="BC45" s="525">
        <f>'[67]Дир_по экон'!AT59</f>
        <v>3047584.02</v>
      </c>
      <c r="BD45" s="525">
        <f t="shared" si="127"/>
        <v>2555753.9200000004</v>
      </c>
      <c r="BE45" s="525">
        <f t="shared" si="33"/>
        <v>-491830.09999999916</v>
      </c>
      <c r="BF45" s="525">
        <f t="shared" si="34"/>
        <v>-491830.09999999963</v>
      </c>
      <c r="BG45" s="525">
        <f t="shared" si="35"/>
        <v>10425613.59</v>
      </c>
      <c r="BH45" s="522">
        <f t="shared" si="35"/>
        <v>7023228.5499999998</v>
      </c>
      <c r="BI45" s="522">
        <v>6531398.4500000002</v>
      </c>
      <c r="BJ45" s="522">
        <f t="shared" si="37"/>
        <v>-3894215.1399999997</v>
      </c>
      <c r="BK45" s="522">
        <f t="shared" si="38"/>
        <v>-491830.09999999963</v>
      </c>
      <c r="BL45" s="525">
        <v>3027614.5900000003</v>
      </c>
      <c r="BM45" s="522">
        <f>'[67]Дир_по экон'!AW59</f>
        <v>3027614.59</v>
      </c>
      <c r="BN45" s="522">
        <f t="shared" si="128"/>
        <v>2397827.7399999993</v>
      </c>
      <c r="BO45" s="522">
        <f t="shared" si="48"/>
        <v>-629786.85000000102</v>
      </c>
      <c r="BP45" s="522">
        <f t="shared" si="40"/>
        <v>-629786.85000000056</v>
      </c>
      <c r="BQ45" s="525">
        <v>3027614.5900000003</v>
      </c>
      <c r="BR45" s="522">
        <f>'[67]Дир_по экон'!BB59</f>
        <v>0</v>
      </c>
      <c r="BS45" s="522">
        <f>'[67]Дир_по экон'!BC59</f>
        <v>0</v>
      </c>
      <c r="BT45" s="536"/>
      <c r="BU45" s="522">
        <v>8929226.1899999995</v>
      </c>
      <c r="BV45" s="522"/>
      <c r="BW45" s="522"/>
      <c r="BX45" s="595"/>
      <c r="BY45" s="522"/>
      <c r="BZ45" s="522"/>
      <c r="CA45" s="522">
        <v>8929226.1899999995</v>
      </c>
      <c r="CB45" s="522">
        <f t="shared" si="132"/>
        <v>8929226.1899999995</v>
      </c>
      <c r="CC45" s="522">
        <f t="shared" si="44"/>
        <v>0</v>
      </c>
      <c r="CD45" s="522"/>
      <c r="CE45" s="522"/>
      <c r="CF45" s="522"/>
      <c r="CG45" s="522"/>
      <c r="CH45" s="522"/>
      <c r="CI45" s="522"/>
      <c r="CJ45" s="522"/>
      <c r="CK45" s="605" t="s">
        <v>77</v>
      </c>
      <c r="CL45" s="605" t="s">
        <v>1856</v>
      </c>
      <c r="CM45" s="528" t="s">
        <v>1857</v>
      </c>
      <c r="CN45" s="528" t="s">
        <v>1849</v>
      </c>
      <c r="CO45" s="528"/>
      <c r="CP45" s="529">
        <f t="shared" si="129"/>
        <v>12412223.441136597</v>
      </c>
      <c r="CQ45" s="529">
        <f t="shared" si="130"/>
        <v>911718.30557172326</v>
      </c>
      <c r="CR45" s="529">
        <f t="shared" si="131"/>
        <v>129286.43329168086</v>
      </c>
      <c r="CS45" s="1695" t="s">
        <v>1826</v>
      </c>
      <c r="CT45" s="1696"/>
      <c r="CU45" s="1696"/>
      <c r="CV45" s="1696"/>
      <c r="CW45" s="1697"/>
      <c r="CX45" s="528"/>
      <c r="CY45" s="528"/>
      <c r="CZ45" s="528"/>
      <c r="DA45" s="528"/>
      <c r="DB45" s="529"/>
      <c r="DD45" s="535"/>
      <c r="DE45" s="535"/>
      <c r="DF45" s="522">
        <f t="shared" si="88"/>
        <v>0</v>
      </c>
      <c r="DG45" s="522">
        <f t="shared" si="88"/>
        <v>0</v>
      </c>
      <c r="DH45" s="522">
        <f t="shared" si="88"/>
        <v>8929.2261899999994</v>
      </c>
      <c r="DI45" s="522">
        <f t="shared" si="88"/>
        <v>8929.2261899999994</v>
      </c>
      <c r="DJ45" s="536"/>
      <c r="DK45" s="536"/>
      <c r="DL45" s="536"/>
      <c r="DM45" s="536"/>
      <c r="DN45" s="536"/>
      <c r="DO45" s="536"/>
      <c r="DP45" s="536"/>
      <c r="DQ45" s="536"/>
      <c r="DR45" s="536"/>
      <c r="DS45" s="536"/>
    </row>
    <row r="46" spans="1:123" s="602" customFormat="1" ht="59.25" customHeight="1">
      <c r="A46" s="598" t="s">
        <v>1870</v>
      </c>
      <c r="B46" s="599" t="s">
        <v>1871</v>
      </c>
      <c r="C46" s="525">
        <v>30841410</v>
      </c>
      <c r="D46" s="525"/>
      <c r="E46" s="525">
        <v>35772753</v>
      </c>
      <c r="F46" s="525">
        <v>33687424.5</v>
      </c>
      <c r="G46" s="596">
        <v>0</v>
      </c>
      <c r="H46" s="596">
        <v>0</v>
      </c>
      <c r="I46" s="525">
        <f t="shared" si="122"/>
        <v>38257057.759999998</v>
      </c>
      <c r="J46" s="525">
        <v>15522761.75</v>
      </c>
      <c r="K46" s="525">
        <v>17041309.739999998</v>
      </c>
      <c r="L46" s="525">
        <v>5692986.2699999996</v>
      </c>
      <c r="M46" s="525">
        <f t="shared" si="123"/>
        <v>32564071.489999998</v>
      </c>
      <c r="N46" s="525">
        <v>31258796.25</v>
      </c>
      <c r="O46" s="525">
        <f t="shared" si="124"/>
        <v>3636618</v>
      </c>
      <c r="P46" s="522">
        <f>4708496.75+30186917.5</f>
        <v>34895414.25</v>
      </c>
      <c r="Q46" s="525">
        <f t="shared" si="12"/>
        <v>-3361643.5099999979</v>
      </c>
      <c r="R46" s="525">
        <f t="shared" si="13"/>
        <v>-8.7869891382886038</v>
      </c>
      <c r="S46" s="525"/>
      <c r="T46" s="525"/>
      <c r="U46" s="522">
        <f t="shared" si="125"/>
        <v>37718438.455677666</v>
      </c>
      <c r="V46" s="522">
        <f t="shared" si="1"/>
        <v>37718438.455677666</v>
      </c>
      <c r="W46" s="522">
        <v>0</v>
      </c>
      <c r="X46" s="522">
        <f t="shared" si="15"/>
        <v>2823024.2056776658</v>
      </c>
      <c r="Y46" s="522">
        <f t="shared" si="16"/>
        <v>8.0899575670681827</v>
      </c>
      <c r="Z46" s="524">
        <f t="shared" si="17"/>
        <v>41277107.187720001</v>
      </c>
      <c r="AA46" s="522">
        <f t="shared" si="18"/>
        <v>41277107.187720001</v>
      </c>
      <c r="AB46" s="522">
        <v>0</v>
      </c>
      <c r="AC46" s="522">
        <f t="shared" si="20"/>
        <v>3558668.732042335</v>
      </c>
      <c r="AD46" s="522">
        <f t="shared" si="21"/>
        <v>9.4348251882804561</v>
      </c>
      <c r="AE46" s="522">
        <f t="shared" si="22"/>
        <v>6381692.9377200007</v>
      </c>
      <c r="AF46" s="522">
        <f t="shared" si="23"/>
        <v>18.288056109607581</v>
      </c>
      <c r="AG46" s="522">
        <f t="shared" si="46"/>
        <v>38536865.002999999</v>
      </c>
      <c r="AH46" s="522">
        <f t="shared" si="24"/>
        <v>818426.54732233286</v>
      </c>
      <c r="AI46" s="522">
        <f t="shared" si="25"/>
        <v>2.1698314692535519</v>
      </c>
      <c r="AJ46" s="522">
        <f t="shared" si="26"/>
        <v>-2740242.1847200021</v>
      </c>
      <c r="AK46" s="522">
        <f t="shared" si="116"/>
        <v>-6.6386488090309399</v>
      </c>
      <c r="AL46" s="522">
        <f t="shared" si="126"/>
        <v>38536865.002999999</v>
      </c>
      <c r="AM46" s="522">
        <f t="shared" si="72"/>
        <v>15912435.276959371</v>
      </c>
      <c r="AN46" s="522">
        <f t="shared" si="72"/>
        <v>16166291.5</v>
      </c>
      <c r="AO46" s="522">
        <f t="shared" si="27"/>
        <v>253856.22304062918</v>
      </c>
      <c r="AP46" s="522">
        <f t="shared" si="47"/>
        <v>1.5953323210571284</v>
      </c>
      <c r="AQ46" s="522">
        <f>3829.75712668687*1000</f>
        <v>3829757.1266868701</v>
      </c>
      <c r="AR46" s="522">
        <v>3684759.5</v>
      </c>
      <c r="AS46" s="522">
        <f>12082.6781502725*1000</f>
        <v>12082678.150272502</v>
      </c>
      <c r="AT46" s="522">
        <v>12481532</v>
      </c>
      <c r="AU46" s="522">
        <f t="shared" si="79"/>
        <v>21806003.178718291</v>
      </c>
      <c r="AV46" s="522">
        <f t="shared" si="79"/>
        <v>25110815.687720004</v>
      </c>
      <c r="AW46" s="522">
        <f t="shared" si="28"/>
        <v>3304812.5090017132</v>
      </c>
      <c r="AX46" s="522">
        <f t="shared" si="29"/>
        <v>15.155516955198209</v>
      </c>
      <c r="AY46" s="522">
        <f t="shared" si="82"/>
        <v>22370573.502999999</v>
      </c>
      <c r="AZ46" s="522">
        <f t="shared" si="30"/>
        <v>2740242.1847200058</v>
      </c>
      <c r="BA46" s="522">
        <f t="shared" si="31"/>
        <v>12.249315755595291</v>
      </c>
      <c r="BB46" s="522">
        <f>16964.8079091873*1000</f>
        <v>16964807.909187302</v>
      </c>
      <c r="BC46" s="525">
        <f>'[67]Дир_по экон'!AT60</f>
        <v>19518670.783724003</v>
      </c>
      <c r="BD46" s="525">
        <f t="shared" si="127"/>
        <v>18323116.5</v>
      </c>
      <c r="BE46" s="525">
        <f t="shared" si="33"/>
        <v>1358308.590812698</v>
      </c>
      <c r="BF46" s="525">
        <f t="shared" si="34"/>
        <v>-1195554.2837240025</v>
      </c>
      <c r="BG46" s="525">
        <f t="shared" si="35"/>
        <v>32877243.186146673</v>
      </c>
      <c r="BH46" s="522">
        <f t="shared" si="35"/>
        <v>35684962.283724003</v>
      </c>
      <c r="BI46" s="522">
        <f>30153829.67+4335578.33</f>
        <v>34489408</v>
      </c>
      <c r="BJ46" s="522">
        <f t="shared" si="37"/>
        <v>1612164.8138533272</v>
      </c>
      <c r="BK46" s="522">
        <f t="shared" si="38"/>
        <v>-1195554.2837240025</v>
      </c>
      <c r="BL46" s="525">
        <f>4841.19526953099*1000</f>
        <v>4841195.2695309902</v>
      </c>
      <c r="BM46" s="522">
        <f>'[67]Дир_по экон'!AW60</f>
        <v>5592144.903996001</v>
      </c>
      <c r="BN46" s="522">
        <f t="shared" si="128"/>
        <v>4047457.0029999986</v>
      </c>
      <c r="BO46" s="522">
        <f t="shared" si="48"/>
        <v>-793738.26653099153</v>
      </c>
      <c r="BP46" s="522">
        <f t="shared" si="40"/>
        <v>-1544687.9009960024</v>
      </c>
      <c r="BQ46" s="525">
        <f>4841.19526953099*1000</f>
        <v>4841195.2695309902</v>
      </c>
      <c r="BR46" s="522">
        <f>'[67]Дир_по экон'!BB60</f>
        <v>0</v>
      </c>
      <c r="BS46" s="522">
        <f>'[67]Дир_по экон'!BC60</f>
        <v>0</v>
      </c>
      <c r="BT46" s="600"/>
      <c r="BU46" s="522">
        <v>33579285.159999996</v>
      </c>
      <c r="BV46" s="522">
        <v>4957579.8430000003</v>
      </c>
      <c r="BW46" s="522"/>
      <c r="BX46" s="574"/>
      <c r="BY46" s="522">
        <f>31557277.22+4957579.84</f>
        <v>36514857.060000002</v>
      </c>
      <c r="BZ46" s="522">
        <v>1582589.49</v>
      </c>
      <c r="CA46" s="522">
        <v>439418.45</v>
      </c>
      <c r="CB46" s="522">
        <f t="shared" si="132"/>
        <v>38536865.000000007</v>
      </c>
      <c r="CC46" s="522">
        <f t="shared" si="44"/>
        <v>2.9999911785125732E-3</v>
      </c>
      <c r="CD46" s="522"/>
      <c r="CE46" s="522"/>
      <c r="CF46" s="522"/>
      <c r="CG46" s="522"/>
      <c r="CH46" s="522"/>
      <c r="CI46" s="522"/>
      <c r="CJ46" s="522"/>
      <c r="CK46" s="543" t="s">
        <v>77</v>
      </c>
      <c r="CL46" s="543" t="s">
        <v>1856</v>
      </c>
      <c r="CM46" s="528" t="s">
        <v>1857</v>
      </c>
      <c r="CN46" s="528" t="s">
        <v>1849</v>
      </c>
      <c r="CO46" s="601"/>
      <c r="CP46" s="544">
        <f t="shared" si="129"/>
        <v>34799802.671794899</v>
      </c>
      <c r="CQ46" s="544">
        <f t="shared" si="130"/>
        <v>2556159.0376312025</v>
      </c>
      <c r="CR46" s="544">
        <f t="shared" si="131"/>
        <v>362476.74625157076</v>
      </c>
      <c r="CS46" s="1688" t="s">
        <v>1826</v>
      </c>
      <c r="CT46" s="1689"/>
      <c r="CU46" s="1689"/>
      <c r="CV46" s="1689"/>
      <c r="CW46" s="1690"/>
      <c r="CX46" s="601"/>
      <c r="CY46" s="601"/>
      <c r="CZ46" s="601"/>
      <c r="DA46" s="601"/>
      <c r="DB46" s="544">
        <f>3313041.02+371718.48</f>
        <v>3684759.5</v>
      </c>
      <c r="DD46" s="603"/>
      <c r="DE46" s="603"/>
      <c r="DF46" s="522">
        <f t="shared" si="88"/>
        <v>36514.857060000002</v>
      </c>
      <c r="DG46" s="522">
        <f t="shared" si="88"/>
        <v>1582.5894900000001</v>
      </c>
      <c r="DH46" s="522">
        <f t="shared" si="88"/>
        <v>439.41845000000001</v>
      </c>
      <c r="DI46" s="522">
        <f t="shared" si="88"/>
        <v>38536.865000000005</v>
      </c>
      <c r="DJ46" s="600"/>
      <c r="DK46" s="600"/>
      <c r="DL46" s="600"/>
      <c r="DM46" s="600"/>
      <c r="DN46" s="600"/>
      <c r="DO46" s="600"/>
      <c r="DP46" s="600"/>
      <c r="DQ46" s="600"/>
      <c r="DR46" s="600"/>
      <c r="DS46" s="600"/>
    </row>
    <row r="47" spans="1:123" s="602" customFormat="1" ht="84.6">
      <c r="A47" s="598" t="s">
        <v>1872</v>
      </c>
      <c r="B47" s="606" t="s">
        <v>1873</v>
      </c>
      <c r="C47" s="525">
        <v>281880</v>
      </c>
      <c r="D47" s="525"/>
      <c r="E47" s="525">
        <v>0</v>
      </c>
      <c r="F47" s="525"/>
      <c r="G47" s="596">
        <v>0</v>
      </c>
      <c r="H47" s="596">
        <v>0</v>
      </c>
      <c r="I47" s="525">
        <f t="shared" si="122"/>
        <v>0</v>
      </c>
      <c r="J47" s="525">
        <v>0</v>
      </c>
      <c r="K47" s="525">
        <v>0</v>
      </c>
      <c r="L47" s="525">
        <v>0</v>
      </c>
      <c r="M47" s="525">
        <f t="shared" si="123"/>
        <v>0</v>
      </c>
      <c r="N47" s="525">
        <v>145295.67999999999</v>
      </c>
      <c r="O47" s="525">
        <f t="shared" si="124"/>
        <v>0</v>
      </c>
      <c r="P47" s="522">
        <v>145295.67999999999</v>
      </c>
      <c r="Q47" s="525">
        <f t="shared" si="12"/>
        <v>145295.67999999999</v>
      </c>
      <c r="R47" s="525">
        <v>0</v>
      </c>
      <c r="S47" s="525"/>
      <c r="T47" s="525"/>
      <c r="U47" s="522">
        <f t="shared" si="125"/>
        <v>0</v>
      </c>
      <c r="V47" s="522">
        <f t="shared" si="1"/>
        <v>0</v>
      </c>
      <c r="W47" s="522">
        <v>0</v>
      </c>
      <c r="X47" s="522">
        <f t="shared" si="15"/>
        <v>-145295.67999999999</v>
      </c>
      <c r="Y47" s="522">
        <f t="shared" si="16"/>
        <v>-100</v>
      </c>
      <c r="Z47" s="524">
        <f t="shared" si="17"/>
        <v>0</v>
      </c>
      <c r="AA47" s="522">
        <f t="shared" si="18"/>
        <v>0</v>
      </c>
      <c r="AB47" s="522">
        <v>0</v>
      </c>
      <c r="AC47" s="522">
        <f t="shared" si="20"/>
        <v>0</v>
      </c>
      <c r="AD47" s="522">
        <v>0</v>
      </c>
      <c r="AE47" s="522">
        <f t="shared" si="22"/>
        <v>-145295.67999999999</v>
      </c>
      <c r="AF47" s="522">
        <f t="shared" si="23"/>
        <v>-100</v>
      </c>
      <c r="AG47" s="522">
        <f t="shared" si="46"/>
        <v>37260</v>
      </c>
      <c r="AH47" s="522">
        <f t="shared" si="24"/>
        <v>37260</v>
      </c>
      <c r="AI47" s="522">
        <v>0</v>
      </c>
      <c r="AJ47" s="522">
        <f t="shared" si="26"/>
        <v>37260</v>
      </c>
      <c r="AK47" s="522">
        <v>0</v>
      </c>
      <c r="AL47" s="522">
        <f t="shared" si="126"/>
        <v>37260</v>
      </c>
      <c r="AM47" s="522">
        <f t="shared" si="72"/>
        <v>0</v>
      </c>
      <c r="AN47" s="522">
        <f t="shared" si="72"/>
        <v>0</v>
      </c>
      <c r="AO47" s="522">
        <f t="shared" si="27"/>
        <v>0</v>
      </c>
      <c r="AP47" s="522">
        <v>0</v>
      </c>
      <c r="AQ47" s="522">
        <v>0</v>
      </c>
      <c r="AR47" s="522">
        <v>0</v>
      </c>
      <c r="AS47" s="522">
        <v>0</v>
      </c>
      <c r="AT47" s="522">
        <v>0</v>
      </c>
      <c r="AU47" s="522">
        <f t="shared" si="79"/>
        <v>0</v>
      </c>
      <c r="AV47" s="522">
        <f t="shared" si="79"/>
        <v>0</v>
      </c>
      <c r="AW47" s="522">
        <f t="shared" si="28"/>
        <v>0</v>
      </c>
      <c r="AX47" s="522">
        <v>0</v>
      </c>
      <c r="AY47" s="522">
        <f t="shared" si="82"/>
        <v>37260</v>
      </c>
      <c r="AZ47" s="522">
        <f t="shared" si="30"/>
        <v>-37260</v>
      </c>
      <c r="BA47" s="522">
        <v>0</v>
      </c>
      <c r="BB47" s="522">
        <v>0</v>
      </c>
      <c r="BC47" s="525">
        <f>'[67]Дир_по экон'!AT61</f>
        <v>0</v>
      </c>
      <c r="BD47" s="525">
        <f t="shared" si="127"/>
        <v>37260</v>
      </c>
      <c r="BE47" s="525">
        <f t="shared" si="33"/>
        <v>37260</v>
      </c>
      <c r="BF47" s="525">
        <f t="shared" si="34"/>
        <v>37260</v>
      </c>
      <c r="BG47" s="525">
        <f t="shared" si="35"/>
        <v>0</v>
      </c>
      <c r="BH47" s="522">
        <f t="shared" si="35"/>
        <v>0</v>
      </c>
      <c r="BI47" s="522">
        <v>37260</v>
      </c>
      <c r="BJ47" s="522">
        <f t="shared" si="37"/>
        <v>37260</v>
      </c>
      <c r="BK47" s="522">
        <f t="shared" si="38"/>
        <v>37260</v>
      </c>
      <c r="BL47" s="525">
        <v>0</v>
      </c>
      <c r="BM47" s="522">
        <f>'[67]Дир_по экон'!AW61</f>
        <v>0</v>
      </c>
      <c r="BN47" s="522">
        <f t="shared" si="128"/>
        <v>0</v>
      </c>
      <c r="BO47" s="522">
        <f t="shared" si="48"/>
        <v>0</v>
      </c>
      <c r="BP47" s="522">
        <f t="shared" si="40"/>
        <v>0</v>
      </c>
      <c r="BQ47" s="525">
        <v>0</v>
      </c>
      <c r="BR47" s="522">
        <f>'[67]Дир_по экон'!BB61</f>
        <v>0</v>
      </c>
      <c r="BS47" s="522">
        <f>'[67]Дир_по экон'!BC61</f>
        <v>0</v>
      </c>
      <c r="BT47" s="600"/>
      <c r="BU47" s="522">
        <v>37260</v>
      </c>
      <c r="BV47" s="522"/>
      <c r="BW47" s="522"/>
      <c r="BX47" s="595"/>
      <c r="BY47" s="522">
        <v>37198.639999999999</v>
      </c>
      <c r="BZ47" s="522">
        <v>45.77</v>
      </c>
      <c r="CA47" s="522">
        <v>15.59</v>
      </c>
      <c r="CB47" s="522">
        <f t="shared" si="132"/>
        <v>37259.999999999993</v>
      </c>
      <c r="CC47" s="522">
        <f t="shared" si="44"/>
        <v>0</v>
      </c>
      <c r="CD47" s="522"/>
      <c r="CE47" s="522"/>
      <c r="CF47" s="522"/>
      <c r="CG47" s="522"/>
      <c r="CH47" s="522"/>
      <c r="CI47" s="522"/>
      <c r="CJ47" s="522"/>
      <c r="CK47" s="543" t="s">
        <v>77</v>
      </c>
      <c r="CL47" s="543" t="s">
        <v>1856</v>
      </c>
      <c r="CM47" s="528" t="s">
        <v>1857</v>
      </c>
      <c r="CN47" s="528" t="s">
        <v>1849</v>
      </c>
      <c r="CO47" s="601"/>
      <c r="CP47" s="544">
        <f t="shared" si="129"/>
        <v>0</v>
      </c>
      <c r="CQ47" s="544">
        <f t="shared" si="130"/>
        <v>0</v>
      </c>
      <c r="CR47" s="544">
        <f t="shared" si="131"/>
        <v>0</v>
      </c>
      <c r="CS47" s="1688" t="s">
        <v>1826</v>
      </c>
      <c r="CT47" s="1689"/>
      <c r="CU47" s="1689"/>
      <c r="CV47" s="1689"/>
      <c r="CW47" s="1690"/>
      <c r="CX47" s="601"/>
      <c r="CY47" s="601"/>
      <c r="CZ47" s="601"/>
      <c r="DA47" s="601"/>
      <c r="DB47" s="544"/>
      <c r="DD47" s="603"/>
      <c r="DE47" s="603"/>
      <c r="DF47" s="522">
        <f t="shared" si="88"/>
        <v>37.198639999999997</v>
      </c>
      <c r="DG47" s="522">
        <f t="shared" si="88"/>
        <v>4.5770000000000005E-2</v>
      </c>
      <c r="DH47" s="522">
        <f t="shared" si="88"/>
        <v>1.559E-2</v>
      </c>
      <c r="DI47" s="522">
        <f t="shared" si="88"/>
        <v>37.259999999999991</v>
      </c>
      <c r="DJ47" s="600"/>
      <c r="DK47" s="600"/>
      <c r="DL47" s="600"/>
      <c r="DM47" s="600"/>
      <c r="DN47" s="600"/>
      <c r="DO47" s="600"/>
      <c r="DP47" s="600"/>
      <c r="DQ47" s="600"/>
      <c r="DR47" s="600"/>
      <c r="DS47" s="600"/>
    </row>
    <row r="48" spans="1:123" s="534" customFormat="1" ht="37.5" customHeight="1">
      <c r="A48" s="537" t="s">
        <v>1874</v>
      </c>
      <c r="B48" s="538" t="s">
        <v>1875</v>
      </c>
      <c r="C48" s="525">
        <v>8558562.7599999998</v>
      </c>
      <c r="D48" s="576"/>
      <c r="E48" s="576">
        <v>0</v>
      </c>
      <c r="F48" s="576">
        <v>55737.73</v>
      </c>
      <c r="G48" s="577">
        <v>0</v>
      </c>
      <c r="H48" s="577">
        <v>0</v>
      </c>
      <c r="I48" s="576">
        <f t="shared" si="122"/>
        <v>41663.360000000001</v>
      </c>
      <c r="J48" s="576">
        <v>19735.79</v>
      </c>
      <c r="K48" s="576">
        <v>11061</v>
      </c>
      <c r="L48" s="576">
        <v>10866.57</v>
      </c>
      <c r="M48" s="576">
        <f t="shared" si="123"/>
        <v>30796.79</v>
      </c>
      <c r="N48" s="576">
        <v>83574.320000000007</v>
      </c>
      <c r="O48" s="525">
        <f t="shared" si="124"/>
        <v>9378.8799999999901</v>
      </c>
      <c r="P48" s="522">
        <v>92953.2</v>
      </c>
      <c r="Q48" s="576">
        <f t="shared" si="12"/>
        <v>51289.84</v>
      </c>
      <c r="R48" s="576">
        <f t="shared" si="13"/>
        <v>123.10538564340465</v>
      </c>
      <c r="S48" s="576"/>
      <c r="T48" s="576"/>
      <c r="U48" s="522">
        <f t="shared" si="125"/>
        <v>94440.88</v>
      </c>
      <c r="V48" s="522">
        <f t="shared" si="1"/>
        <v>94440.88</v>
      </c>
      <c r="W48" s="522">
        <v>0</v>
      </c>
      <c r="X48" s="522">
        <f t="shared" si="15"/>
        <v>1487.6800000000076</v>
      </c>
      <c r="Y48" s="522">
        <f t="shared" si="16"/>
        <v>1.600461307410626</v>
      </c>
      <c r="Z48" s="524">
        <f t="shared" si="17"/>
        <v>105168.94</v>
      </c>
      <c r="AA48" s="522">
        <f t="shared" si="18"/>
        <v>105168.94</v>
      </c>
      <c r="AB48" s="522">
        <v>0</v>
      </c>
      <c r="AC48" s="522">
        <f t="shared" si="20"/>
        <v>10728.059999999998</v>
      </c>
      <c r="AD48" s="522">
        <f t="shared" si="21"/>
        <v>11.359551075762937</v>
      </c>
      <c r="AE48" s="522">
        <f t="shared" si="22"/>
        <v>12215.740000000005</v>
      </c>
      <c r="AF48" s="522">
        <f t="shared" si="23"/>
        <v>13.14181760283671</v>
      </c>
      <c r="AG48" s="522">
        <f t="shared" si="46"/>
        <v>231889.11</v>
      </c>
      <c r="AH48" s="522">
        <f t="shared" si="24"/>
        <v>137448.22999999998</v>
      </c>
      <c r="AI48" s="522">
        <f t="shared" si="25"/>
        <v>145.53891280979167</v>
      </c>
      <c r="AJ48" s="522">
        <f t="shared" si="26"/>
        <v>126720.16999999998</v>
      </c>
      <c r="AK48" s="522">
        <f t="shared" ref="AK48:AK97" si="133">AG48/Z48*100-100</f>
        <v>120.49201028364456</v>
      </c>
      <c r="AL48" s="522">
        <f t="shared" si="126"/>
        <v>231889.11</v>
      </c>
      <c r="AM48" s="522">
        <f t="shared" si="72"/>
        <v>47220.44</v>
      </c>
      <c r="AN48" s="522">
        <f t="shared" si="72"/>
        <v>57948.5</v>
      </c>
      <c r="AO48" s="522">
        <f t="shared" si="27"/>
        <v>10728.059999999998</v>
      </c>
      <c r="AP48" s="522">
        <f t="shared" si="47"/>
        <v>22.719102151525902</v>
      </c>
      <c r="AQ48" s="578">
        <v>23610.22</v>
      </c>
      <c r="AR48" s="578">
        <v>9890.5400000000009</v>
      </c>
      <c r="AS48" s="578">
        <v>23610.22</v>
      </c>
      <c r="AT48" s="578">
        <v>48057.96</v>
      </c>
      <c r="AU48" s="578">
        <f t="shared" si="79"/>
        <v>47220.44</v>
      </c>
      <c r="AV48" s="578">
        <f t="shared" si="79"/>
        <v>47220.44</v>
      </c>
      <c r="AW48" s="578">
        <f t="shared" si="28"/>
        <v>0</v>
      </c>
      <c r="AX48" s="578">
        <f t="shared" si="29"/>
        <v>0</v>
      </c>
      <c r="AY48" s="578">
        <f t="shared" si="82"/>
        <v>173940.61</v>
      </c>
      <c r="AZ48" s="578">
        <f t="shared" si="30"/>
        <v>-126720.16999999998</v>
      </c>
      <c r="BA48" s="578">
        <f t="shared" si="31"/>
        <v>-72.852550074419071</v>
      </c>
      <c r="BB48" s="578">
        <v>23610.22</v>
      </c>
      <c r="BC48" s="576">
        <f>'[67]Дир_по экон'!AT15</f>
        <v>23610.22</v>
      </c>
      <c r="BD48" s="576">
        <f t="shared" si="127"/>
        <v>62156.36</v>
      </c>
      <c r="BE48" s="576">
        <f t="shared" si="33"/>
        <v>38546.14</v>
      </c>
      <c r="BF48" s="576">
        <f t="shared" si="34"/>
        <v>38546.14</v>
      </c>
      <c r="BG48" s="576">
        <f t="shared" si="35"/>
        <v>70830.66</v>
      </c>
      <c r="BH48" s="578">
        <f t="shared" si="35"/>
        <v>81558.720000000001</v>
      </c>
      <c r="BI48" s="578">
        <v>120104.86</v>
      </c>
      <c r="BJ48" s="578">
        <f t="shared" si="37"/>
        <v>49274.2</v>
      </c>
      <c r="BK48" s="578">
        <f t="shared" si="38"/>
        <v>38546.14</v>
      </c>
      <c r="BL48" s="576">
        <v>23610.22</v>
      </c>
      <c r="BM48" s="578">
        <f>'[67]Дир_по экон'!AW15</f>
        <v>23610.22</v>
      </c>
      <c r="BN48" s="522">
        <f t="shared" si="128"/>
        <v>111784.24999999999</v>
      </c>
      <c r="BO48" s="578">
        <f t="shared" si="48"/>
        <v>88174.029999999984</v>
      </c>
      <c r="BP48" s="578">
        <f t="shared" si="40"/>
        <v>88174.029999999984</v>
      </c>
      <c r="BQ48" s="576">
        <v>23610.22</v>
      </c>
      <c r="BR48" s="578">
        <f>'[67]Дир_по экон'!BB15</f>
        <v>0</v>
      </c>
      <c r="BS48" s="578">
        <f>'[67]Дир_по экон'!BC15</f>
        <v>0</v>
      </c>
      <c r="BT48" s="536"/>
      <c r="BU48" s="578">
        <v>231889.11</v>
      </c>
      <c r="BV48" s="578"/>
      <c r="BW48" s="578"/>
      <c r="BX48" s="595"/>
      <c r="BY48" s="522">
        <v>179391.12</v>
      </c>
      <c r="BZ48" s="522">
        <v>52429.96</v>
      </c>
      <c r="CA48" s="522">
        <v>68.03</v>
      </c>
      <c r="CB48" s="522">
        <f t="shared" si="132"/>
        <v>231889.11</v>
      </c>
      <c r="CC48" s="522">
        <f t="shared" si="44"/>
        <v>0</v>
      </c>
      <c r="CD48" s="578"/>
      <c r="CE48" s="578"/>
      <c r="CF48" s="578"/>
      <c r="CG48" s="578"/>
      <c r="CH48" s="578"/>
      <c r="CI48" s="578"/>
      <c r="CJ48" s="578"/>
      <c r="CK48" s="543" t="s">
        <v>77</v>
      </c>
      <c r="CL48" s="542" t="s">
        <v>1800</v>
      </c>
      <c r="CM48" s="528" t="s">
        <v>1857</v>
      </c>
      <c r="CN48" s="528" t="s">
        <v>1849</v>
      </c>
      <c r="CO48" s="528"/>
      <c r="CP48" s="544">
        <f t="shared" si="129"/>
        <v>87133.087230337042</v>
      </c>
      <c r="CQ48" s="544">
        <f t="shared" si="130"/>
        <v>6400.2095213330767</v>
      </c>
      <c r="CR48" s="544">
        <f t="shared" si="131"/>
        <v>907.58324832989183</v>
      </c>
      <c r="CS48" s="1688" t="s">
        <v>1826</v>
      </c>
      <c r="CT48" s="1689"/>
      <c r="CU48" s="1689"/>
      <c r="CV48" s="1689"/>
      <c r="CW48" s="1690"/>
      <c r="CX48" s="528"/>
      <c r="CY48" s="528"/>
      <c r="CZ48" s="528"/>
      <c r="DA48" s="528"/>
      <c r="DB48" s="579">
        <f>9890.54</f>
        <v>9890.5400000000009</v>
      </c>
      <c r="DD48" s="535"/>
      <c r="DE48" s="535"/>
      <c r="DF48" s="522">
        <f t="shared" si="88"/>
        <v>179.39112</v>
      </c>
      <c r="DG48" s="522">
        <f t="shared" si="88"/>
        <v>52.429960000000001</v>
      </c>
      <c r="DH48" s="522">
        <f t="shared" si="88"/>
        <v>6.8030000000000007E-2</v>
      </c>
      <c r="DI48" s="522">
        <f t="shared" si="88"/>
        <v>231.88910999999999</v>
      </c>
      <c r="DJ48" s="536"/>
      <c r="DK48" s="536"/>
      <c r="DL48" s="536"/>
      <c r="DM48" s="536"/>
      <c r="DN48" s="536"/>
      <c r="DO48" s="536"/>
      <c r="DP48" s="536"/>
      <c r="DQ48" s="536"/>
      <c r="DR48" s="536"/>
      <c r="DS48" s="536"/>
    </row>
    <row r="49" spans="1:123" s="534" customFormat="1" ht="56.4">
      <c r="A49" s="537" t="s">
        <v>1876</v>
      </c>
      <c r="B49" s="538" t="s">
        <v>1093</v>
      </c>
      <c r="C49" s="525"/>
      <c r="D49" s="576"/>
      <c r="E49" s="576"/>
      <c r="F49" s="576">
        <v>8215259.6200000001</v>
      </c>
      <c r="G49" s="577">
        <v>0</v>
      </c>
      <c r="H49" s="577">
        <v>0</v>
      </c>
      <c r="I49" s="576">
        <f t="shared" si="122"/>
        <v>4824921.16</v>
      </c>
      <c r="J49" s="576">
        <v>2299215.16</v>
      </c>
      <c r="K49" s="576">
        <v>1291589</v>
      </c>
      <c r="L49" s="576">
        <v>1234117</v>
      </c>
      <c r="M49" s="576">
        <f t="shared" si="123"/>
        <v>3590804.16</v>
      </c>
      <c r="N49" s="576">
        <v>3242269.26</v>
      </c>
      <c r="O49" s="525">
        <f t="shared" si="124"/>
        <v>968598</v>
      </c>
      <c r="P49" s="522">
        <f>2745147.87+1465719.39</f>
        <v>4210867.26</v>
      </c>
      <c r="Q49" s="576">
        <f t="shared" si="12"/>
        <v>-614053.90000000037</v>
      </c>
      <c r="R49" s="576">
        <f t="shared" si="13"/>
        <v>-12.726713652664117</v>
      </c>
      <c r="S49" s="576"/>
      <c r="T49" s="576"/>
      <c r="U49" s="522">
        <f t="shared" si="125"/>
        <v>1275840</v>
      </c>
      <c r="V49" s="522">
        <f t="shared" si="1"/>
        <v>1275840</v>
      </c>
      <c r="W49" s="522">
        <v>0</v>
      </c>
      <c r="X49" s="522">
        <f t="shared" si="15"/>
        <v>-2935027.26</v>
      </c>
      <c r="Y49" s="522">
        <f t="shared" si="16"/>
        <v>-69.701253418280402</v>
      </c>
      <c r="Z49" s="524">
        <f t="shared" si="17"/>
        <v>968598</v>
      </c>
      <c r="AA49" s="522">
        <f t="shared" si="18"/>
        <v>968598</v>
      </c>
      <c r="AB49" s="522">
        <v>0</v>
      </c>
      <c r="AC49" s="522">
        <f t="shared" si="20"/>
        <v>-307242</v>
      </c>
      <c r="AD49" s="522">
        <f t="shared" si="21"/>
        <v>-24.081546275395041</v>
      </c>
      <c r="AE49" s="522">
        <f t="shared" si="22"/>
        <v>-3242269.26</v>
      </c>
      <c r="AF49" s="522">
        <f t="shared" si="23"/>
        <v>-76.997660097221868</v>
      </c>
      <c r="AG49" s="522">
        <f t="shared" si="46"/>
        <v>968598</v>
      </c>
      <c r="AH49" s="522">
        <f t="shared" si="24"/>
        <v>-307242</v>
      </c>
      <c r="AI49" s="522">
        <f t="shared" si="25"/>
        <v>-24.081546275395041</v>
      </c>
      <c r="AJ49" s="522">
        <f t="shared" si="26"/>
        <v>0</v>
      </c>
      <c r="AK49" s="522">
        <f t="shared" si="133"/>
        <v>0</v>
      </c>
      <c r="AL49" s="522">
        <f t="shared" si="126"/>
        <v>968598</v>
      </c>
      <c r="AM49" s="522">
        <f t="shared" si="72"/>
        <v>1275840</v>
      </c>
      <c r="AN49" s="522">
        <f t="shared" si="72"/>
        <v>968598</v>
      </c>
      <c r="AO49" s="522">
        <f t="shared" si="27"/>
        <v>-307242</v>
      </c>
      <c r="AP49" s="522">
        <f t="shared" si="47"/>
        <v>-24.081546275395041</v>
      </c>
      <c r="AQ49" s="578">
        <v>1275840</v>
      </c>
      <c r="AR49" s="578">
        <v>968598</v>
      </c>
      <c r="AS49" s="578">
        <f>1275840-1275840</f>
        <v>0</v>
      </c>
      <c r="AT49" s="578">
        <v>0</v>
      </c>
      <c r="AU49" s="578">
        <f t="shared" si="79"/>
        <v>0</v>
      </c>
      <c r="AV49" s="578">
        <f t="shared" si="79"/>
        <v>0</v>
      </c>
      <c r="AW49" s="578">
        <f t="shared" si="28"/>
        <v>0</v>
      </c>
      <c r="AX49" s="578">
        <v>0</v>
      </c>
      <c r="AY49" s="578">
        <f t="shared" si="82"/>
        <v>0</v>
      </c>
      <c r="AZ49" s="578">
        <f t="shared" si="30"/>
        <v>0</v>
      </c>
      <c r="BA49" s="578">
        <v>0</v>
      </c>
      <c r="BB49" s="578">
        <f>1275840-1275840</f>
        <v>0</v>
      </c>
      <c r="BC49" s="576">
        <f>'[67]Дир_ имущ'!AT10</f>
        <v>0</v>
      </c>
      <c r="BD49" s="576">
        <f t="shared" si="127"/>
        <v>0</v>
      </c>
      <c r="BE49" s="576">
        <f t="shared" si="33"/>
        <v>0</v>
      </c>
      <c r="BF49" s="576">
        <f t="shared" si="34"/>
        <v>0</v>
      </c>
      <c r="BG49" s="576">
        <f t="shared" si="35"/>
        <v>1275840</v>
      </c>
      <c r="BH49" s="578">
        <f t="shared" si="35"/>
        <v>968598</v>
      </c>
      <c r="BI49" s="578">
        <v>968598</v>
      </c>
      <c r="BJ49" s="578">
        <f t="shared" si="37"/>
        <v>-307242</v>
      </c>
      <c r="BK49" s="578">
        <f t="shared" si="38"/>
        <v>0</v>
      </c>
      <c r="BL49" s="576">
        <f>1275840-1275840</f>
        <v>0</v>
      </c>
      <c r="BM49" s="578">
        <f>'[67]Дир_ имущ'!AW10</f>
        <v>0</v>
      </c>
      <c r="BN49" s="522">
        <f t="shared" si="128"/>
        <v>0</v>
      </c>
      <c r="BO49" s="578">
        <f t="shared" si="48"/>
        <v>0</v>
      </c>
      <c r="BP49" s="578">
        <f t="shared" si="40"/>
        <v>0</v>
      </c>
      <c r="BQ49" s="576">
        <f>1275840-1275840</f>
        <v>0</v>
      </c>
      <c r="BR49" s="578">
        <f>'[67]Дир_ имущ'!BB10</f>
        <v>0</v>
      </c>
      <c r="BS49" s="578">
        <f>'[67]Дир_ имущ'!BC10</f>
        <v>0</v>
      </c>
      <c r="BT49" s="536"/>
      <c r="BU49" s="578">
        <v>968598</v>
      </c>
      <c r="BV49" s="578"/>
      <c r="BW49" s="578"/>
      <c r="BX49" s="574"/>
      <c r="BY49" s="522">
        <v>967257.81</v>
      </c>
      <c r="BZ49" s="522">
        <v>974.72</v>
      </c>
      <c r="CA49" s="522">
        <v>365.47</v>
      </c>
      <c r="CB49" s="522">
        <f t="shared" si="132"/>
        <v>968598</v>
      </c>
      <c r="CC49" s="522">
        <f t="shared" si="44"/>
        <v>0</v>
      </c>
      <c r="CD49" s="578"/>
      <c r="CE49" s="578"/>
      <c r="CF49" s="578"/>
      <c r="CG49" s="578"/>
      <c r="CH49" s="578"/>
      <c r="CI49" s="578"/>
      <c r="CJ49" s="578"/>
      <c r="CK49" s="543" t="s">
        <v>1815</v>
      </c>
      <c r="CL49" s="543" t="s">
        <v>1816</v>
      </c>
      <c r="CM49" s="528" t="s">
        <v>1857</v>
      </c>
      <c r="CN49" s="528" t="s">
        <v>1849</v>
      </c>
      <c r="CO49" s="528"/>
      <c r="CP49" s="544">
        <f t="shared" si="129"/>
        <v>1177116.0752838517</v>
      </c>
      <c r="CQ49" s="544">
        <f t="shared" si="130"/>
        <v>86463.015970389009</v>
      </c>
      <c r="CR49" s="544">
        <f t="shared" si="131"/>
        <v>12260.908745759349</v>
      </c>
      <c r="CS49" s="1688" t="s">
        <v>1826</v>
      </c>
      <c r="CT49" s="1689"/>
      <c r="CU49" s="1689"/>
      <c r="CV49" s="1689"/>
      <c r="CW49" s="1690"/>
      <c r="CX49" s="528"/>
      <c r="CY49" s="528"/>
      <c r="CZ49" s="528"/>
      <c r="DA49" s="528"/>
      <c r="DB49" s="579">
        <f>968598</f>
        <v>968598</v>
      </c>
      <c r="DD49" s="535"/>
      <c r="DE49" s="535"/>
      <c r="DF49" s="522">
        <f t="shared" si="88"/>
        <v>967.25781000000006</v>
      </c>
      <c r="DG49" s="522">
        <f t="shared" si="88"/>
        <v>0.97472000000000003</v>
      </c>
      <c r="DH49" s="522">
        <f t="shared" si="88"/>
        <v>0.36547000000000002</v>
      </c>
      <c r="DI49" s="522">
        <f t="shared" si="88"/>
        <v>968.59799999999996</v>
      </c>
      <c r="DJ49" s="536"/>
      <c r="DK49" s="536"/>
      <c r="DL49" s="536"/>
      <c r="DM49" s="536"/>
      <c r="DN49" s="536"/>
      <c r="DO49" s="536"/>
      <c r="DP49" s="536"/>
      <c r="DQ49" s="536"/>
      <c r="DR49" s="536"/>
      <c r="DS49" s="536"/>
    </row>
    <row r="50" spans="1:123" s="534" customFormat="1" ht="36" customHeight="1">
      <c r="A50" s="607" t="s">
        <v>1877</v>
      </c>
      <c r="B50" s="608" t="s">
        <v>1878</v>
      </c>
      <c r="C50" s="525"/>
      <c r="D50" s="576"/>
      <c r="E50" s="576"/>
      <c r="F50" s="576">
        <v>3899925</v>
      </c>
      <c r="G50" s="577">
        <v>0</v>
      </c>
      <c r="H50" s="577">
        <v>0</v>
      </c>
      <c r="I50" s="576">
        <f t="shared" si="122"/>
        <v>0</v>
      </c>
      <c r="J50" s="576">
        <v>0</v>
      </c>
      <c r="K50" s="576">
        <v>0</v>
      </c>
      <c r="L50" s="576">
        <v>0</v>
      </c>
      <c r="M50" s="576">
        <f t="shared" si="123"/>
        <v>0</v>
      </c>
      <c r="N50" s="576">
        <v>2423957.7999999998</v>
      </c>
      <c r="O50" s="525">
        <f t="shared" si="124"/>
        <v>797584.76000000024</v>
      </c>
      <c r="P50" s="522">
        <v>3221542.56</v>
      </c>
      <c r="Q50" s="576">
        <f t="shared" si="12"/>
        <v>3221542.56</v>
      </c>
      <c r="R50" s="576" t="e">
        <f t="shared" si="13"/>
        <v>#DIV/0!</v>
      </c>
      <c r="S50" s="576"/>
      <c r="T50" s="576"/>
      <c r="U50" s="522">
        <f t="shared" si="125"/>
        <v>0</v>
      </c>
      <c r="V50" s="522">
        <f t="shared" si="1"/>
        <v>0</v>
      </c>
      <c r="W50" s="522">
        <v>0</v>
      </c>
      <c r="X50" s="522">
        <f t="shared" si="15"/>
        <v>-3221542.56</v>
      </c>
      <c r="Y50" s="522">
        <f t="shared" si="16"/>
        <v>-100</v>
      </c>
      <c r="Z50" s="524">
        <f t="shared" si="17"/>
        <v>0</v>
      </c>
      <c r="AA50" s="522">
        <f t="shared" si="18"/>
        <v>0</v>
      </c>
      <c r="AB50" s="522">
        <v>0</v>
      </c>
      <c r="AC50" s="522">
        <f t="shared" si="20"/>
        <v>0</v>
      </c>
      <c r="AD50" s="522" t="e">
        <f t="shared" si="21"/>
        <v>#DIV/0!</v>
      </c>
      <c r="AE50" s="522">
        <f t="shared" si="22"/>
        <v>-3221542.56</v>
      </c>
      <c r="AF50" s="522">
        <f t="shared" si="23"/>
        <v>-100</v>
      </c>
      <c r="AG50" s="522">
        <f t="shared" si="46"/>
        <v>0</v>
      </c>
      <c r="AH50" s="522">
        <f t="shared" si="24"/>
        <v>0</v>
      </c>
      <c r="AI50" s="522" t="e">
        <f t="shared" si="25"/>
        <v>#DIV/0!</v>
      </c>
      <c r="AJ50" s="522">
        <f t="shared" si="26"/>
        <v>0</v>
      </c>
      <c r="AK50" s="522" t="e">
        <f t="shared" si="133"/>
        <v>#DIV/0!</v>
      </c>
      <c r="AL50" s="522">
        <f t="shared" si="126"/>
        <v>0</v>
      </c>
      <c r="AM50" s="522">
        <f t="shared" si="72"/>
        <v>0</v>
      </c>
      <c r="AN50" s="522">
        <f t="shared" si="72"/>
        <v>0</v>
      </c>
      <c r="AO50" s="522">
        <f t="shared" si="27"/>
        <v>0</v>
      </c>
      <c r="AP50" s="522" t="e">
        <f t="shared" si="47"/>
        <v>#DIV/0!</v>
      </c>
      <c r="AQ50" s="578">
        <v>0</v>
      </c>
      <c r="AR50" s="578">
        <v>0</v>
      </c>
      <c r="AS50" s="578">
        <v>0</v>
      </c>
      <c r="AT50" s="578">
        <v>0</v>
      </c>
      <c r="AU50" s="578">
        <f t="shared" si="79"/>
        <v>0</v>
      </c>
      <c r="AV50" s="578">
        <f t="shared" si="79"/>
        <v>0</v>
      </c>
      <c r="AW50" s="578">
        <f t="shared" si="28"/>
        <v>0</v>
      </c>
      <c r="AX50" s="578" t="e">
        <f t="shared" si="29"/>
        <v>#DIV/0!</v>
      </c>
      <c r="AY50" s="578">
        <f t="shared" si="82"/>
        <v>0</v>
      </c>
      <c r="AZ50" s="578">
        <f t="shared" si="30"/>
        <v>0</v>
      </c>
      <c r="BA50" s="578" t="e">
        <f t="shared" si="31"/>
        <v>#DIV/0!</v>
      </c>
      <c r="BB50" s="578">
        <v>0</v>
      </c>
      <c r="BC50" s="576"/>
      <c r="BD50" s="576">
        <f t="shared" si="127"/>
        <v>0</v>
      </c>
      <c r="BE50" s="576">
        <f t="shared" si="33"/>
        <v>0</v>
      </c>
      <c r="BF50" s="576">
        <f t="shared" si="34"/>
        <v>0</v>
      </c>
      <c r="BG50" s="576">
        <f t="shared" si="35"/>
        <v>0</v>
      </c>
      <c r="BH50" s="578">
        <f t="shared" si="35"/>
        <v>0</v>
      </c>
      <c r="BI50" s="578"/>
      <c r="BJ50" s="578">
        <f t="shared" si="37"/>
        <v>0</v>
      </c>
      <c r="BK50" s="578">
        <f t="shared" si="38"/>
        <v>0</v>
      </c>
      <c r="BL50" s="576">
        <v>0</v>
      </c>
      <c r="BM50" s="578"/>
      <c r="BN50" s="522">
        <f t="shared" si="128"/>
        <v>0</v>
      </c>
      <c r="BO50" s="578">
        <f t="shared" si="48"/>
        <v>0</v>
      </c>
      <c r="BP50" s="578">
        <f t="shared" si="40"/>
        <v>0</v>
      </c>
      <c r="BQ50" s="576">
        <v>0</v>
      </c>
      <c r="BR50" s="578"/>
      <c r="BS50" s="578"/>
      <c r="BT50" s="536"/>
      <c r="BU50" s="578"/>
      <c r="BV50" s="578"/>
      <c r="BW50" s="578"/>
      <c r="BX50" s="574"/>
      <c r="BY50" s="522"/>
      <c r="BZ50" s="522"/>
      <c r="CA50" s="522"/>
      <c r="CB50" s="522">
        <f t="shared" si="132"/>
        <v>0</v>
      </c>
      <c r="CC50" s="522">
        <f t="shared" si="44"/>
        <v>0</v>
      </c>
      <c r="CD50" s="578"/>
      <c r="CE50" s="578"/>
      <c r="CF50" s="578"/>
      <c r="CG50" s="578"/>
      <c r="CH50" s="578"/>
      <c r="CI50" s="578"/>
      <c r="CJ50" s="578"/>
      <c r="CK50" s="543" t="s">
        <v>77</v>
      </c>
      <c r="CL50" s="542" t="s">
        <v>1800</v>
      </c>
      <c r="CM50" s="528" t="s">
        <v>1857</v>
      </c>
      <c r="CN50" s="528" t="s">
        <v>1849</v>
      </c>
      <c r="CO50" s="528"/>
      <c r="CP50" s="544">
        <f t="shared" si="129"/>
        <v>0</v>
      </c>
      <c r="CQ50" s="544">
        <f t="shared" si="130"/>
        <v>0</v>
      </c>
      <c r="CR50" s="544">
        <f t="shared" si="131"/>
        <v>0</v>
      </c>
      <c r="CS50" s="1688" t="s">
        <v>1826</v>
      </c>
      <c r="CT50" s="1689"/>
      <c r="CU50" s="1689"/>
      <c r="CV50" s="1689"/>
      <c r="CW50" s="1690"/>
      <c r="CX50" s="528"/>
      <c r="CY50" s="528"/>
      <c r="CZ50" s="528"/>
      <c r="DA50" s="528"/>
      <c r="DB50" s="579"/>
      <c r="DD50" s="535"/>
      <c r="DE50" s="535"/>
      <c r="DF50" s="522">
        <f t="shared" si="88"/>
        <v>0</v>
      </c>
      <c r="DG50" s="522">
        <f t="shared" si="88"/>
        <v>0</v>
      </c>
      <c r="DH50" s="522">
        <f t="shared" si="88"/>
        <v>0</v>
      </c>
      <c r="DI50" s="522">
        <f t="shared" si="88"/>
        <v>0</v>
      </c>
      <c r="DJ50" s="536"/>
      <c r="DK50" s="536"/>
      <c r="DL50" s="536"/>
      <c r="DM50" s="536"/>
      <c r="DN50" s="536"/>
      <c r="DO50" s="536"/>
      <c r="DP50" s="536"/>
      <c r="DQ50" s="536"/>
      <c r="DR50" s="536"/>
      <c r="DS50" s="536"/>
    </row>
    <row r="51" spans="1:123" s="534" customFormat="1" ht="84.6">
      <c r="A51" s="537" t="s">
        <v>1879</v>
      </c>
      <c r="B51" s="538" t="s">
        <v>1880</v>
      </c>
      <c r="C51" s="525"/>
      <c r="D51" s="576"/>
      <c r="E51" s="576"/>
      <c r="F51" s="576">
        <v>94094434.239999995</v>
      </c>
      <c r="G51" s="577">
        <v>0</v>
      </c>
      <c r="H51" s="577">
        <v>0</v>
      </c>
      <c r="I51" s="576">
        <f t="shared" si="122"/>
        <v>50737867.99000001</v>
      </c>
      <c r="J51" s="525">
        <v>50737867.99000001</v>
      </c>
      <c r="K51" s="525">
        <v>0</v>
      </c>
      <c r="L51" s="525">
        <v>0</v>
      </c>
      <c r="M51" s="576">
        <f t="shared" si="123"/>
        <v>50737867.99000001</v>
      </c>
      <c r="N51" s="576">
        <v>71107204.090000004</v>
      </c>
      <c r="O51" s="525">
        <f t="shared" si="124"/>
        <v>10763260.149999991</v>
      </c>
      <c r="P51" s="522">
        <f>9260271.75+72610192.49</f>
        <v>81870464.239999995</v>
      </c>
      <c r="Q51" s="576">
        <f t="shared" si="12"/>
        <v>31132596.249999985</v>
      </c>
      <c r="R51" s="576">
        <f t="shared" si="13"/>
        <v>61.359685543223748</v>
      </c>
      <c r="S51" s="576"/>
      <c r="T51" s="576"/>
      <c r="U51" s="522">
        <f t="shared" si="125"/>
        <v>0</v>
      </c>
      <c r="V51" s="522">
        <f t="shared" si="1"/>
        <v>0</v>
      </c>
      <c r="W51" s="522">
        <v>0</v>
      </c>
      <c r="X51" s="522">
        <f t="shared" si="15"/>
        <v>-81870464.239999995</v>
      </c>
      <c r="Y51" s="522">
        <f t="shared" si="16"/>
        <v>-100</v>
      </c>
      <c r="Z51" s="524">
        <f t="shared" si="17"/>
        <v>36728719.770000003</v>
      </c>
      <c r="AA51" s="522">
        <f t="shared" si="18"/>
        <v>36728719.770000003</v>
      </c>
      <c r="AB51" s="522">
        <v>0</v>
      </c>
      <c r="AC51" s="522">
        <f t="shared" si="20"/>
        <v>36728719.770000003</v>
      </c>
      <c r="AD51" s="522">
        <v>0</v>
      </c>
      <c r="AE51" s="522">
        <f t="shared" si="22"/>
        <v>-45141744.469999991</v>
      </c>
      <c r="AF51" s="522">
        <f t="shared" si="23"/>
        <v>-55.138009646151232</v>
      </c>
      <c r="AG51" s="522">
        <f t="shared" si="46"/>
        <v>77988792.219999999</v>
      </c>
      <c r="AH51" s="522">
        <f t="shared" si="24"/>
        <v>77988792.219999999</v>
      </c>
      <c r="AI51" s="522">
        <v>0</v>
      </c>
      <c r="AJ51" s="522">
        <f t="shared" si="26"/>
        <v>41260072.449999996</v>
      </c>
      <c r="AK51" s="522">
        <f t="shared" si="133"/>
        <v>112.33735536761401</v>
      </c>
      <c r="AL51" s="522">
        <f t="shared" si="126"/>
        <v>77988792.219999999</v>
      </c>
      <c r="AM51" s="522">
        <f t="shared" si="72"/>
        <v>0</v>
      </c>
      <c r="AN51" s="522">
        <f t="shared" si="72"/>
        <v>36728719.770000003</v>
      </c>
      <c r="AO51" s="522">
        <f t="shared" si="27"/>
        <v>36728719.770000003</v>
      </c>
      <c r="AP51" s="522">
        <v>0</v>
      </c>
      <c r="AQ51" s="578">
        <v>0</v>
      </c>
      <c r="AR51" s="578">
        <v>18309782.210000001</v>
      </c>
      <c r="AS51" s="578">
        <v>0</v>
      </c>
      <c r="AT51" s="578">
        <v>18418937.560000002</v>
      </c>
      <c r="AU51" s="578">
        <f t="shared" si="79"/>
        <v>0</v>
      </c>
      <c r="AV51" s="578">
        <f t="shared" si="79"/>
        <v>0</v>
      </c>
      <c r="AW51" s="578">
        <f t="shared" si="28"/>
        <v>0</v>
      </c>
      <c r="AX51" s="578">
        <v>0</v>
      </c>
      <c r="AY51" s="578">
        <f t="shared" si="82"/>
        <v>41260072.449999996</v>
      </c>
      <c r="AZ51" s="578">
        <f t="shared" si="30"/>
        <v>-41260072.449999996</v>
      </c>
      <c r="BA51" s="578">
        <v>0</v>
      </c>
      <c r="BB51" s="578">
        <v>0</v>
      </c>
      <c r="BC51" s="576">
        <f>'[67]Гл бух'!AT7</f>
        <v>0</v>
      </c>
      <c r="BD51" s="576">
        <f t="shared" si="127"/>
        <v>20794023.850000001</v>
      </c>
      <c r="BE51" s="576">
        <f t="shared" si="33"/>
        <v>20794023.850000001</v>
      </c>
      <c r="BF51" s="576">
        <f t="shared" si="34"/>
        <v>20794023.850000001</v>
      </c>
      <c r="BG51" s="576">
        <f t="shared" si="35"/>
        <v>0</v>
      </c>
      <c r="BH51" s="578">
        <f t="shared" si="35"/>
        <v>36728719.770000003</v>
      </c>
      <c r="BI51" s="578">
        <f>49598955.85+7923787.77</f>
        <v>57522743.620000005</v>
      </c>
      <c r="BJ51" s="578">
        <f t="shared" si="37"/>
        <v>57522743.620000005</v>
      </c>
      <c r="BK51" s="578">
        <f t="shared" si="38"/>
        <v>20794023.850000001</v>
      </c>
      <c r="BL51" s="576">
        <v>0</v>
      </c>
      <c r="BM51" s="578">
        <f>'[67]Гл бух'!AW7</f>
        <v>0</v>
      </c>
      <c r="BN51" s="522">
        <f t="shared" si="128"/>
        <v>20466048.599999994</v>
      </c>
      <c r="BO51" s="578">
        <f t="shared" si="48"/>
        <v>20466048.599999994</v>
      </c>
      <c r="BP51" s="578">
        <f t="shared" si="40"/>
        <v>20466048.599999994</v>
      </c>
      <c r="BQ51" s="576">
        <v>0</v>
      </c>
      <c r="BR51" s="578">
        <f>'[67]Гл бух'!BB7</f>
        <v>0</v>
      </c>
      <c r="BS51" s="578">
        <f>'[67]Гл бух'!BC7</f>
        <v>0</v>
      </c>
      <c r="BT51" s="536"/>
      <c r="BU51" s="578">
        <v>67098166.390000001</v>
      </c>
      <c r="BV51" s="578">
        <v>10890625.83</v>
      </c>
      <c r="BW51" s="578"/>
      <c r="BX51" s="574"/>
      <c r="BY51" s="522">
        <f>62538737.82+10890625.83</f>
        <v>73429363.650000006</v>
      </c>
      <c r="BZ51" s="522">
        <v>2957226.77</v>
      </c>
      <c r="CA51" s="522">
        <v>1602201.8</v>
      </c>
      <c r="CB51" s="522">
        <f>SUM(BY51:CA51)</f>
        <v>77988792.219999999</v>
      </c>
      <c r="CC51" s="522">
        <f t="shared" si="44"/>
        <v>0</v>
      </c>
      <c r="CD51" s="578"/>
      <c r="CE51" s="578"/>
      <c r="CF51" s="578"/>
      <c r="CG51" s="578"/>
      <c r="CH51" s="578"/>
      <c r="CI51" s="578"/>
      <c r="CJ51" s="578"/>
      <c r="CK51" s="542" t="s">
        <v>1881</v>
      </c>
      <c r="CL51" s="542" t="s">
        <v>1882</v>
      </c>
      <c r="CM51" s="528" t="s">
        <v>1857</v>
      </c>
      <c r="CN51" s="528" t="s">
        <v>1849</v>
      </c>
      <c r="CO51" s="528"/>
      <c r="CP51" s="544">
        <f t="shared" si="129"/>
        <v>0</v>
      </c>
      <c r="CQ51" s="544">
        <f t="shared" si="130"/>
        <v>0</v>
      </c>
      <c r="CR51" s="544">
        <f t="shared" si="131"/>
        <v>0</v>
      </c>
      <c r="CS51" s="1688" t="s">
        <v>1826</v>
      </c>
      <c r="CT51" s="1689"/>
      <c r="CU51" s="1689"/>
      <c r="CV51" s="1689"/>
      <c r="CW51" s="1690"/>
      <c r="CX51" s="528"/>
      <c r="CY51" s="528"/>
      <c r="CZ51" s="528"/>
      <c r="DA51" s="528"/>
      <c r="DB51" s="579">
        <f>15873863.42+2435918.79</f>
        <v>18309782.210000001</v>
      </c>
      <c r="DD51" s="535"/>
      <c r="DE51" s="535"/>
      <c r="DF51" s="522">
        <f t="shared" si="88"/>
        <v>73429.363649999999</v>
      </c>
      <c r="DG51" s="522">
        <f t="shared" si="88"/>
        <v>2957.2267700000002</v>
      </c>
      <c r="DH51" s="522">
        <f t="shared" si="88"/>
        <v>1602.2018</v>
      </c>
      <c r="DI51" s="522">
        <f t="shared" si="88"/>
        <v>77988.792220000003</v>
      </c>
      <c r="DJ51" s="536"/>
      <c r="DK51" s="536"/>
      <c r="DL51" s="536"/>
      <c r="DM51" s="536"/>
      <c r="DN51" s="536"/>
      <c r="DO51" s="536"/>
      <c r="DP51" s="536"/>
      <c r="DQ51" s="536"/>
      <c r="DR51" s="536"/>
      <c r="DS51" s="536"/>
    </row>
    <row r="52" spans="1:123" s="534" customFormat="1" ht="59.25" customHeight="1">
      <c r="A52" s="520" t="s">
        <v>1145</v>
      </c>
      <c r="B52" s="521" t="s">
        <v>1883</v>
      </c>
      <c r="C52" s="522">
        <v>239539358.71000001</v>
      </c>
      <c r="D52" s="578">
        <v>266480565.91999999</v>
      </c>
      <c r="E52" s="522">
        <v>276445700</v>
      </c>
      <c r="F52" s="522">
        <v>271003238.97000003</v>
      </c>
      <c r="G52" s="604">
        <v>267108127.23232195</v>
      </c>
      <c r="H52" s="604">
        <v>0</v>
      </c>
      <c r="I52" s="522">
        <f t="shared" si="122"/>
        <v>260697228.85999995</v>
      </c>
      <c r="J52" s="522">
        <v>132971035.08999997</v>
      </c>
      <c r="K52" s="522">
        <v>64511253.159999996</v>
      </c>
      <c r="L52" s="522">
        <v>63214940.609999999</v>
      </c>
      <c r="M52" s="522">
        <f t="shared" si="123"/>
        <v>197482288.24999997</v>
      </c>
      <c r="N52" s="522">
        <v>188478901.86000001</v>
      </c>
      <c r="O52" s="522">
        <f t="shared" si="124"/>
        <v>56110121.400000006</v>
      </c>
      <c r="P52" s="522">
        <f>3020231.66+415954.42+22939613.62+5307600.61+19416488.93+2922562.93+153710802.11+2336890.69+33990557.39+528320.9</f>
        <v>244589023.26000002</v>
      </c>
      <c r="Q52" s="522">
        <f t="shared" si="12"/>
        <v>-16108205.599999934</v>
      </c>
      <c r="R52" s="522">
        <f t="shared" si="13"/>
        <v>-6.1788940643670571</v>
      </c>
      <c r="S52" s="522">
        <f>288318.4110888*1000</f>
        <v>288318411.08880001</v>
      </c>
      <c r="T52" s="522">
        <v>305659304.15372509</v>
      </c>
      <c r="U52" s="522">
        <f t="shared" si="125"/>
        <v>290236556.50448889</v>
      </c>
      <c r="V52" s="522">
        <f t="shared" si="1"/>
        <v>-15422747.649236202</v>
      </c>
      <c r="W52" s="522">
        <f t="shared" si="14"/>
        <v>-5.0457314531736444</v>
      </c>
      <c r="X52" s="522">
        <f t="shared" si="15"/>
        <v>45647533.244488865</v>
      </c>
      <c r="Y52" s="522">
        <f t="shared" si="16"/>
        <v>18.662952505421799</v>
      </c>
      <c r="Z52" s="524">
        <f t="shared" si="17"/>
        <v>286478865.7822479</v>
      </c>
      <c r="AA52" s="522">
        <f t="shared" si="18"/>
        <v>-19180438.371477187</v>
      </c>
      <c r="AB52" s="522">
        <f t="shared" si="19"/>
        <v>-6.2751037219631911</v>
      </c>
      <c r="AC52" s="522">
        <f t="shared" si="20"/>
        <v>-3757690.7222409844</v>
      </c>
      <c r="AD52" s="522">
        <f t="shared" si="21"/>
        <v>-1.29469931958171</v>
      </c>
      <c r="AE52" s="522">
        <f t="shared" si="22"/>
        <v>41889842.522247881</v>
      </c>
      <c r="AF52" s="522">
        <f t="shared" si="23"/>
        <v>17.126624066738529</v>
      </c>
      <c r="AG52" s="522">
        <f t="shared" si="46"/>
        <v>269491950.06999999</v>
      </c>
      <c r="AH52" s="522">
        <f t="shared" si="24"/>
        <v>-20744606.434488893</v>
      </c>
      <c r="AI52" s="522">
        <f t="shared" si="25"/>
        <v>-7.1474822759510062</v>
      </c>
      <c r="AJ52" s="522">
        <f t="shared" si="26"/>
        <v>-16986915.712247908</v>
      </c>
      <c r="AK52" s="522">
        <f t="shared" si="133"/>
        <v>-5.9295528365990009</v>
      </c>
      <c r="AL52" s="522">
        <f t="shared" si="126"/>
        <v>269491950.06999999</v>
      </c>
      <c r="AM52" s="522">
        <f t="shared" si="72"/>
        <v>155358029.12419429</v>
      </c>
      <c r="AN52" s="522">
        <f t="shared" si="72"/>
        <v>126808968.66</v>
      </c>
      <c r="AO52" s="522">
        <f t="shared" si="27"/>
        <v>-28549060.464194298</v>
      </c>
      <c r="AP52" s="522">
        <f t="shared" si="47"/>
        <v>-18.376301904146828</v>
      </c>
      <c r="AQ52" s="522">
        <f>66306.8782351351*1000</f>
        <v>66306878.235135093</v>
      </c>
      <c r="AR52" s="522">
        <v>62954495.849999994</v>
      </c>
      <c r="AS52" s="522">
        <f>89051.1508890592*1000</f>
        <v>89051150.889059201</v>
      </c>
      <c r="AT52" s="522">
        <v>63854472.810000002</v>
      </c>
      <c r="AU52" s="522">
        <f t="shared" si="79"/>
        <v>134878527.38029459</v>
      </c>
      <c r="AV52" s="522">
        <f t="shared" si="79"/>
        <v>159669897.12224787</v>
      </c>
      <c r="AW52" s="522">
        <f t="shared" si="28"/>
        <v>24791369.741953284</v>
      </c>
      <c r="AX52" s="522">
        <f t="shared" si="29"/>
        <v>18.380516323442038</v>
      </c>
      <c r="AY52" s="522">
        <f t="shared" si="82"/>
        <v>142682981.41</v>
      </c>
      <c r="AZ52" s="522">
        <f t="shared" si="30"/>
        <v>16986915.712247878</v>
      </c>
      <c r="BA52" s="522">
        <f t="shared" si="31"/>
        <v>11.905355175776663</v>
      </c>
      <c r="BB52" s="522">
        <f>69116.9326831932*1000</f>
        <v>69116932.683193192</v>
      </c>
      <c r="BC52" s="525">
        <f>'[67]Дир_по экон'!AT62</f>
        <v>87178578.708361417</v>
      </c>
      <c r="BD52" s="525">
        <f t="shared" si="127"/>
        <v>70689347.890000015</v>
      </c>
      <c r="BE52" s="525">
        <f t="shared" si="33"/>
        <v>1572415.2068068236</v>
      </c>
      <c r="BF52" s="525">
        <f t="shared" si="34"/>
        <v>-16489230.818361402</v>
      </c>
      <c r="BG52" s="525">
        <f t="shared" si="35"/>
        <v>224474961.80738747</v>
      </c>
      <c r="BH52" s="522">
        <f t="shared" si="35"/>
        <v>213987547.36836141</v>
      </c>
      <c r="BI52" s="522">
        <f>170331823.27+27166493.28</f>
        <v>197498316.55000001</v>
      </c>
      <c r="BJ52" s="522">
        <f t="shared" si="37"/>
        <v>-26976645.257387459</v>
      </c>
      <c r="BK52" s="522">
        <f t="shared" si="38"/>
        <v>-16489230.818361402</v>
      </c>
      <c r="BL52" s="525">
        <f>65761.5946971014*1000</f>
        <v>65761594.697101407</v>
      </c>
      <c r="BM52" s="522">
        <f>'[67]Дир_по экон'!AW62</f>
        <v>72491318.413886473</v>
      </c>
      <c r="BN52" s="522">
        <f t="shared" si="128"/>
        <v>71993633.519999981</v>
      </c>
      <c r="BO52" s="522">
        <f t="shared" si="48"/>
        <v>6232038.8228985742</v>
      </c>
      <c r="BP52" s="522">
        <f t="shared" si="40"/>
        <v>-497684.89388649166</v>
      </c>
      <c r="BQ52" s="525">
        <f>65761.5946971014*1000</f>
        <v>65761594.697101407</v>
      </c>
      <c r="BR52" s="522">
        <f>'[67]Дир_по экон'!BB62</f>
        <v>0</v>
      </c>
      <c r="BS52" s="522">
        <f>'[67]Дир_по экон'!BC62</f>
        <v>0</v>
      </c>
      <c r="BT52" s="536"/>
      <c r="BU52" s="522">
        <v>230817308.19999999</v>
      </c>
      <c r="BV52" s="522">
        <v>38674641.869999997</v>
      </c>
      <c r="BW52" s="522"/>
      <c r="BX52" s="574"/>
      <c r="BY52" s="522">
        <f>233650935.51-BY54+42069646.7</f>
        <v>253765574.53999996</v>
      </c>
      <c r="BZ52" s="522">
        <f>11037935.57-BZ54</f>
        <v>10167446.91</v>
      </c>
      <c r="CA52" s="522">
        <f>6045697.47-CA54</f>
        <v>5558928.6200000001</v>
      </c>
      <c r="CB52" s="522">
        <f t="shared" ref="CB52:CB115" si="134">SUM(BY52:CA52)</f>
        <v>269491950.06999993</v>
      </c>
      <c r="CC52" s="522">
        <f t="shared" si="44"/>
        <v>0</v>
      </c>
      <c r="CD52" s="522"/>
      <c r="CE52" s="522"/>
      <c r="CF52" s="522"/>
      <c r="CG52" s="522"/>
      <c r="CH52" s="522"/>
      <c r="CI52" s="522"/>
      <c r="CJ52" s="522"/>
      <c r="CK52" s="605" t="s">
        <v>77</v>
      </c>
      <c r="CL52" s="605" t="s">
        <v>1856</v>
      </c>
      <c r="CM52" s="528" t="s">
        <v>1884</v>
      </c>
      <c r="CN52" s="528" t="s">
        <v>1849</v>
      </c>
      <c r="CO52" s="528"/>
      <c r="CP52" s="529">
        <f t="shared" si="129"/>
        <v>267778182.44957349</v>
      </c>
      <c r="CQ52" s="529">
        <f t="shared" si="130"/>
        <v>19669181.104400501</v>
      </c>
      <c r="CR52" s="529">
        <f t="shared" si="131"/>
        <v>2789192.9505149275</v>
      </c>
      <c r="CS52" s="1695" t="s">
        <v>1826</v>
      </c>
      <c r="CT52" s="1696"/>
      <c r="CU52" s="1696"/>
      <c r="CV52" s="1696"/>
      <c r="CW52" s="1697"/>
      <c r="CX52" s="528"/>
      <c r="CY52" s="528"/>
      <c r="CZ52" s="528"/>
      <c r="DA52" s="528"/>
      <c r="DB52" s="529">
        <f>54762595.62+8191900.23</f>
        <v>62954495.849999994</v>
      </c>
      <c r="DD52" s="535"/>
      <c r="DE52" s="535"/>
      <c r="DF52" s="522">
        <f t="shared" si="88"/>
        <v>253765.57453999997</v>
      </c>
      <c r="DG52" s="522">
        <f t="shared" si="88"/>
        <v>10167.446910000001</v>
      </c>
      <c r="DH52" s="522">
        <f t="shared" si="88"/>
        <v>5558.9286199999997</v>
      </c>
      <c r="DI52" s="522">
        <f t="shared" si="88"/>
        <v>269491.9500699999</v>
      </c>
      <c r="DJ52" s="536"/>
      <c r="DK52" s="536"/>
      <c r="DL52" s="536"/>
      <c r="DM52" s="536"/>
      <c r="DN52" s="536"/>
      <c r="DO52" s="536"/>
      <c r="DP52" s="536"/>
      <c r="DQ52" s="536"/>
      <c r="DR52" s="536"/>
      <c r="DS52" s="536"/>
    </row>
    <row r="53" spans="1:123" s="534" customFormat="1" ht="30" customHeight="1">
      <c r="A53" s="607" t="s">
        <v>1885</v>
      </c>
      <c r="B53" s="608" t="s">
        <v>1886</v>
      </c>
      <c r="C53" s="525"/>
      <c r="D53" s="576"/>
      <c r="E53" s="525"/>
      <c r="F53" s="525"/>
      <c r="G53" s="596">
        <v>0</v>
      </c>
      <c r="H53" s="596">
        <v>0</v>
      </c>
      <c r="I53" s="525">
        <f t="shared" si="122"/>
        <v>0</v>
      </c>
      <c r="J53" s="525">
        <v>0</v>
      </c>
      <c r="K53" s="525">
        <v>0</v>
      </c>
      <c r="L53" s="525">
        <v>0</v>
      </c>
      <c r="M53" s="525">
        <f t="shared" si="123"/>
        <v>0</v>
      </c>
      <c r="N53" s="525"/>
      <c r="O53" s="525">
        <f t="shared" si="124"/>
        <v>0</v>
      </c>
      <c r="P53" s="609"/>
      <c r="Q53" s="525">
        <f t="shared" si="12"/>
        <v>0</v>
      </c>
      <c r="R53" s="525" t="e">
        <f t="shared" si="13"/>
        <v>#DIV/0!</v>
      </c>
      <c r="S53" s="525"/>
      <c r="T53" s="525"/>
      <c r="U53" s="522">
        <f t="shared" si="125"/>
        <v>0</v>
      </c>
      <c r="V53" s="522">
        <f t="shared" si="1"/>
        <v>0</v>
      </c>
      <c r="W53" s="522" t="e">
        <f t="shared" si="14"/>
        <v>#DIV/0!</v>
      </c>
      <c r="X53" s="522">
        <f t="shared" si="15"/>
        <v>0</v>
      </c>
      <c r="Y53" s="522" t="e">
        <f t="shared" si="16"/>
        <v>#DIV/0!</v>
      </c>
      <c r="Z53" s="524">
        <f t="shared" si="17"/>
        <v>0</v>
      </c>
      <c r="AA53" s="522">
        <f t="shared" si="18"/>
        <v>0</v>
      </c>
      <c r="AB53" s="522" t="e">
        <f t="shared" si="19"/>
        <v>#DIV/0!</v>
      </c>
      <c r="AC53" s="522">
        <f t="shared" si="20"/>
        <v>0</v>
      </c>
      <c r="AD53" s="522" t="e">
        <f t="shared" si="21"/>
        <v>#DIV/0!</v>
      </c>
      <c r="AE53" s="522">
        <f t="shared" si="22"/>
        <v>0</v>
      </c>
      <c r="AF53" s="522" t="e">
        <f t="shared" si="23"/>
        <v>#DIV/0!</v>
      </c>
      <c r="AG53" s="522">
        <f t="shared" si="46"/>
        <v>0</v>
      </c>
      <c r="AH53" s="522">
        <f t="shared" si="24"/>
        <v>0</v>
      </c>
      <c r="AI53" s="522" t="e">
        <f t="shared" si="25"/>
        <v>#DIV/0!</v>
      </c>
      <c r="AJ53" s="522">
        <f t="shared" si="26"/>
        <v>0</v>
      </c>
      <c r="AK53" s="522" t="e">
        <f t="shared" si="133"/>
        <v>#DIV/0!</v>
      </c>
      <c r="AL53" s="522">
        <f t="shared" si="126"/>
        <v>0</v>
      </c>
      <c r="AM53" s="522">
        <f t="shared" si="72"/>
        <v>0</v>
      </c>
      <c r="AN53" s="522">
        <f t="shared" si="72"/>
        <v>0</v>
      </c>
      <c r="AO53" s="522">
        <f t="shared" si="27"/>
        <v>0</v>
      </c>
      <c r="AP53" s="522" t="e">
        <f t="shared" si="47"/>
        <v>#DIV/0!</v>
      </c>
      <c r="AQ53" s="522">
        <v>0</v>
      </c>
      <c r="AR53" s="522">
        <v>0</v>
      </c>
      <c r="AS53" s="522">
        <v>0</v>
      </c>
      <c r="AT53" s="522">
        <v>0</v>
      </c>
      <c r="AU53" s="522">
        <f t="shared" si="79"/>
        <v>0</v>
      </c>
      <c r="AV53" s="522">
        <f t="shared" si="79"/>
        <v>0</v>
      </c>
      <c r="AW53" s="522">
        <f t="shared" si="28"/>
        <v>0</v>
      </c>
      <c r="AX53" s="522" t="e">
        <f t="shared" si="29"/>
        <v>#DIV/0!</v>
      </c>
      <c r="AY53" s="522">
        <f t="shared" si="82"/>
        <v>0</v>
      </c>
      <c r="AZ53" s="522">
        <f t="shared" si="30"/>
        <v>0</v>
      </c>
      <c r="BA53" s="522" t="e">
        <f t="shared" si="31"/>
        <v>#DIV/0!</v>
      </c>
      <c r="BB53" s="522">
        <v>0</v>
      </c>
      <c r="BC53" s="525"/>
      <c r="BD53" s="525">
        <f t="shared" si="127"/>
        <v>0</v>
      </c>
      <c r="BE53" s="525">
        <f t="shared" si="33"/>
        <v>0</v>
      </c>
      <c r="BF53" s="525">
        <f t="shared" si="34"/>
        <v>0</v>
      </c>
      <c r="BG53" s="525">
        <f t="shared" si="35"/>
        <v>0</v>
      </c>
      <c r="BH53" s="522">
        <f t="shared" si="35"/>
        <v>0</v>
      </c>
      <c r="BI53" s="522"/>
      <c r="BJ53" s="522">
        <f t="shared" si="37"/>
        <v>0</v>
      </c>
      <c r="BK53" s="522">
        <f t="shared" si="38"/>
        <v>0</v>
      </c>
      <c r="BL53" s="525">
        <v>0</v>
      </c>
      <c r="BM53" s="522"/>
      <c r="BN53" s="522">
        <f t="shared" si="128"/>
        <v>0</v>
      </c>
      <c r="BO53" s="522">
        <f t="shared" si="48"/>
        <v>0</v>
      </c>
      <c r="BP53" s="522">
        <f t="shared" si="40"/>
        <v>0</v>
      </c>
      <c r="BQ53" s="525">
        <v>0</v>
      </c>
      <c r="BR53" s="522"/>
      <c r="BS53" s="522"/>
      <c r="BT53" s="536"/>
      <c r="BU53" s="522"/>
      <c r="BV53" s="522"/>
      <c r="BW53" s="522"/>
      <c r="BX53" s="574"/>
      <c r="BY53" s="522"/>
      <c r="BZ53" s="522"/>
      <c r="CA53" s="522"/>
      <c r="CB53" s="522">
        <f t="shared" si="134"/>
        <v>0</v>
      </c>
      <c r="CC53" s="522">
        <f t="shared" si="44"/>
        <v>0</v>
      </c>
      <c r="CD53" s="522"/>
      <c r="CE53" s="522"/>
      <c r="CF53" s="522"/>
      <c r="CG53" s="522"/>
      <c r="CH53" s="522"/>
      <c r="CI53" s="522"/>
      <c r="CJ53" s="522"/>
      <c r="CK53" s="543" t="s">
        <v>77</v>
      </c>
      <c r="CL53" s="543" t="s">
        <v>1800</v>
      </c>
      <c r="CM53" s="528" t="s">
        <v>1857</v>
      </c>
      <c r="CN53" s="528" t="s">
        <v>1849</v>
      </c>
      <c r="CO53" s="528"/>
      <c r="CP53" s="544">
        <f t="shared" si="129"/>
        <v>0</v>
      </c>
      <c r="CQ53" s="544">
        <f t="shared" si="130"/>
        <v>0</v>
      </c>
      <c r="CR53" s="544">
        <f t="shared" si="131"/>
        <v>0</v>
      </c>
      <c r="CS53" s="1688" t="s">
        <v>1826</v>
      </c>
      <c r="CT53" s="1689"/>
      <c r="CU53" s="1689"/>
      <c r="CV53" s="1689"/>
      <c r="CW53" s="1690"/>
      <c r="CX53" s="528"/>
      <c r="CY53" s="528"/>
      <c r="CZ53" s="528"/>
      <c r="DA53" s="528"/>
      <c r="DB53" s="544"/>
      <c r="DD53" s="535"/>
      <c r="DE53" s="535"/>
      <c r="DF53" s="522">
        <f t="shared" si="88"/>
        <v>0</v>
      </c>
      <c r="DG53" s="522">
        <f t="shared" si="88"/>
        <v>0</v>
      </c>
      <c r="DH53" s="522">
        <f t="shared" si="88"/>
        <v>0</v>
      </c>
      <c r="DI53" s="522">
        <f t="shared" si="88"/>
        <v>0</v>
      </c>
      <c r="DJ53" s="536"/>
      <c r="DK53" s="536"/>
      <c r="DL53" s="536"/>
      <c r="DM53" s="536"/>
      <c r="DN53" s="536"/>
      <c r="DO53" s="536"/>
      <c r="DP53" s="536"/>
      <c r="DQ53" s="536"/>
      <c r="DR53" s="536"/>
      <c r="DS53" s="536"/>
    </row>
    <row r="54" spans="1:123" s="614" customFormat="1" ht="98.25" customHeight="1">
      <c r="A54" s="598" t="s">
        <v>1887</v>
      </c>
      <c r="B54" s="610" t="s">
        <v>1888</v>
      </c>
      <c r="C54" s="525"/>
      <c r="D54" s="525"/>
      <c r="E54" s="525"/>
      <c r="F54" s="525"/>
      <c r="G54" s="596">
        <v>0</v>
      </c>
      <c r="H54" s="596">
        <v>0</v>
      </c>
      <c r="I54" s="525">
        <f t="shared" si="122"/>
        <v>15420183.880000001</v>
      </c>
      <c r="J54" s="525">
        <v>15420183.880000001</v>
      </c>
      <c r="K54" s="525">
        <v>0</v>
      </c>
      <c r="L54" s="525">
        <v>0</v>
      </c>
      <c r="M54" s="525">
        <f t="shared" si="123"/>
        <v>15420183.880000001</v>
      </c>
      <c r="N54" s="525">
        <v>22489458.710000001</v>
      </c>
      <c r="O54" s="525">
        <f t="shared" si="124"/>
        <v>-1306350.25</v>
      </c>
      <c r="P54" s="522">
        <f>2412859.67+18770248.79</f>
        <v>21183108.460000001</v>
      </c>
      <c r="Q54" s="525">
        <f t="shared" si="12"/>
        <v>5762924.5800000001</v>
      </c>
      <c r="R54" s="525">
        <f t="shared" si="13"/>
        <v>37.372606091127892</v>
      </c>
      <c r="S54" s="525"/>
      <c r="T54" s="525"/>
      <c r="U54" s="522">
        <f t="shared" si="125"/>
        <v>0</v>
      </c>
      <c r="V54" s="522">
        <f t="shared" si="1"/>
        <v>0</v>
      </c>
      <c r="W54" s="522">
        <v>0</v>
      </c>
      <c r="X54" s="522">
        <f t="shared" si="15"/>
        <v>-21183108.460000001</v>
      </c>
      <c r="Y54" s="522">
        <f t="shared" si="16"/>
        <v>-100</v>
      </c>
      <c r="Z54" s="524">
        <f t="shared" si="17"/>
        <v>11165530.779999999</v>
      </c>
      <c r="AA54" s="522">
        <f t="shared" si="18"/>
        <v>11165530.779999999</v>
      </c>
      <c r="AB54" s="522">
        <v>0</v>
      </c>
      <c r="AC54" s="522">
        <f t="shared" si="20"/>
        <v>11165530.779999999</v>
      </c>
      <c r="AD54" s="522">
        <v>0</v>
      </c>
      <c r="AE54" s="522">
        <f t="shared" si="22"/>
        <v>-10017577.680000002</v>
      </c>
      <c r="AF54" s="522">
        <f t="shared" si="23"/>
        <v>-47.290404516958226</v>
      </c>
      <c r="AG54" s="522">
        <f t="shared" si="46"/>
        <v>23312265.18</v>
      </c>
      <c r="AH54" s="522">
        <f t="shared" si="24"/>
        <v>23312265.18</v>
      </c>
      <c r="AI54" s="522">
        <v>0</v>
      </c>
      <c r="AJ54" s="522">
        <f t="shared" si="26"/>
        <v>12146734.4</v>
      </c>
      <c r="AK54" s="522">
        <f t="shared" si="133"/>
        <v>108.78779199424679</v>
      </c>
      <c r="AL54" s="522">
        <f t="shared" si="126"/>
        <v>23312265.18</v>
      </c>
      <c r="AM54" s="522">
        <f t="shared" si="72"/>
        <v>0</v>
      </c>
      <c r="AN54" s="522">
        <f t="shared" si="72"/>
        <v>11165530.779999999</v>
      </c>
      <c r="AO54" s="522">
        <f t="shared" si="27"/>
        <v>11165530.779999999</v>
      </c>
      <c r="AP54" s="522">
        <v>0</v>
      </c>
      <c r="AQ54" s="522">
        <v>0</v>
      </c>
      <c r="AR54" s="522">
        <v>5566173.790000001</v>
      </c>
      <c r="AS54" s="522">
        <v>0</v>
      </c>
      <c r="AT54" s="522">
        <v>5599356.9899999984</v>
      </c>
      <c r="AU54" s="522">
        <f t="shared" si="79"/>
        <v>0</v>
      </c>
      <c r="AV54" s="522">
        <f t="shared" si="79"/>
        <v>0</v>
      </c>
      <c r="AW54" s="522">
        <f t="shared" si="28"/>
        <v>0</v>
      </c>
      <c r="AX54" s="522">
        <v>0</v>
      </c>
      <c r="AY54" s="522">
        <f t="shared" si="82"/>
        <v>12146734.4</v>
      </c>
      <c r="AZ54" s="522">
        <f t="shared" si="30"/>
        <v>-12146734.4</v>
      </c>
      <c r="BA54" s="522">
        <v>0</v>
      </c>
      <c r="BB54" s="522">
        <v>0</v>
      </c>
      <c r="BC54" s="525">
        <f>'[67]Гл бух'!AT8</f>
        <v>0</v>
      </c>
      <c r="BD54" s="525">
        <f t="shared" si="127"/>
        <v>6321383.2100000028</v>
      </c>
      <c r="BE54" s="525">
        <f t="shared" si="33"/>
        <v>6321383.2100000028</v>
      </c>
      <c r="BF54" s="525">
        <f t="shared" si="34"/>
        <v>6321383.2100000028</v>
      </c>
      <c r="BG54" s="525">
        <f t="shared" si="35"/>
        <v>0</v>
      </c>
      <c r="BH54" s="522">
        <f t="shared" si="35"/>
        <v>11165530.779999999</v>
      </c>
      <c r="BI54" s="522">
        <f>15078082.58+2408831.41</f>
        <v>17486913.990000002</v>
      </c>
      <c r="BJ54" s="522">
        <f t="shared" si="37"/>
        <v>17486913.990000002</v>
      </c>
      <c r="BK54" s="522">
        <f t="shared" si="38"/>
        <v>6321383.2100000028</v>
      </c>
      <c r="BL54" s="525">
        <v>0</v>
      </c>
      <c r="BM54" s="522">
        <f>'[67]Гл бух'!AW8</f>
        <v>0</v>
      </c>
      <c r="BN54" s="522">
        <f t="shared" si="128"/>
        <v>5825351.1899999976</v>
      </c>
      <c r="BO54" s="522">
        <f t="shared" si="48"/>
        <v>5825351.1899999976</v>
      </c>
      <c r="BP54" s="522">
        <f t="shared" si="40"/>
        <v>5825351.1899999976</v>
      </c>
      <c r="BQ54" s="525">
        <v>0</v>
      </c>
      <c r="BR54" s="522">
        <f>'[67]Гл бух'!BB8</f>
        <v>0</v>
      </c>
      <c r="BS54" s="522">
        <f>'[67]Гл бух'!BC8</f>
        <v>0</v>
      </c>
      <c r="BT54" s="611"/>
      <c r="BU54" s="522">
        <v>19917260.350000001</v>
      </c>
      <c r="BV54" s="522">
        <v>3395004.83</v>
      </c>
      <c r="BW54" s="522"/>
      <c r="BX54" s="574"/>
      <c r="BY54" s="522">
        <f>18560002.84+3395004.83</f>
        <v>21955007.670000002</v>
      </c>
      <c r="BZ54" s="522">
        <v>870488.66</v>
      </c>
      <c r="CA54" s="522">
        <v>486768.85</v>
      </c>
      <c r="CB54" s="522">
        <f t="shared" si="134"/>
        <v>23312265.180000003</v>
      </c>
      <c r="CC54" s="522">
        <f t="shared" si="44"/>
        <v>0</v>
      </c>
      <c r="CD54" s="522"/>
      <c r="CE54" s="522"/>
      <c r="CF54" s="522"/>
      <c r="CG54" s="522"/>
      <c r="CH54" s="522"/>
      <c r="CI54" s="522"/>
      <c r="CJ54" s="522"/>
      <c r="CK54" s="542" t="s">
        <v>1881</v>
      </c>
      <c r="CL54" s="612" t="s">
        <v>1882</v>
      </c>
      <c r="CM54" s="528" t="s">
        <v>1857</v>
      </c>
      <c r="CN54" s="528" t="s">
        <v>1849</v>
      </c>
      <c r="CO54" s="613"/>
      <c r="CP54" s="544">
        <f t="shared" si="129"/>
        <v>0</v>
      </c>
      <c r="CQ54" s="544">
        <f t="shared" si="130"/>
        <v>0</v>
      </c>
      <c r="CR54" s="544">
        <f t="shared" si="131"/>
        <v>0</v>
      </c>
      <c r="CS54" s="1688" t="s">
        <v>1826</v>
      </c>
      <c r="CT54" s="1689"/>
      <c r="CU54" s="1689"/>
      <c r="CV54" s="1689"/>
      <c r="CW54" s="1690"/>
      <c r="CX54" s="613"/>
      <c r="CY54" s="613"/>
      <c r="CZ54" s="613"/>
      <c r="DA54" s="613"/>
      <c r="DB54" s="544">
        <f>4825654.48+740519.31</f>
        <v>5566173.790000001</v>
      </c>
      <c r="DD54" s="615"/>
      <c r="DE54" s="615"/>
      <c r="DF54" s="522">
        <f t="shared" si="88"/>
        <v>21955.007670000003</v>
      </c>
      <c r="DG54" s="522">
        <f t="shared" si="88"/>
        <v>870.48865999999998</v>
      </c>
      <c r="DH54" s="522">
        <f t="shared" si="88"/>
        <v>486.76884999999999</v>
      </c>
      <c r="DI54" s="522">
        <f t="shared" si="88"/>
        <v>23312.265180000002</v>
      </c>
      <c r="DJ54" s="611"/>
      <c r="DK54" s="611"/>
      <c r="DL54" s="611"/>
      <c r="DM54" s="611"/>
      <c r="DN54" s="611"/>
      <c r="DO54" s="611"/>
      <c r="DP54" s="611"/>
      <c r="DQ54" s="611"/>
      <c r="DR54" s="611"/>
      <c r="DS54" s="611"/>
    </row>
    <row r="55" spans="1:123" s="614" customFormat="1" ht="64.5" customHeight="1">
      <c r="A55" s="607" t="s">
        <v>1889</v>
      </c>
      <c r="B55" s="608" t="s">
        <v>1890</v>
      </c>
      <c r="C55" s="525"/>
      <c r="D55" s="525"/>
      <c r="E55" s="525"/>
      <c r="F55" s="525"/>
      <c r="G55" s="596"/>
      <c r="H55" s="596"/>
      <c r="I55" s="525">
        <f t="shared" si="122"/>
        <v>0</v>
      </c>
      <c r="J55" s="525"/>
      <c r="K55" s="525"/>
      <c r="L55" s="525"/>
      <c r="M55" s="525">
        <f t="shared" si="123"/>
        <v>0</v>
      </c>
      <c r="N55" s="525"/>
      <c r="O55" s="525">
        <f t="shared" si="124"/>
        <v>10648865.310000001</v>
      </c>
      <c r="P55" s="609">
        <v>10648865.310000001</v>
      </c>
      <c r="Q55" s="525">
        <f t="shared" si="12"/>
        <v>10648865.310000001</v>
      </c>
      <c r="R55" s="525" t="e">
        <f t="shared" si="13"/>
        <v>#DIV/0!</v>
      </c>
      <c r="S55" s="525"/>
      <c r="T55" s="525"/>
      <c r="U55" s="522">
        <f t="shared" si="125"/>
        <v>0</v>
      </c>
      <c r="V55" s="522">
        <f t="shared" si="1"/>
        <v>0</v>
      </c>
      <c r="W55" s="522" t="e">
        <f t="shared" si="14"/>
        <v>#DIV/0!</v>
      </c>
      <c r="X55" s="522">
        <f t="shared" si="15"/>
        <v>-10648865.310000001</v>
      </c>
      <c r="Y55" s="522">
        <f t="shared" si="16"/>
        <v>-100</v>
      </c>
      <c r="Z55" s="524">
        <f t="shared" si="17"/>
        <v>0</v>
      </c>
      <c r="AA55" s="522">
        <f t="shared" si="18"/>
        <v>0</v>
      </c>
      <c r="AB55" s="522" t="e">
        <f t="shared" si="19"/>
        <v>#DIV/0!</v>
      </c>
      <c r="AC55" s="522">
        <f t="shared" si="20"/>
        <v>0</v>
      </c>
      <c r="AD55" s="522" t="e">
        <f t="shared" si="21"/>
        <v>#DIV/0!</v>
      </c>
      <c r="AE55" s="522">
        <f t="shared" si="22"/>
        <v>-10648865.310000001</v>
      </c>
      <c r="AF55" s="522">
        <f t="shared" si="23"/>
        <v>-100</v>
      </c>
      <c r="AG55" s="522">
        <f t="shared" si="46"/>
        <v>0</v>
      </c>
      <c r="AH55" s="522">
        <f t="shared" si="24"/>
        <v>0</v>
      </c>
      <c r="AI55" s="522" t="e">
        <f t="shared" si="25"/>
        <v>#DIV/0!</v>
      </c>
      <c r="AJ55" s="522">
        <f t="shared" si="26"/>
        <v>0</v>
      </c>
      <c r="AK55" s="522" t="e">
        <f t="shared" si="133"/>
        <v>#DIV/0!</v>
      </c>
      <c r="AL55" s="522">
        <f t="shared" si="126"/>
        <v>0</v>
      </c>
      <c r="AM55" s="522">
        <f t="shared" si="72"/>
        <v>0</v>
      </c>
      <c r="AN55" s="522">
        <f t="shared" si="72"/>
        <v>0</v>
      </c>
      <c r="AO55" s="522">
        <f t="shared" si="27"/>
        <v>0</v>
      </c>
      <c r="AP55" s="522" t="e">
        <f t="shared" si="47"/>
        <v>#DIV/0!</v>
      </c>
      <c r="AQ55" s="522">
        <v>0</v>
      </c>
      <c r="AR55" s="522">
        <v>0</v>
      </c>
      <c r="AS55" s="522">
        <v>0</v>
      </c>
      <c r="AT55" s="522">
        <v>0</v>
      </c>
      <c r="AU55" s="522">
        <f t="shared" si="79"/>
        <v>0</v>
      </c>
      <c r="AV55" s="522">
        <f t="shared" si="79"/>
        <v>0</v>
      </c>
      <c r="AW55" s="522">
        <f t="shared" si="28"/>
        <v>0</v>
      </c>
      <c r="AX55" s="522" t="e">
        <f t="shared" si="29"/>
        <v>#DIV/0!</v>
      </c>
      <c r="AY55" s="522">
        <f t="shared" si="82"/>
        <v>0</v>
      </c>
      <c r="AZ55" s="522">
        <f t="shared" si="30"/>
        <v>0</v>
      </c>
      <c r="BA55" s="522" t="e">
        <f t="shared" si="31"/>
        <v>#DIV/0!</v>
      </c>
      <c r="BB55" s="522">
        <v>0</v>
      </c>
      <c r="BC55" s="525"/>
      <c r="BD55" s="525">
        <f t="shared" si="127"/>
        <v>0</v>
      </c>
      <c r="BE55" s="525">
        <f t="shared" si="33"/>
        <v>0</v>
      </c>
      <c r="BF55" s="525">
        <f t="shared" si="34"/>
        <v>0</v>
      </c>
      <c r="BG55" s="525">
        <f t="shared" si="35"/>
        <v>0</v>
      </c>
      <c r="BH55" s="522">
        <f t="shared" si="35"/>
        <v>0</v>
      </c>
      <c r="BI55" s="522"/>
      <c r="BJ55" s="522">
        <f t="shared" si="37"/>
        <v>0</v>
      </c>
      <c r="BK55" s="522">
        <f t="shared" si="38"/>
        <v>0</v>
      </c>
      <c r="BL55" s="525">
        <v>0</v>
      </c>
      <c r="BM55" s="522"/>
      <c r="BN55" s="522">
        <f t="shared" si="128"/>
        <v>0</v>
      </c>
      <c r="BO55" s="522">
        <f t="shared" si="48"/>
        <v>0</v>
      </c>
      <c r="BP55" s="522">
        <f t="shared" si="40"/>
        <v>0</v>
      </c>
      <c r="BQ55" s="525">
        <v>0</v>
      </c>
      <c r="BR55" s="522"/>
      <c r="BS55" s="522"/>
      <c r="BT55" s="611"/>
      <c r="BU55" s="522"/>
      <c r="BV55" s="522"/>
      <c r="BW55" s="522"/>
      <c r="BX55" s="616"/>
      <c r="BY55" s="522"/>
      <c r="BZ55" s="522"/>
      <c r="CA55" s="522"/>
      <c r="CB55" s="522">
        <f t="shared" si="134"/>
        <v>0</v>
      </c>
      <c r="CC55" s="522">
        <f t="shared" si="44"/>
        <v>0</v>
      </c>
      <c r="CD55" s="522"/>
      <c r="CE55" s="522"/>
      <c r="CF55" s="522"/>
      <c r="CG55" s="522"/>
      <c r="CH55" s="522"/>
      <c r="CI55" s="522"/>
      <c r="CJ55" s="522"/>
      <c r="CK55" s="543" t="s">
        <v>1891</v>
      </c>
      <c r="CL55" s="543" t="s">
        <v>1892</v>
      </c>
      <c r="CM55" s="528" t="s">
        <v>1857</v>
      </c>
      <c r="CN55" s="528" t="s">
        <v>1849</v>
      </c>
      <c r="CO55" s="613"/>
      <c r="CP55" s="544">
        <f t="shared" si="129"/>
        <v>0</v>
      </c>
      <c r="CQ55" s="544">
        <f t="shared" si="130"/>
        <v>0</v>
      </c>
      <c r="CR55" s="544">
        <f t="shared" si="131"/>
        <v>0</v>
      </c>
      <c r="CS55" s="1688" t="s">
        <v>1826</v>
      </c>
      <c r="CT55" s="1689"/>
      <c r="CU55" s="1689"/>
      <c r="CV55" s="1689"/>
      <c r="CW55" s="1690"/>
      <c r="CX55" s="613"/>
      <c r="CY55" s="613"/>
      <c r="CZ55" s="613"/>
      <c r="DA55" s="613"/>
      <c r="DB55" s="544"/>
      <c r="DD55" s="615"/>
      <c r="DE55" s="615"/>
      <c r="DF55" s="522">
        <f t="shared" si="88"/>
        <v>0</v>
      </c>
      <c r="DG55" s="522">
        <f t="shared" si="88"/>
        <v>0</v>
      </c>
      <c r="DH55" s="522">
        <f t="shared" si="88"/>
        <v>0</v>
      </c>
      <c r="DI55" s="522">
        <f t="shared" si="88"/>
        <v>0</v>
      </c>
      <c r="DJ55" s="611"/>
      <c r="DK55" s="611"/>
      <c r="DL55" s="611"/>
      <c r="DM55" s="611"/>
      <c r="DN55" s="611"/>
      <c r="DO55" s="611"/>
      <c r="DP55" s="611"/>
      <c r="DQ55" s="611"/>
      <c r="DR55" s="611"/>
      <c r="DS55" s="611"/>
    </row>
    <row r="56" spans="1:123" ht="55.2">
      <c r="A56" s="505" t="s">
        <v>1893</v>
      </c>
      <c r="B56" s="506" t="s">
        <v>1894</v>
      </c>
      <c r="C56" s="580">
        <f>SUM(C57:C71)</f>
        <v>20228021.860000003</v>
      </c>
      <c r="D56" s="580">
        <f t="shared" ref="D56:T56" si="135">SUM(D57:D71)</f>
        <v>31475175.191998594</v>
      </c>
      <c r="E56" s="594">
        <f t="shared" si="135"/>
        <v>23970055.059999999</v>
      </c>
      <c r="F56" s="594">
        <f t="shared" si="135"/>
        <v>25728661.679999996</v>
      </c>
      <c r="G56" s="580">
        <f t="shared" si="135"/>
        <v>24217688.411640152</v>
      </c>
      <c r="H56" s="580">
        <f t="shared" si="135"/>
        <v>0</v>
      </c>
      <c r="I56" s="580">
        <f t="shared" si="135"/>
        <v>21857810.439999998</v>
      </c>
      <c r="J56" s="580">
        <f>SUM(J57:J71)</f>
        <v>9799334.3300000001</v>
      </c>
      <c r="K56" s="580">
        <f t="shared" si="135"/>
        <v>5352990.1999999993</v>
      </c>
      <c r="L56" s="580">
        <f t="shared" si="135"/>
        <v>6705485.9100000001</v>
      </c>
      <c r="M56" s="580">
        <f t="shared" si="135"/>
        <v>15152324.530000001</v>
      </c>
      <c r="N56" s="580">
        <f t="shared" si="135"/>
        <v>15597070.200000001</v>
      </c>
      <c r="O56" s="580">
        <f>SUM(O57:O71)</f>
        <v>6350126.4399999985</v>
      </c>
      <c r="P56" s="580">
        <f>SUM(P57:P71)</f>
        <v>21947196.640000001</v>
      </c>
      <c r="Q56" s="580">
        <f t="shared" si="12"/>
        <v>89386.20000000298</v>
      </c>
      <c r="R56" s="580">
        <f t="shared" si="13"/>
        <v>0.40894398020958533</v>
      </c>
      <c r="S56" s="580">
        <f t="shared" si="135"/>
        <v>21065964.133858331</v>
      </c>
      <c r="T56" s="580">
        <f t="shared" si="135"/>
        <v>22056849.146358337</v>
      </c>
      <c r="U56" s="580">
        <f>SUM(U57:U71)</f>
        <v>20944831.34</v>
      </c>
      <c r="V56" s="580">
        <f t="shared" si="1"/>
        <v>-1112017.8063583374</v>
      </c>
      <c r="W56" s="580">
        <f t="shared" si="14"/>
        <v>-5.041598638951271</v>
      </c>
      <c r="X56" s="580">
        <f t="shared" si="15"/>
        <v>-1002365.3000000007</v>
      </c>
      <c r="Y56" s="580">
        <f t="shared" si="16"/>
        <v>-4.567167809364463</v>
      </c>
      <c r="Z56" s="580">
        <f t="shared" si="17"/>
        <v>22491723.965000004</v>
      </c>
      <c r="AA56" s="580">
        <f t="shared" si="18"/>
        <v>434874.81864166632</v>
      </c>
      <c r="AB56" s="580">
        <f t="shared" si="19"/>
        <v>1.9716089807571962</v>
      </c>
      <c r="AC56" s="580">
        <f t="shared" si="20"/>
        <v>1546892.6250000037</v>
      </c>
      <c r="AD56" s="580">
        <f t="shared" si="21"/>
        <v>7.3855578012976366</v>
      </c>
      <c r="AE56" s="580">
        <f t="shared" si="22"/>
        <v>544527.32500000298</v>
      </c>
      <c r="AF56" s="580">
        <f t="shared" si="23"/>
        <v>2.4810791734903006</v>
      </c>
      <c r="AG56" s="580">
        <f t="shared" si="46"/>
        <v>23118494.319999997</v>
      </c>
      <c r="AH56" s="580">
        <f t="shared" si="24"/>
        <v>2173662.9799999967</v>
      </c>
      <c r="AI56" s="580">
        <f t="shared" si="25"/>
        <v>10.378040026747698</v>
      </c>
      <c r="AJ56" s="580">
        <f t="shared" si="26"/>
        <v>626770.354999993</v>
      </c>
      <c r="AK56" s="580">
        <f t="shared" si="133"/>
        <v>2.7866710260864238</v>
      </c>
      <c r="AL56" s="580">
        <f>SUM(AL57:AL71)</f>
        <v>23118494.32</v>
      </c>
      <c r="AM56" s="580">
        <f t="shared" si="72"/>
        <v>9825697.6400000006</v>
      </c>
      <c r="AN56" s="580">
        <f t="shared" si="72"/>
        <v>10116622.59</v>
      </c>
      <c r="AO56" s="580">
        <f t="shared" si="27"/>
        <v>290924.94999999925</v>
      </c>
      <c r="AP56" s="580">
        <f t="shared" si="47"/>
        <v>2.9608579528811845</v>
      </c>
      <c r="AQ56" s="580">
        <f>SUM(AQ57:AQ71)</f>
        <v>3293559.5300000003</v>
      </c>
      <c r="AR56" s="580">
        <f>SUM(AR57:AR71)</f>
        <v>3800545.91</v>
      </c>
      <c r="AS56" s="580">
        <f>SUM(AS57:AS71)</f>
        <v>6532138.1099999994</v>
      </c>
      <c r="AT56" s="580">
        <f>SUM(AT57:AT71)</f>
        <v>6316076.6799999997</v>
      </c>
      <c r="AU56" s="580">
        <f t="shared" si="79"/>
        <v>11119133.699999999</v>
      </c>
      <c r="AV56" s="580">
        <f t="shared" si="79"/>
        <v>12375101.375000002</v>
      </c>
      <c r="AW56" s="580">
        <f t="shared" si="28"/>
        <v>1255967.6750000026</v>
      </c>
      <c r="AX56" s="580">
        <f t="shared" si="29"/>
        <v>11.295553312754961</v>
      </c>
      <c r="AY56" s="580">
        <f t="shared" si="82"/>
        <v>13001871.729999997</v>
      </c>
      <c r="AZ56" s="580">
        <f t="shared" si="30"/>
        <v>-626770.35499999486</v>
      </c>
      <c r="BA56" s="580">
        <f t="shared" si="31"/>
        <v>-4.8206163544423362</v>
      </c>
      <c r="BB56" s="580">
        <f t="shared" ref="BB56:BN56" si="136">SUM(BB57:BB71)</f>
        <v>5541804.4399999995</v>
      </c>
      <c r="BC56" s="580">
        <f t="shared" si="136"/>
        <v>6026538.6900000004</v>
      </c>
      <c r="BD56" s="580">
        <f t="shared" si="136"/>
        <v>5836799.8499999987</v>
      </c>
      <c r="BE56" s="580">
        <f t="shared" si="33"/>
        <v>294995.40999999922</v>
      </c>
      <c r="BF56" s="580">
        <f t="shared" si="34"/>
        <v>-189738.84000000171</v>
      </c>
      <c r="BG56" s="580">
        <f t="shared" si="35"/>
        <v>15367502.08</v>
      </c>
      <c r="BH56" s="580">
        <f t="shared" si="136"/>
        <v>16143161.280000001</v>
      </c>
      <c r="BI56" s="580">
        <f t="shared" si="136"/>
        <v>15953422.439999998</v>
      </c>
      <c r="BJ56" s="580">
        <f t="shared" si="37"/>
        <v>585920.35999999754</v>
      </c>
      <c r="BK56" s="580">
        <f t="shared" si="38"/>
        <v>-189738.84000000358</v>
      </c>
      <c r="BL56" s="580">
        <f t="shared" si="136"/>
        <v>5577329.2600000007</v>
      </c>
      <c r="BM56" s="580">
        <f t="shared" si="136"/>
        <v>6348562.6850000015</v>
      </c>
      <c r="BN56" s="580">
        <f t="shared" si="136"/>
        <v>7165071.879999999</v>
      </c>
      <c r="BO56" s="580">
        <f t="shared" si="48"/>
        <v>1587742.6199999982</v>
      </c>
      <c r="BP56" s="580">
        <f t="shared" si="40"/>
        <v>816509.1949999975</v>
      </c>
      <c r="BQ56" s="580">
        <f t="shared" ref="BQ56:BS56" si="137">SUM(BQ57:BQ71)</f>
        <v>5577329.2600000007</v>
      </c>
      <c r="BR56" s="580">
        <f t="shared" si="137"/>
        <v>0</v>
      </c>
      <c r="BS56" s="580">
        <f t="shared" si="137"/>
        <v>0</v>
      </c>
      <c r="BU56" s="580">
        <f t="shared" ref="BU56:BW56" si="138">SUM(BU57:BU71)</f>
        <v>18772800.659999996</v>
      </c>
      <c r="BV56" s="580">
        <f t="shared" si="138"/>
        <v>4345693.66</v>
      </c>
      <c r="BW56" s="580">
        <f t="shared" si="138"/>
        <v>0</v>
      </c>
      <c r="BX56" s="581"/>
      <c r="BY56" s="580">
        <f>SUM(BY57:BY71)</f>
        <v>22408876.230000004</v>
      </c>
      <c r="BZ56" s="580">
        <f t="shared" ref="BZ56:CB56" si="139">SUM(BZ57:BZ71)</f>
        <v>594587.41</v>
      </c>
      <c r="CA56" s="580">
        <f t="shared" si="139"/>
        <v>115030.67999999998</v>
      </c>
      <c r="CB56" s="580">
        <f t="shared" si="139"/>
        <v>23118494.32</v>
      </c>
      <c r="CC56" s="580">
        <f t="shared" si="44"/>
        <v>0</v>
      </c>
      <c r="CD56" s="580"/>
      <c r="CE56" s="580"/>
      <c r="CF56" s="580"/>
      <c r="CG56" s="580"/>
      <c r="CH56" s="580"/>
      <c r="CI56" s="580"/>
      <c r="CJ56" s="580"/>
      <c r="CK56" s="617"/>
      <c r="CL56" s="508"/>
      <c r="CM56" s="510"/>
      <c r="CN56" s="510"/>
      <c r="CO56" s="510"/>
      <c r="CP56" s="582">
        <f>SUM(CP57:CP71)</f>
        <v>19511637.882477723</v>
      </c>
      <c r="CQ56" s="582">
        <f>SUM(CQ57:CQ71)</f>
        <v>1433193.4575222787</v>
      </c>
      <c r="CR56" s="582">
        <f>SUM(CR57:CR71)</f>
        <v>0</v>
      </c>
      <c r="CS56" s="1679"/>
      <c r="CT56" s="1680"/>
      <c r="CU56" s="1680"/>
      <c r="CV56" s="1680"/>
      <c r="CW56" s="1681"/>
      <c r="CX56" s="510"/>
      <c r="CY56" s="510"/>
      <c r="CZ56" s="510"/>
      <c r="DA56" s="510"/>
      <c r="DB56" s="582">
        <f>SUM(DB57:DB71)</f>
        <v>3800545.91</v>
      </c>
      <c r="DD56" s="517"/>
      <c r="DE56" s="517"/>
      <c r="DF56" s="580">
        <f t="shared" si="88"/>
        <v>22408.876230000005</v>
      </c>
      <c r="DG56" s="580">
        <f t="shared" si="88"/>
        <v>594.58740999999998</v>
      </c>
      <c r="DH56" s="580">
        <f t="shared" si="88"/>
        <v>115.03067999999998</v>
      </c>
      <c r="DI56" s="580">
        <f t="shared" si="88"/>
        <v>23118.494320000002</v>
      </c>
    </row>
    <row r="57" spans="1:123" s="534" customFormat="1" ht="71.25" customHeight="1">
      <c r="A57" s="537" t="s">
        <v>980</v>
      </c>
      <c r="B57" s="538" t="s">
        <v>1895</v>
      </c>
      <c r="C57" s="576">
        <v>680520</v>
      </c>
      <c r="D57" s="525">
        <v>10640860.2419986</v>
      </c>
      <c r="E57" s="525">
        <v>393968.65</v>
      </c>
      <c r="F57" s="525">
        <v>664800</v>
      </c>
      <c r="G57" s="618">
        <v>5884031.1101387702</v>
      </c>
      <c r="H57" s="1708">
        <v>0</v>
      </c>
      <c r="I57" s="525">
        <f t="shared" ref="I57:I71" si="140">J57+K57+L57</f>
        <v>525092.6</v>
      </c>
      <c r="J57" s="525">
        <v>223600</v>
      </c>
      <c r="K57" s="525">
        <v>150746.29999999999</v>
      </c>
      <c r="L57" s="525">
        <v>150746.29999999999</v>
      </c>
      <c r="M57" s="525">
        <f t="shared" ref="M57:M71" si="141">J57+K57</f>
        <v>374346.3</v>
      </c>
      <c r="N57" s="525">
        <v>354900</v>
      </c>
      <c r="O57" s="525">
        <f t="shared" ref="O57:O71" si="142">P57-N57</f>
        <v>172700</v>
      </c>
      <c r="P57" s="522">
        <f>8000+514800+4800</f>
        <v>527600</v>
      </c>
      <c r="Q57" s="525">
        <f t="shared" si="12"/>
        <v>2507.4000000000233</v>
      </c>
      <c r="R57" s="525">
        <f t="shared" si="13"/>
        <v>0.47751577531278144</v>
      </c>
      <c r="S57" s="525">
        <v>397748.97874999995</v>
      </c>
      <c r="T57" s="525">
        <v>644238.97875000001</v>
      </c>
      <c r="U57" s="522">
        <f t="shared" ref="U57:U71" si="143">AQ57+AS57+BB57+BL57</f>
        <v>497333.19999999995</v>
      </c>
      <c r="V57" s="522">
        <f t="shared" si="1"/>
        <v>-146905.77875000006</v>
      </c>
      <c r="W57" s="522">
        <f t="shared" si="14"/>
        <v>-22.802994478079768</v>
      </c>
      <c r="X57" s="522">
        <f t="shared" si="15"/>
        <v>-30266.800000000047</v>
      </c>
      <c r="Y57" s="522">
        <f t="shared" si="16"/>
        <v>-5.7366944655041721</v>
      </c>
      <c r="Z57" s="524">
        <f t="shared" si="17"/>
        <v>497333.2</v>
      </c>
      <c r="AA57" s="522">
        <f t="shared" si="18"/>
        <v>-146905.77875</v>
      </c>
      <c r="AB57" s="522">
        <f t="shared" si="19"/>
        <v>-22.802994478079768</v>
      </c>
      <c r="AC57" s="522">
        <f t="shared" si="20"/>
        <v>0</v>
      </c>
      <c r="AD57" s="522">
        <f t="shared" si="21"/>
        <v>0</v>
      </c>
      <c r="AE57" s="522">
        <f t="shared" si="22"/>
        <v>-30266.799999999988</v>
      </c>
      <c r="AF57" s="522">
        <f t="shared" si="23"/>
        <v>-5.7366944655041721</v>
      </c>
      <c r="AG57" s="522">
        <f t="shared" si="46"/>
        <v>386300</v>
      </c>
      <c r="AH57" s="522">
        <f t="shared" si="24"/>
        <v>-111033.19999999995</v>
      </c>
      <c r="AI57" s="522">
        <f t="shared" si="25"/>
        <v>-22.32571644121083</v>
      </c>
      <c r="AJ57" s="522">
        <f t="shared" si="26"/>
        <v>-111033.20000000001</v>
      </c>
      <c r="AK57" s="522">
        <f t="shared" si="133"/>
        <v>-22.325716441210844</v>
      </c>
      <c r="AL57" s="522">
        <f t="shared" ref="AL57:AL71" si="144">SUM(BU57:BV57)</f>
        <v>386300</v>
      </c>
      <c r="AM57" s="522">
        <f t="shared" si="72"/>
        <v>228745.08000000002</v>
      </c>
      <c r="AN57" s="522">
        <f t="shared" si="72"/>
        <v>180200</v>
      </c>
      <c r="AO57" s="522">
        <f t="shared" si="27"/>
        <v>-48545.080000000016</v>
      </c>
      <c r="AP57" s="522">
        <f t="shared" si="47"/>
        <v>-21.22234935063959</v>
      </c>
      <c r="AQ57" s="522">
        <v>93872.54</v>
      </c>
      <c r="AR57" s="522">
        <v>61200</v>
      </c>
      <c r="AS57" s="522">
        <v>134872.54</v>
      </c>
      <c r="AT57" s="522">
        <v>119000</v>
      </c>
      <c r="AU57" s="522">
        <f t="shared" si="79"/>
        <v>268588.12</v>
      </c>
      <c r="AV57" s="522">
        <f t="shared" si="79"/>
        <v>317133.2</v>
      </c>
      <c r="AW57" s="522">
        <f t="shared" si="28"/>
        <v>48545.080000000016</v>
      </c>
      <c r="AX57" s="522">
        <f t="shared" si="29"/>
        <v>18.074172454090686</v>
      </c>
      <c r="AY57" s="522">
        <f t="shared" si="82"/>
        <v>206100</v>
      </c>
      <c r="AZ57" s="522">
        <f t="shared" si="30"/>
        <v>111033.20000000001</v>
      </c>
      <c r="BA57" s="522">
        <f t="shared" si="31"/>
        <v>53.873459485686567</v>
      </c>
      <c r="BB57" s="522">
        <v>134872.54</v>
      </c>
      <c r="BC57" s="525">
        <f>'[67]Дир_по корп'!AT7</f>
        <v>159145.08000000002</v>
      </c>
      <c r="BD57" s="525">
        <f t="shared" ref="BD57:BD71" si="145">BI57-AN57</f>
        <v>114300</v>
      </c>
      <c r="BE57" s="525">
        <f t="shared" si="33"/>
        <v>-20572.540000000008</v>
      </c>
      <c r="BF57" s="525">
        <f t="shared" si="34"/>
        <v>-44845.080000000016</v>
      </c>
      <c r="BG57" s="525">
        <f t="shared" si="35"/>
        <v>363617.62</v>
      </c>
      <c r="BH57" s="522">
        <f t="shared" si="35"/>
        <v>339345.08</v>
      </c>
      <c r="BI57" s="522">
        <f>288700+5800</f>
        <v>294500</v>
      </c>
      <c r="BJ57" s="522">
        <f t="shared" si="37"/>
        <v>-69117.62</v>
      </c>
      <c r="BK57" s="522">
        <f t="shared" si="38"/>
        <v>-44845.080000000016</v>
      </c>
      <c r="BL57" s="525">
        <v>133715.57999999999</v>
      </c>
      <c r="BM57" s="522">
        <f>'[67]Дир_по корп'!AW7</f>
        <v>157988.12</v>
      </c>
      <c r="BN57" s="522">
        <f t="shared" ref="BN57:BN71" si="146">AL57-BI57</f>
        <v>91800</v>
      </c>
      <c r="BO57" s="522">
        <f t="shared" si="48"/>
        <v>-41915.579999999987</v>
      </c>
      <c r="BP57" s="522">
        <f t="shared" si="40"/>
        <v>-66188.12</v>
      </c>
      <c r="BQ57" s="525">
        <v>133715.57999999999</v>
      </c>
      <c r="BR57" s="522">
        <f>'[67]Дир_по корп'!BB7</f>
        <v>0</v>
      </c>
      <c r="BS57" s="522">
        <f>'[67]Дир_по корп'!BC7</f>
        <v>0</v>
      </c>
      <c r="BT57" s="536"/>
      <c r="BU57" s="522">
        <f>379500+400</f>
        <v>379900</v>
      </c>
      <c r="BV57" s="522">
        <v>6400</v>
      </c>
      <c r="BW57" s="522"/>
      <c r="BX57" s="574"/>
      <c r="BY57" s="525">
        <f>371473.49+399.5+6400</f>
        <v>378272.99</v>
      </c>
      <c r="BZ57" s="525">
        <f>6971.45+0.32</f>
        <v>6971.7699999999995</v>
      </c>
      <c r="CA57" s="525">
        <f>1055.06+0.18</f>
        <v>1055.24</v>
      </c>
      <c r="CB57" s="522">
        <f t="shared" si="134"/>
        <v>386300</v>
      </c>
      <c r="CC57" s="522">
        <f t="shared" si="44"/>
        <v>0</v>
      </c>
      <c r="CD57" s="522"/>
      <c r="CE57" s="522"/>
      <c r="CF57" s="522"/>
      <c r="CG57" s="522"/>
      <c r="CH57" s="522"/>
      <c r="CI57" s="522"/>
      <c r="CJ57" s="522"/>
      <c r="CK57" s="543" t="s">
        <v>1896</v>
      </c>
      <c r="CL57" s="543" t="s">
        <v>1897</v>
      </c>
      <c r="CM57" s="528" t="s">
        <v>1305</v>
      </c>
      <c r="CN57" s="528" t="s">
        <v>1849</v>
      </c>
      <c r="CO57" s="528"/>
      <c r="CP57" s="544">
        <f t="shared" ref="CP57:CP71" si="147">U57*$CW$7/100</f>
        <v>463302.14589991863</v>
      </c>
      <c r="CQ57" s="544">
        <f t="shared" ref="CQ57:CQ71" si="148">U57*$CW$8/100</f>
        <v>34031.054100081325</v>
      </c>
      <c r="CR57" s="544"/>
      <c r="CS57" s="1688" t="s">
        <v>1898</v>
      </c>
      <c r="CT57" s="1689"/>
      <c r="CU57" s="1689"/>
      <c r="CV57" s="1689"/>
      <c r="CW57" s="1690"/>
      <c r="CX57" s="528"/>
      <c r="CY57" s="528"/>
      <c r="CZ57" s="528"/>
      <c r="DA57" s="528"/>
      <c r="DB57" s="544">
        <f>59200+2000</f>
        <v>61200</v>
      </c>
      <c r="DD57" s="535"/>
      <c r="DE57" s="535"/>
      <c r="DF57" s="525">
        <f t="shared" si="88"/>
        <v>378.27298999999999</v>
      </c>
      <c r="DG57" s="525">
        <f t="shared" si="88"/>
        <v>6.9717699999999994</v>
      </c>
      <c r="DH57" s="525">
        <f t="shared" si="88"/>
        <v>1.05524</v>
      </c>
      <c r="DI57" s="522">
        <f t="shared" si="88"/>
        <v>386.3</v>
      </c>
      <c r="DJ57" s="536"/>
      <c r="DK57" s="536"/>
      <c r="DL57" s="536"/>
      <c r="DM57" s="536"/>
      <c r="DN57" s="536"/>
      <c r="DO57" s="536"/>
      <c r="DP57" s="536"/>
      <c r="DQ57" s="536"/>
      <c r="DR57" s="536"/>
      <c r="DS57" s="536"/>
    </row>
    <row r="58" spans="1:123" s="534" customFormat="1" ht="59.25" customHeight="1">
      <c r="A58" s="537" t="s">
        <v>985</v>
      </c>
      <c r="B58" s="538" t="s">
        <v>1899</v>
      </c>
      <c r="C58" s="576">
        <v>1694005.2</v>
      </c>
      <c r="D58" s="525"/>
      <c r="E58" s="525">
        <v>2200000</v>
      </c>
      <c r="F58" s="525">
        <v>2799836.47</v>
      </c>
      <c r="G58" s="619"/>
      <c r="H58" s="1709"/>
      <c r="I58" s="525">
        <f t="shared" si="140"/>
        <v>1677102.4500000002</v>
      </c>
      <c r="J58" s="525">
        <v>479702.11</v>
      </c>
      <c r="K58" s="525">
        <v>598700.17000000004</v>
      </c>
      <c r="L58" s="525">
        <v>598700.17000000004</v>
      </c>
      <c r="M58" s="525">
        <f t="shared" si="141"/>
        <v>1078402.28</v>
      </c>
      <c r="N58" s="525">
        <v>796240.52</v>
      </c>
      <c r="O58" s="525">
        <f t="shared" si="142"/>
        <v>217279.04999999993</v>
      </c>
      <c r="P58" s="522">
        <f>1271+1010969.57+1279</f>
        <v>1013519.57</v>
      </c>
      <c r="Q58" s="525">
        <f t="shared" si="12"/>
        <v>-663582.88000000024</v>
      </c>
      <c r="R58" s="525">
        <f t="shared" si="13"/>
        <v>-39.567223815098487</v>
      </c>
      <c r="S58" s="525">
        <v>3077845.1312499992</v>
      </c>
      <c r="T58" s="525">
        <v>2831355.1312500006</v>
      </c>
      <c r="U58" s="522">
        <f t="shared" si="143"/>
        <v>1115798.3799999999</v>
      </c>
      <c r="V58" s="522">
        <f t="shared" si="1"/>
        <v>-1715556.7512500007</v>
      </c>
      <c r="W58" s="522">
        <f t="shared" si="14"/>
        <v>-60.591366032300172</v>
      </c>
      <c r="X58" s="522">
        <f t="shared" si="15"/>
        <v>102278.80999999994</v>
      </c>
      <c r="Y58" s="522">
        <f t="shared" si="16"/>
        <v>10.091448949525443</v>
      </c>
      <c r="Z58" s="524">
        <f t="shared" si="17"/>
        <v>1177431.04</v>
      </c>
      <c r="AA58" s="522">
        <f t="shared" si="18"/>
        <v>-1653924.0912500005</v>
      </c>
      <c r="AB58" s="522">
        <f t="shared" si="19"/>
        <v>-58.414575868475325</v>
      </c>
      <c r="AC58" s="522">
        <f t="shared" si="20"/>
        <v>61632.660000000149</v>
      </c>
      <c r="AD58" s="522">
        <f t="shared" si="21"/>
        <v>5.5236377023598209</v>
      </c>
      <c r="AE58" s="522">
        <f t="shared" si="22"/>
        <v>163911.47000000009</v>
      </c>
      <c r="AF58" s="522">
        <f t="shared" si="23"/>
        <v>16.172501730775664</v>
      </c>
      <c r="AG58" s="522">
        <f t="shared" si="46"/>
        <v>1374943.39</v>
      </c>
      <c r="AH58" s="522">
        <f t="shared" si="24"/>
        <v>259145.01</v>
      </c>
      <c r="AI58" s="522">
        <f t="shared" si="25"/>
        <v>23.225074945887641</v>
      </c>
      <c r="AJ58" s="522">
        <f t="shared" si="26"/>
        <v>197512.34999999986</v>
      </c>
      <c r="AK58" s="522">
        <f t="shared" si="133"/>
        <v>16.774855026753826</v>
      </c>
      <c r="AL58" s="522">
        <f t="shared" si="144"/>
        <v>1374943.39</v>
      </c>
      <c r="AM58" s="522">
        <f t="shared" si="72"/>
        <v>501479.4</v>
      </c>
      <c r="AN58" s="522">
        <f t="shared" si="72"/>
        <v>563112.06000000006</v>
      </c>
      <c r="AO58" s="522">
        <f t="shared" si="27"/>
        <v>61632.660000000033</v>
      </c>
      <c r="AP58" s="522">
        <f t="shared" si="47"/>
        <v>12.290167851361389</v>
      </c>
      <c r="AQ58" s="522">
        <v>190819.89</v>
      </c>
      <c r="AR58" s="522">
        <v>221853.11</v>
      </c>
      <c r="AS58" s="522">
        <v>310659.51</v>
      </c>
      <c r="AT58" s="522">
        <v>341258.95000000007</v>
      </c>
      <c r="AU58" s="522">
        <f t="shared" si="79"/>
        <v>614318.98</v>
      </c>
      <c r="AV58" s="522">
        <f t="shared" si="79"/>
        <v>614318.98</v>
      </c>
      <c r="AW58" s="522">
        <f t="shared" si="28"/>
        <v>0</v>
      </c>
      <c r="AX58" s="522">
        <f t="shared" si="29"/>
        <v>0</v>
      </c>
      <c r="AY58" s="522">
        <f t="shared" si="82"/>
        <v>811831.32999999984</v>
      </c>
      <c r="AZ58" s="522">
        <f t="shared" si="30"/>
        <v>-197512.34999999986</v>
      </c>
      <c r="BA58" s="522">
        <f t="shared" si="31"/>
        <v>-24.32923474387222</v>
      </c>
      <c r="BB58" s="522">
        <v>304659.51</v>
      </c>
      <c r="BC58" s="525">
        <f>'[67]Дир_по корп'!AT8</f>
        <v>304659.51</v>
      </c>
      <c r="BD58" s="525">
        <f t="shared" si="145"/>
        <v>454587.75</v>
      </c>
      <c r="BE58" s="525">
        <f t="shared" si="33"/>
        <v>149928.24</v>
      </c>
      <c r="BF58" s="525">
        <f t="shared" si="34"/>
        <v>149928.24</v>
      </c>
      <c r="BG58" s="525">
        <f t="shared" si="35"/>
        <v>806138.91</v>
      </c>
      <c r="BH58" s="522">
        <f t="shared" si="35"/>
        <v>867771.57000000007</v>
      </c>
      <c r="BI58" s="522">
        <v>1017699.81</v>
      </c>
      <c r="BJ58" s="522">
        <f t="shared" si="37"/>
        <v>211560.90000000002</v>
      </c>
      <c r="BK58" s="522">
        <f t="shared" si="38"/>
        <v>149928.24</v>
      </c>
      <c r="BL58" s="525">
        <v>309659.46999999997</v>
      </c>
      <c r="BM58" s="522">
        <f>'[67]Дир_по корп'!AW8</f>
        <v>309659.46999999997</v>
      </c>
      <c r="BN58" s="522">
        <f t="shared" si="146"/>
        <v>357243.57999999984</v>
      </c>
      <c r="BO58" s="522">
        <f t="shared" si="48"/>
        <v>47584.10999999987</v>
      </c>
      <c r="BP58" s="522">
        <f t="shared" si="40"/>
        <v>47584.10999999987</v>
      </c>
      <c r="BQ58" s="525">
        <v>309659.46999999997</v>
      </c>
      <c r="BR58" s="522">
        <f>'[67]Дир_по корп'!BB8</f>
        <v>0</v>
      </c>
      <c r="BS58" s="522">
        <f>'[67]Дир_по корп'!BC8</f>
        <v>0</v>
      </c>
      <c r="BT58" s="536"/>
      <c r="BU58" s="522">
        <f>1367943.39+7000</f>
        <v>1374943.39</v>
      </c>
      <c r="BV58" s="522"/>
      <c r="BW58" s="522"/>
      <c r="BX58" s="574"/>
      <c r="BY58" s="525">
        <f>1334741.56+6991.33</f>
        <v>1341732.8900000001</v>
      </c>
      <c r="BZ58" s="525">
        <f>31116.56+5.36</f>
        <v>31121.920000000002</v>
      </c>
      <c r="CA58" s="525">
        <f>2085.27+3.31</f>
        <v>2088.58</v>
      </c>
      <c r="CB58" s="522">
        <f t="shared" si="134"/>
        <v>1374943.3900000001</v>
      </c>
      <c r="CC58" s="522">
        <f t="shared" si="44"/>
        <v>0</v>
      </c>
      <c r="CD58" s="522"/>
      <c r="CE58" s="522"/>
      <c r="CF58" s="522"/>
      <c r="CG58" s="522"/>
      <c r="CH58" s="522"/>
      <c r="CI58" s="522"/>
      <c r="CJ58" s="522"/>
      <c r="CK58" s="543" t="s">
        <v>1896</v>
      </c>
      <c r="CL58" s="543" t="s">
        <v>1897</v>
      </c>
      <c r="CM58" s="528" t="s">
        <v>1305</v>
      </c>
      <c r="CN58" s="528" t="s">
        <v>1849</v>
      </c>
      <c r="CO58" s="528"/>
      <c r="CP58" s="544">
        <f t="shared" si="147"/>
        <v>1039447.5652251907</v>
      </c>
      <c r="CQ58" s="544">
        <f t="shared" si="148"/>
        <v>76350.814774809129</v>
      </c>
      <c r="CR58" s="544"/>
      <c r="CS58" s="1688" t="s">
        <v>1898</v>
      </c>
      <c r="CT58" s="1689"/>
      <c r="CU58" s="1689"/>
      <c r="CV58" s="1689"/>
      <c r="CW58" s="1690"/>
      <c r="CX58" s="528"/>
      <c r="CY58" s="528"/>
      <c r="CZ58" s="528"/>
      <c r="DA58" s="528"/>
      <c r="DB58" s="544">
        <f>221853.11</f>
        <v>221853.11</v>
      </c>
      <c r="DD58" s="535"/>
      <c r="DE58" s="535"/>
      <c r="DF58" s="525">
        <f t="shared" si="88"/>
        <v>1341.7328900000002</v>
      </c>
      <c r="DG58" s="525">
        <f t="shared" si="88"/>
        <v>31.121920000000003</v>
      </c>
      <c r="DH58" s="525">
        <f t="shared" si="88"/>
        <v>2.0885799999999999</v>
      </c>
      <c r="DI58" s="522">
        <f t="shared" si="88"/>
        <v>1374.9433900000001</v>
      </c>
      <c r="DJ58" s="536"/>
      <c r="DK58" s="536"/>
      <c r="DL58" s="536"/>
      <c r="DM58" s="536"/>
      <c r="DN58" s="536"/>
      <c r="DO58" s="536"/>
      <c r="DP58" s="536"/>
      <c r="DQ58" s="536"/>
      <c r="DR58" s="536"/>
      <c r="DS58" s="536"/>
    </row>
    <row r="59" spans="1:123" s="534" customFormat="1" ht="72.75" customHeight="1">
      <c r="A59" s="537" t="s">
        <v>989</v>
      </c>
      <c r="B59" s="538" t="s">
        <v>990</v>
      </c>
      <c r="C59" s="576">
        <f>3305010.73+0</f>
        <v>3305010.73</v>
      </c>
      <c r="D59" s="525">
        <f>548636.67</f>
        <v>548636.67000000004</v>
      </c>
      <c r="E59" s="525">
        <f>2000000+150000</f>
        <v>2150000</v>
      </c>
      <c r="F59" s="525">
        <v>4559044.43</v>
      </c>
      <c r="G59" s="620"/>
      <c r="H59" s="1710"/>
      <c r="I59" s="525">
        <f t="shared" si="140"/>
        <v>2259653.2200000002</v>
      </c>
      <c r="J59" s="525">
        <v>816530.61</v>
      </c>
      <c r="K59" s="525">
        <v>721561.3</v>
      </c>
      <c r="L59" s="525">
        <v>721561.31</v>
      </c>
      <c r="M59" s="525">
        <f t="shared" si="141"/>
        <v>1538091.9100000001</v>
      </c>
      <c r="N59" s="525">
        <v>1582213.65</v>
      </c>
      <c r="O59" s="525">
        <f t="shared" si="142"/>
        <v>680629.62999999989</v>
      </c>
      <c r="P59" s="522">
        <f>24620+2178923.28+59300</f>
        <v>2262843.2799999998</v>
      </c>
      <c r="Q59" s="525">
        <f t="shared" si="12"/>
        <v>3190.0599999995902</v>
      </c>
      <c r="R59" s="525">
        <f t="shared" si="13"/>
        <v>0.14117475955004011</v>
      </c>
      <c r="S59" s="525">
        <v>5075549.6124999998</v>
      </c>
      <c r="T59" s="525">
        <v>4593879.6124999998</v>
      </c>
      <c r="U59" s="522">
        <f t="shared" si="143"/>
        <v>2217208.7399999998</v>
      </c>
      <c r="V59" s="522">
        <f t="shared" si="1"/>
        <v>-2376670.8725000001</v>
      </c>
      <c r="W59" s="522">
        <f t="shared" si="14"/>
        <v>-51.735593288797794</v>
      </c>
      <c r="X59" s="522">
        <f t="shared" si="15"/>
        <v>-45634.540000000037</v>
      </c>
      <c r="Y59" s="522">
        <f t="shared" si="16"/>
        <v>-2.0166902588145632</v>
      </c>
      <c r="Z59" s="524">
        <f t="shared" si="17"/>
        <v>2217208.7350000003</v>
      </c>
      <c r="AA59" s="522">
        <f t="shared" si="18"/>
        <v>-2376670.8774999995</v>
      </c>
      <c r="AB59" s="522">
        <f t="shared" si="19"/>
        <v>-51.735593397638247</v>
      </c>
      <c r="AC59" s="522">
        <f t="shared" si="20"/>
        <v>-4.9999994225800037E-3</v>
      </c>
      <c r="AD59" s="522">
        <f t="shared" si="21"/>
        <v>-2.2550872813553724E-7</v>
      </c>
      <c r="AE59" s="522">
        <f t="shared" si="22"/>
        <v>-45634.54499999946</v>
      </c>
      <c r="AF59" s="522">
        <f t="shared" si="23"/>
        <v>-2.016690479775491</v>
      </c>
      <c r="AG59" s="522">
        <f t="shared" si="46"/>
        <v>2080100.76</v>
      </c>
      <c r="AH59" s="522">
        <f t="shared" si="24"/>
        <v>-137107.97999999975</v>
      </c>
      <c r="AI59" s="522">
        <f t="shared" si="25"/>
        <v>-6.1838101901041398</v>
      </c>
      <c r="AJ59" s="522">
        <f t="shared" si="26"/>
        <v>-137107.97500000033</v>
      </c>
      <c r="AK59" s="522">
        <f t="shared" si="133"/>
        <v>-6.1838099785404381</v>
      </c>
      <c r="AL59" s="522">
        <f t="shared" si="144"/>
        <v>2080100.76</v>
      </c>
      <c r="AM59" s="522">
        <f t="shared" si="72"/>
        <v>1012096.28</v>
      </c>
      <c r="AN59" s="522">
        <f t="shared" si="72"/>
        <v>904376.97</v>
      </c>
      <c r="AO59" s="522">
        <f t="shared" si="27"/>
        <v>-107719.31000000006</v>
      </c>
      <c r="AP59" s="522">
        <f t="shared" si="47"/>
        <v>-10.643188017645912</v>
      </c>
      <c r="AQ59" s="522">
        <v>408548.14</v>
      </c>
      <c r="AR59" s="522">
        <v>372222.37</v>
      </c>
      <c r="AS59" s="522">
        <v>603548.14</v>
      </c>
      <c r="AT59" s="522">
        <v>532154.6</v>
      </c>
      <c r="AU59" s="522">
        <f t="shared" si="79"/>
        <v>1205112.46</v>
      </c>
      <c r="AV59" s="522">
        <f t="shared" si="79"/>
        <v>1312831.7650000001</v>
      </c>
      <c r="AW59" s="522">
        <f t="shared" si="28"/>
        <v>107719.30500000017</v>
      </c>
      <c r="AX59" s="522">
        <f t="shared" si="29"/>
        <v>8.9385271977023848</v>
      </c>
      <c r="AY59" s="522">
        <f t="shared" si="82"/>
        <v>1175723.79</v>
      </c>
      <c r="AZ59" s="522">
        <f t="shared" si="30"/>
        <v>137107.97500000009</v>
      </c>
      <c r="BA59" s="522">
        <f t="shared" si="31"/>
        <v>11.661580395511109</v>
      </c>
      <c r="BB59" s="522">
        <v>603548.14</v>
      </c>
      <c r="BC59" s="525">
        <f>'[67]Дир_по корп'!AT9</f>
        <v>657407.79</v>
      </c>
      <c r="BD59" s="525">
        <f t="shared" si="145"/>
        <v>760512.56</v>
      </c>
      <c r="BE59" s="525">
        <f t="shared" si="33"/>
        <v>156964.42000000004</v>
      </c>
      <c r="BF59" s="525">
        <f t="shared" si="34"/>
        <v>103104.77000000002</v>
      </c>
      <c r="BG59" s="525">
        <f t="shared" si="35"/>
        <v>1615644.42</v>
      </c>
      <c r="BH59" s="522">
        <f t="shared" si="35"/>
        <v>1561784.76</v>
      </c>
      <c r="BI59" s="522">
        <f>1628789.53+36100</f>
        <v>1664889.53</v>
      </c>
      <c r="BJ59" s="522">
        <f t="shared" si="37"/>
        <v>49245.110000000102</v>
      </c>
      <c r="BK59" s="522">
        <f t="shared" si="38"/>
        <v>103104.77000000002</v>
      </c>
      <c r="BL59" s="525">
        <v>601564.31999999995</v>
      </c>
      <c r="BM59" s="522">
        <f>'[67]Дир_по корп'!AW9</f>
        <v>655423.97499999998</v>
      </c>
      <c r="BN59" s="522">
        <f t="shared" si="146"/>
        <v>415211.23</v>
      </c>
      <c r="BO59" s="522">
        <f t="shared" si="48"/>
        <v>-186353.08999999997</v>
      </c>
      <c r="BP59" s="522">
        <f t="shared" si="40"/>
        <v>-240212.745</v>
      </c>
      <c r="BQ59" s="525">
        <v>601564.31999999995</v>
      </c>
      <c r="BR59" s="522">
        <f>'[67]Дир_по корп'!BB9</f>
        <v>0</v>
      </c>
      <c r="BS59" s="522">
        <f>'[67]Дир_по корп'!BC9</f>
        <v>0</v>
      </c>
      <c r="BT59" s="536"/>
      <c r="BU59" s="522">
        <f>2043550.76+1050</f>
        <v>2044600.76</v>
      </c>
      <c r="BV59" s="522">
        <v>35500</v>
      </c>
      <c r="BW59" s="522"/>
      <c r="BX59" s="574"/>
      <c r="BY59" s="525">
        <f>2019822.84+1005.54+35500</f>
        <v>2056328.3800000001</v>
      </c>
      <c r="BZ59" s="525">
        <f>20800.02+28.77</f>
        <v>20828.79</v>
      </c>
      <c r="CA59" s="525">
        <f>2927.9+15.69</f>
        <v>2943.59</v>
      </c>
      <c r="CB59" s="522">
        <f t="shared" si="134"/>
        <v>2080100.7600000002</v>
      </c>
      <c r="CC59" s="522">
        <f t="shared" si="44"/>
        <v>0</v>
      </c>
      <c r="CD59" s="522"/>
      <c r="CE59" s="522"/>
      <c r="CF59" s="522"/>
      <c r="CG59" s="522"/>
      <c r="CH59" s="522"/>
      <c r="CI59" s="522"/>
      <c r="CJ59" s="522"/>
      <c r="CK59" s="543" t="s">
        <v>1896</v>
      </c>
      <c r="CL59" s="543" t="s">
        <v>1897</v>
      </c>
      <c r="CM59" s="528" t="s">
        <v>1305</v>
      </c>
      <c r="CN59" s="528" t="s">
        <v>1849</v>
      </c>
      <c r="CO59" s="528"/>
      <c r="CP59" s="544">
        <f t="shared" si="147"/>
        <v>2065491.6405139547</v>
      </c>
      <c r="CQ59" s="544">
        <f t="shared" si="148"/>
        <v>151717.09948604507</v>
      </c>
      <c r="CR59" s="544"/>
      <c r="CS59" s="1688" t="s">
        <v>1898</v>
      </c>
      <c r="CT59" s="1689"/>
      <c r="CU59" s="1689"/>
      <c r="CV59" s="1689"/>
      <c r="CW59" s="1690"/>
      <c r="CX59" s="528"/>
      <c r="CY59" s="528"/>
      <c r="CZ59" s="528"/>
      <c r="DA59" s="528"/>
      <c r="DB59" s="544">
        <f>364972.37+1050+6200</f>
        <v>372222.37</v>
      </c>
      <c r="DD59" s="535"/>
      <c r="DE59" s="535"/>
      <c r="DF59" s="525">
        <f t="shared" si="88"/>
        <v>2056.3283799999999</v>
      </c>
      <c r="DG59" s="525">
        <f t="shared" si="88"/>
        <v>20.828790000000001</v>
      </c>
      <c r="DH59" s="525">
        <f t="shared" si="88"/>
        <v>2.9435899999999999</v>
      </c>
      <c r="DI59" s="522">
        <f t="shared" si="88"/>
        <v>2080.1007600000003</v>
      </c>
      <c r="DJ59" s="536"/>
      <c r="DK59" s="536"/>
      <c r="DL59" s="536"/>
      <c r="DM59" s="536"/>
      <c r="DN59" s="536"/>
      <c r="DO59" s="536"/>
      <c r="DP59" s="536"/>
      <c r="DQ59" s="536"/>
      <c r="DR59" s="536"/>
      <c r="DS59" s="536"/>
    </row>
    <row r="60" spans="1:123" s="534" customFormat="1" ht="63.75" customHeight="1">
      <c r="A60" s="537" t="s">
        <v>993</v>
      </c>
      <c r="B60" s="538" t="s">
        <v>994</v>
      </c>
      <c r="C60" s="576"/>
      <c r="D60" s="525"/>
      <c r="E60" s="525"/>
      <c r="F60" s="525">
        <v>112359</v>
      </c>
      <c r="G60" s="540">
        <v>0</v>
      </c>
      <c r="H60" s="540">
        <v>0</v>
      </c>
      <c r="I60" s="525">
        <f t="shared" si="140"/>
        <v>31117</v>
      </c>
      <c r="J60" s="525">
        <v>31117</v>
      </c>
      <c r="K60" s="525">
        <v>0</v>
      </c>
      <c r="L60" s="525">
        <v>0</v>
      </c>
      <c r="M60" s="525">
        <f t="shared" si="141"/>
        <v>31117</v>
      </c>
      <c r="N60" s="525">
        <v>52946</v>
      </c>
      <c r="O60" s="525">
        <f t="shared" si="142"/>
        <v>7306.9000000000015</v>
      </c>
      <c r="P60" s="522">
        <v>60252.9</v>
      </c>
      <c r="Q60" s="525">
        <f t="shared" si="12"/>
        <v>29135.9</v>
      </c>
      <c r="R60" s="525">
        <f t="shared" si="13"/>
        <v>93.63338368094611</v>
      </c>
      <c r="S60" s="525">
        <v>0</v>
      </c>
      <c r="T60" s="525"/>
      <c r="U60" s="522">
        <f t="shared" si="143"/>
        <v>65407.899999999994</v>
      </c>
      <c r="V60" s="522">
        <f t="shared" si="1"/>
        <v>65407.899999999994</v>
      </c>
      <c r="W60" s="522">
        <v>0</v>
      </c>
      <c r="X60" s="522">
        <f t="shared" si="15"/>
        <v>5154.9999999999927</v>
      </c>
      <c r="Y60" s="522">
        <f t="shared" si="16"/>
        <v>8.5556047924663972</v>
      </c>
      <c r="Z60" s="524">
        <f t="shared" si="17"/>
        <v>80048.460000000006</v>
      </c>
      <c r="AA60" s="522">
        <f t="shared" si="18"/>
        <v>80048.460000000006</v>
      </c>
      <c r="AB60" s="522">
        <v>0</v>
      </c>
      <c r="AC60" s="522">
        <f t="shared" si="20"/>
        <v>14640.560000000012</v>
      </c>
      <c r="AD60" s="522">
        <f t="shared" si="21"/>
        <v>22.383473555946637</v>
      </c>
      <c r="AE60" s="522">
        <f t="shared" si="22"/>
        <v>19795.560000000005</v>
      </c>
      <c r="AF60" s="522">
        <f t="shared" si="23"/>
        <v>32.854119884686042</v>
      </c>
      <c r="AG60" s="522">
        <f t="shared" si="46"/>
        <v>76949.69</v>
      </c>
      <c r="AH60" s="522">
        <f t="shared" si="24"/>
        <v>11541.790000000008</v>
      </c>
      <c r="AI60" s="522">
        <f t="shared" si="25"/>
        <v>17.64586540769541</v>
      </c>
      <c r="AJ60" s="522">
        <f t="shared" si="26"/>
        <v>-3098.7700000000041</v>
      </c>
      <c r="AK60" s="522">
        <f t="shared" si="133"/>
        <v>-3.8711175705316521</v>
      </c>
      <c r="AL60" s="522">
        <f t="shared" si="144"/>
        <v>76949.69</v>
      </c>
      <c r="AM60" s="522">
        <f t="shared" si="72"/>
        <v>29271.49</v>
      </c>
      <c r="AN60" s="522">
        <f t="shared" si="72"/>
        <v>43912.05</v>
      </c>
      <c r="AO60" s="522">
        <f t="shared" si="27"/>
        <v>14640.560000000001</v>
      </c>
      <c r="AP60" s="522">
        <f t="shared" si="47"/>
        <v>50.01644945303434</v>
      </c>
      <c r="AQ60" s="522">
        <v>11224.7</v>
      </c>
      <c r="AR60" s="522">
        <v>15411.92</v>
      </c>
      <c r="AS60" s="522">
        <v>18046.79</v>
      </c>
      <c r="AT60" s="522">
        <v>28500.130000000005</v>
      </c>
      <c r="AU60" s="522">
        <f t="shared" si="79"/>
        <v>36136.410000000003</v>
      </c>
      <c r="AV60" s="522">
        <f t="shared" si="79"/>
        <v>36136.410000000003</v>
      </c>
      <c r="AW60" s="522">
        <f t="shared" si="28"/>
        <v>0</v>
      </c>
      <c r="AX60" s="522">
        <f t="shared" si="29"/>
        <v>0</v>
      </c>
      <c r="AY60" s="522">
        <f t="shared" si="82"/>
        <v>33037.64</v>
      </c>
      <c r="AZ60" s="522">
        <f t="shared" si="30"/>
        <v>3098.7700000000041</v>
      </c>
      <c r="BA60" s="522">
        <f t="shared" si="31"/>
        <v>9.3795137909366417</v>
      </c>
      <c r="BB60" s="522">
        <v>17921.150000000001</v>
      </c>
      <c r="BC60" s="525">
        <f>'[67]Дир_по корп'!AT10</f>
        <v>17921.150000000001</v>
      </c>
      <c r="BD60" s="525">
        <f t="shared" si="145"/>
        <v>19544</v>
      </c>
      <c r="BE60" s="525">
        <f t="shared" si="33"/>
        <v>1622.8499999999985</v>
      </c>
      <c r="BF60" s="525">
        <f t="shared" si="34"/>
        <v>1622.8499999999985</v>
      </c>
      <c r="BG60" s="525">
        <f t="shared" si="35"/>
        <v>47192.639999999999</v>
      </c>
      <c r="BH60" s="522">
        <f t="shared" si="35"/>
        <v>61833.200000000004</v>
      </c>
      <c r="BI60" s="522">
        <v>63456.05</v>
      </c>
      <c r="BJ60" s="522">
        <f t="shared" si="37"/>
        <v>16263.410000000003</v>
      </c>
      <c r="BK60" s="522">
        <f t="shared" si="38"/>
        <v>1622.8499999999985</v>
      </c>
      <c r="BL60" s="525">
        <v>18215.259999999998</v>
      </c>
      <c r="BM60" s="522">
        <f>'[67]Дир_по корп'!AW10</f>
        <v>18215.259999999998</v>
      </c>
      <c r="BN60" s="522">
        <f t="shared" si="146"/>
        <v>13493.64</v>
      </c>
      <c r="BO60" s="522">
        <f t="shared" si="48"/>
        <v>-4721.619999999999</v>
      </c>
      <c r="BP60" s="522">
        <f t="shared" si="40"/>
        <v>-4721.619999999999</v>
      </c>
      <c r="BQ60" s="525">
        <v>18215.259999999998</v>
      </c>
      <c r="BR60" s="522">
        <f>'[67]Дир_по корп'!BB10</f>
        <v>0</v>
      </c>
      <c r="BS60" s="522">
        <f>'[67]Дир_по корп'!BC10</f>
        <v>0</v>
      </c>
      <c r="BT60" s="536"/>
      <c r="BU60" s="522">
        <f>72476.25+4473.44</f>
        <v>76949.69</v>
      </c>
      <c r="BV60" s="522"/>
      <c r="BW60" s="522"/>
      <c r="BX60" s="574"/>
      <c r="BY60" s="525">
        <f>70572.22+4352.08</f>
        <v>74924.3</v>
      </c>
      <c r="BZ60" s="525">
        <f>1802.27+92.96</f>
        <v>1895.23</v>
      </c>
      <c r="CA60" s="525">
        <f>101.76+28.4</f>
        <v>130.16</v>
      </c>
      <c r="CB60" s="522">
        <f t="shared" si="134"/>
        <v>76949.69</v>
      </c>
      <c r="CC60" s="522">
        <f t="shared" si="44"/>
        <v>0</v>
      </c>
      <c r="CD60" s="522"/>
      <c r="CE60" s="522"/>
      <c r="CF60" s="522"/>
      <c r="CG60" s="522"/>
      <c r="CH60" s="522"/>
      <c r="CI60" s="522"/>
      <c r="CJ60" s="522"/>
      <c r="CK60" s="543" t="s">
        <v>1896</v>
      </c>
      <c r="CL60" s="543" t="s">
        <v>1897</v>
      </c>
      <c r="CM60" s="528" t="s">
        <v>1305</v>
      </c>
      <c r="CN60" s="528" t="s">
        <v>1849</v>
      </c>
      <c r="CO60" s="528"/>
      <c r="CP60" s="544">
        <f t="shared" si="147"/>
        <v>60932.228994177924</v>
      </c>
      <c r="CQ60" s="544">
        <f t="shared" si="148"/>
        <v>4475.6710058220715</v>
      </c>
      <c r="CR60" s="544"/>
      <c r="CS60" s="1688" t="s">
        <v>1898</v>
      </c>
      <c r="CT60" s="1689"/>
      <c r="CU60" s="1689"/>
      <c r="CV60" s="1689"/>
      <c r="CW60" s="1690"/>
      <c r="CX60" s="528"/>
      <c r="CY60" s="528"/>
      <c r="CZ60" s="528"/>
      <c r="DA60" s="528"/>
      <c r="DB60" s="544">
        <f>14698.72+713.2</f>
        <v>15411.92</v>
      </c>
      <c r="DD60" s="535"/>
      <c r="DE60" s="535"/>
      <c r="DF60" s="525">
        <f t="shared" si="88"/>
        <v>74.924300000000002</v>
      </c>
      <c r="DG60" s="525">
        <f t="shared" si="88"/>
        <v>1.89523</v>
      </c>
      <c r="DH60" s="525">
        <f t="shared" si="88"/>
        <v>0.13016</v>
      </c>
      <c r="DI60" s="522">
        <f t="shared" si="88"/>
        <v>76.949690000000004</v>
      </c>
      <c r="DJ60" s="536"/>
      <c r="DK60" s="536"/>
      <c r="DL60" s="536"/>
      <c r="DM60" s="536"/>
      <c r="DN60" s="536"/>
      <c r="DO60" s="536"/>
      <c r="DP60" s="536"/>
      <c r="DQ60" s="536"/>
      <c r="DR60" s="536"/>
      <c r="DS60" s="536"/>
    </row>
    <row r="61" spans="1:123" s="534" customFormat="1" ht="84.6">
      <c r="A61" s="537" t="s">
        <v>1900</v>
      </c>
      <c r="B61" s="538" t="s">
        <v>1000</v>
      </c>
      <c r="C61" s="576">
        <f>4806195.61+24562.51</f>
        <v>4830758.12</v>
      </c>
      <c r="D61" s="525">
        <f>7039205.92+548636.67</f>
        <v>7587842.5899999999</v>
      </c>
      <c r="E61" s="525">
        <f>6511000+2604000</f>
        <v>9115000</v>
      </c>
      <c r="F61" s="525">
        <v>5229414.32</v>
      </c>
      <c r="G61" s="540">
        <v>6322099.2924233777</v>
      </c>
      <c r="H61" s="540">
        <v>0</v>
      </c>
      <c r="I61" s="525">
        <f t="shared" si="140"/>
        <v>5050119.53</v>
      </c>
      <c r="J61" s="525">
        <v>2075600.35</v>
      </c>
      <c r="K61" s="525">
        <v>1125641</v>
      </c>
      <c r="L61" s="525">
        <v>1848878.18</v>
      </c>
      <c r="M61" s="525">
        <f t="shared" si="141"/>
        <v>3201241.35</v>
      </c>
      <c r="N61" s="525">
        <v>3301134.57</v>
      </c>
      <c r="O61" s="525">
        <f t="shared" si="142"/>
        <v>1764770.0899999994</v>
      </c>
      <c r="P61" s="522">
        <f>205952.89+4859951.77</f>
        <v>5065904.6599999992</v>
      </c>
      <c r="Q61" s="525">
        <f t="shared" si="12"/>
        <v>15785.129999998957</v>
      </c>
      <c r="R61" s="525">
        <f t="shared" si="13"/>
        <v>0.31256943338129872</v>
      </c>
      <c r="S61" s="525">
        <v>5846754.6124999998</v>
      </c>
      <c r="T61" s="525">
        <v>6328424.6124999998</v>
      </c>
      <c r="U61" s="522">
        <f t="shared" si="143"/>
        <v>4625989.91</v>
      </c>
      <c r="V61" s="522">
        <f t="shared" si="1"/>
        <v>-1702434.7024999997</v>
      </c>
      <c r="W61" s="522">
        <f t="shared" si="14"/>
        <v>-26.901398163728217</v>
      </c>
      <c r="X61" s="522">
        <f t="shared" si="15"/>
        <v>-439914.74999999907</v>
      </c>
      <c r="Y61" s="522">
        <f t="shared" si="16"/>
        <v>-8.6838339748778282</v>
      </c>
      <c r="Z61" s="524">
        <f t="shared" si="17"/>
        <v>4369298.6900000004</v>
      </c>
      <c r="AA61" s="522">
        <f t="shared" si="18"/>
        <v>-1959125.9224999994</v>
      </c>
      <c r="AB61" s="522">
        <f t="shared" si="19"/>
        <v>-30.957561201413455</v>
      </c>
      <c r="AC61" s="522">
        <f t="shared" si="20"/>
        <v>-256691.21999999974</v>
      </c>
      <c r="AD61" s="522">
        <f t="shared" si="21"/>
        <v>-5.5488927774163557</v>
      </c>
      <c r="AE61" s="522">
        <f t="shared" si="22"/>
        <v>-696605.96999999881</v>
      </c>
      <c r="AF61" s="522">
        <f t="shared" si="23"/>
        <v>-13.75087011605936</v>
      </c>
      <c r="AG61" s="522">
        <f t="shared" si="46"/>
        <v>5203320.33</v>
      </c>
      <c r="AH61" s="522">
        <f t="shared" si="24"/>
        <v>577330.41999999993</v>
      </c>
      <c r="AI61" s="522">
        <f t="shared" si="25"/>
        <v>12.480148708322616</v>
      </c>
      <c r="AJ61" s="522">
        <f t="shared" si="26"/>
        <v>834021.63999999966</v>
      </c>
      <c r="AK61" s="522">
        <f t="shared" si="133"/>
        <v>19.088226719515021</v>
      </c>
      <c r="AL61" s="522">
        <f t="shared" si="144"/>
        <v>5203320.33</v>
      </c>
      <c r="AM61" s="522">
        <f t="shared" si="72"/>
        <v>2315824</v>
      </c>
      <c r="AN61" s="522">
        <f t="shared" si="72"/>
        <v>2059132.78</v>
      </c>
      <c r="AO61" s="522">
        <f t="shared" si="27"/>
        <v>-256691.21999999997</v>
      </c>
      <c r="AP61" s="522">
        <f t="shared" si="47"/>
        <v>-11.084228335141191</v>
      </c>
      <c r="AQ61" s="522">
        <v>778562</v>
      </c>
      <c r="AR61" s="522">
        <v>561347.21</v>
      </c>
      <c r="AS61" s="522">
        <v>1537262</v>
      </c>
      <c r="AT61" s="522">
        <v>1497785.57</v>
      </c>
      <c r="AU61" s="522">
        <f t="shared" si="79"/>
        <v>2310165.91</v>
      </c>
      <c r="AV61" s="522">
        <f t="shared" si="79"/>
        <v>2310165.91</v>
      </c>
      <c r="AW61" s="522">
        <f t="shared" si="28"/>
        <v>0</v>
      </c>
      <c r="AX61" s="522">
        <f t="shared" si="29"/>
        <v>0</v>
      </c>
      <c r="AY61" s="522">
        <f t="shared" si="82"/>
        <v>3144187.55</v>
      </c>
      <c r="AZ61" s="522">
        <f t="shared" si="30"/>
        <v>-834021.63999999966</v>
      </c>
      <c r="BA61" s="522">
        <f t="shared" si="31"/>
        <v>-26.525823499301111</v>
      </c>
      <c r="BB61" s="522">
        <v>1139398</v>
      </c>
      <c r="BC61" s="525">
        <f>'[67]Дир_по корп'!AT11</f>
        <v>1139398</v>
      </c>
      <c r="BD61" s="525">
        <f t="shared" si="145"/>
        <v>1213437.5200000003</v>
      </c>
      <c r="BE61" s="525">
        <f t="shared" si="33"/>
        <v>74039.520000000251</v>
      </c>
      <c r="BF61" s="525">
        <f t="shared" si="34"/>
        <v>74039.520000000251</v>
      </c>
      <c r="BG61" s="525">
        <f t="shared" si="35"/>
        <v>3455222</v>
      </c>
      <c r="BH61" s="522">
        <f t="shared" si="35"/>
        <v>3198530.7800000003</v>
      </c>
      <c r="BI61" s="522">
        <f>3105304.1+167266.2</f>
        <v>3272570.3000000003</v>
      </c>
      <c r="BJ61" s="522">
        <f t="shared" si="37"/>
        <v>-182651.69999999972</v>
      </c>
      <c r="BK61" s="522">
        <f t="shared" si="38"/>
        <v>74039.520000000019</v>
      </c>
      <c r="BL61" s="525">
        <v>1170767.9099999999</v>
      </c>
      <c r="BM61" s="522">
        <f>'[67]Дир_по корп'!AW11</f>
        <v>1170767.9099999999</v>
      </c>
      <c r="BN61" s="522">
        <f t="shared" si="146"/>
        <v>1930750.0299999998</v>
      </c>
      <c r="BO61" s="522">
        <f t="shared" si="48"/>
        <v>759982.11999999988</v>
      </c>
      <c r="BP61" s="522">
        <f t="shared" si="40"/>
        <v>759982.11999999988</v>
      </c>
      <c r="BQ61" s="525">
        <v>1170767.9099999999</v>
      </c>
      <c r="BR61" s="522">
        <f>'[67]Дир_по корп'!BB11</f>
        <v>0</v>
      </c>
      <c r="BS61" s="522">
        <f>'[67]Дир_по корп'!BC11</f>
        <v>0</v>
      </c>
      <c r="BT61" s="536"/>
      <c r="BU61" s="522">
        <v>4972844.13</v>
      </c>
      <c r="BV61" s="522">
        <v>230476.2</v>
      </c>
      <c r="BW61" s="522"/>
      <c r="BX61" s="574"/>
      <c r="BY61" s="525">
        <f>4766569.58+230476.2</f>
        <v>4997045.78</v>
      </c>
      <c r="BZ61" s="525">
        <v>173761.35</v>
      </c>
      <c r="CA61" s="525">
        <v>32513.200000000001</v>
      </c>
      <c r="CB61" s="522">
        <f t="shared" si="134"/>
        <v>5203320.33</v>
      </c>
      <c r="CC61" s="522">
        <f t="shared" si="44"/>
        <v>0</v>
      </c>
      <c r="CD61" s="522"/>
      <c r="CE61" s="522"/>
      <c r="CF61" s="522"/>
      <c r="CG61" s="522"/>
      <c r="CH61" s="522"/>
      <c r="CI61" s="522"/>
      <c r="CJ61" s="522"/>
      <c r="CK61" s="543" t="s">
        <v>80</v>
      </c>
      <c r="CL61" s="543" t="s">
        <v>1901</v>
      </c>
      <c r="CM61" s="528" t="s">
        <v>1305</v>
      </c>
      <c r="CN61" s="528" t="s">
        <v>1849</v>
      </c>
      <c r="CO61" s="528"/>
      <c r="CP61" s="544">
        <f t="shared" si="147"/>
        <v>4309446.9707921604</v>
      </c>
      <c r="CQ61" s="544">
        <f t="shared" si="148"/>
        <v>316542.93920783966</v>
      </c>
      <c r="CR61" s="544"/>
      <c r="CS61" s="1688" t="s">
        <v>1898</v>
      </c>
      <c r="CT61" s="1689"/>
      <c r="CU61" s="1689"/>
      <c r="CV61" s="1689"/>
      <c r="CW61" s="1690"/>
      <c r="CX61" s="528"/>
      <c r="CY61" s="528"/>
      <c r="CZ61" s="528"/>
      <c r="DA61" s="528"/>
      <c r="DB61" s="544">
        <f>536871.01+24476.2</f>
        <v>561347.21</v>
      </c>
      <c r="DD61" s="535"/>
      <c r="DE61" s="535"/>
      <c r="DF61" s="525">
        <f t="shared" si="88"/>
        <v>4997.0457800000004</v>
      </c>
      <c r="DG61" s="525">
        <f t="shared" si="88"/>
        <v>173.76134999999999</v>
      </c>
      <c r="DH61" s="525">
        <f t="shared" si="88"/>
        <v>32.513199999999998</v>
      </c>
      <c r="DI61" s="522">
        <f t="shared" si="88"/>
        <v>5203.3203300000005</v>
      </c>
      <c r="DJ61" s="536"/>
      <c r="DK61" s="536"/>
      <c r="DL61" s="536"/>
      <c r="DM61" s="536"/>
      <c r="DN61" s="536"/>
      <c r="DO61" s="536"/>
      <c r="DP61" s="536"/>
      <c r="DQ61" s="536"/>
      <c r="DR61" s="536"/>
      <c r="DS61" s="536"/>
    </row>
    <row r="62" spans="1:123" s="534" customFormat="1" ht="74.25" customHeight="1">
      <c r="A62" s="537" t="s">
        <v>1004</v>
      </c>
      <c r="B62" s="538" t="s">
        <v>1005</v>
      </c>
      <c r="C62" s="576">
        <v>1403032.41</v>
      </c>
      <c r="D62" s="525">
        <v>1316728</v>
      </c>
      <c r="E62" s="525">
        <v>706850</v>
      </c>
      <c r="F62" s="525">
        <v>1497501.03</v>
      </c>
      <c r="G62" s="540">
        <v>1994994.2903390971</v>
      </c>
      <c r="H62" s="540">
        <v>0</v>
      </c>
      <c r="I62" s="525">
        <f t="shared" si="140"/>
        <v>891516.5</v>
      </c>
      <c r="J62" s="525">
        <v>602833.5</v>
      </c>
      <c r="K62" s="525">
        <v>96027</v>
      </c>
      <c r="L62" s="525">
        <v>192656</v>
      </c>
      <c r="M62" s="525">
        <f t="shared" si="141"/>
        <v>698860.5</v>
      </c>
      <c r="N62" s="525">
        <v>889869.47</v>
      </c>
      <c r="O62" s="525">
        <f t="shared" si="142"/>
        <v>507176.07000000007</v>
      </c>
      <c r="P62" s="522">
        <v>1397045.54</v>
      </c>
      <c r="Q62" s="525">
        <f t="shared" si="12"/>
        <v>505529.04000000004</v>
      </c>
      <c r="R62" s="525">
        <f t="shared" si="13"/>
        <v>56.704395263576174</v>
      </c>
      <c r="S62" s="525">
        <v>2104718.9763077479</v>
      </c>
      <c r="T62" s="525">
        <v>2104718.9763077479</v>
      </c>
      <c r="U62" s="522">
        <f t="shared" si="143"/>
        <v>738676</v>
      </c>
      <c r="V62" s="522">
        <f t="shared" si="1"/>
        <v>-1366042.9763077479</v>
      </c>
      <c r="W62" s="522">
        <f t="shared" si="14"/>
        <v>-64.903818119422311</v>
      </c>
      <c r="X62" s="522">
        <f t="shared" si="15"/>
        <v>-658369.54</v>
      </c>
      <c r="Y62" s="522">
        <f t="shared" si="16"/>
        <v>-47.125846735103572</v>
      </c>
      <c r="Z62" s="524">
        <f t="shared" si="17"/>
        <v>838202.37</v>
      </c>
      <c r="AA62" s="522">
        <f t="shared" si="18"/>
        <v>-1266516.6063077478</v>
      </c>
      <c r="AB62" s="522">
        <f t="shared" si="19"/>
        <v>-60.175093234041348</v>
      </c>
      <c r="AC62" s="522">
        <f t="shared" si="20"/>
        <v>99526.37</v>
      </c>
      <c r="AD62" s="522">
        <f t="shared" si="21"/>
        <v>13.473616308097178</v>
      </c>
      <c r="AE62" s="522">
        <f t="shared" si="22"/>
        <v>-558843.17000000004</v>
      </c>
      <c r="AF62" s="522">
        <f t="shared" si="23"/>
        <v>-40.001786198036186</v>
      </c>
      <c r="AG62" s="522">
        <f t="shared" si="46"/>
        <v>744442.93</v>
      </c>
      <c r="AH62" s="522">
        <f t="shared" si="24"/>
        <v>5766.9300000000512</v>
      </c>
      <c r="AI62" s="522">
        <f t="shared" si="25"/>
        <v>0.78071170580878402</v>
      </c>
      <c r="AJ62" s="522">
        <f t="shared" si="26"/>
        <v>-93759.439999999944</v>
      </c>
      <c r="AK62" s="522">
        <f t="shared" si="133"/>
        <v>-11.185776055488844</v>
      </c>
      <c r="AL62" s="522">
        <f t="shared" si="144"/>
        <v>744442.93</v>
      </c>
      <c r="AM62" s="522">
        <f t="shared" si="72"/>
        <v>158676</v>
      </c>
      <c r="AN62" s="522">
        <f t="shared" si="72"/>
        <v>258202.37</v>
      </c>
      <c r="AO62" s="522">
        <f t="shared" si="27"/>
        <v>99526.37</v>
      </c>
      <c r="AP62" s="522">
        <f t="shared" si="47"/>
        <v>62.723014192442463</v>
      </c>
      <c r="AQ62" s="522">
        <v>38676</v>
      </c>
      <c r="AR62" s="522">
        <v>19900</v>
      </c>
      <c r="AS62" s="522">
        <v>120000</v>
      </c>
      <c r="AT62" s="522">
        <v>238302.37</v>
      </c>
      <c r="AU62" s="522">
        <f t="shared" si="79"/>
        <v>580000</v>
      </c>
      <c r="AV62" s="522">
        <f t="shared" si="79"/>
        <v>580000</v>
      </c>
      <c r="AW62" s="522">
        <f t="shared" si="28"/>
        <v>0</v>
      </c>
      <c r="AX62" s="522">
        <f t="shared" si="29"/>
        <v>0</v>
      </c>
      <c r="AY62" s="522">
        <f t="shared" si="82"/>
        <v>486240.56000000006</v>
      </c>
      <c r="AZ62" s="522">
        <f t="shared" si="30"/>
        <v>93759.439999999944</v>
      </c>
      <c r="BA62" s="522">
        <f t="shared" si="31"/>
        <v>19.282521392291898</v>
      </c>
      <c r="BB62" s="522">
        <v>500000</v>
      </c>
      <c r="BC62" s="525">
        <f>'[67]Дир_по корп'!AT12</f>
        <v>500000</v>
      </c>
      <c r="BD62" s="525">
        <f t="shared" si="145"/>
        <v>157710</v>
      </c>
      <c r="BE62" s="525">
        <f t="shared" si="33"/>
        <v>-342290</v>
      </c>
      <c r="BF62" s="525">
        <f t="shared" si="34"/>
        <v>-342290</v>
      </c>
      <c r="BG62" s="525">
        <f t="shared" si="35"/>
        <v>658676</v>
      </c>
      <c r="BH62" s="522">
        <f t="shared" si="35"/>
        <v>758202.37</v>
      </c>
      <c r="BI62" s="522">
        <f>405912.37+10000</f>
        <v>415912.37</v>
      </c>
      <c r="BJ62" s="522">
        <f t="shared" si="37"/>
        <v>-242763.63</v>
      </c>
      <c r="BK62" s="522">
        <f t="shared" si="38"/>
        <v>-342290</v>
      </c>
      <c r="BL62" s="525">
        <v>80000</v>
      </c>
      <c r="BM62" s="522">
        <f>'[67]Дир_по корп'!AW12</f>
        <v>80000</v>
      </c>
      <c r="BN62" s="522">
        <f t="shared" si="146"/>
        <v>328530.56000000006</v>
      </c>
      <c r="BO62" s="522">
        <f t="shared" si="48"/>
        <v>248530.56000000006</v>
      </c>
      <c r="BP62" s="522">
        <f t="shared" si="40"/>
        <v>248530.56000000006</v>
      </c>
      <c r="BQ62" s="525">
        <v>80000</v>
      </c>
      <c r="BR62" s="522">
        <f>'[67]Дир_по корп'!BB12</f>
        <v>0</v>
      </c>
      <c r="BS62" s="522">
        <f>'[67]Дир_по корп'!BC12</f>
        <v>0</v>
      </c>
      <c r="BT62" s="536"/>
      <c r="BU62" s="522">
        <v>728442.93</v>
      </c>
      <c r="BV62" s="522">
        <v>16000</v>
      </c>
      <c r="BW62" s="522"/>
      <c r="BX62" s="574"/>
      <c r="BY62" s="525">
        <f>712099.52+16000</f>
        <v>728099.52</v>
      </c>
      <c r="BZ62" s="525">
        <v>13060.63</v>
      </c>
      <c r="CA62" s="525">
        <v>3282.78</v>
      </c>
      <c r="CB62" s="522">
        <f t="shared" si="134"/>
        <v>744442.93</v>
      </c>
      <c r="CC62" s="522">
        <f t="shared" si="44"/>
        <v>0</v>
      </c>
      <c r="CD62" s="522"/>
      <c r="CE62" s="522"/>
      <c r="CF62" s="522"/>
      <c r="CG62" s="522"/>
      <c r="CH62" s="522"/>
      <c r="CI62" s="522"/>
      <c r="CJ62" s="522"/>
      <c r="CK62" s="543" t="s">
        <v>80</v>
      </c>
      <c r="CL62" s="543" t="s">
        <v>1901</v>
      </c>
      <c r="CM62" s="528" t="s">
        <v>1305</v>
      </c>
      <c r="CN62" s="528" t="s">
        <v>1849</v>
      </c>
      <c r="CO62" s="528"/>
      <c r="CP62" s="544">
        <f t="shared" si="147"/>
        <v>688130.56503118691</v>
      </c>
      <c r="CQ62" s="544">
        <f t="shared" si="148"/>
        <v>50545.434968813017</v>
      </c>
      <c r="CR62" s="544"/>
      <c r="CS62" s="1688" t="s">
        <v>1898</v>
      </c>
      <c r="CT62" s="1689"/>
      <c r="CU62" s="1689"/>
      <c r="CV62" s="1689"/>
      <c r="CW62" s="1690"/>
      <c r="CX62" s="528"/>
      <c r="CY62" s="528"/>
      <c r="CZ62" s="528"/>
      <c r="DA62" s="528"/>
      <c r="DB62" s="544">
        <f>19900</f>
        <v>19900</v>
      </c>
      <c r="DD62" s="535"/>
      <c r="DE62" s="535"/>
      <c r="DF62" s="525">
        <f t="shared" si="88"/>
        <v>728.09951999999998</v>
      </c>
      <c r="DG62" s="525">
        <f t="shared" si="88"/>
        <v>13.06063</v>
      </c>
      <c r="DH62" s="525">
        <f t="shared" si="88"/>
        <v>3.2827800000000003</v>
      </c>
      <c r="DI62" s="522">
        <f t="shared" si="88"/>
        <v>744.44293000000005</v>
      </c>
      <c r="DJ62" s="536"/>
      <c r="DK62" s="536"/>
      <c r="DL62" s="536"/>
      <c r="DM62" s="536"/>
      <c r="DN62" s="536"/>
      <c r="DO62" s="536"/>
      <c r="DP62" s="536"/>
      <c r="DQ62" s="536"/>
      <c r="DR62" s="536"/>
      <c r="DS62" s="536"/>
    </row>
    <row r="63" spans="1:123" s="534" customFormat="1" ht="65.25" customHeight="1">
      <c r="A63" s="537" t="s">
        <v>1074</v>
      </c>
      <c r="B63" s="538" t="s">
        <v>1075</v>
      </c>
      <c r="C63" s="576">
        <v>557562</v>
      </c>
      <c r="D63" s="525">
        <v>1855854.04</v>
      </c>
      <c r="E63" s="525">
        <v>710000</v>
      </c>
      <c r="F63" s="525">
        <v>593002</v>
      </c>
      <c r="G63" s="540">
        <v>584792.19924156892</v>
      </c>
      <c r="H63" s="540">
        <v>0</v>
      </c>
      <c r="I63" s="525">
        <f t="shared" si="140"/>
        <v>715768.45</v>
      </c>
      <c r="J63" s="525">
        <v>302504.95</v>
      </c>
      <c r="K63" s="525">
        <v>204941.74</v>
      </c>
      <c r="L63" s="525">
        <v>208321.76</v>
      </c>
      <c r="M63" s="525">
        <f t="shared" si="141"/>
        <v>507446.69</v>
      </c>
      <c r="N63" s="525">
        <v>440116.9</v>
      </c>
      <c r="O63" s="525">
        <f t="shared" si="142"/>
        <v>154046.15000000002</v>
      </c>
      <c r="P63" s="522">
        <v>594163.05000000005</v>
      </c>
      <c r="Q63" s="525">
        <f t="shared" si="12"/>
        <v>-121605.39999999991</v>
      </c>
      <c r="R63" s="525">
        <f t="shared" si="13"/>
        <v>-16.989488709651837</v>
      </c>
      <c r="S63" s="525">
        <v>664472.49624999997</v>
      </c>
      <c r="T63" s="525">
        <v>664472.49624999997</v>
      </c>
      <c r="U63" s="522">
        <f t="shared" si="143"/>
        <v>664472.5</v>
      </c>
      <c r="V63" s="522">
        <f t="shared" si="1"/>
        <v>3.7500000325962901E-3</v>
      </c>
      <c r="W63" s="522">
        <f t="shared" si="14"/>
        <v>5.6435744966165657E-7</v>
      </c>
      <c r="X63" s="522">
        <f t="shared" si="15"/>
        <v>70309.449999999953</v>
      </c>
      <c r="Y63" s="522">
        <f t="shared" si="16"/>
        <v>11.833359546676618</v>
      </c>
      <c r="Z63" s="524">
        <f t="shared" si="17"/>
        <v>568492.69999999995</v>
      </c>
      <c r="AA63" s="522">
        <f t="shared" si="18"/>
        <v>-95979.796250000014</v>
      </c>
      <c r="AB63" s="522">
        <f t="shared" si="19"/>
        <v>-14.44451001232845</v>
      </c>
      <c r="AC63" s="522">
        <f t="shared" si="20"/>
        <v>-95979.800000000047</v>
      </c>
      <c r="AD63" s="522">
        <f t="shared" si="21"/>
        <v>-14.444510495167222</v>
      </c>
      <c r="AE63" s="522">
        <f t="shared" si="22"/>
        <v>-25670.350000000093</v>
      </c>
      <c r="AF63" s="522">
        <f t="shared" si="23"/>
        <v>-4.320421810141184</v>
      </c>
      <c r="AG63" s="522">
        <f t="shared" si="46"/>
        <v>556396.85</v>
      </c>
      <c r="AH63" s="522">
        <f t="shared" si="24"/>
        <v>-108075.65000000002</v>
      </c>
      <c r="AI63" s="522">
        <f t="shared" si="25"/>
        <v>-16.264879283943273</v>
      </c>
      <c r="AJ63" s="522">
        <f t="shared" si="26"/>
        <v>-12095.849999999977</v>
      </c>
      <c r="AK63" s="522">
        <f t="shared" si="133"/>
        <v>-2.1277054217230926</v>
      </c>
      <c r="AL63" s="522">
        <f t="shared" si="144"/>
        <v>556396.85</v>
      </c>
      <c r="AM63" s="522">
        <f t="shared" si="72"/>
        <v>328595.94</v>
      </c>
      <c r="AN63" s="522">
        <f t="shared" si="72"/>
        <v>255012.3</v>
      </c>
      <c r="AO63" s="522">
        <f t="shared" si="27"/>
        <v>-73583.640000000014</v>
      </c>
      <c r="AP63" s="522">
        <f t="shared" si="47"/>
        <v>-22.393350325630934</v>
      </c>
      <c r="AQ63" s="522">
        <v>162688.28</v>
      </c>
      <c r="AR63" s="522">
        <v>118523.4</v>
      </c>
      <c r="AS63" s="522">
        <v>165907.66</v>
      </c>
      <c r="AT63" s="522">
        <v>136488.9</v>
      </c>
      <c r="AU63" s="522">
        <f t="shared" si="79"/>
        <v>335876.56</v>
      </c>
      <c r="AV63" s="522">
        <f t="shared" si="79"/>
        <v>313480.40000000002</v>
      </c>
      <c r="AW63" s="522">
        <f t="shared" si="28"/>
        <v>-22396.159999999974</v>
      </c>
      <c r="AX63" s="522">
        <f t="shared" si="29"/>
        <v>-6.6679734959772077</v>
      </c>
      <c r="AY63" s="522">
        <f t="shared" si="82"/>
        <v>301384.55</v>
      </c>
      <c r="AZ63" s="522">
        <f t="shared" si="30"/>
        <v>12095.850000000035</v>
      </c>
      <c r="BA63" s="522">
        <f t="shared" si="31"/>
        <v>4.013427363811445</v>
      </c>
      <c r="BB63" s="522">
        <v>168088.28</v>
      </c>
      <c r="BC63" s="525">
        <f>'[67]Дир_по экон'!AT18</f>
        <v>156890.20000000001</v>
      </c>
      <c r="BD63" s="525">
        <f t="shared" si="145"/>
        <v>144251.79999999999</v>
      </c>
      <c r="BE63" s="525">
        <f t="shared" si="33"/>
        <v>-23836.48000000001</v>
      </c>
      <c r="BF63" s="525">
        <f t="shared" si="34"/>
        <v>-12638.400000000023</v>
      </c>
      <c r="BG63" s="525">
        <f t="shared" si="35"/>
        <v>496684.22</v>
      </c>
      <c r="BH63" s="522">
        <f t="shared" si="35"/>
        <v>411902.5</v>
      </c>
      <c r="BI63" s="522">
        <v>399264.1</v>
      </c>
      <c r="BJ63" s="522">
        <f t="shared" si="37"/>
        <v>-97420.12</v>
      </c>
      <c r="BK63" s="522">
        <f t="shared" si="38"/>
        <v>-12638.400000000023</v>
      </c>
      <c r="BL63" s="525">
        <v>167788.28</v>
      </c>
      <c r="BM63" s="522">
        <f>'[67]Дир_по экон'!AW18</f>
        <v>156590.20000000001</v>
      </c>
      <c r="BN63" s="522">
        <f t="shared" si="146"/>
        <v>157132.75</v>
      </c>
      <c r="BO63" s="522">
        <f t="shared" si="48"/>
        <v>-10655.529999999999</v>
      </c>
      <c r="BP63" s="522">
        <f t="shared" si="40"/>
        <v>542.54999999998836</v>
      </c>
      <c r="BQ63" s="525">
        <v>167788.28</v>
      </c>
      <c r="BR63" s="522">
        <f>'[67]Дир_по экон'!BB18</f>
        <v>0</v>
      </c>
      <c r="BS63" s="522">
        <f>'[67]Дир_по экон'!BC18</f>
        <v>0</v>
      </c>
      <c r="BT63" s="536"/>
      <c r="BU63" s="522">
        <v>556396.85</v>
      </c>
      <c r="BV63" s="522"/>
      <c r="BW63" s="522"/>
      <c r="BX63" s="574"/>
      <c r="BY63" s="525">
        <v>546624.63</v>
      </c>
      <c r="BZ63" s="525">
        <v>8270.59</v>
      </c>
      <c r="CA63" s="525">
        <v>1501.63</v>
      </c>
      <c r="CB63" s="522">
        <f t="shared" si="134"/>
        <v>556396.85</v>
      </c>
      <c r="CC63" s="522">
        <f t="shared" si="44"/>
        <v>0</v>
      </c>
      <c r="CD63" s="522"/>
      <c r="CE63" s="522"/>
      <c r="CF63" s="522"/>
      <c r="CG63" s="522"/>
      <c r="CH63" s="522"/>
      <c r="CI63" s="522"/>
      <c r="CJ63" s="522"/>
      <c r="CK63" s="543" t="s">
        <v>77</v>
      </c>
      <c r="CL63" s="542" t="s">
        <v>1800</v>
      </c>
      <c r="CM63" s="528" t="s">
        <v>1305</v>
      </c>
      <c r="CN63" s="528"/>
      <c r="CO63" s="528"/>
      <c r="CP63" s="544">
        <f t="shared" si="147"/>
        <v>619004.59318115842</v>
      </c>
      <c r="CQ63" s="544">
        <f t="shared" si="148"/>
        <v>45467.906818841555</v>
      </c>
      <c r="CR63" s="544"/>
      <c r="CS63" s="1688" t="s">
        <v>1898</v>
      </c>
      <c r="CT63" s="1689"/>
      <c r="CU63" s="1689"/>
      <c r="CV63" s="1689"/>
      <c r="CW63" s="1690"/>
      <c r="CX63" s="528"/>
      <c r="CY63" s="528"/>
      <c r="CZ63" s="528"/>
      <c r="DA63" s="528"/>
      <c r="DB63" s="544">
        <f>118523.4</f>
        <v>118523.4</v>
      </c>
      <c r="DD63" s="535"/>
      <c r="DE63" s="535"/>
      <c r="DF63" s="525">
        <f t="shared" si="88"/>
        <v>546.62463000000002</v>
      </c>
      <c r="DG63" s="525">
        <f t="shared" si="88"/>
        <v>8.2705900000000003</v>
      </c>
      <c r="DH63" s="525">
        <f t="shared" si="88"/>
        <v>1.50163</v>
      </c>
      <c r="DI63" s="522">
        <f t="shared" si="88"/>
        <v>556.39684999999997</v>
      </c>
      <c r="DJ63" s="536"/>
      <c r="DK63" s="536"/>
      <c r="DL63" s="536"/>
      <c r="DM63" s="536"/>
      <c r="DN63" s="536"/>
      <c r="DO63" s="536"/>
      <c r="DP63" s="536"/>
      <c r="DQ63" s="536"/>
      <c r="DR63" s="536"/>
      <c r="DS63" s="536"/>
    </row>
    <row r="64" spans="1:123" s="534" customFormat="1" ht="94.5" customHeight="1">
      <c r="A64" s="537" t="s">
        <v>1079</v>
      </c>
      <c r="B64" s="538" t="s">
        <v>1080</v>
      </c>
      <c r="C64" s="576">
        <v>860558.28</v>
      </c>
      <c r="D64" s="525">
        <v>1855854.04</v>
      </c>
      <c r="E64" s="525">
        <v>1050000</v>
      </c>
      <c r="F64" s="525">
        <v>1000278.49</v>
      </c>
      <c r="G64" s="540">
        <v>1129698.2904038767</v>
      </c>
      <c r="H64" s="540">
        <v>0</v>
      </c>
      <c r="I64" s="525">
        <f t="shared" si="140"/>
        <v>1038864.93</v>
      </c>
      <c r="J64" s="525">
        <v>536606.93000000005</v>
      </c>
      <c r="K64" s="525">
        <v>253360</v>
      </c>
      <c r="L64" s="525">
        <v>248898</v>
      </c>
      <c r="M64" s="525">
        <f t="shared" si="141"/>
        <v>789966.93</v>
      </c>
      <c r="N64" s="525">
        <v>752328.54</v>
      </c>
      <c r="O64" s="525">
        <f t="shared" si="142"/>
        <v>231785.5</v>
      </c>
      <c r="P64" s="522">
        <f>48994.28+935119.76</f>
        <v>984114.04</v>
      </c>
      <c r="Q64" s="525">
        <f t="shared" si="12"/>
        <v>-54750.890000000014</v>
      </c>
      <c r="R64" s="525">
        <f t="shared" si="13"/>
        <v>-5.2702606873060915</v>
      </c>
      <c r="S64" s="525">
        <v>0</v>
      </c>
      <c r="T64" s="525"/>
      <c r="U64" s="522">
        <f t="shared" si="143"/>
        <v>1003104.72</v>
      </c>
      <c r="V64" s="522">
        <f t="shared" si="1"/>
        <v>1003104.72</v>
      </c>
      <c r="W64" s="522">
        <v>0</v>
      </c>
      <c r="X64" s="522">
        <f t="shared" si="15"/>
        <v>18990.679999999935</v>
      </c>
      <c r="Y64" s="522">
        <f t="shared" si="16"/>
        <v>1.9297235104988459</v>
      </c>
      <c r="Z64" s="524">
        <f t="shared" si="17"/>
        <v>937107.08</v>
      </c>
      <c r="AA64" s="522">
        <f t="shared" si="18"/>
        <v>937107.08</v>
      </c>
      <c r="AB64" s="522">
        <v>0</v>
      </c>
      <c r="AC64" s="522">
        <f t="shared" si="20"/>
        <v>-65997.640000000014</v>
      </c>
      <c r="AD64" s="522">
        <f t="shared" si="21"/>
        <v>-6.5793370008267971</v>
      </c>
      <c r="AE64" s="522">
        <f t="shared" si="22"/>
        <v>-47006.960000000079</v>
      </c>
      <c r="AF64" s="522">
        <f t="shared" si="23"/>
        <v>-4.7765765032678615</v>
      </c>
      <c r="AG64" s="522">
        <f t="shared" si="46"/>
        <v>854300.02</v>
      </c>
      <c r="AH64" s="522">
        <f t="shared" si="24"/>
        <v>-148804.69999999995</v>
      </c>
      <c r="AI64" s="522">
        <f t="shared" si="25"/>
        <v>-14.83441330033817</v>
      </c>
      <c r="AJ64" s="522">
        <f t="shared" si="26"/>
        <v>-82807.059999999939</v>
      </c>
      <c r="AK64" s="522">
        <f t="shared" si="133"/>
        <v>-8.8364565552103187</v>
      </c>
      <c r="AL64" s="522">
        <f t="shared" si="144"/>
        <v>854300.02</v>
      </c>
      <c r="AM64" s="522">
        <f t="shared" si="72"/>
        <v>512952.36</v>
      </c>
      <c r="AN64" s="522">
        <f t="shared" si="72"/>
        <v>444990.74</v>
      </c>
      <c r="AO64" s="522">
        <f t="shared" si="27"/>
        <v>-67961.62</v>
      </c>
      <c r="AP64" s="522">
        <f t="shared" si="47"/>
        <v>-13.249109527442272</v>
      </c>
      <c r="AQ64" s="522">
        <v>254376.18</v>
      </c>
      <c r="AR64" s="522">
        <v>218428.87</v>
      </c>
      <c r="AS64" s="522">
        <v>258576.18</v>
      </c>
      <c r="AT64" s="522">
        <v>226561.87</v>
      </c>
      <c r="AU64" s="522">
        <f t="shared" si="79"/>
        <v>490152.36</v>
      </c>
      <c r="AV64" s="522">
        <f t="shared" si="79"/>
        <v>492116.33999999997</v>
      </c>
      <c r="AW64" s="522">
        <f t="shared" si="28"/>
        <v>1963.9799999999814</v>
      </c>
      <c r="AX64" s="522">
        <f t="shared" si="29"/>
        <v>0.4006876555689729</v>
      </c>
      <c r="AY64" s="522">
        <f t="shared" si="82"/>
        <v>409309.28</v>
      </c>
      <c r="AZ64" s="522">
        <f t="shared" si="30"/>
        <v>82807.059999999939</v>
      </c>
      <c r="BA64" s="522">
        <f t="shared" si="31"/>
        <v>20.230926599074394</v>
      </c>
      <c r="BB64" s="522">
        <v>251376.18</v>
      </c>
      <c r="BC64" s="525">
        <f>'[67]Дир_по экон'!AT19</f>
        <v>251540.16</v>
      </c>
      <c r="BD64" s="525">
        <f t="shared" si="145"/>
        <v>200488.89</v>
      </c>
      <c r="BE64" s="525">
        <f t="shared" si="33"/>
        <v>-50887.289999999979</v>
      </c>
      <c r="BF64" s="525">
        <f t="shared" si="34"/>
        <v>-51051.26999999999</v>
      </c>
      <c r="BG64" s="525">
        <f t="shared" si="35"/>
        <v>764328.54</v>
      </c>
      <c r="BH64" s="522">
        <f t="shared" si="35"/>
        <v>696530.9</v>
      </c>
      <c r="BI64" s="522">
        <f>600204.79+45274.84</f>
        <v>645479.63</v>
      </c>
      <c r="BJ64" s="522">
        <f t="shared" si="37"/>
        <v>-118848.91000000003</v>
      </c>
      <c r="BK64" s="522">
        <f t="shared" si="38"/>
        <v>-51051.270000000019</v>
      </c>
      <c r="BL64" s="525">
        <v>238776.18</v>
      </c>
      <c r="BM64" s="522">
        <f>'[67]Дир_по экон'!AW19</f>
        <v>240576.18</v>
      </c>
      <c r="BN64" s="522">
        <f t="shared" si="146"/>
        <v>208820.39</v>
      </c>
      <c r="BO64" s="522">
        <f t="shared" si="48"/>
        <v>-29955.789999999979</v>
      </c>
      <c r="BP64" s="522">
        <f t="shared" si="40"/>
        <v>-31755.789999999979</v>
      </c>
      <c r="BQ64" s="525">
        <v>238776.18</v>
      </c>
      <c r="BR64" s="522">
        <f>'[67]Дир_по экон'!BB19</f>
        <v>0</v>
      </c>
      <c r="BS64" s="522">
        <f>'[67]Дир_по экон'!BC19</f>
        <v>0</v>
      </c>
      <c r="BT64" s="536"/>
      <c r="BU64" s="522">
        <v>797537.9</v>
      </c>
      <c r="BV64" s="522">
        <v>56762.12</v>
      </c>
      <c r="BW64" s="522"/>
      <c r="BX64" s="574"/>
      <c r="BY64" s="525">
        <f>749375.2+56762.12</f>
        <v>806137.32</v>
      </c>
      <c r="BZ64" s="525">
        <v>36040.04</v>
      </c>
      <c r="CA64" s="525">
        <v>12122.66</v>
      </c>
      <c r="CB64" s="522">
        <f t="shared" si="134"/>
        <v>854300.02</v>
      </c>
      <c r="CC64" s="522">
        <f t="shared" si="44"/>
        <v>0</v>
      </c>
      <c r="CD64" s="522"/>
      <c r="CE64" s="522"/>
      <c r="CF64" s="522"/>
      <c r="CG64" s="522"/>
      <c r="CH64" s="522"/>
      <c r="CI64" s="522"/>
      <c r="CJ64" s="522"/>
      <c r="CK64" s="543" t="s">
        <v>77</v>
      </c>
      <c r="CL64" s="542" t="s">
        <v>1800</v>
      </c>
      <c r="CM64" s="528" t="s">
        <v>1305</v>
      </c>
      <c r="CN64" s="528"/>
      <c r="CO64" s="528"/>
      <c r="CP64" s="544">
        <f t="shared" si="147"/>
        <v>934465.20227955235</v>
      </c>
      <c r="CQ64" s="544">
        <f t="shared" si="148"/>
        <v>68639.517720447649</v>
      </c>
      <c r="CR64" s="544"/>
      <c r="CS64" s="1688" t="s">
        <v>1898</v>
      </c>
      <c r="CT64" s="1689"/>
      <c r="CU64" s="1689"/>
      <c r="CV64" s="1689"/>
      <c r="CW64" s="1690"/>
      <c r="CX64" s="528"/>
      <c r="CY64" s="528"/>
      <c r="CZ64" s="528"/>
      <c r="DA64" s="528"/>
      <c r="DB64" s="544">
        <f>202028.87+16400</f>
        <v>218428.87</v>
      </c>
      <c r="DD64" s="535"/>
      <c r="DE64" s="535"/>
      <c r="DF64" s="525">
        <f t="shared" si="88"/>
        <v>806.13731999999993</v>
      </c>
      <c r="DG64" s="525">
        <f t="shared" si="88"/>
        <v>36.040039999999998</v>
      </c>
      <c r="DH64" s="525">
        <f t="shared" si="88"/>
        <v>12.12266</v>
      </c>
      <c r="DI64" s="522">
        <f t="shared" si="88"/>
        <v>854.30002000000002</v>
      </c>
      <c r="DJ64" s="536"/>
      <c r="DK64" s="536"/>
      <c r="DL64" s="536"/>
      <c r="DM64" s="536"/>
      <c r="DN64" s="536"/>
      <c r="DO64" s="536"/>
      <c r="DP64" s="536"/>
      <c r="DQ64" s="536"/>
      <c r="DR64" s="536"/>
      <c r="DS64" s="536"/>
    </row>
    <row r="65" spans="1:123" s="534" customFormat="1" ht="84.6">
      <c r="A65" s="537" t="s">
        <v>1084</v>
      </c>
      <c r="B65" s="538" t="s">
        <v>1902</v>
      </c>
      <c r="C65" s="576"/>
      <c r="D65" s="525">
        <v>0</v>
      </c>
      <c r="E65" s="525">
        <v>0</v>
      </c>
      <c r="F65" s="525">
        <v>0</v>
      </c>
      <c r="G65" s="540">
        <v>0</v>
      </c>
      <c r="H65" s="540">
        <v>0</v>
      </c>
      <c r="I65" s="525">
        <f t="shared" si="140"/>
        <v>136005.39999999997</v>
      </c>
      <c r="J65" s="525">
        <v>136005.39999999997</v>
      </c>
      <c r="K65" s="525">
        <v>0</v>
      </c>
      <c r="L65" s="525">
        <v>0</v>
      </c>
      <c r="M65" s="525">
        <f t="shared" si="141"/>
        <v>136005.39999999997</v>
      </c>
      <c r="N65" s="525">
        <v>210070.28</v>
      </c>
      <c r="O65" s="525">
        <f t="shared" si="142"/>
        <v>78025.360000000015</v>
      </c>
      <c r="P65" s="522">
        <v>288095.64</v>
      </c>
      <c r="Q65" s="525">
        <f t="shared" si="12"/>
        <v>152090.24000000005</v>
      </c>
      <c r="R65" s="525">
        <f t="shared" si="13"/>
        <v>111.82661864896545</v>
      </c>
      <c r="S65" s="525">
        <v>0</v>
      </c>
      <c r="T65" s="525"/>
      <c r="U65" s="522">
        <f t="shared" si="143"/>
        <v>294378.49</v>
      </c>
      <c r="V65" s="522">
        <f t="shared" si="1"/>
        <v>294378.49</v>
      </c>
      <c r="W65" s="522">
        <v>0</v>
      </c>
      <c r="X65" s="522">
        <f t="shared" si="15"/>
        <v>6282.8499999999767</v>
      </c>
      <c r="Y65" s="522">
        <f t="shared" si="16"/>
        <v>2.1808209246068344</v>
      </c>
      <c r="Z65" s="524">
        <f t="shared" si="17"/>
        <v>312767.99</v>
      </c>
      <c r="AA65" s="522">
        <f t="shared" si="18"/>
        <v>312767.99</v>
      </c>
      <c r="AB65" s="522">
        <v>0</v>
      </c>
      <c r="AC65" s="522">
        <f t="shared" si="20"/>
        <v>18389.5</v>
      </c>
      <c r="AD65" s="522">
        <f t="shared" si="21"/>
        <v>6.2468898457900224</v>
      </c>
      <c r="AE65" s="522">
        <f t="shared" si="22"/>
        <v>24672.349999999977</v>
      </c>
      <c r="AF65" s="522">
        <f t="shared" si="23"/>
        <v>8.5639442512909909</v>
      </c>
      <c r="AG65" s="522">
        <f t="shared" si="46"/>
        <v>334689.48</v>
      </c>
      <c r="AH65" s="522">
        <f t="shared" si="24"/>
        <v>40310.989999999991</v>
      </c>
      <c r="AI65" s="522">
        <f t="shared" si="25"/>
        <v>13.693592218643417</v>
      </c>
      <c r="AJ65" s="522">
        <f t="shared" si="26"/>
        <v>21921.489999999991</v>
      </c>
      <c r="AK65" s="522">
        <f t="shared" si="133"/>
        <v>7.0088662206129158</v>
      </c>
      <c r="AL65" s="522">
        <f t="shared" si="144"/>
        <v>334689.48</v>
      </c>
      <c r="AM65" s="522">
        <f t="shared" si="72"/>
        <v>136005</v>
      </c>
      <c r="AN65" s="522">
        <f t="shared" si="72"/>
        <v>154394.5</v>
      </c>
      <c r="AO65" s="522">
        <f t="shared" si="27"/>
        <v>18389.5</v>
      </c>
      <c r="AP65" s="522">
        <f t="shared" si="47"/>
        <v>13.521194073747282</v>
      </c>
      <c r="AQ65" s="522">
        <v>67175</v>
      </c>
      <c r="AR65" s="522">
        <v>70309.72</v>
      </c>
      <c r="AS65" s="522">
        <v>68830</v>
      </c>
      <c r="AT65" s="522">
        <v>84084.78</v>
      </c>
      <c r="AU65" s="522">
        <f t="shared" si="79"/>
        <v>158373.49</v>
      </c>
      <c r="AV65" s="522">
        <f t="shared" si="79"/>
        <v>158373.49</v>
      </c>
      <c r="AW65" s="522">
        <f t="shared" si="28"/>
        <v>0</v>
      </c>
      <c r="AX65" s="522">
        <f t="shared" si="29"/>
        <v>0</v>
      </c>
      <c r="AY65" s="522">
        <f t="shared" si="82"/>
        <v>180294.97999999998</v>
      </c>
      <c r="AZ65" s="522">
        <f t="shared" si="30"/>
        <v>-21921.489999999991</v>
      </c>
      <c r="BA65" s="522">
        <f t="shared" si="31"/>
        <v>-12.15868018066837</v>
      </c>
      <c r="BB65" s="522">
        <v>74064</v>
      </c>
      <c r="BC65" s="525">
        <f>'[67]Гл инж_Тех дир'!AT45</f>
        <v>74064</v>
      </c>
      <c r="BD65" s="525">
        <f t="shared" si="145"/>
        <v>85963.799999999988</v>
      </c>
      <c r="BE65" s="525">
        <f t="shared" si="33"/>
        <v>11899.799999999988</v>
      </c>
      <c r="BF65" s="525">
        <f t="shared" si="34"/>
        <v>11899.799999999988</v>
      </c>
      <c r="BG65" s="525">
        <f t="shared" si="35"/>
        <v>210069</v>
      </c>
      <c r="BH65" s="522">
        <f t="shared" si="35"/>
        <v>228458.5</v>
      </c>
      <c r="BI65" s="522">
        <v>240358.3</v>
      </c>
      <c r="BJ65" s="522">
        <f t="shared" si="37"/>
        <v>30289.299999999988</v>
      </c>
      <c r="BK65" s="522">
        <f t="shared" si="38"/>
        <v>11899.799999999988</v>
      </c>
      <c r="BL65" s="525">
        <v>84309.49</v>
      </c>
      <c r="BM65" s="522">
        <f>'[67]Гл инж_Тех дир'!AW45</f>
        <v>84309.49</v>
      </c>
      <c r="BN65" s="522">
        <f t="shared" si="146"/>
        <v>94331.18</v>
      </c>
      <c r="BO65" s="522">
        <f t="shared" si="48"/>
        <v>10021.689999999988</v>
      </c>
      <c r="BP65" s="522">
        <f t="shared" si="40"/>
        <v>10021.689999999988</v>
      </c>
      <c r="BQ65" s="525">
        <v>84309.49</v>
      </c>
      <c r="BR65" s="522">
        <f>'[67]Гл инж_Тех дир'!BB45</f>
        <v>0</v>
      </c>
      <c r="BS65" s="522">
        <f>'[67]Гл инж_Тех дир'!BC45</f>
        <v>0</v>
      </c>
      <c r="BT65" s="536"/>
      <c r="BU65" s="522">
        <v>334689.48</v>
      </c>
      <c r="BV65" s="522"/>
      <c r="BW65" s="522"/>
      <c r="BX65" s="574"/>
      <c r="BY65" s="525">
        <v>333587.98</v>
      </c>
      <c r="BZ65" s="525">
        <v>948.94</v>
      </c>
      <c r="CA65" s="525">
        <v>152.56</v>
      </c>
      <c r="CB65" s="522">
        <f t="shared" si="134"/>
        <v>334689.48</v>
      </c>
      <c r="CC65" s="522">
        <f t="shared" si="44"/>
        <v>0</v>
      </c>
      <c r="CD65" s="522"/>
      <c r="CE65" s="522"/>
      <c r="CF65" s="522"/>
      <c r="CG65" s="522"/>
      <c r="CH65" s="522"/>
      <c r="CI65" s="522"/>
      <c r="CJ65" s="522"/>
      <c r="CK65" s="542" t="s">
        <v>79</v>
      </c>
      <c r="CL65" s="543" t="s">
        <v>1903</v>
      </c>
      <c r="CM65" s="528" t="s">
        <v>1305</v>
      </c>
      <c r="CN65" s="528" t="s">
        <v>1849</v>
      </c>
      <c r="CO65" s="528"/>
      <c r="CP65" s="544">
        <f t="shared" si="147"/>
        <v>274235.03221537941</v>
      </c>
      <c r="CQ65" s="544">
        <f t="shared" si="148"/>
        <v>20143.457784620554</v>
      </c>
      <c r="CR65" s="544"/>
      <c r="CS65" s="1688" t="s">
        <v>1898</v>
      </c>
      <c r="CT65" s="1689"/>
      <c r="CU65" s="1689"/>
      <c r="CV65" s="1689"/>
      <c r="CW65" s="1690"/>
      <c r="CX65" s="528"/>
      <c r="CY65" s="528"/>
      <c r="CZ65" s="528"/>
      <c r="DA65" s="528"/>
      <c r="DB65" s="544">
        <f>70309.72</f>
        <v>70309.72</v>
      </c>
      <c r="DD65" s="535"/>
      <c r="DE65" s="535"/>
      <c r="DF65" s="525">
        <f t="shared" si="88"/>
        <v>333.58797999999996</v>
      </c>
      <c r="DG65" s="525">
        <f t="shared" si="88"/>
        <v>0.94894000000000001</v>
      </c>
      <c r="DH65" s="525">
        <f t="shared" si="88"/>
        <v>0.15256</v>
      </c>
      <c r="DI65" s="522">
        <f t="shared" si="88"/>
        <v>334.68948</v>
      </c>
      <c r="DJ65" s="536"/>
      <c r="DK65" s="536"/>
      <c r="DL65" s="536"/>
      <c r="DM65" s="536"/>
      <c r="DN65" s="536"/>
      <c r="DO65" s="536"/>
      <c r="DP65" s="536"/>
      <c r="DQ65" s="536"/>
      <c r="DR65" s="536"/>
      <c r="DS65" s="536"/>
    </row>
    <row r="66" spans="1:123" s="534" customFormat="1" ht="85.5" customHeight="1">
      <c r="A66" s="537" t="s">
        <v>1088</v>
      </c>
      <c r="B66" s="538" t="s">
        <v>1089</v>
      </c>
      <c r="C66" s="576">
        <v>2136332.69</v>
      </c>
      <c r="D66" s="525">
        <v>1975091.99</v>
      </c>
      <c r="E66" s="525">
        <v>0</v>
      </c>
      <c r="F66" s="525">
        <v>2029851.41</v>
      </c>
      <c r="G66" s="540">
        <v>2085509.5103545545</v>
      </c>
      <c r="H66" s="540">
        <v>0</v>
      </c>
      <c r="I66" s="525">
        <f t="shared" si="140"/>
        <v>2285495.25</v>
      </c>
      <c r="J66" s="525">
        <v>1223278.1599999999</v>
      </c>
      <c r="K66" s="525">
        <v>540839.71</v>
      </c>
      <c r="L66" s="525">
        <v>521377.38</v>
      </c>
      <c r="M66" s="525">
        <f t="shared" si="141"/>
        <v>1764117.8699999999</v>
      </c>
      <c r="N66" s="525">
        <v>1766616.17</v>
      </c>
      <c r="O66" s="525">
        <f t="shared" si="142"/>
        <v>596008.16000000015</v>
      </c>
      <c r="P66" s="522">
        <f>260148.11+2102476.22</f>
        <v>2362624.33</v>
      </c>
      <c r="Q66" s="525">
        <f t="shared" si="12"/>
        <v>77129.080000000075</v>
      </c>
      <c r="R66" s="525">
        <f t="shared" si="13"/>
        <v>3.3747206431516332</v>
      </c>
      <c r="S66" s="525">
        <v>0</v>
      </c>
      <c r="T66" s="525"/>
      <c r="U66" s="522">
        <f t="shared" si="143"/>
        <v>2287993.56</v>
      </c>
      <c r="V66" s="522">
        <f t="shared" si="1"/>
        <v>2287993.56</v>
      </c>
      <c r="W66" s="522">
        <v>0</v>
      </c>
      <c r="X66" s="522">
        <f t="shared" si="15"/>
        <v>-74630.770000000019</v>
      </c>
      <c r="Y66" s="522">
        <f t="shared" si="16"/>
        <v>-3.1588081546590985</v>
      </c>
      <c r="Z66" s="524">
        <f t="shared" si="17"/>
        <v>2702023.8200000003</v>
      </c>
      <c r="AA66" s="522">
        <f t="shared" si="18"/>
        <v>2702023.8200000003</v>
      </c>
      <c r="AB66" s="522">
        <v>0</v>
      </c>
      <c r="AC66" s="522">
        <f t="shared" si="20"/>
        <v>414030.26000000024</v>
      </c>
      <c r="AD66" s="522">
        <f t="shared" si="21"/>
        <v>18.095779080776794</v>
      </c>
      <c r="AE66" s="522">
        <f t="shared" si="22"/>
        <v>339399.49000000022</v>
      </c>
      <c r="AF66" s="522">
        <f t="shared" si="23"/>
        <v>14.365359980865009</v>
      </c>
      <c r="AG66" s="522">
        <f t="shared" si="46"/>
        <v>3026875.85</v>
      </c>
      <c r="AH66" s="522">
        <f t="shared" si="24"/>
        <v>738882.29</v>
      </c>
      <c r="AI66" s="522">
        <f t="shared" si="25"/>
        <v>32.293897278277285</v>
      </c>
      <c r="AJ66" s="522">
        <f t="shared" si="26"/>
        <v>324852.0299999998</v>
      </c>
      <c r="AK66" s="522">
        <f t="shared" si="133"/>
        <v>12.022545012204944</v>
      </c>
      <c r="AL66" s="522">
        <f t="shared" si="144"/>
        <v>3026875.85</v>
      </c>
      <c r="AM66" s="522">
        <f t="shared" si="72"/>
        <v>1143996.78</v>
      </c>
      <c r="AN66" s="522">
        <f t="shared" si="72"/>
        <v>1558027.04</v>
      </c>
      <c r="AO66" s="522">
        <f t="shared" si="27"/>
        <v>414030.26</v>
      </c>
      <c r="AP66" s="522">
        <f t="shared" si="47"/>
        <v>36.191558161553559</v>
      </c>
      <c r="AQ66" s="522">
        <v>571998.39</v>
      </c>
      <c r="AR66" s="522">
        <v>942934.7</v>
      </c>
      <c r="AS66" s="522">
        <v>571998.39</v>
      </c>
      <c r="AT66" s="522">
        <v>615092.34000000008</v>
      </c>
      <c r="AU66" s="522">
        <f t="shared" si="79"/>
        <v>1143996.78</v>
      </c>
      <c r="AV66" s="522">
        <f t="shared" si="79"/>
        <v>1143996.78</v>
      </c>
      <c r="AW66" s="522">
        <f t="shared" si="28"/>
        <v>0</v>
      </c>
      <c r="AX66" s="522">
        <f t="shared" si="29"/>
        <v>0</v>
      </c>
      <c r="AY66" s="522">
        <f t="shared" si="82"/>
        <v>1468848.81</v>
      </c>
      <c r="AZ66" s="522">
        <f t="shared" si="30"/>
        <v>-324852.03000000003</v>
      </c>
      <c r="BA66" s="522">
        <f t="shared" si="31"/>
        <v>-22.11609716319272</v>
      </c>
      <c r="BB66" s="522">
        <v>571998.39</v>
      </c>
      <c r="BC66" s="525">
        <f>'[67]Дир_по экон'!AT20</f>
        <v>571998.39</v>
      </c>
      <c r="BD66" s="525">
        <f t="shared" si="145"/>
        <v>730690.60999999987</v>
      </c>
      <c r="BE66" s="525">
        <f t="shared" si="33"/>
        <v>158692.21999999986</v>
      </c>
      <c r="BF66" s="525">
        <f t="shared" si="34"/>
        <v>158692.21999999986</v>
      </c>
      <c r="BG66" s="525">
        <f t="shared" si="35"/>
        <v>1715995.17</v>
      </c>
      <c r="BH66" s="522">
        <f t="shared" si="35"/>
        <v>2130025.4300000002</v>
      </c>
      <c r="BI66" s="522">
        <f>1994391.27+294326.38</f>
        <v>2288717.65</v>
      </c>
      <c r="BJ66" s="522">
        <f t="shared" si="37"/>
        <v>572722.48</v>
      </c>
      <c r="BK66" s="522">
        <f t="shared" si="38"/>
        <v>158692.21999999974</v>
      </c>
      <c r="BL66" s="525">
        <v>571998.39</v>
      </c>
      <c r="BM66" s="522">
        <f>'[67]Дир_по экон'!AW20</f>
        <v>571998.39</v>
      </c>
      <c r="BN66" s="522">
        <f t="shared" si="146"/>
        <v>738158.20000000019</v>
      </c>
      <c r="BO66" s="522">
        <f t="shared" si="48"/>
        <v>166159.81000000017</v>
      </c>
      <c r="BP66" s="522">
        <f t="shared" si="40"/>
        <v>166159.81000000017</v>
      </c>
      <c r="BQ66" s="525">
        <v>571998.39</v>
      </c>
      <c r="BR66" s="522">
        <f>'[67]Дир_по экон'!BB20</f>
        <v>0</v>
      </c>
      <c r="BS66" s="522">
        <f>'[67]Дир_по экон'!BC20</f>
        <v>0</v>
      </c>
      <c r="BT66" s="536"/>
      <c r="BU66" s="522">
        <v>2622576.04</v>
      </c>
      <c r="BV66" s="522">
        <v>404299.81</v>
      </c>
      <c r="BW66" s="522"/>
      <c r="BX66" s="574"/>
      <c r="BY66" s="525">
        <f>2468563.57+404299.81</f>
        <v>2872863.38</v>
      </c>
      <c r="BZ66" s="525">
        <v>117926.82</v>
      </c>
      <c r="CA66" s="525">
        <v>36085.65</v>
      </c>
      <c r="CB66" s="522">
        <f t="shared" si="134"/>
        <v>3026875.8499999996</v>
      </c>
      <c r="CC66" s="522">
        <f t="shared" si="44"/>
        <v>0</v>
      </c>
      <c r="CD66" s="522"/>
      <c r="CE66" s="522"/>
      <c r="CF66" s="522"/>
      <c r="CG66" s="522"/>
      <c r="CH66" s="522"/>
      <c r="CI66" s="522"/>
      <c r="CJ66" s="522"/>
      <c r="CK66" s="543" t="s">
        <v>77</v>
      </c>
      <c r="CL66" s="542" t="s">
        <v>1800</v>
      </c>
      <c r="CM66" s="528" t="s">
        <v>1305</v>
      </c>
      <c r="CN66" s="528"/>
      <c r="CO66" s="528"/>
      <c r="CP66" s="544">
        <f t="shared" si="147"/>
        <v>2131432.8626224715</v>
      </c>
      <c r="CQ66" s="544">
        <f t="shared" si="148"/>
        <v>156560.69737752815</v>
      </c>
      <c r="CR66" s="544"/>
      <c r="CS66" s="1688" t="s">
        <v>1898</v>
      </c>
      <c r="CT66" s="1689"/>
      <c r="CU66" s="1689"/>
      <c r="CV66" s="1689"/>
      <c r="CW66" s="1690"/>
      <c r="CX66" s="528"/>
      <c r="CY66" s="528"/>
      <c r="CZ66" s="528"/>
      <c r="DA66" s="528"/>
      <c r="DB66" s="544">
        <f>834971.85+107962.85</f>
        <v>942934.7</v>
      </c>
      <c r="DD66" s="535"/>
      <c r="DE66" s="535"/>
      <c r="DF66" s="525">
        <f t="shared" si="88"/>
        <v>2872.8633799999998</v>
      </c>
      <c r="DG66" s="525">
        <f t="shared" si="88"/>
        <v>117.92682000000001</v>
      </c>
      <c r="DH66" s="525">
        <f t="shared" si="88"/>
        <v>36.085650000000001</v>
      </c>
      <c r="DI66" s="522">
        <f t="shared" si="88"/>
        <v>3026.8758499999994</v>
      </c>
      <c r="DJ66" s="536"/>
      <c r="DK66" s="536"/>
      <c r="DL66" s="536"/>
      <c r="DM66" s="536"/>
      <c r="DN66" s="536"/>
      <c r="DO66" s="536"/>
      <c r="DP66" s="536"/>
      <c r="DQ66" s="536"/>
      <c r="DR66" s="536"/>
      <c r="DS66" s="536"/>
    </row>
    <row r="67" spans="1:123" s="534" customFormat="1" ht="84.6">
      <c r="A67" s="537" t="s">
        <v>1011</v>
      </c>
      <c r="B67" s="538" t="s">
        <v>1012</v>
      </c>
      <c r="C67" s="576">
        <v>2679695.0299999998</v>
      </c>
      <c r="D67" s="525">
        <v>914607.5</v>
      </c>
      <c r="E67" s="525">
        <v>2800000</v>
      </c>
      <c r="F67" s="525">
        <v>2663223.61</v>
      </c>
      <c r="G67" s="540">
        <v>1831493.9751664333</v>
      </c>
      <c r="H67" s="540">
        <v>0</v>
      </c>
      <c r="I67" s="525">
        <f t="shared" si="140"/>
        <v>3120593.33</v>
      </c>
      <c r="J67" s="525">
        <v>1535254.9899999998</v>
      </c>
      <c r="K67" s="525">
        <v>705941.16</v>
      </c>
      <c r="L67" s="525">
        <v>879397.18</v>
      </c>
      <c r="M67" s="525">
        <f t="shared" si="141"/>
        <v>2241196.15</v>
      </c>
      <c r="N67" s="525">
        <v>2271032.5699999998</v>
      </c>
      <c r="O67" s="525">
        <f t="shared" si="142"/>
        <v>800050.73999999976</v>
      </c>
      <c r="P67" s="522">
        <f>2691131.55+379951.76</f>
        <v>3071083.3099999996</v>
      </c>
      <c r="Q67" s="525">
        <f t="shared" si="12"/>
        <v>-49510.020000000484</v>
      </c>
      <c r="R67" s="525">
        <f t="shared" si="13"/>
        <v>-1.5865578998722185</v>
      </c>
      <c r="S67" s="525">
        <v>1932226.1438005872</v>
      </c>
      <c r="T67" s="525">
        <v>2923111.1563005904</v>
      </c>
      <c r="U67" s="522">
        <f t="shared" si="143"/>
        <v>3182473.6399999997</v>
      </c>
      <c r="V67" s="522">
        <f t="shared" si="1"/>
        <v>259362.48369940929</v>
      </c>
      <c r="W67" s="522">
        <f t="shared" si="14"/>
        <v>8.8728231610477337</v>
      </c>
      <c r="X67" s="522">
        <f t="shared" si="15"/>
        <v>111390.33000000007</v>
      </c>
      <c r="Y67" s="522">
        <f t="shared" si="16"/>
        <v>3.6270696284042003</v>
      </c>
      <c r="Z67" s="524">
        <f t="shared" si="17"/>
        <v>3802821.5599999996</v>
      </c>
      <c r="AA67" s="522">
        <f t="shared" si="18"/>
        <v>879710.40369940922</v>
      </c>
      <c r="AB67" s="522">
        <f t="shared" si="19"/>
        <v>30.095003462432373</v>
      </c>
      <c r="AC67" s="522">
        <f t="shared" si="20"/>
        <v>620347.91999999993</v>
      </c>
      <c r="AD67" s="522">
        <f t="shared" si="21"/>
        <v>19.49263340952605</v>
      </c>
      <c r="AE67" s="522">
        <f t="shared" si="22"/>
        <v>731738.25</v>
      </c>
      <c r="AF67" s="522">
        <f t="shared" si="23"/>
        <v>23.826714424103329</v>
      </c>
      <c r="AG67" s="522">
        <f t="shared" si="46"/>
        <v>3710148.51</v>
      </c>
      <c r="AH67" s="522">
        <f t="shared" si="24"/>
        <v>527674.87000000011</v>
      </c>
      <c r="AI67" s="522">
        <f t="shared" si="25"/>
        <v>16.580651709655641</v>
      </c>
      <c r="AJ67" s="522">
        <f t="shared" si="26"/>
        <v>-92673.049999999814</v>
      </c>
      <c r="AK67" s="522">
        <f t="shared" si="133"/>
        <v>-2.4369549961213579</v>
      </c>
      <c r="AL67" s="522">
        <f t="shared" si="144"/>
        <v>3710148.51</v>
      </c>
      <c r="AM67" s="522">
        <f t="shared" si="72"/>
        <v>1537903.48</v>
      </c>
      <c r="AN67" s="522">
        <f t="shared" si="72"/>
        <v>1742651.4</v>
      </c>
      <c r="AO67" s="522">
        <f t="shared" si="27"/>
        <v>204747.91999999993</v>
      </c>
      <c r="AP67" s="522">
        <f t="shared" si="47"/>
        <v>13.31344409208306</v>
      </c>
      <c r="AQ67" s="522">
        <v>715618.41</v>
      </c>
      <c r="AR67" s="522">
        <v>827632.1</v>
      </c>
      <c r="AS67" s="522">
        <v>822285.07</v>
      </c>
      <c r="AT67" s="522">
        <v>915019.29999999993</v>
      </c>
      <c r="AU67" s="522">
        <f t="shared" si="79"/>
        <v>1644570.16</v>
      </c>
      <c r="AV67" s="522">
        <f t="shared" si="79"/>
        <v>2060170.16</v>
      </c>
      <c r="AW67" s="522">
        <f t="shared" si="28"/>
        <v>415600</v>
      </c>
      <c r="AX67" s="522">
        <f t="shared" si="29"/>
        <v>25.27104103603584</v>
      </c>
      <c r="AY67" s="522">
        <f t="shared" si="82"/>
        <v>1967497.1099999999</v>
      </c>
      <c r="AZ67" s="522">
        <f t="shared" si="30"/>
        <v>92673.050000000047</v>
      </c>
      <c r="BA67" s="522">
        <f t="shared" si="31"/>
        <v>4.7102000571680662</v>
      </c>
      <c r="BB67" s="522">
        <v>822285.07</v>
      </c>
      <c r="BC67" s="525">
        <f>'[67]Гл инж_Тех дир'!AT24</f>
        <v>1031085.07</v>
      </c>
      <c r="BD67" s="525">
        <f t="shared" si="145"/>
        <v>949898.58999999985</v>
      </c>
      <c r="BE67" s="525">
        <f t="shared" si="33"/>
        <v>127613.5199999999</v>
      </c>
      <c r="BF67" s="525">
        <f t="shared" si="34"/>
        <v>-81186.480000000098</v>
      </c>
      <c r="BG67" s="525">
        <f t="shared" si="35"/>
        <v>2360188.5499999998</v>
      </c>
      <c r="BH67" s="522">
        <f t="shared" si="35"/>
        <v>2773736.4699999997</v>
      </c>
      <c r="BI67" s="522">
        <f>213247.82+266811.16+2212491.01</f>
        <v>2692549.9899999998</v>
      </c>
      <c r="BJ67" s="522">
        <f t="shared" si="37"/>
        <v>332361.43999999994</v>
      </c>
      <c r="BK67" s="522">
        <f t="shared" si="38"/>
        <v>-81186.479999999981</v>
      </c>
      <c r="BL67" s="525">
        <v>822285.09</v>
      </c>
      <c r="BM67" s="522">
        <f>'[67]Гл инж_Тех дир'!AW24</f>
        <v>1029085.09</v>
      </c>
      <c r="BN67" s="522">
        <f t="shared" si="146"/>
        <v>1017598.52</v>
      </c>
      <c r="BO67" s="522">
        <f t="shared" si="48"/>
        <v>195313.43000000005</v>
      </c>
      <c r="BP67" s="522">
        <f t="shared" si="40"/>
        <v>-11486.569999999949</v>
      </c>
      <c r="BQ67" s="525">
        <v>822285.09</v>
      </c>
      <c r="BR67" s="522">
        <f>'[67]Гл инж_Тех дир'!BB24</f>
        <v>0</v>
      </c>
      <c r="BS67" s="522">
        <f>'[67]Гл инж_Тех дир'!BC24</f>
        <v>0</v>
      </c>
      <c r="BT67" s="536"/>
      <c r="BU67" s="522">
        <f>281047.82+370130.44</f>
        <v>651178.26</v>
      </c>
      <c r="BV67" s="522">
        <v>3058970.25</v>
      </c>
      <c r="BW67" s="522"/>
      <c r="BX67" s="574"/>
      <c r="BY67" s="522">
        <f>(280204.82)+357908.39+3058970.25</f>
        <v>3697083.46</v>
      </c>
      <c r="BZ67" s="522">
        <f>(717.94)+10387.14</f>
        <v>11105.08</v>
      </c>
      <c r="CA67" s="522">
        <f>(125.06)+1834.91</f>
        <v>1959.97</v>
      </c>
      <c r="CB67" s="522">
        <f t="shared" si="134"/>
        <v>3710148.5100000002</v>
      </c>
      <c r="CC67" s="522">
        <f t="shared" si="44"/>
        <v>0</v>
      </c>
      <c r="CD67" s="522"/>
      <c r="CE67" s="522"/>
      <c r="CF67" s="522"/>
      <c r="CG67" s="522"/>
      <c r="CH67" s="522"/>
      <c r="CI67" s="522"/>
      <c r="CJ67" s="522"/>
      <c r="CK67" s="543" t="s">
        <v>79</v>
      </c>
      <c r="CL67" s="543" t="s">
        <v>1806</v>
      </c>
      <c r="CM67" s="528" t="s">
        <v>1305</v>
      </c>
      <c r="CN67" s="528" t="s">
        <v>1849</v>
      </c>
      <c r="CO67" s="528"/>
      <c r="CP67" s="544">
        <f t="shared" si="147"/>
        <v>2964706.2908366565</v>
      </c>
      <c r="CQ67" s="544">
        <f t="shared" si="148"/>
        <v>217767.34916334308</v>
      </c>
      <c r="CR67" s="544"/>
      <c r="CS67" s="1688" t="s">
        <v>1898</v>
      </c>
      <c r="CT67" s="1689"/>
      <c r="CU67" s="1689"/>
      <c r="CV67" s="1689"/>
      <c r="CW67" s="1690"/>
      <c r="CX67" s="528"/>
      <c r="CY67" s="528"/>
      <c r="CZ67" s="528"/>
      <c r="DA67" s="528"/>
      <c r="DB67" s="544">
        <f>72300+86450.28+668881.82</f>
        <v>827632.1</v>
      </c>
      <c r="DD67" s="535"/>
      <c r="DE67" s="535"/>
      <c r="DF67" s="522">
        <f t="shared" si="88"/>
        <v>3697.0834599999998</v>
      </c>
      <c r="DG67" s="522">
        <f t="shared" si="88"/>
        <v>11.105079999999999</v>
      </c>
      <c r="DH67" s="522">
        <f t="shared" si="88"/>
        <v>1.95997</v>
      </c>
      <c r="DI67" s="522">
        <f t="shared" si="88"/>
        <v>3710.1485100000004</v>
      </c>
      <c r="DJ67" s="536"/>
      <c r="DK67" s="536"/>
      <c r="DL67" s="536"/>
      <c r="DM67" s="536"/>
      <c r="DN67" s="536"/>
      <c r="DO67" s="536"/>
      <c r="DP67" s="536"/>
      <c r="DQ67" s="536"/>
      <c r="DR67" s="536"/>
      <c r="DS67" s="536"/>
    </row>
    <row r="68" spans="1:123" s="534" customFormat="1" ht="84.6">
      <c r="A68" s="537" t="s">
        <v>1016</v>
      </c>
      <c r="B68" s="610" t="s">
        <v>1017</v>
      </c>
      <c r="C68" s="576"/>
      <c r="D68" s="525"/>
      <c r="E68" s="525">
        <v>150000</v>
      </c>
      <c r="F68" s="525">
        <v>170549.9</v>
      </c>
      <c r="G68" s="540">
        <v>367260.08457400312</v>
      </c>
      <c r="H68" s="540">
        <v>0</v>
      </c>
      <c r="I68" s="525">
        <f t="shared" si="140"/>
        <v>187421.12999999998</v>
      </c>
      <c r="J68" s="525">
        <v>96063.42</v>
      </c>
      <c r="K68" s="525">
        <v>43042.559999999998</v>
      </c>
      <c r="L68" s="525">
        <v>48315.15</v>
      </c>
      <c r="M68" s="525">
        <f t="shared" si="141"/>
        <v>139105.97999999998</v>
      </c>
      <c r="N68" s="525">
        <v>123373.77</v>
      </c>
      <c r="O68" s="525">
        <f t="shared" si="142"/>
        <v>11855.759999999995</v>
      </c>
      <c r="P68" s="522">
        <f>125065.15+10164.38</f>
        <v>135229.53</v>
      </c>
      <c r="Q68" s="525">
        <f t="shared" si="12"/>
        <v>-52191.599999999977</v>
      </c>
      <c r="R68" s="525">
        <f t="shared" si="13"/>
        <v>-27.847233660366882</v>
      </c>
      <c r="S68" s="525">
        <v>192370.28249999997</v>
      </c>
      <c r="T68" s="525">
        <v>192370.28249999997</v>
      </c>
      <c r="U68" s="522">
        <f t="shared" si="143"/>
        <v>172887.78</v>
      </c>
      <c r="V68" s="522">
        <f t="shared" si="1"/>
        <v>-19482.502499999973</v>
      </c>
      <c r="W68" s="522">
        <f t="shared" si="14"/>
        <v>-10.127605078502683</v>
      </c>
      <c r="X68" s="522">
        <f t="shared" si="15"/>
        <v>37658.25</v>
      </c>
      <c r="Y68" s="522">
        <f t="shared" si="16"/>
        <v>27.847652801869543</v>
      </c>
      <c r="Z68" s="524">
        <f t="shared" si="17"/>
        <v>404360.6</v>
      </c>
      <c r="AA68" s="522">
        <f t="shared" si="18"/>
        <v>211990.3175</v>
      </c>
      <c r="AB68" s="522">
        <f t="shared" si="19"/>
        <v>110.19909870954211</v>
      </c>
      <c r="AC68" s="522">
        <f t="shared" si="20"/>
        <v>231472.81999999998</v>
      </c>
      <c r="AD68" s="522">
        <f t="shared" si="21"/>
        <v>133.88616592797939</v>
      </c>
      <c r="AE68" s="522">
        <f t="shared" si="22"/>
        <v>269131.06999999995</v>
      </c>
      <c r="AF68" s="522">
        <f t="shared" si="23"/>
        <v>199.01797336720762</v>
      </c>
      <c r="AG68" s="522">
        <f t="shared" si="46"/>
        <v>321424.73</v>
      </c>
      <c r="AH68" s="522">
        <f t="shared" si="24"/>
        <v>148536.94999999998</v>
      </c>
      <c r="AI68" s="522">
        <f t="shared" si="25"/>
        <v>85.915239353527483</v>
      </c>
      <c r="AJ68" s="522">
        <f t="shared" si="26"/>
        <v>-82935.87</v>
      </c>
      <c r="AK68" s="522">
        <f t="shared" si="133"/>
        <v>-20.510373661528845</v>
      </c>
      <c r="AL68" s="522">
        <f t="shared" si="144"/>
        <v>321424.73</v>
      </c>
      <c r="AM68" s="522">
        <f t="shared" si="72"/>
        <v>57629.26</v>
      </c>
      <c r="AN68" s="522">
        <f t="shared" si="72"/>
        <v>224252.08</v>
      </c>
      <c r="AO68" s="522">
        <f t="shared" si="27"/>
        <v>166622.81999999998</v>
      </c>
      <c r="AP68" s="522">
        <f t="shared" si="47"/>
        <v>289.12885572363757</v>
      </c>
      <c r="AQ68" s="522">
        <v>0</v>
      </c>
      <c r="AR68" s="522">
        <v>80121.760000000009</v>
      </c>
      <c r="AS68" s="522">
        <v>57629.26</v>
      </c>
      <c r="AT68" s="522">
        <v>144130.31999999998</v>
      </c>
      <c r="AU68" s="522">
        <f t="shared" si="79"/>
        <v>115258.52</v>
      </c>
      <c r="AV68" s="522">
        <f t="shared" si="79"/>
        <v>180108.52</v>
      </c>
      <c r="AW68" s="522">
        <f t="shared" si="28"/>
        <v>64849.999999999985</v>
      </c>
      <c r="AX68" s="522">
        <f t="shared" si="29"/>
        <v>56.264821030150301</v>
      </c>
      <c r="AY68" s="522">
        <f t="shared" si="82"/>
        <v>97172.65</v>
      </c>
      <c r="AZ68" s="522">
        <f t="shared" si="30"/>
        <v>82935.87</v>
      </c>
      <c r="BA68" s="522">
        <f t="shared" si="31"/>
        <v>85.348984513646599</v>
      </c>
      <c r="BB68" s="522">
        <v>57629.26</v>
      </c>
      <c r="BC68" s="525">
        <f>'[67]Гл инж_Тех дир'!AT25</f>
        <v>80179.259999999995</v>
      </c>
      <c r="BD68" s="525">
        <f t="shared" si="145"/>
        <v>28648.850000000006</v>
      </c>
      <c r="BE68" s="525">
        <f t="shared" si="33"/>
        <v>-28980.409999999996</v>
      </c>
      <c r="BF68" s="525">
        <f t="shared" si="34"/>
        <v>-51530.409999999989</v>
      </c>
      <c r="BG68" s="525">
        <f t="shared" si="35"/>
        <v>115258.52</v>
      </c>
      <c r="BH68" s="522">
        <f t="shared" si="35"/>
        <v>304431.33999999997</v>
      </c>
      <c r="BI68" s="522">
        <f>78272.52+174628.41</f>
        <v>252900.93</v>
      </c>
      <c r="BJ68" s="522">
        <f t="shared" si="37"/>
        <v>137642.40999999997</v>
      </c>
      <c r="BK68" s="522">
        <f t="shared" si="38"/>
        <v>-51530.409999999974</v>
      </c>
      <c r="BL68" s="525">
        <v>57629.26</v>
      </c>
      <c r="BM68" s="522">
        <f>'[67]Гл инж_Тех дир'!AW25</f>
        <v>99929.26</v>
      </c>
      <c r="BN68" s="522">
        <f t="shared" si="146"/>
        <v>68523.799999999988</v>
      </c>
      <c r="BO68" s="522">
        <f t="shared" si="48"/>
        <v>10894.539999999986</v>
      </c>
      <c r="BP68" s="522">
        <f t="shared" si="40"/>
        <v>-31405.460000000006</v>
      </c>
      <c r="BQ68" s="525">
        <v>57629.26</v>
      </c>
      <c r="BR68" s="522">
        <f>'[67]Гл инж_Тех дир'!BB25</f>
        <v>0</v>
      </c>
      <c r="BS68" s="522">
        <f>'[67]Гл инж_Тех дир'!BC25</f>
        <v>0</v>
      </c>
      <c r="BT68" s="536"/>
      <c r="BU68" s="522">
        <v>101511.02</v>
      </c>
      <c r="BV68" s="522">
        <v>219913.71</v>
      </c>
      <c r="BW68" s="522"/>
      <c r="BX68" s="574"/>
      <c r="BY68" s="525">
        <f>97948.05+219913.71</f>
        <v>317861.76000000001</v>
      </c>
      <c r="BZ68" s="525">
        <v>3272.83</v>
      </c>
      <c r="CA68" s="525">
        <v>290.14</v>
      </c>
      <c r="CB68" s="522">
        <f t="shared" si="134"/>
        <v>321424.73000000004</v>
      </c>
      <c r="CC68" s="522">
        <f t="shared" si="44"/>
        <v>0</v>
      </c>
      <c r="CD68" s="522"/>
      <c r="CE68" s="522"/>
      <c r="CF68" s="522"/>
      <c r="CG68" s="522"/>
      <c r="CH68" s="522"/>
      <c r="CI68" s="522"/>
      <c r="CJ68" s="522"/>
      <c r="CK68" s="543" t="s">
        <v>79</v>
      </c>
      <c r="CL68" s="543" t="s">
        <v>1806</v>
      </c>
      <c r="CM68" s="528" t="s">
        <v>1305</v>
      </c>
      <c r="CN68" s="528" t="s">
        <v>1849</v>
      </c>
      <c r="CO68" s="528"/>
      <c r="CP68" s="544">
        <f t="shared" si="147"/>
        <v>161057.57563314299</v>
      </c>
      <c r="CQ68" s="544">
        <f t="shared" si="148"/>
        <v>11830.204366856986</v>
      </c>
      <c r="CR68" s="544"/>
      <c r="CS68" s="1688" t="s">
        <v>1898</v>
      </c>
      <c r="CT68" s="1689"/>
      <c r="CU68" s="1689"/>
      <c r="CV68" s="1689"/>
      <c r="CW68" s="1690"/>
      <c r="CX68" s="528"/>
      <c r="CY68" s="528"/>
      <c r="CZ68" s="528"/>
      <c r="DA68" s="528"/>
      <c r="DB68" s="544">
        <f>44342+35779.76</f>
        <v>80121.760000000009</v>
      </c>
      <c r="DD68" s="535"/>
      <c r="DE68" s="535"/>
      <c r="DF68" s="525">
        <f t="shared" si="88"/>
        <v>317.86176</v>
      </c>
      <c r="DG68" s="525">
        <f t="shared" si="88"/>
        <v>3.2728299999999999</v>
      </c>
      <c r="DH68" s="525">
        <f t="shared" si="88"/>
        <v>0.29014000000000001</v>
      </c>
      <c r="DI68" s="522">
        <f t="shared" si="88"/>
        <v>321.42473000000007</v>
      </c>
      <c r="DJ68" s="536"/>
      <c r="DK68" s="536"/>
      <c r="DL68" s="536"/>
      <c r="DM68" s="536"/>
      <c r="DN68" s="536"/>
      <c r="DO68" s="536"/>
      <c r="DP68" s="536"/>
      <c r="DQ68" s="536"/>
      <c r="DR68" s="536"/>
      <c r="DS68" s="536"/>
    </row>
    <row r="69" spans="1:123" s="534" customFormat="1" ht="84.6">
      <c r="A69" s="537" t="s">
        <v>1021</v>
      </c>
      <c r="B69" s="538" t="s">
        <v>1022</v>
      </c>
      <c r="C69" s="576">
        <v>21404.25</v>
      </c>
      <c r="D69" s="525">
        <v>711496.72</v>
      </c>
      <c r="E69" s="525">
        <v>642330</v>
      </c>
      <c r="F69" s="525">
        <v>451830.47</v>
      </c>
      <c r="G69" s="618">
        <v>1681781.764848778</v>
      </c>
      <c r="H69" s="618">
        <v>0</v>
      </c>
      <c r="I69" s="525">
        <f t="shared" si="140"/>
        <v>608353.32999999996</v>
      </c>
      <c r="J69" s="525">
        <v>285477.33</v>
      </c>
      <c r="K69" s="525">
        <v>138104.51999999999</v>
      </c>
      <c r="L69" s="525">
        <v>184771.48</v>
      </c>
      <c r="M69" s="525">
        <f t="shared" si="141"/>
        <v>423581.85</v>
      </c>
      <c r="N69" s="525">
        <v>539462.82999999996</v>
      </c>
      <c r="O69" s="525">
        <f t="shared" si="142"/>
        <v>226908.92000000004</v>
      </c>
      <c r="P69" s="522">
        <f>69791.74+696580.01</f>
        <v>766371.75</v>
      </c>
      <c r="Q69" s="525">
        <f t="shared" si="12"/>
        <v>158018.42000000004</v>
      </c>
      <c r="R69" s="525">
        <f t="shared" si="13"/>
        <v>25.974776861992368</v>
      </c>
      <c r="S69" s="525">
        <v>214681.95</v>
      </c>
      <c r="T69" s="525">
        <v>214681.95</v>
      </c>
      <c r="U69" s="522">
        <f t="shared" si="143"/>
        <v>572540.36</v>
      </c>
      <c r="V69" s="522">
        <f t="shared" ref="V69:V132" si="149">U69-T69</f>
        <v>357858.41</v>
      </c>
      <c r="W69" s="522">
        <f t="shared" si="14"/>
        <v>166.69236048955207</v>
      </c>
      <c r="X69" s="522">
        <f t="shared" si="15"/>
        <v>-193831.39</v>
      </c>
      <c r="Y69" s="522">
        <f t="shared" si="16"/>
        <v>-25.292084422475128</v>
      </c>
      <c r="Z69" s="524">
        <f t="shared" si="17"/>
        <v>924851.25999999989</v>
      </c>
      <c r="AA69" s="522">
        <f t="shared" si="18"/>
        <v>710169.30999999982</v>
      </c>
      <c r="AB69" s="522">
        <f t="shared" si="19"/>
        <v>330.80066116410808</v>
      </c>
      <c r="AC69" s="522">
        <f t="shared" si="20"/>
        <v>352310.89999999991</v>
      </c>
      <c r="AD69" s="522">
        <f t="shared" si="21"/>
        <v>61.534683773210332</v>
      </c>
      <c r="AE69" s="522">
        <f t="shared" si="22"/>
        <v>158479.50999999989</v>
      </c>
      <c r="AF69" s="522">
        <f t="shared" si="23"/>
        <v>20.679195181711734</v>
      </c>
      <c r="AG69" s="522">
        <f t="shared" si="46"/>
        <v>791582.58</v>
      </c>
      <c r="AH69" s="522">
        <f t="shared" si="24"/>
        <v>219042.21999999997</v>
      </c>
      <c r="AI69" s="522">
        <f t="shared" si="25"/>
        <v>38.257952679528131</v>
      </c>
      <c r="AJ69" s="522">
        <f t="shared" si="26"/>
        <v>-133268.67999999993</v>
      </c>
      <c r="AK69" s="522">
        <f t="shared" si="133"/>
        <v>-14.409741951370634</v>
      </c>
      <c r="AL69" s="522">
        <f t="shared" si="144"/>
        <v>791582.58</v>
      </c>
      <c r="AM69" s="522">
        <f t="shared" si="72"/>
        <v>143135.09</v>
      </c>
      <c r="AN69" s="522">
        <f t="shared" si="72"/>
        <v>337986.35</v>
      </c>
      <c r="AO69" s="522">
        <f t="shared" si="27"/>
        <v>194851.25999999998</v>
      </c>
      <c r="AP69" s="522">
        <f t="shared" si="47"/>
        <v>136.13102140083191</v>
      </c>
      <c r="AQ69" s="522">
        <v>0</v>
      </c>
      <c r="AR69" s="522">
        <v>166725.58000000002</v>
      </c>
      <c r="AS69" s="522">
        <v>143135.09</v>
      </c>
      <c r="AT69" s="522">
        <v>171260.76999999996</v>
      </c>
      <c r="AU69" s="522">
        <f t="shared" si="79"/>
        <v>429405.27</v>
      </c>
      <c r="AV69" s="522">
        <f t="shared" si="79"/>
        <v>586864.90999999992</v>
      </c>
      <c r="AW69" s="522">
        <f t="shared" si="28"/>
        <v>157459.6399999999</v>
      </c>
      <c r="AX69" s="522">
        <f t="shared" si="29"/>
        <v>36.669237897336444</v>
      </c>
      <c r="AY69" s="522">
        <f t="shared" si="82"/>
        <v>453596.23</v>
      </c>
      <c r="AZ69" s="522">
        <f t="shared" si="30"/>
        <v>133268.67999999993</v>
      </c>
      <c r="BA69" s="522">
        <f t="shared" si="31"/>
        <v>29.380464648041709</v>
      </c>
      <c r="BB69" s="522">
        <v>286270.18</v>
      </c>
      <c r="BC69" s="525">
        <f>'[67]Гл инж_Тех дир'!AT46</f>
        <v>286270.18</v>
      </c>
      <c r="BD69" s="525">
        <f t="shared" si="145"/>
        <v>261999.01</v>
      </c>
      <c r="BE69" s="525">
        <f t="shared" si="33"/>
        <v>-24271.169999999984</v>
      </c>
      <c r="BF69" s="525">
        <f t="shared" si="34"/>
        <v>-24271.169999999984</v>
      </c>
      <c r="BG69" s="525">
        <f t="shared" ref="BG69:BH132" si="150">AM69+BB69</f>
        <v>429405.27</v>
      </c>
      <c r="BH69" s="522">
        <f t="shared" si="150"/>
        <v>624256.53</v>
      </c>
      <c r="BI69" s="522">
        <f>544294.1+55691.26</f>
        <v>599985.36</v>
      </c>
      <c r="BJ69" s="522">
        <f t="shared" si="37"/>
        <v>170580.08999999997</v>
      </c>
      <c r="BK69" s="522">
        <f t="shared" si="38"/>
        <v>-24271.170000000042</v>
      </c>
      <c r="BL69" s="525">
        <v>143135.09</v>
      </c>
      <c r="BM69" s="522">
        <f>'[67]Гл инж_Тех дир'!AW46</f>
        <v>300594.73</v>
      </c>
      <c r="BN69" s="522">
        <f t="shared" si="146"/>
        <v>191597.21999999997</v>
      </c>
      <c r="BO69" s="522">
        <f t="shared" si="48"/>
        <v>48462.129999999976</v>
      </c>
      <c r="BP69" s="522">
        <f t="shared" si="40"/>
        <v>-108997.51000000001</v>
      </c>
      <c r="BQ69" s="525">
        <v>143135.09</v>
      </c>
      <c r="BR69" s="522">
        <f>'[67]Гл инж_Тех дир'!BB46</f>
        <v>0</v>
      </c>
      <c r="BS69" s="522">
        <f>'[67]Гл инж_Тех дир'!BC46</f>
        <v>0</v>
      </c>
      <c r="BT69" s="536"/>
      <c r="BU69" s="522">
        <v>706409.12</v>
      </c>
      <c r="BV69" s="522">
        <v>85173.46</v>
      </c>
      <c r="BW69" s="522"/>
      <c r="BX69" s="574"/>
      <c r="BY69" s="525">
        <f>686875.5+85173.46</f>
        <v>772048.96</v>
      </c>
      <c r="BZ69" s="525">
        <v>16961.919999999998</v>
      </c>
      <c r="CA69" s="525">
        <v>2571.6999999999998</v>
      </c>
      <c r="CB69" s="522">
        <f t="shared" si="134"/>
        <v>791582.58</v>
      </c>
      <c r="CC69" s="522">
        <f t="shared" si="44"/>
        <v>0</v>
      </c>
      <c r="CD69" s="522"/>
      <c r="CE69" s="522"/>
      <c r="CF69" s="522"/>
      <c r="CG69" s="522"/>
      <c r="CH69" s="522"/>
      <c r="CI69" s="522"/>
      <c r="CJ69" s="522"/>
      <c r="CK69" s="542" t="s">
        <v>79</v>
      </c>
      <c r="CL69" s="542" t="s">
        <v>1903</v>
      </c>
      <c r="CM69" s="528" t="s">
        <v>1305</v>
      </c>
      <c r="CN69" s="528" t="s">
        <v>1849</v>
      </c>
      <c r="CO69" s="528"/>
      <c r="CP69" s="544">
        <f t="shared" si="147"/>
        <v>533363.10023604287</v>
      </c>
      <c r="CQ69" s="544">
        <f t="shared" si="148"/>
        <v>39177.259763957125</v>
      </c>
      <c r="CR69" s="544"/>
      <c r="CS69" s="1688" t="s">
        <v>1898</v>
      </c>
      <c r="CT69" s="1689"/>
      <c r="CU69" s="1689"/>
      <c r="CV69" s="1689"/>
      <c r="CW69" s="1690"/>
      <c r="CX69" s="528"/>
      <c r="CY69" s="528"/>
      <c r="CZ69" s="528"/>
      <c r="DA69" s="528"/>
      <c r="DB69" s="544">
        <f>159512.07+7213.51</f>
        <v>166725.58000000002</v>
      </c>
      <c r="DD69" s="535"/>
      <c r="DE69" s="535"/>
      <c r="DF69" s="525">
        <f t="shared" si="88"/>
        <v>772.04895999999997</v>
      </c>
      <c r="DG69" s="525">
        <f t="shared" si="88"/>
        <v>16.961919999999999</v>
      </c>
      <c r="DH69" s="525">
        <f t="shared" si="88"/>
        <v>2.5716999999999999</v>
      </c>
      <c r="DI69" s="522">
        <f t="shared" si="88"/>
        <v>791.58258000000001</v>
      </c>
      <c r="DJ69" s="536"/>
      <c r="DK69" s="536"/>
      <c r="DL69" s="536"/>
      <c r="DM69" s="536"/>
      <c r="DN69" s="536"/>
      <c r="DO69" s="536"/>
      <c r="DP69" s="536"/>
      <c r="DQ69" s="536"/>
      <c r="DR69" s="536"/>
      <c r="DS69" s="536"/>
    </row>
    <row r="70" spans="1:123" s="534" customFormat="1" ht="117.75" customHeight="1">
      <c r="A70" s="537" t="s">
        <v>1026</v>
      </c>
      <c r="B70" s="610" t="s">
        <v>1027</v>
      </c>
      <c r="C70" s="576">
        <v>1830376.03</v>
      </c>
      <c r="D70" s="525">
        <v>1855854.04</v>
      </c>
      <c r="E70" s="525">
        <v>3051906.41</v>
      </c>
      <c r="F70" s="525">
        <v>2809025.35</v>
      </c>
      <c r="G70" s="620"/>
      <c r="H70" s="620"/>
      <c r="I70" s="525">
        <f t="shared" si="140"/>
        <v>2314730.9</v>
      </c>
      <c r="J70" s="525">
        <v>938783.16</v>
      </c>
      <c r="K70" s="525">
        <v>774084.74</v>
      </c>
      <c r="L70" s="525">
        <v>601863</v>
      </c>
      <c r="M70" s="525">
        <f t="shared" si="141"/>
        <v>1712867.9</v>
      </c>
      <c r="N70" s="525">
        <v>1607319.24</v>
      </c>
      <c r="O70" s="525">
        <f t="shared" si="142"/>
        <v>635687.32999999984</v>
      </c>
      <c r="P70" s="522">
        <f>152751.66+2090254.91</f>
        <v>2243006.5699999998</v>
      </c>
      <c r="Q70" s="525">
        <f t="shared" ref="Q70:Q133" si="151">P70-I70</f>
        <v>-71724.330000000075</v>
      </c>
      <c r="R70" s="525">
        <f t="shared" ref="R70:R133" si="152">P70/I70*100-100</f>
        <v>-3.0986033840910068</v>
      </c>
      <c r="S70" s="525">
        <v>1559595.95</v>
      </c>
      <c r="T70" s="525">
        <v>1559595.95</v>
      </c>
      <c r="U70" s="522">
        <f t="shared" si="143"/>
        <v>2438774.96</v>
      </c>
      <c r="V70" s="522">
        <f t="shared" si="149"/>
        <v>879179.01</v>
      </c>
      <c r="W70" s="522">
        <f t="shared" ref="W70:W132" si="153">U70/T70*100-100</f>
        <v>56.372229614984576</v>
      </c>
      <c r="X70" s="522">
        <f t="shared" ref="X70:X133" si="154">U70-P70</f>
        <v>195768.39000000013</v>
      </c>
      <c r="Y70" s="522">
        <f t="shared" ref="Y70:Y133" si="155">U70/P70*100-100</f>
        <v>8.7279454558173626</v>
      </c>
      <c r="Z70" s="524">
        <f t="shared" ref="Z70:Z133" si="156">AN70+AV70</f>
        <v>2804422.5700000003</v>
      </c>
      <c r="AA70" s="522">
        <f t="shared" ref="AA70:AA133" si="157">Z70-T70</f>
        <v>1244826.6200000003</v>
      </c>
      <c r="AB70" s="522">
        <f t="shared" ref="AB70:AB132" si="158">Z70/T70*100-100</f>
        <v>79.817251384885964</v>
      </c>
      <c r="AC70" s="522">
        <f t="shared" ref="AC70:AC133" si="159">Z70-U70</f>
        <v>365647.61000000034</v>
      </c>
      <c r="AD70" s="522">
        <f t="shared" ref="AD70:AD133" si="160">Z70/U70*100-100</f>
        <v>14.993085298858404</v>
      </c>
      <c r="AE70" s="522">
        <f t="shared" ref="AE70:AE133" si="161">Z70-P70</f>
        <v>561416.00000000047</v>
      </c>
      <c r="AF70" s="522">
        <f t="shared" ref="AF70:AF133" si="162">Z70/P70*100-100</f>
        <v>25.029619061704338</v>
      </c>
      <c r="AG70" s="522">
        <f t="shared" si="46"/>
        <v>2797871.78</v>
      </c>
      <c r="AH70" s="522">
        <f t="shared" ref="AH70:AH133" si="163">AG70-U70</f>
        <v>359096.81999999983</v>
      </c>
      <c r="AI70" s="522">
        <f t="shared" ref="AI70:AI133" si="164">AG70/U70*100-100</f>
        <v>14.724475439095031</v>
      </c>
      <c r="AJ70" s="522">
        <f t="shared" ref="AJ70:AJ133" si="165">AG70-Z70</f>
        <v>-6550.7900000005029</v>
      </c>
      <c r="AK70" s="522">
        <f t="shared" si="133"/>
        <v>-0.23358783622970236</v>
      </c>
      <c r="AL70" s="522">
        <f t="shared" si="144"/>
        <v>2797871.78</v>
      </c>
      <c r="AM70" s="522">
        <f t="shared" si="72"/>
        <v>1219387.48</v>
      </c>
      <c r="AN70" s="522">
        <f t="shared" si="72"/>
        <v>1102809.26</v>
      </c>
      <c r="AO70" s="522">
        <f t="shared" ref="AO70:AO133" si="166">AN70-AM70</f>
        <v>-116578.21999999997</v>
      </c>
      <c r="AP70" s="522">
        <f t="shared" si="47"/>
        <v>-9.5603917468465482</v>
      </c>
      <c r="AQ70" s="522">
        <v>0</v>
      </c>
      <c r="AR70" s="522">
        <v>647.5</v>
      </c>
      <c r="AS70" s="522">
        <v>1219387.48</v>
      </c>
      <c r="AT70" s="522">
        <v>1102161.76</v>
      </c>
      <c r="AU70" s="522">
        <f t="shared" si="79"/>
        <v>1219387.48</v>
      </c>
      <c r="AV70" s="522">
        <f t="shared" si="79"/>
        <v>1701613.31</v>
      </c>
      <c r="AW70" s="522">
        <f t="shared" ref="AW70:AW133" si="167">AV70-AU70</f>
        <v>482225.83000000007</v>
      </c>
      <c r="AX70" s="522">
        <f t="shared" ref="AX70:AX133" si="168">AV70/AU70*100-100</f>
        <v>39.546562344563341</v>
      </c>
      <c r="AY70" s="522">
        <f t="shared" si="82"/>
        <v>1695062.5199999998</v>
      </c>
      <c r="AZ70" s="522">
        <f t="shared" ref="AZ70:AZ133" si="169">AV70-AY70</f>
        <v>6550.7900000002701</v>
      </c>
      <c r="BA70" s="522">
        <f t="shared" ref="BA70:BA133" si="170">AV70/AY70*100-100</f>
        <v>0.38646303146390437</v>
      </c>
      <c r="BB70" s="522">
        <v>609693.74</v>
      </c>
      <c r="BC70" s="525">
        <f>'[67]Гл инж_Тех дир'!AT47</f>
        <v>795979.9</v>
      </c>
      <c r="BD70" s="525">
        <f t="shared" si="145"/>
        <v>463056</v>
      </c>
      <c r="BE70" s="525">
        <f t="shared" ref="BE70:BE133" si="171">BD70-BB70</f>
        <v>-146637.74</v>
      </c>
      <c r="BF70" s="525">
        <f t="shared" ref="BF70:BF133" si="172">BD70-BC70</f>
        <v>-332923.90000000002</v>
      </c>
      <c r="BG70" s="525">
        <f t="shared" si="150"/>
        <v>1829081.22</v>
      </c>
      <c r="BH70" s="522">
        <f t="shared" si="150"/>
        <v>1898789.1600000001</v>
      </c>
      <c r="BI70" s="522">
        <f>1505248.95+60616.31</f>
        <v>1565865.26</v>
      </c>
      <c r="BJ70" s="522">
        <f t="shared" ref="BJ70:BJ133" si="173">BI70-BG70</f>
        <v>-263215.95999999996</v>
      </c>
      <c r="BK70" s="522">
        <f t="shared" ref="BK70:BK133" si="174">BI70-BH70</f>
        <v>-332923.90000000014</v>
      </c>
      <c r="BL70" s="525">
        <v>609693.74</v>
      </c>
      <c r="BM70" s="522">
        <f>'[67]Гл инж_Тех дир'!AW47</f>
        <v>905633.41</v>
      </c>
      <c r="BN70" s="522">
        <f t="shared" si="146"/>
        <v>1232006.5199999998</v>
      </c>
      <c r="BO70" s="522">
        <f t="shared" si="48"/>
        <v>622312.7799999998</v>
      </c>
      <c r="BP70" s="522">
        <f t="shared" ref="BP70:BP133" si="175">BN70-BM70</f>
        <v>326373.10999999975</v>
      </c>
      <c r="BQ70" s="525">
        <v>609693.74</v>
      </c>
      <c r="BR70" s="522">
        <f>'[67]Гл инж_Тех дир'!BB47</f>
        <v>0</v>
      </c>
      <c r="BS70" s="522">
        <f>'[67]Гл инж_Тех дир'!BC47</f>
        <v>0</v>
      </c>
      <c r="BT70" s="536"/>
      <c r="BU70" s="522">
        <v>2565673.67</v>
      </c>
      <c r="BV70" s="522">
        <v>232198.11</v>
      </c>
      <c r="BW70" s="522"/>
      <c r="BX70" s="574"/>
      <c r="BY70" s="525">
        <f>2397845.48+232198.11</f>
        <v>2630043.59</v>
      </c>
      <c r="BZ70" s="525">
        <v>149893.43</v>
      </c>
      <c r="CA70" s="525">
        <v>17934.759999999998</v>
      </c>
      <c r="CB70" s="522">
        <f t="shared" si="134"/>
        <v>2797871.78</v>
      </c>
      <c r="CC70" s="522">
        <f t="shared" ref="CC70:CC133" si="176">AL70-CB70</f>
        <v>0</v>
      </c>
      <c r="CD70" s="522"/>
      <c r="CE70" s="522"/>
      <c r="CF70" s="522"/>
      <c r="CG70" s="522"/>
      <c r="CH70" s="522"/>
      <c r="CI70" s="522"/>
      <c r="CJ70" s="522"/>
      <c r="CK70" s="542" t="s">
        <v>79</v>
      </c>
      <c r="CL70" s="543" t="s">
        <v>1903</v>
      </c>
      <c r="CM70" s="528" t="s">
        <v>1305</v>
      </c>
      <c r="CN70" s="528"/>
      <c r="CO70" s="528"/>
      <c r="CP70" s="544">
        <f t="shared" si="147"/>
        <v>2271896.7330855615</v>
      </c>
      <c r="CQ70" s="544">
        <f t="shared" si="148"/>
        <v>166878.22691443822</v>
      </c>
      <c r="CR70" s="544"/>
      <c r="CS70" s="1688" t="s">
        <v>1898</v>
      </c>
      <c r="CT70" s="1689"/>
      <c r="CU70" s="1689"/>
      <c r="CV70" s="1689"/>
      <c r="CW70" s="1690"/>
      <c r="CX70" s="528"/>
      <c r="CY70" s="528"/>
      <c r="CZ70" s="528"/>
      <c r="DA70" s="528"/>
      <c r="DB70" s="544">
        <f>647.5</f>
        <v>647.5</v>
      </c>
      <c r="DD70" s="535"/>
      <c r="DE70" s="535"/>
      <c r="DF70" s="525">
        <f t="shared" si="88"/>
        <v>2630.0435899999998</v>
      </c>
      <c r="DG70" s="525">
        <f t="shared" si="88"/>
        <v>149.89343</v>
      </c>
      <c r="DH70" s="525">
        <f t="shared" si="88"/>
        <v>17.934759999999997</v>
      </c>
      <c r="DI70" s="522">
        <f t="shared" si="88"/>
        <v>2797.8717799999999</v>
      </c>
      <c r="DJ70" s="536"/>
      <c r="DK70" s="536"/>
      <c r="DL70" s="536"/>
      <c r="DM70" s="536"/>
      <c r="DN70" s="536"/>
      <c r="DO70" s="536"/>
      <c r="DP70" s="536"/>
      <c r="DQ70" s="536"/>
      <c r="DR70" s="536"/>
      <c r="DS70" s="536"/>
    </row>
    <row r="71" spans="1:123" s="534" customFormat="1" ht="84.6">
      <c r="A71" s="537" t="s">
        <v>1037</v>
      </c>
      <c r="B71" s="538" t="s">
        <v>1038</v>
      </c>
      <c r="C71" s="576">
        <v>228767.12</v>
      </c>
      <c r="D71" s="525">
        <v>2212349.36</v>
      </c>
      <c r="E71" s="525">
        <v>1000000</v>
      </c>
      <c r="F71" s="525">
        <v>1147945.2</v>
      </c>
      <c r="G71" s="540">
        <v>2336027.8941496899</v>
      </c>
      <c r="H71" s="540">
        <v>0</v>
      </c>
      <c r="I71" s="525">
        <f t="shared" si="140"/>
        <v>1015976.4199999999</v>
      </c>
      <c r="J71" s="525">
        <v>515976.41999999993</v>
      </c>
      <c r="K71" s="525">
        <v>0</v>
      </c>
      <c r="L71" s="525">
        <v>500000</v>
      </c>
      <c r="M71" s="525">
        <f t="shared" si="141"/>
        <v>515976.41999999993</v>
      </c>
      <c r="N71" s="525">
        <v>909445.69</v>
      </c>
      <c r="O71" s="525">
        <f t="shared" si="142"/>
        <v>265896.78000000003</v>
      </c>
      <c r="P71" s="522">
        <v>1175342.47</v>
      </c>
      <c r="Q71" s="525">
        <f t="shared" si="151"/>
        <v>159366.05000000005</v>
      </c>
      <c r="R71" s="525">
        <f t="shared" si="152"/>
        <v>15.685998893556999</v>
      </c>
      <c r="S71" s="525"/>
      <c r="T71" s="525"/>
      <c r="U71" s="522">
        <f t="shared" si="143"/>
        <v>1067791.2</v>
      </c>
      <c r="V71" s="522">
        <f t="shared" si="149"/>
        <v>1067791.2</v>
      </c>
      <c r="W71" s="522">
        <v>0</v>
      </c>
      <c r="X71" s="522">
        <f t="shared" si="154"/>
        <v>-107551.27000000002</v>
      </c>
      <c r="Y71" s="522">
        <f t="shared" si="155"/>
        <v>-9.1506324960758008</v>
      </c>
      <c r="Z71" s="524">
        <f t="shared" si="156"/>
        <v>855353.8899999999</v>
      </c>
      <c r="AA71" s="522">
        <f t="shared" si="157"/>
        <v>855353.8899999999</v>
      </c>
      <c r="AB71" s="522">
        <v>0</v>
      </c>
      <c r="AC71" s="522">
        <f t="shared" si="159"/>
        <v>-212437.31000000006</v>
      </c>
      <c r="AD71" s="522">
        <f t="shared" si="160"/>
        <v>-19.895023483992006</v>
      </c>
      <c r="AE71" s="522">
        <f t="shared" si="161"/>
        <v>-319988.58000000007</v>
      </c>
      <c r="AF71" s="522">
        <f t="shared" si="162"/>
        <v>-27.225135496039726</v>
      </c>
      <c r="AG71" s="522">
        <f t="shared" ref="AG71:AG134" si="177">AN71+AY71</f>
        <v>859147.41999999993</v>
      </c>
      <c r="AH71" s="522">
        <f t="shared" si="163"/>
        <v>-208643.78000000003</v>
      </c>
      <c r="AI71" s="522">
        <f t="shared" si="164"/>
        <v>-19.539754588724847</v>
      </c>
      <c r="AJ71" s="522">
        <f t="shared" si="165"/>
        <v>3793.5300000000279</v>
      </c>
      <c r="AK71" s="522">
        <f t="shared" si="133"/>
        <v>0.4435041500775867</v>
      </c>
      <c r="AL71" s="522">
        <f t="shared" si="144"/>
        <v>859147.42</v>
      </c>
      <c r="AM71" s="522">
        <f t="shared" si="72"/>
        <v>500000</v>
      </c>
      <c r="AN71" s="522">
        <f t="shared" si="72"/>
        <v>287562.69</v>
      </c>
      <c r="AO71" s="522">
        <f t="shared" si="166"/>
        <v>-212437.31</v>
      </c>
      <c r="AP71" s="522">
        <f t="shared" ref="AP71:AP134" si="178">AN71/AM71*100-100</f>
        <v>-42.487462000000001</v>
      </c>
      <c r="AQ71" s="522">
        <v>0</v>
      </c>
      <c r="AR71" s="522">
        <v>123287.67</v>
      </c>
      <c r="AS71" s="522">
        <v>500000</v>
      </c>
      <c r="AT71" s="522">
        <v>164275.02000000002</v>
      </c>
      <c r="AU71" s="522">
        <f t="shared" si="79"/>
        <v>567791.19999999995</v>
      </c>
      <c r="AV71" s="522">
        <f t="shared" si="79"/>
        <v>567791.19999999995</v>
      </c>
      <c r="AW71" s="522">
        <f t="shared" si="167"/>
        <v>0</v>
      </c>
      <c r="AX71" s="522">
        <f t="shared" si="168"/>
        <v>0</v>
      </c>
      <c r="AY71" s="522">
        <f t="shared" si="82"/>
        <v>571584.73</v>
      </c>
      <c r="AZ71" s="522">
        <f t="shared" si="169"/>
        <v>-3793.5300000000279</v>
      </c>
      <c r="BA71" s="522">
        <f t="shared" si="170"/>
        <v>-0.66368637944545128</v>
      </c>
      <c r="BB71" s="522">
        <v>0</v>
      </c>
      <c r="BC71" s="525">
        <f>'[67]Дир_по корп'!AT13</f>
        <v>0</v>
      </c>
      <c r="BD71" s="525">
        <f t="shared" si="145"/>
        <v>251710.47000000003</v>
      </c>
      <c r="BE71" s="525">
        <f t="shared" si="171"/>
        <v>251710.47000000003</v>
      </c>
      <c r="BF71" s="525">
        <f t="shared" si="172"/>
        <v>251710.47000000003</v>
      </c>
      <c r="BG71" s="525">
        <f t="shared" si="150"/>
        <v>500000</v>
      </c>
      <c r="BH71" s="522">
        <f t="shared" si="150"/>
        <v>287562.69</v>
      </c>
      <c r="BI71" s="522">
        <v>539273.16</v>
      </c>
      <c r="BJ71" s="522">
        <f t="shared" si="173"/>
        <v>39273.160000000033</v>
      </c>
      <c r="BK71" s="522">
        <f t="shared" si="174"/>
        <v>251710.47000000003</v>
      </c>
      <c r="BL71" s="525">
        <v>567791.19999999995</v>
      </c>
      <c r="BM71" s="522">
        <f>'[67]Дир_по корп'!AW13</f>
        <v>567791.19999999995</v>
      </c>
      <c r="BN71" s="522">
        <f t="shared" si="146"/>
        <v>319874.26</v>
      </c>
      <c r="BO71" s="522">
        <f t="shared" si="48"/>
        <v>-247916.93999999994</v>
      </c>
      <c r="BP71" s="522">
        <f t="shared" si="175"/>
        <v>-247916.93999999994</v>
      </c>
      <c r="BQ71" s="525">
        <v>567791.19999999995</v>
      </c>
      <c r="BR71" s="522">
        <f>'[67]Дир_по корп'!BB13</f>
        <v>0</v>
      </c>
      <c r="BS71" s="522">
        <f>'[67]Дир_по корп'!BC13</f>
        <v>0</v>
      </c>
      <c r="BT71" s="536"/>
      <c r="BU71" s="522">
        <v>859147.42</v>
      </c>
      <c r="BV71" s="522"/>
      <c r="BW71" s="522"/>
      <c r="BX71" s="574"/>
      <c r="BY71" s="525">
        <v>856221.29</v>
      </c>
      <c r="BZ71" s="525">
        <v>2528.0700000000002</v>
      </c>
      <c r="CA71" s="525">
        <v>398.06</v>
      </c>
      <c r="CB71" s="522">
        <f t="shared" si="134"/>
        <v>859147.42</v>
      </c>
      <c r="CC71" s="522">
        <f t="shared" si="176"/>
        <v>0</v>
      </c>
      <c r="CD71" s="522"/>
      <c r="CE71" s="522"/>
      <c r="CF71" s="522"/>
      <c r="CG71" s="522"/>
      <c r="CH71" s="522"/>
      <c r="CI71" s="522"/>
      <c r="CJ71" s="522"/>
      <c r="CK71" s="543" t="s">
        <v>80</v>
      </c>
      <c r="CL71" s="543" t="s">
        <v>1901</v>
      </c>
      <c r="CM71" s="528" t="s">
        <v>1305</v>
      </c>
      <c r="CN71" s="528"/>
      <c r="CO71" s="528"/>
      <c r="CP71" s="544">
        <f t="shared" si="147"/>
        <v>994725.37593116495</v>
      </c>
      <c r="CQ71" s="544">
        <f t="shared" si="148"/>
        <v>73065.824068835063</v>
      </c>
      <c r="CR71" s="544"/>
      <c r="CS71" s="1688" t="s">
        <v>1898</v>
      </c>
      <c r="CT71" s="1689"/>
      <c r="CU71" s="1689"/>
      <c r="CV71" s="1689"/>
      <c r="CW71" s="1690"/>
      <c r="CX71" s="528"/>
      <c r="CY71" s="528"/>
      <c r="CZ71" s="528"/>
      <c r="DA71" s="528"/>
      <c r="DB71" s="544">
        <f>123287.67</f>
        <v>123287.67</v>
      </c>
      <c r="DD71" s="535"/>
      <c r="DE71" s="535"/>
      <c r="DF71" s="525">
        <f t="shared" si="88"/>
        <v>856.22129000000007</v>
      </c>
      <c r="DG71" s="525">
        <f t="shared" si="88"/>
        <v>2.52807</v>
      </c>
      <c r="DH71" s="525">
        <f t="shared" si="88"/>
        <v>0.39806000000000002</v>
      </c>
      <c r="DI71" s="522">
        <f t="shared" si="88"/>
        <v>859.14742000000001</v>
      </c>
      <c r="DJ71" s="536"/>
      <c r="DK71" s="536"/>
      <c r="DL71" s="536"/>
      <c r="DM71" s="536"/>
      <c r="DN71" s="536"/>
      <c r="DO71" s="536"/>
      <c r="DP71" s="536"/>
      <c r="DQ71" s="536"/>
      <c r="DR71" s="536"/>
      <c r="DS71" s="536"/>
    </row>
    <row r="72" spans="1:123" ht="42" customHeight="1">
      <c r="A72" s="505" t="s">
        <v>1904</v>
      </c>
      <c r="B72" s="506" t="s">
        <v>1905</v>
      </c>
      <c r="C72" s="580">
        <f t="shared" ref="C72:T72" si="179">SUM(C73:C84)</f>
        <v>1778499531.6700001</v>
      </c>
      <c r="D72" s="580">
        <f t="shared" si="179"/>
        <v>1142089771.0600002</v>
      </c>
      <c r="E72" s="594">
        <f t="shared" si="179"/>
        <v>1647189192.52</v>
      </c>
      <c r="F72" s="580">
        <f t="shared" si="179"/>
        <v>1613667320.9099998</v>
      </c>
      <c r="G72" s="580">
        <f t="shared" si="179"/>
        <v>1371851016.4803262</v>
      </c>
      <c r="H72" s="580">
        <f t="shared" si="179"/>
        <v>0</v>
      </c>
      <c r="I72" s="580">
        <f t="shared" si="179"/>
        <v>1370467635.5400002</v>
      </c>
      <c r="J72" s="580">
        <f t="shared" si="179"/>
        <v>707974624.26000011</v>
      </c>
      <c r="K72" s="580">
        <f t="shared" si="179"/>
        <v>334649870.25999999</v>
      </c>
      <c r="L72" s="580">
        <f t="shared" si="179"/>
        <v>327843141.02000004</v>
      </c>
      <c r="M72" s="580">
        <f t="shared" si="179"/>
        <v>1042624494.52</v>
      </c>
      <c r="N72" s="580">
        <f t="shared" si="179"/>
        <v>1038030065.6999999</v>
      </c>
      <c r="O72" s="580">
        <f>SUM(O73:O84)</f>
        <v>326918135.42999995</v>
      </c>
      <c r="P72" s="580">
        <f>SUM(P73:P84)</f>
        <v>1364948201.1300001</v>
      </c>
      <c r="Q72" s="580">
        <f t="shared" si="151"/>
        <v>-5519434.4100000858</v>
      </c>
      <c r="R72" s="580">
        <f t="shared" si="152"/>
        <v>-0.40274095256728515</v>
      </c>
      <c r="S72" s="580">
        <f t="shared" si="179"/>
        <v>1412934144.9205999</v>
      </c>
      <c r="T72" s="580">
        <f t="shared" si="179"/>
        <v>1263084855.1806002</v>
      </c>
      <c r="U72" s="580">
        <f>SUM(U73:U84)</f>
        <v>1304065106.77</v>
      </c>
      <c r="V72" s="580">
        <f t="shared" si="149"/>
        <v>40980251.589399815</v>
      </c>
      <c r="W72" s="580">
        <f t="shared" si="153"/>
        <v>3.2444575217030973</v>
      </c>
      <c r="X72" s="580">
        <f t="shared" si="154"/>
        <v>-60883094.360000134</v>
      </c>
      <c r="Y72" s="580">
        <f t="shared" si="155"/>
        <v>-4.4604692185093029</v>
      </c>
      <c r="Z72" s="580">
        <f t="shared" si="156"/>
        <v>1298171547.6199999</v>
      </c>
      <c r="AA72" s="580">
        <f t="shared" si="157"/>
        <v>35086692.439399719</v>
      </c>
      <c r="AB72" s="580">
        <f t="shared" si="158"/>
        <v>2.7778571087674777</v>
      </c>
      <c r="AC72" s="580">
        <f t="shared" si="159"/>
        <v>-5893559.1500000954</v>
      </c>
      <c r="AD72" s="580">
        <f t="shared" si="160"/>
        <v>-0.45193749295215468</v>
      </c>
      <c r="AE72" s="580">
        <f t="shared" si="161"/>
        <v>-66776653.510000229</v>
      </c>
      <c r="AF72" s="580">
        <f t="shared" si="162"/>
        <v>-4.892248178701422</v>
      </c>
      <c r="AG72" s="580">
        <f t="shared" si="177"/>
        <v>1269641357.8899999</v>
      </c>
      <c r="AH72" s="580">
        <f t="shared" si="163"/>
        <v>-34423748.880000114</v>
      </c>
      <c r="AI72" s="580">
        <f t="shared" si="164"/>
        <v>-2.639726245360805</v>
      </c>
      <c r="AJ72" s="580">
        <f t="shared" si="165"/>
        <v>-28530189.730000019</v>
      </c>
      <c r="AK72" s="580">
        <f t="shared" si="133"/>
        <v>-2.1977210779504333</v>
      </c>
      <c r="AL72" s="580">
        <f>SUM(AL73:AL84)</f>
        <v>1269641357.8900003</v>
      </c>
      <c r="AM72" s="580">
        <f t="shared" si="72"/>
        <v>678393351.88999987</v>
      </c>
      <c r="AN72" s="580">
        <f t="shared" si="72"/>
        <v>659239344.84000003</v>
      </c>
      <c r="AO72" s="580">
        <f t="shared" si="166"/>
        <v>-19154007.049999833</v>
      </c>
      <c r="AP72" s="580">
        <f t="shared" si="178"/>
        <v>-2.8234367268837275</v>
      </c>
      <c r="AQ72" s="580">
        <f>SUM(AQ73:AQ84)</f>
        <v>333389904.99999994</v>
      </c>
      <c r="AR72" s="580">
        <f>SUM(AR73:AR84)</f>
        <v>329818283.73000002</v>
      </c>
      <c r="AS72" s="580">
        <f>SUM(AS73:AS84)</f>
        <v>345003446.88999999</v>
      </c>
      <c r="AT72" s="580">
        <f>SUM(AT73:AT84)</f>
        <v>329421061.11000001</v>
      </c>
      <c r="AU72" s="580">
        <f t="shared" si="79"/>
        <v>625671754.88</v>
      </c>
      <c r="AV72" s="580">
        <f t="shared" si="79"/>
        <v>638932202.77999997</v>
      </c>
      <c r="AW72" s="580">
        <f t="shared" si="167"/>
        <v>13260447.899999976</v>
      </c>
      <c r="AX72" s="580">
        <f t="shared" si="168"/>
        <v>2.1193937230782183</v>
      </c>
      <c r="AY72" s="580">
        <f t="shared" si="82"/>
        <v>610402013.04999995</v>
      </c>
      <c r="AZ72" s="580">
        <f t="shared" si="169"/>
        <v>28530189.730000019</v>
      </c>
      <c r="BA72" s="580">
        <f t="shared" si="170"/>
        <v>4.6739999410295212</v>
      </c>
      <c r="BB72" s="580">
        <f t="shared" ref="BB72:BN72" si="180">SUM(BB73:BB84)</f>
        <v>324727501.71999997</v>
      </c>
      <c r="BC72" s="580">
        <f t="shared" si="180"/>
        <v>331368755.82999998</v>
      </c>
      <c r="BD72" s="580">
        <f t="shared" si="180"/>
        <v>311777879.12999994</v>
      </c>
      <c r="BE72" s="580">
        <f t="shared" si="171"/>
        <v>-12949622.590000033</v>
      </c>
      <c r="BF72" s="580">
        <f t="shared" si="172"/>
        <v>-19590876.700000048</v>
      </c>
      <c r="BG72" s="580">
        <f t="shared" si="150"/>
        <v>1003120853.6099999</v>
      </c>
      <c r="BH72" s="580">
        <f t="shared" si="180"/>
        <v>990608100.66999996</v>
      </c>
      <c r="BI72" s="580">
        <f t="shared" si="180"/>
        <v>971017223.97000003</v>
      </c>
      <c r="BJ72" s="580">
        <f t="shared" si="173"/>
        <v>-32103629.639999866</v>
      </c>
      <c r="BK72" s="580">
        <f t="shared" si="174"/>
        <v>-19590876.699999928</v>
      </c>
      <c r="BL72" s="580">
        <f t="shared" si="180"/>
        <v>300944253.16000003</v>
      </c>
      <c r="BM72" s="580">
        <f t="shared" si="180"/>
        <v>307563446.94999999</v>
      </c>
      <c r="BN72" s="580">
        <f t="shared" si="180"/>
        <v>298624133.92000008</v>
      </c>
      <c r="BO72" s="580">
        <f t="shared" ref="BO72:BO135" si="181">BN72-BL72</f>
        <v>-2320119.2399999499</v>
      </c>
      <c r="BP72" s="580">
        <f t="shared" si="175"/>
        <v>-8939313.0299999118</v>
      </c>
      <c r="BQ72" s="580">
        <f t="shared" ref="BQ72:BS72" si="182">SUM(BQ73:BQ84)</f>
        <v>300944253.16000003</v>
      </c>
      <c r="BR72" s="580">
        <f t="shared" si="182"/>
        <v>0</v>
      </c>
      <c r="BS72" s="580">
        <f t="shared" si="182"/>
        <v>0</v>
      </c>
      <c r="BU72" s="580">
        <f>SUM(BU73:BU84)</f>
        <v>1171508781.46</v>
      </c>
      <c r="BV72" s="580">
        <f t="shared" ref="BV72:BW72" si="183">SUM(BV73:BV84)</f>
        <v>98132576.429999992</v>
      </c>
      <c r="BW72" s="580">
        <f t="shared" si="183"/>
        <v>0</v>
      </c>
      <c r="BX72" s="581"/>
      <c r="BY72" s="580">
        <f>SUM(BY73:BY84)</f>
        <v>1267298195.0999999</v>
      </c>
      <c r="BZ72" s="580">
        <f t="shared" ref="BZ72:CB72" si="184">SUM(BZ73:BZ84)</f>
        <v>1963209.5599999998</v>
      </c>
      <c r="CA72" s="580">
        <f t="shared" si="184"/>
        <v>379953.23000000004</v>
      </c>
      <c r="CB72" s="580">
        <f t="shared" si="184"/>
        <v>1269641357.8900003</v>
      </c>
      <c r="CC72" s="580">
        <f t="shared" si="176"/>
        <v>0</v>
      </c>
      <c r="CD72" s="580"/>
      <c r="CE72" s="580"/>
      <c r="CF72" s="580"/>
      <c r="CG72" s="580"/>
      <c r="CH72" s="580"/>
      <c r="CI72" s="580"/>
      <c r="CJ72" s="580"/>
      <c r="CK72" s="508"/>
      <c r="CL72" s="508"/>
      <c r="CM72" s="510" t="s">
        <v>1905</v>
      </c>
      <c r="CN72" s="528"/>
      <c r="CO72" s="510"/>
      <c r="CP72" s="582">
        <f>SUM(CP73:CP84)</f>
        <v>1292851577.694241</v>
      </c>
      <c r="CQ72" s="582">
        <f>SUM(CQ73:CQ84)</f>
        <v>9820877.222511379</v>
      </c>
      <c r="CR72" s="582">
        <f>SUM(CR73:CR84)</f>
        <v>1392651.8532473622</v>
      </c>
      <c r="CS72" s="1679"/>
      <c r="CT72" s="1680"/>
      <c r="CU72" s="1680"/>
      <c r="CV72" s="1680"/>
      <c r="CW72" s="1681"/>
      <c r="CX72" s="510"/>
      <c r="CY72" s="510"/>
      <c r="CZ72" s="510"/>
      <c r="DA72" s="510"/>
      <c r="DB72" s="582">
        <f>SUM(DB73:DB84)</f>
        <v>329818283.73000002</v>
      </c>
      <c r="DD72" s="517"/>
      <c r="DE72" s="517"/>
      <c r="DF72" s="580">
        <f t="shared" si="88"/>
        <v>1267298.1950999999</v>
      </c>
      <c r="DG72" s="580">
        <f t="shared" si="88"/>
        <v>1963.2095599999998</v>
      </c>
      <c r="DH72" s="580">
        <f t="shared" si="88"/>
        <v>379.95323000000002</v>
      </c>
      <c r="DI72" s="580">
        <f t="shared" si="88"/>
        <v>1269641.3578900003</v>
      </c>
    </row>
    <row r="73" spans="1:123" s="534" customFormat="1">
      <c r="A73" s="537" t="s">
        <v>1157</v>
      </c>
      <c r="B73" s="538" t="s">
        <v>1158</v>
      </c>
      <c r="C73" s="576">
        <v>144794011.97</v>
      </c>
      <c r="D73" s="576">
        <v>158517905.49000001</v>
      </c>
      <c r="E73" s="576">
        <v>126797000</v>
      </c>
      <c r="F73" s="576">
        <v>126797001.55</v>
      </c>
      <c r="G73" s="577">
        <v>110968170</v>
      </c>
      <c r="H73" s="577">
        <v>0</v>
      </c>
      <c r="I73" s="576">
        <f t="shared" ref="I73:I84" si="185">J73+K73+L73</f>
        <v>110968169.8</v>
      </c>
      <c r="J73" s="576">
        <v>57443316.439999998</v>
      </c>
      <c r="K73" s="576">
        <v>27271261.050000001</v>
      </c>
      <c r="L73" s="576">
        <v>26253592.309999999</v>
      </c>
      <c r="M73" s="576">
        <f t="shared" ref="M73:M84" si="186">J73+K73</f>
        <v>84714577.489999995</v>
      </c>
      <c r="N73" s="576">
        <v>84714577.489999995</v>
      </c>
      <c r="O73" s="525">
        <f t="shared" ref="O73:O84" si="187">P73-N73</f>
        <v>26253592.300000012</v>
      </c>
      <c r="P73" s="522">
        <v>110968169.79000001</v>
      </c>
      <c r="Q73" s="576">
        <f t="shared" si="151"/>
        <v>-9.9999904632568359E-3</v>
      </c>
      <c r="R73" s="576">
        <f t="shared" si="152"/>
        <v>-9.0115861439699074E-9</v>
      </c>
      <c r="S73" s="576">
        <v>57418250</v>
      </c>
      <c r="T73" s="576">
        <v>57418250</v>
      </c>
      <c r="U73" s="522">
        <f t="shared" ref="U73:U84" si="188">AQ73+AS73+BB73+BL73</f>
        <v>57418245.68</v>
      </c>
      <c r="V73" s="522">
        <f t="shared" si="149"/>
        <v>-4.3200000002980232</v>
      </c>
      <c r="W73" s="522">
        <f t="shared" si="153"/>
        <v>-7.5237402796801689E-6</v>
      </c>
      <c r="X73" s="522">
        <f t="shared" si="154"/>
        <v>-53549924.110000007</v>
      </c>
      <c r="Y73" s="522">
        <f t="shared" si="155"/>
        <v>-48.257012989706624</v>
      </c>
      <c r="Z73" s="524">
        <f t="shared" si="156"/>
        <v>57418245.68</v>
      </c>
      <c r="AA73" s="522">
        <f t="shared" si="157"/>
        <v>-4.3200000002980232</v>
      </c>
      <c r="AB73" s="522">
        <f t="shared" si="158"/>
        <v>-7.5237402796801689E-6</v>
      </c>
      <c r="AC73" s="522">
        <f t="shared" si="159"/>
        <v>0</v>
      </c>
      <c r="AD73" s="522">
        <f t="shared" si="160"/>
        <v>0</v>
      </c>
      <c r="AE73" s="522">
        <f t="shared" si="161"/>
        <v>-53549924.110000007</v>
      </c>
      <c r="AF73" s="522">
        <f t="shared" si="162"/>
        <v>-48.257012989706624</v>
      </c>
      <c r="AG73" s="522">
        <f t="shared" si="177"/>
        <v>57418245.68</v>
      </c>
      <c r="AH73" s="522">
        <f t="shared" si="163"/>
        <v>0</v>
      </c>
      <c r="AI73" s="522">
        <f t="shared" si="164"/>
        <v>0</v>
      </c>
      <c r="AJ73" s="522">
        <f t="shared" si="165"/>
        <v>0</v>
      </c>
      <c r="AK73" s="522">
        <f t="shared" si="133"/>
        <v>0</v>
      </c>
      <c r="AL73" s="522">
        <f t="shared" ref="AL73:AL84" si="189">SUM(BU73:BV73)</f>
        <v>57418245.68</v>
      </c>
      <c r="AM73" s="522">
        <f t="shared" si="72"/>
        <v>49545505.490000002</v>
      </c>
      <c r="AN73" s="522">
        <f t="shared" si="72"/>
        <v>49545505.490000002</v>
      </c>
      <c r="AO73" s="522">
        <f t="shared" si="166"/>
        <v>0</v>
      </c>
      <c r="AP73" s="522">
        <f t="shared" si="178"/>
        <v>0</v>
      </c>
      <c r="AQ73" s="578">
        <v>25258063.460000001</v>
      </c>
      <c r="AR73" s="578">
        <v>25258063.460000001</v>
      </c>
      <c r="AS73" s="578">
        <v>24287442.030000001</v>
      </c>
      <c r="AT73" s="578">
        <v>24287442.030000001</v>
      </c>
      <c r="AU73" s="578">
        <f t="shared" si="79"/>
        <v>7872740.1900000004</v>
      </c>
      <c r="AV73" s="578">
        <f t="shared" si="79"/>
        <v>7872740.1900000004</v>
      </c>
      <c r="AW73" s="578">
        <f t="shared" si="167"/>
        <v>0</v>
      </c>
      <c r="AX73" s="578">
        <f t="shared" si="168"/>
        <v>0</v>
      </c>
      <c r="AY73" s="578">
        <f t="shared" si="82"/>
        <v>7872740.1899999976</v>
      </c>
      <c r="AZ73" s="578">
        <f t="shared" si="169"/>
        <v>0</v>
      </c>
      <c r="BA73" s="578">
        <f t="shared" si="170"/>
        <v>0</v>
      </c>
      <c r="BB73" s="578">
        <v>7872740.1900000004</v>
      </c>
      <c r="BC73" s="576">
        <f>'[67]Дир_ имущ'!AT11</f>
        <v>7872740.1900000004</v>
      </c>
      <c r="BD73" s="576">
        <f t="shared" ref="BD73:BD84" si="190">BI73-AN73</f>
        <v>7872740.1899999976</v>
      </c>
      <c r="BE73" s="576">
        <f t="shared" si="171"/>
        <v>0</v>
      </c>
      <c r="BF73" s="576">
        <f t="shared" si="172"/>
        <v>0</v>
      </c>
      <c r="BG73" s="576">
        <f t="shared" si="150"/>
        <v>57418245.68</v>
      </c>
      <c r="BH73" s="578">
        <f t="shared" si="150"/>
        <v>57418245.68</v>
      </c>
      <c r="BI73" s="578">
        <v>57418245.68</v>
      </c>
      <c r="BJ73" s="578">
        <f t="shared" si="173"/>
        <v>0</v>
      </c>
      <c r="BK73" s="578">
        <f t="shared" si="174"/>
        <v>0</v>
      </c>
      <c r="BL73" s="576">
        <v>0</v>
      </c>
      <c r="BM73" s="578">
        <f>'[67]Дир_ имущ'!AW11</f>
        <v>0</v>
      </c>
      <c r="BN73" s="522">
        <f t="shared" ref="BN73:BN84" si="191">AL73-BI73</f>
        <v>0</v>
      </c>
      <c r="BO73" s="578">
        <f t="shared" si="181"/>
        <v>0</v>
      </c>
      <c r="BP73" s="578">
        <f t="shared" si="175"/>
        <v>0</v>
      </c>
      <c r="BQ73" s="576">
        <v>0</v>
      </c>
      <c r="BR73" s="578">
        <f>'[67]Дир_ имущ'!BB11</f>
        <v>0</v>
      </c>
      <c r="BS73" s="578">
        <f>'[67]Дир_ имущ'!BC11</f>
        <v>0</v>
      </c>
      <c r="BT73" s="536"/>
      <c r="BU73" s="578">
        <v>57418245.68</v>
      </c>
      <c r="BV73" s="578"/>
      <c r="BW73" s="578"/>
      <c r="BX73" s="574"/>
      <c r="BY73" s="576">
        <v>57418245.68</v>
      </c>
      <c r="BZ73" s="576"/>
      <c r="CA73" s="576"/>
      <c r="CB73" s="522">
        <f t="shared" si="134"/>
        <v>57418245.68</v>
      </c>
      <c r="CC73" s="578">
        <f t="shared" si="176"/>
        <v>0</v>
      </c>
      <c r="CD73" s="578"/>
      <c r="CE73" s="578"/>
      <c r="CF73" s="578"/>
      <c r="CG73" s="578"/>
      <c r="CH73" s="578"/>
      <c r="CI73" s="578"/>
      <c r="CJ73" s="578"/>
      <c r="CK73" s="542" t="s">
        <v>1815</v>
      </c>
      <c r="CL73" s="542" t="s">
        <v>1816</v>
      </c>
      <c r="CM73" s="510" t="s">
        <v>1905</v>
      </c>
      <c r="CN73" s="528" t="s">
        <v>1849</v>
      </c>
      <c r="CO73" s="528"/>
      <c r="CP73" s="579">
        <f>U73</f>
        <v>57418245.68</v>
      </c>
      <c r="CQ73" s="579"/>
      <c r="CR73" s="579"/>
      <c r="CS73" s="1691"/>
      <c r="CT73" s="1692"/>
      <c r="CU73" s="1692"/>
      <c r="CV73" s="1692"/>
      <c r="CW73" s="1693"/>
      <c r="CX73" s="528"/>
      <c r="CY73" s="528"/>
      <c r="CZ73" s="528"/>
      <c r="DA73" s="528"/>
      <c r="DB73" s="579">
        <f>25258063.46</f>
        <v>25258063.460000001</v>
      </c>
      <c r="DD73" s="535">
        <f>57418245.68</f>
        <v>57418245.68</v>
      </c>
      <c r="DE73" s="535"/>
      <c r="DF73" s="576">
        <f t="shared" si="88"/>
        <v>57418.24568</v>
      </c>
      <c r="DG73" s="576">
        <f t="shared" si="88"/>
        <v>0</v>
      </c>
      <c r="DH73" s="576">
        <f t="shared" si="88"/>
        <v>0</v>
      </c>
      <c r="DI73" s="522">
        <f t="shared" si="88"/>
        <v>57418.24568</v>
      </c>
      <c r="DJ73" s="536"/>
      <c r="DK73" s="536"/>
      <c r="DL73" s="536"/>
      <c r="DM73" s="536"/>
      <c r="DN73" s="536"/>
      <c r="DO73" s="536"/>
      <c r="DP73" s="536"/>
      <c r="DQ73" s="536"/>
      <c r="DR73" s="536"/>
      <c r="DS73" s="536"/>
    </row>
    <row r="74" spans="1:123" s="534" customFormat="1" ht="63" customHeight="1">
      <c r="A74" s="537" t="s">
        <v>1162</v>
      </c>
      <c r="B74" s="538" t="s">
        <v>1163</v>
      </c>
      <c r="C74" s="576">
        <v>269432264.44</v>
      </c>
      <c r="D74" s="576">
        <v>348964938.81</v>
      </c>
      <c r="E74" s="525">
        <v>199480640</v>
      </c>
      <c r="F74" s="525">
        <v>185469953.41999999</v>
      </c>
      <c r="G74" s="596">
        <v>152505999.64000002</v>
      </c>
      <c r="H74" s="596">
        <v>0</v>
      </c>
      <c r="I74" s="525">
        <f t="shared" si="185"/>
        <v>154973383.05000001</v>
      </c>
      <c r="J74" s="525">
        <v>78072413.049999997</v>
      </c>
      <c r="K74" s="525">
        <v>38885618</v>
      </c>
      <c r="L74" s="525">
        <v>38015352</v>
      </c>
      <c r="M74" s="525">
        <f t="shared" si="186"/>
        <v>116958031.05</v>
      </c>
      <c r="N74" s="525">
        <v>116898782.39</v>
      </c>
      <c r="O74" s="525">
        <f t="shared" si="187"/>
        <v>37957288.790000007</v>
      </c>
      <c r="P74" s="522">
        <v>154856071.18000001</v>
      </c>
      <c r="Q74" s="525">
        <f t="shared" si="151"/>
        <v>-117311.87000000477</v>
      </c>
      <c r="R74" s="525">
        <f t="shared" si="152"/>
        <v>-7.5698076463979191E-2</v>
      </c>
      <c r="S74" s="525">
        <v>251964950</v>
      </c>
      <c r="T74" s="525">
        <v>144204478.25999996</v>
      </c>
      <c r="U74" s="522">
        <f t="shared" si="188"/>
        <v>169988200.88</v>
      </c>
      <c r="V74" s="522">
        <f t="shared" si="149"/>
        <v>25783722.620000035</v>
      </c>
      <c r="W74" s="522">
        <f t="shared" si="153"/>
        <v>17.879973584115817</v>
      </c>
      <c r="X74" s="522">
        <f t="shared" si="154"/>
        <v>15132129.699999988</v>
      </c>
      <c r="Y74" s="522">
        <f t="shared" si="155"/>
        <v>9.7717380950539905</v>
      </c>
      <c r="Z74" s="524">
        <f t="shared" si="156"/>
        <v>157857090.62</v>
      </c>
      <c r="AA74" s="522">
        <f t="shared" si="157"/>
        <v>13652612.360000044</v>
      </c>
      <c r="AB74" s="522">
        <f t="shared" si="158"/>
        <v>9.4675370173902991</v>
      </c>
      <c r="AC74" s="522">
        <f t="shared" si="159"/>
        <v>-12131110.25999999</v>
      </c>
      <c r="AD74" s="522">
        <f t="shared" si="160"/>
        <v>-7.1364425278926973</v>
      </c>
      <c r="AE74" s="522">
        <f t="shared" si="161"/>
        <v>3001019.4399999976</v>
      </c>
      <c r="AF74" s="522">
        <f t="shared" si="162"/>
        <v>1.937941094031558</v>
      </c>
      <c r="AG74" s="522">
        <f t="shared" si="177"/>
        <v>149846233.33000001</v>
      </c>
      <c r="AH74" s="522">
        <f t="shared" si="163"/>
        <v>-20141967.549999982</v>
      </c>
      <c r="AI74" s="522">
        <f t="shared" si="164"/>
        <v>-11.849038607225935</v>
      </c>
      <c r="AJ74" s="522">
        <f t="shared" si="165"/>
        <v>-8010857.2899999917</v>
      </c>
      <c r="AK74" s="522">
        <f t="shared" si="133"/>
        <v>-5.074752903741313</v>
      </c>
      <c r="AL74" s="522">
        <f t="shared" si="189"/>
        <v>149846233.33000001</v>
      </c>
      <c r="AM74" s="522">
        <f t="shared" si="72"/>
        <v>83563849.840000004</v>
      </c>
      <c r="AN74" s="522">
        <f t="shared" si="72"/>
        <v>74932739.579999998</v>
      </c>
      <c r="AO74" s="522">
        <f t="shared" si="166"/>
        <v>-8631110.2600000054</v>
      </c>
      <c r="AP74" s="522">
        <f t="shared" si="178"/>
        <v>-10.3287609133926</v>
      </c>
      <c r="AQ74" s="522">
        <v>38319754.950000003</v>
      </c>
      <c r="AR74" s="522">
        <v>37812501.030000001</v>
      </c>
      <c r="AS74" s="522">
        <v>45244094.890000001</v>
      </c>
      <c r="AT74" s="522">
        <v>37120238.549999997</v>
      </c>
      <c r="AU74" s="522">
        <f t="shared" si="79"/>
        <v>86424351.039999992</v>
      </c>
      <c r="AV74" s="522">
        <f t="shared" si="79"/>
        <v>82924351.039999992</v>
      </c>
      <c r="AW74" s="522">
        <f t="shared" si="167"/>
        <v>-3500000</v>
      </c>
      <c r="AX74" s="522">
        <f t="shared" si="168"/>
        <v>-4.0497845316536853</v>
      </c>
      <c r="AY74" s="522">
        <f t="shared" si="82"/>
        <v>74913493.750000015</v>
      </c>
      <c r="AZ74" s="522">
        <f t="shared" si="169"/>
        <v>8010857.2899999768</v>
      </c>
      <c r="BA74" s="522">
        <f t="shared" si="170"/>
        <v>10.693477088031258</v>
      </c>
      <c r="BB74" s="522">
        <v>44053129.32</v>
      </c>
      <c r="BC74" s="576">
        <f>'[67]Дир_ имущ'!AT12</f>
        <v>42303129.32</v>
      </c>
      <c r="BD74" s="576">
        <f t="shared" si="190"/>
        <v>37856064.219999999</v>
      </c>
      <c r="BE74" s="576">
        <f t="shared" si="171"/>
        <v>-6197065.1000000015</v>
      </c>
      <c r="BF74" s="576">
        <f t="shared" si="172"/>
        <v>-4447065.1000000015</v>
      </c>
      <c r="BG74" s="576">
        <f t="shared" si="150"/>
        <v>127616979.16</v>
      </c>
      <c r="BH74" s="578">
        <f t="shared" si="150"/>
        <v>117235868.90000001</v>
      </c>
      <c r="BI74" s="578">
        <v>112788803.8</v>
      </c>
      <c r="BJ74" s="578">
        <f t="shared" si="173"/>
        <v>-14828175.359999999</v>
      </c>
      <c r="BK74" s="578">
        <f t="shared" si="174"/>
        <v>-4447065.1000000089</v>
      </c>
      <c r="BL74" s="576">
        <v>42371221.719999999</v>
      </c>
      <c r="BM74" s="578">
        <f>'[67]Дир_ имущ'!AW12</f>
        <v>40621221.719999999</v>
      </c>
      <c r="BN74" s="522">
        <f t="shared" si="191"/>
        <v>37057429.530000016</v>
      </c>
      <c r="BO74" s="578">
        <f t="shared" si="181"/>
        <v>-5313792.1899999827</v>
      </c>
      <c r="BP74" s="578">
        <f t="shared" si="175"/>
        <v>-3563792.1899999827</v>
      </c>
      <c r="BQ74" s="576">
        <v>42371221.719999999</v>
      </c>
      <c r="BR74" s="578">
        <f>'[67]Дир_ имущ'!BB12</f>
        <v>0</v>
      </c>
      <c r="BS74" s="578">
        <f>'[67]Дир_ имущ'!BC12</f>
        <v>0</v>
      </c>
      <c r="BT74" s="536"/>
      <c r="BU74" s="578">
        <v>149846233.33000001</v>
      </c>
      <c r="BV74" s="578"/>
      <c r="BW74" s="578"/>
      <c r="BX74" s="574"/>
      <c r="BY74" s="525">
        <v>149846233.33000001</v>
      </c>
      <c r="BZ74" s="525"/>
      <c r="CA74" s="525"/>
      <c r="CB74" s="522">
        <f t="shared" si="134"/>
        <v>149846233.33000001</v>
      </c>
      <c r="CC74" s="578">
        <f t="shared" si="176"/>
        <v>0</v>
      </c>
      <c r="CD74" s="578"/>
      <c r="CE74" s="578"/>
      <c r="CF74" s="578"/>
      <c r="CG74" s="578"/>
      <c r="CH74" s="578"/>
      <c r="CI74" s="578"/>
      <c r="CJ74" s="578"/>
      <c r="CK74" s="543" t="s">
        <v>1815</v>
      </c>
      <c r="CL74" s="543" t="s">
        <v>1816</v>
      </c>
      <c r="CM74" s="510" t="s">
        <v>1905</v>
      </c>
      <c r="CN74" s="528" t="s">
        <v>1849</v>
      </c>
      <c r="CO74" s="528"/>
      <c r="CP74" s="544">
        <f>U74</f>
        <v>169988200.88</v>
      </c>
      <c r="CQ74" s="544"/>
      <c r="CR74" s="544"/>
      <c r="CS74" s="1705"/>
      <c r="CT74" s="1706"/>
      <c r="CU74" s="1706"/>
      <c r="CV74" s="1706"/>
      <c r="CW74" s="1707"/>
      <c r="CX74" s="528"/>
      <c r="CY74" s="528"/>
      <c r="CZ74" s="528"/>
      <c r="DA74" s="528"/>
      <c r="DB74" s="544">
        <f>37812501.03</f>
        <v>37812501.030000001</v>
      </c>
      <c r="DD74" s="535">
        <f>112788803.8</f>
        <v>112788803.8</v>
      </c>
      <c r="DE74" s="535"/>
      <c r="DF74" s="525">
        <f t="shared" si="88"/>
        <v>149846.23333000002</v>
      </c>
      <c r="DG74" s="525">
        <f t="shared" si="88"/>
        <v>0</v>
      </c>
      <c r="DH74" s="525">
        <f t="shared" si="88"/>
        <v>0</v>
      </c>
      <c r="DI74" s="522">
        <f t="shared" si="88"/>
        <v>149846.23333000002</v>
      </c>
      <c r="DJ74" s="536"/>
      <c r="DK74" s="536"/>
      <c r="DL74" s="536"/>
      <c r="DM74" s="536"/>
      <c r="DN74" s="536"/>
      <c r="DO74" s="536"/>
      <c r="DP74" s="536"/>
      <c r="DQ74" s="536"/>
      <c r="DR74" s="536"/>
      <c r="DS74" s="536"/>
    </row>
    <row r="75" spans="1:123" s="534" customFormat="1" ht="36" customHeight="1">
      <c r="A75" s="537" t="s">
        <v>1167</v>
      </c>
      <c r="B75" s="538" t="s">
        <v>1168</v>
      </c>
      <c r="C75" s="576">
        <v>83145431.890000001</v>
      </c>
      <c r="D75" s="576">
        <v>124350438.90000001</v>
      </c>
      <c r="E75" s="576">
        <v>97753960</v>
      </c>
      <c r="F75" s="576">
        <v>100013734.94</v>
      </c>
      <c r="G75" s="577">
        <v>90494064.429999977</v>
      </c>
      <c r="H75" s="577">
        <v>0</v>
      </c>
      <c r="I75" s="576">
        <f t="shared" si="185"/>
        <v>90494061.409999996</v>
      </c>
      <c r="J75" s="576">
        <v>46071968.75</v>
      </c>
      <c r="K75" s="576">
        <v>22416915.760000002</v>
      </c>
      <c r="L75" s="576">
        <v>22005176.899999999</v>
      </c>
      <c r="M75" s="576">
        <f t="shared" si="186"/>
        <v>68488884.510000005</v>
      </c>
      <c r="N75" s="576">
        <v>68488884.489999995</v>
      </c>
      <c r="O75" s="525">
        <f t="shared" si="187"/>
        <v>22005176.890000001</v>
      </c>
      <c r="P75" s="522">
        <f>85667304.78+4826756.6</f>
        <v>90494061.379999995</v>
      </c>
      <c r="Q75" s="576">
        <f t="shared" si="151"/>
        <v>-3.0000001192092896E-2</v>
      </c>
      <c r="R75" s="576">
        <f t="shared" si="152"/>
        <v>-3.3151351885862823E-8</v>
      </c>
      <c r="S75" s="576">
        <v>130977370</v>
      </c>
      <c r="T75" s="576">
        <v>88888552</v>
      </c>
      <c r="U75" s="522">
        <f t="shared" si="188"/>
        <v>96586419.63000001</v>
      </c>
      <c r="V75" s="522">
        <f t="shared" si="149"/>
        <v>7697867.6300000101</v>
      </c>
      <c r="W75" s="522">
        <f t="shared" si="153"/>
        <v>8.6601339056575171</v>
      </c>
      <c r="X75" s="522">
        <f t="shared" si="154"/>
        <v>6092358.2500000149</v>
      </c>
      <c r="Y75" s="522">
        <f t="shared" si="155"/>
        <v>6.732329345256332</v>
      </c>
      <c r="Z75" s="524">
        <f t="shared" si="156"/>
        <v>91080375.930000007</v>
      </c>
      <c r="AA75" s="522">
        <f t="shared" si="157"/>
        <v>2191823.9300000072</v>
      </c>
      <c r="AB75" s="522">
        <f t="shared" si="158"/>
        <v>2.4658112666747058</v>
      </c>
      <c r="AC75" s="522">
        <f t="shared" si="159"/>
        <v>-5506043.700000003</v>
      </c>
      <c r="AD75" s="522">
        <f t="shared" si="160"/>
        <v>-5.7006396148572236</v>
      </c>
      <c r="AE75" s="522">
        <f t="shared" si="161"/>
        <v>586314.55000001192</v>
      </c>
      <c r="AF75" s="522">
        <f t="shared" si="162"/>
        <v>0.64790389674078597</v>
      </c>
      <c r="AG75" s="522">
        <f t="shared" si="177"/>
        <v>79629913.709999993</v>
      </c>
      <c r="AH75" s="522">
        <f t="shared" si="163"/>
        <v>-16956505.920000017</v>
      </c>
      <c r="AI75" s="522">
        <f t="shared" si="164"/>
        <v>-17.55578681242811</v>
      </c>
      <c r="AJ75" s="522">
        <f t="shared" si="165"/>
        <v>-11450462.220000014</v>
      </c>
      <c r="AK75" s="522">
        <f t="shared" si="133"/>
        <v>-12.571821430337849</v>
      </c>
      <c r="AL75" s="522">
        <f t="shared" si="189"/>
        <v>79629913.709999993</v>
      </c>
      <c r="AM75" s="522">
        <f t="shared" si="72"/>
        <v>51782922.260000005</v>
      </c>
      <c r="AN75" s="522">
        <f t="shared" si="72"/>
        <v>46276878.559999995</v>
      </c>
      <c r="AO75" s="522">
        <f t="shared" si="166"/>
        <v>-5506043.7000000104</v>
      </c>
      <c r="AP75" s="522">
        <f t="shared" si="178"/>
        <v>-10.632933522666761</v>
      </c>
      <c r="AQ75" s="578">
        <v>23473883.82</v>
      </c>
      <c r="AR75" s="578">
        <v>23473883.82</v>
      </c>
      <c r="AS75" s="578">
        <v>28309038.440000001</v>
      </c>
      <c r="AT75" s="578">
        <v>22802994.739999995</v>
      </c>
      <c r="AU75" s="578">
        <f t="shared" si="79"/>
        <v>44803497.370000005</v>
      </c>
      <c r="AV75" s="578">
        <f t="shared" si="79"/>
        <v>44803497.370000005</v>
      </c>
      <c r="AW75" s="578">
        <f t="shared" si="167"/>
        <v>0</v>
      </c>
      <c r="AX75" s="578">
        <f t="shared" si="168"/>
        <v>0</v>
      </c>
      <c r="AY75" s="578">
        <f t="shared" si="82"/>
        <v>33353035.149999999</v>
      </c>
      <c r="AZ75" s="578">
        <f t="shared" si="169"/>
        <v>11450462.220000006</v>
      </c>
      <c r="BA75" s="578">
        <f t="shared" si="170"/>
        <v>34.331095111744304</v>
      </c>
      <c r="BB75" s="578">
        <v>27817299.57</v>
      </c>
      <c r="BC75" s="576">
        <f>'[67]Дир_ имущ'!AT13</f>
        <v>27817299.57</v>
      </c>
      <c r="BD75" s="576">
        <f t="shared" si="190"/>
        <v>17992977.360000007</v>
      </c>
      <c r="BE75" s="576">
        <f t="shared" si="171"/>
        <v>-9824322.2099999934</v>
      </c>
      <c r="BF75" s="576">
        <f t="shared" si="172"/>
        <v>-9824322.2099999934</v>
      </c>
      <c r="BG75" s="576">
        <f t="shared" si="150"/>
        <v>79600221.830000013</v>
      </c>
      <c r="BH75" s="578">
        <f t="shared" si="150"/>
        <v>74094178.129999995</v>
      </c>
      <c r="BI75" s="578">
        <f>3402450.31+60867405.61</f>
        <v>64269855.920000002</v>
      </c>
      <c r="BJ75" s="578">
        <f t="shared" si="173"/>
        <v>-15330365.910000011</v>
      </c>
      <c r="BK75" s="578">
        <f t="shared" si="174"/>
        <v>-9824322.2099999934</v>
      </c>
      <c r="BL75" s="576">
        <v>16986197.800000001</v>
      </c>
      <c r="BM75" s="578">
        <f>'[67]Дир_ имущ'!AW13</f>
        <v>16986197.800000001</v>
      </c>
      <c r="BN75" s="522">
        <f t="shared" si="191"/>
        <v>15360057.789999992</v>
      </c>
      <c r="BO75" s="578">
        <f t="shared" si="181"/>
        <v>-1626140.0100000091</v>
      </c>
      <c r="BP75" s="578">
        <f t="shared" si="175"/>
        <v>-1626140.0100000091</v>
      </c>
      <c r="BQ75" s="576">
        <v>16986197.800000001</v>
      </c>
      <c r="BR75" s="578">
        <f>'[67]Дир_ имущ'!BB13</f>
        <v>0</v>
      </c>
      <c r="BS75" s="578">
        <f>'[67]Дир_ имущ'!BC13</f>
        <v>0</v>
      </c>
      <c r="BT75" s="536"/>
      <c r="BU75" s="578">
        <v>3959957.13</v>
      </c>
      <c r="BV75" s="578">
        <v>75669956.579999998</v>
      </c>
      <c r="BW75" s="578"/>
      <c r="BX75" s="574"/>
      <c r="BY75" s="525">
        <f>3949713.74+75669956.58</f>
        <v>79619670.319999993</v>
      </c>
      <c r="BZ75" s="525">
        <v>8514</v>
      </c>
      <c r="CA75" s="525">
        <v>1729.39</v>
      </c>
      <c r="CB75" s="522">
        <f t="shared" si="134"/>
        <v>79629913.709999993</v>
      </c>
      <c r="CC75" s="522">
        <f t="shared" si="176"/>
        <v>0</v>
      </c>
      <c r="CD75" s="578"/>
      <c r="CE75" s="578"/>
      <c r="CF75" s="578"/>
      <c r="CG75" s="578"/>
      <c r="CH75" s="578"/>
      <c r="CI75" s="578"/>
      <c r="CJ75" s="578"/>
      <c r="CK75" s="543" t="s">
        <v>1815</v>
      </c>
      <c r="CL75" s="543" t="s">
        <v>1816</v>
      </c>
      <c r="CM75" s="510" t="s">
        <v>1905</v>
      </c>
      <c r="CN75" s="528" t="s">
        <v>1849</v>
      </c>
      <c r="CO75" s="528"/>
      <c r="CP75" s="544">
        <f>U75*$CU$7/100</f>
        <v>89112605.9698589</v>
      </c>
      <c r="CQ75" s="544">
        <f>U75*$CU$8/100</f>
        <v>6545611.6307619968</v>
      </c>
      <c r="CR75" s="544">
        <f>U75*$CU$9/100</f>
        <v>928202.02937911451</v>
      </c>
      <c r="CS75" s="1688" t="s">
        <v>1826</v>
      </c>
      <c r="CT75" s="1689"/>
      <c r="CU75" s="1689"/>
      <c r="CV75" s="1689"/>
      <c r="CW75" s="1690"/>
      <c r="CX75" s="528"/>
      <c r="CY75" s="528"/>
      <c r="CZ75" s="528"/>
      <c r="DA75" s="528"/>
      <c r="DB75" s="579">
        <f>1249748.73+22224135.09</f>
        <v>23473883.82</v>
      </c>
      <c r="DD75" s="535">
        <f>3402450.31</f>
        <v>3402450.31</v>
      </c>
      <c r="DE75" s="535"/>
      <c r="DF75" s="525">
        <f t="shared" si="88"/>
        <v>79619.67031999999</v>
      </c>
      <c r="DG75" s="525">
        <f t="shared" si="88"/>
        <v>8.5139999999999993</v>
      </c>
      <c r="DH75" s="525">
        <f t="shared" si="88"/>
        <v>1.7293900000000002</v>
      </c>
      <c r="DI75" s="522">
        <f t="shared" si="88"/>
        <v>79629.913709999993</v>
      </c>
      <c r="DJ75" s="536"/>
      <c r="DK75" s="536"/>
      <c r="DL75" s="536"/>
      <c r="DM75" s="536"/>
      <c r="DN75" s="536"/>
      <c r="DO75" s="536"/>
      <c r="DP75" s="536"/>
      <c r="DQ75" s="536"/>
      <c r="DR75" s="536"/>
      <c r="DS75" s="536"/>
    </row>
    <row r="76" spans="1:123" s="534" customFormat="1">
      <c r="A76" s="537" t="s">
        <v>1172</v>
      </c>
      <c r="B76" s="538" t="s">
        <v>1173</v>
      </c>
      <c r="C76" s="576">
        <v>902596436.20000005</v>
      </c>
      <c r="D76" s="576">
        <v>0</v>
      </c>
      <c r="E76" s="576">
        <v>830969390</v>
      </c>
      <c r="F76" s="576">
        <v>830969392.99000001</v>
      </c>
      <c r="G76" s="577">
        <v>628510490</v>
      </c>
      <c r="H76" s="577">
        <v>0</v>
      </c>
      <c r="I76" s="576">
        <f t="shared" si="185"/>
        <v>641206827.43000007</v>
      </c>
      <c r="J76" s="576">
        <v>344031891.43000001</v>
      </c>
      <c r="K76" s="576">
        <v>150284201</v>
      </c>
      <c r="L76" s="576">
        <v>146890735</v>
      </c>
      <c r="M76" s="576">
        <f t="shared" si="186"/>
        <v>494316092.43000001</v>
      </c>
      <c r="N76" s="576">
        <v>494316091.69</v>
      </c>
      <c r="O76" s="525">
        <f t="shared" si="187"/>
        <v>146890734.56</v>
      </c>
      <c r="P76" s="522">
        <v>641206826.25</v>
      </c>
      <c r="Q76" s="576">
        <f t="shared" si="151"/>
        <v>-1.1800000667572021</v>
      </c>
      <c r="R76" s="576">
        <f t="shared" si="152"/>
        <v>-1.840279963971625E-7</v>
      </c>
      <c r="S76" s="576">
        <v>564085910</v>
      </c>
      <c r="T76" s="576">
        <v>564085910</v>
      </c>
      <c r="U76" s="522">
        <f t="shared" si="188"/>
        <v>581466684.53999996</v>
      </c>
      <c r="V76" s="522">
        <f t="shared" si="149"/>
        <v>17380774.539999962</v>
      </c>
      <c r="W76" s="522">
        <f t="shared" si="153"/>
        <v>3.0812282724807005</v>
      </c>
      <c r="X76" s="522">
        <f t="shared" si="154"/>
        <v>-59740141.710000038</v>
      </c>
      <c r="Y76" s="522">
        <f t="shared" si="155"/>
        <v>-9.3168287149064071</v>
      </c>
      <c r="Z76" s="524">
        <f t="shared" si="156"/>
        <v>581730373.75999999</v>
      </c>
      <c r="AA76" s="522">
        <f t="shared" si="157"/>
        <v>17644463.75999999</v>
      </c>
      <c r="AB76" s="522">
        <f t="shared" si="158"/>
        <v>3.1279745597616539</v>
      </c>
      <c r="AC76" s="522">
        <f t="shared" si="159"/>
        <v>263689.22000002861</v>
      </c>
      <c r="AD76" s="522">
        <f t="shared" si="160"/>
        <v>4.5348981637459929E-2</v>
      </c>
      <c r="AE76" s="522">
        <f t="shared" si="161"/>
        <v>-59476452.49000001</v>
      </c>
      <c r="AF76" s="522">
        <f t="shared" si="162"/>
        <v>-9.2757048202120558</v>
      </c>
      <c r="AG76" s="522">
        <f t="shared" si="177"/>
        <v>581730373.75</v>
      </c>
      <c r="AH76" s="522">
        <f t="shared" si="163"/>
        <v>263689.21000003815</v>
      </c>
      <c r="AI76" s="522">
        <f t="shared" si="164"/>
        <v>4.5348979917676502E-2</v>
      </c>
      <c r="AJ76" s="522">
        <f t="shared" si="165"/>
        <v>-9.9999904632568359E-3</v>
      </c>
      <c r="AK76" s="522">
        <f t="shared" si="133"/>
        <v>-1.7190018297696952E-9</v>
      </c>
      <c r="AL76" s="522">
        <f t="shared" si="189"/>
        <v>581730373.75</v>
      </c>
      <c r="AM76" s="522">
        <f t="shared" si="72"/>
        <v>294203310.98000002</v>
      </c>
      <c r="AN76" s="522">
        <f t="shared" si="72"/>
        <v>294203310.98000002</v>
      </c>
      <c r="AO76" s="522">
        <f t="shared" si="166"/>
        <v>0</v>
      </c>
      <c r="AP76" s="522">
        <f t="shared" si="178"/>
        <v>0</v>
      </c>
      <c r="AQ76" s="578">
        <v>146681494.84999999</v>
      </c>
      <c r="AR76" s="578">
        <v>146681494.84999999</v>
      </c>
      <c r="AS76" s="578">
        <v>147521816.13</v>
      </c>
      <c r="AT76" s="578">
        <v>147521816.13000003</v>
      </c>
      <c r="AU76" s="578">
        <f t="shared" si="79"/>
        <v>287263373.56</v>
      </c>
      <c r="AV76" s="578">
        <f t="shared" si="79"/>
        <v>287527062.77999997</v>
      </c>
      <c r="AW76" s="578">
        <f t="shared" si="167"/>
        <v>263689.21999996901</v>
      </c>
      <c r="AX76" s="578">
        <f t="shared" si="168"/>
        <v>9.1793540099487814E-2</v>
      </c>
      <c r="AY76" s="578">
        <f t="shared" si="82"/>
        <v>287527062.76999998</v>
      </c>
      <c r="AZ76" s="578">
        <f t="shared" si="169"/>
        <v>9.9999904632568359E-3</v>
      </c>
      <c r="BA76" s="578">
        <f t="shared" si="170"/>
        <v>3.477936161289108E-9</v>
      </c>
      <c r="BB76" s="578">
        <v>145339936.28</v>
      </c>
      <c r="BC76" s="576">
        <f>'[67]Дир_ имущ'!AT14</f>
        <v>145482811.05000001</v>
      </c>
      <c r="BD76" s="576">
        <f t="shared" si="190"/>
        <v>145482811.04999995</v>
      </c>
      <c r="BE76" s="576">
        <f t="shared" si="171"/>
        <v>142874.76999995112</v>
      </c>
      <c r="BF76" s="576">
        <f t="shared" si="172"/>
        <v>0</v>
      </c>
      <c r="BG76" s="576">
        <f t="shared" si="150"/>
        <v>439543247.25999999</v>
      </c>
      <c r="BH76" s="578">
        <f t="shared" si="150"/>
        <v>439686122.03000003</v>
      </c>
      <c r="BI76" s="578">
        <v>439686122.02999997</v>
      </c>
      <c r="BJ76" s="578">
        <f t="shared" si="173"/>
        <v>142874.76999998093</v>
      </c>
      <c r="BK76" s="578">
        <f t="shared" si="174"/>
        <v>0</v>
      </c>
      <c r="BL76" s="576">
        <v>141923437.28</v>
      </c>
      <c r="BM76" s="578">
        <f>'[67]Дир_ имущ'!AW14</f>
        <v>142044251.72999999</v>
      </c>
      <c r="BN76" s="522">
        <f t="shared" si="191"/>
        <v>142044251.72000003</v>
      </c>
      <c r="BO76" s="578">
        <f t="shared" si="181"/>
        <v>120814.44000002742</v>
      </c>
      <c r="BP76" s="578">
        <f t="shared" si="175"/>
        <v>-9.9999606609344482E-3</v>
      </c>
      <c r="BQ76" s="576">
        <v>141923437.28</v>
      </c>
      <c r="BR76" s="578">
        <f>'[67]Дир_ имущ'!BB14</f>
        <v>0</v>
      </c>
      <c r="BS76" s="578">
        <f>'[67]Дир_ имущ'!BC14</f>
        <v>0</v>
      </c>
      <c r="BT76" s="536"/>
      <c r="BU76" s="578">
        <v>581730373.75</v>
      </c>
      <c r="BV76" s="578"/>
      <c r="BW76" s="578"/>
      <c r="BX76" s="574"/>
      <c r="BY76" s="576">
        <v>581730373.75</v>
      </c>
      <c r="BZ76" s="576"/>
      <c r="CA76" s="576"/>
      <c r="CB76" s="522">
        <f t="shared" si="134"/>
        <v>581730373.75</v>
      </c>
      <c r="CC76" s="578">
        <f t="shared" si="176"/>
        <v>0</v>
      </c>
      <c r="CD76" s="578"/>
      <c r="CE76" s="578"/>
      <c r="CF76" s="578"/>
      <c r="CG76" s="578"/>
      <c r="CH76" s="578"/>
      <c r="CI76" s="578"/>
      <c r="CJ76" s="578"/>
      <c r="CK76" s="542" t="s">
        <v>1815</v>
      </c>
      <c r="CL76" s="542" t="s">
        <v>1816</v>
      </c>
      <c r="CM76" s="510" t="s">
        <v>1905</v>
      </c>
      <c r="CN76" s="528" t="s">
        <v>1849</v>
      </c>
      <c r="CO76" s="528"/>
      <c r="CP76" s="579">
        <f>U76</f>
        <v>581466684.53999996</v>
      </c>
      <c r="CQ76" s="579"/>
      <c r="CR76" s="579"/>
      <c r="CS76" s="1691"/>
      <c r="CT76" s="1692"/>
      <c r="CU76" s="1692"/>
      <c r="CV76" s="1692"/>
      <c r="CW76" s="1693"/>
      <c r="CX76" s="528"/>
      <c r="CY76" s="528"/>
      <c r="CZ76" s="528"/>
      <c r="DA76" s="528"/>
      <c r="DB76" s="579">
        <f>146681494.85</f>
        <v>146681494.84999999</v>
      </c>
      <c r="DD76" s="535">
        <v>439686122.02999997</v>
      </c>
      <c r="DE76" s="535"/>
      <c r="DF76" s="576">
        <f t="shared" si="88"/>
        <v>581730.37375000003</v>
      </c>
      <c r="DG76" s="576">
        <f t="shared" si="88"/>
        <v>0</v>
      </c>
      <c r="DH76" s="576">
        <f t="shared" si="88"/>
        <v>0</v>
      </c>
      <c r="DI76" s="522">
        <f t="shared" si="88"/>
        <v>581730.37375000003</v>
      </c>
      <c r="DJ76" s="536"/>
      <c r="DK76" s="536"/>
      <c r="DL76" s="536"/>
      <c r="DM76" s="536"/>
      <c r="DN76" s="536"/>
      <c r="DO76" s="536"/>
      <c r="DP76" s="536"/>
      <c r="DQ76" s="536"/>
      <c r="DR76" s="536"/>
      <c r="DS76" s="536"/>
    </row>
    <row r="77" spans="1:123" s="534" customFormat="1" ht="56.4">
      <c r="A77" s="537" t="s">
        <v>1177</v>
      </c>
      <c r="B77" s="538" t="s">
        <v>1178</v>
      </c>
      <c r="C77" s="576">
        <v>80605140.549999997</v>
      </c>
      <c r="D77" s="576">
        <v>105268088.12</v>
      </c>
      <c r="E77" s="576">
        <v>73193240</v>
      </c>
      <c r="F77" s="576">
        <v>68222991.980000004</v>
      </c>
      <c r="G77" s="577">
        <v>66781149.999999993</v>
      </c>
      <c r="H77" s="577">
        <v>0</v>
      </c>
      <c r="I77" s="576">
        <f t="shared" si="185"/>
        <v>64906037.930000007</v>
      </c>
      <c r="J77" s="576">
        <v>31199695.550000001</v>
      </c>
      <c r="K77" s="576">
        <v>16853171.190000001</v>
      </c>
      <c r="L77" s="576">
        <v>16853171.190000001</v>
      </c>
      <c r="M77" s="576">
        <f t="shared" si="186"/>
        <v>48052866.740000002</v>
      </c>
      <c r="N77" s="576">
        <v>46813548.590000004</v>
      </c>
      <c r="O77" s="525">
        <f t="shared" si="187"/>
        <v>15340841.309999995</v>
      </c>
      <c r="P77" s="522">
        <v>62154389.899999999</v>
      </c>
      <c r="Q77" s="576">
        <f t="shared" si="151"/>
        <v>-2751648.0300000086</v>
      </c>
      <c r="R77" s="576">
        <f t="shared" si="152"/>
        <v>-4.239433060091585</v>
      </c>
      <c r="S77" s="576">
        <v>72470540</v>
      </c>
      <c r="T77" s="576">
        <v>72470540</v>
      </c>
      <c r="U77" s="522">
        <f t="shared" si="188"/>
        <v>68403945.550000012</v>
      </c>
      <c r="V77" s="522">
        <f t="shared" si="149"/>
        <v>-4066594.4499999881</v>
      </c>
      <c r="W77" s="522">
        <f t="shared" si="153"/>
        <v>-5.6113759466950057</v>
      </c>
      <c r="X77" s="522">
        <f t="shared" si="154"/>
        <v>6249555.6500000134</v>
      </c>
      <c r="Y77" s="522">
        <f t="shared" si="155"/>
        <v>10.054890185640787</v>
      </c>
      <c r="Z77" s="524">
        <f t="shared" si="156"/>
        <v>63402615.969999999</v>
      </c>
      <c r="AA77" s="522">
        <f t="shared" si="157"/>
        <v>-9067924.0300000012</v>
      </c>
      <c r="AB77" s="522">
        <f t="shared" si="158"/>
        <v>-12.512565837097384</v>
      </c>
      <c r="AC77" s="522">
        <f t="shared" si="159"/>
        <v>-5001329.5800000131</v>
      </c>
      <c r="AD77" s="522">
        <f t="shared" si="160"/>
        <v>-7.3114636002162712</v>
      </c>
      <c r="AE77" s="522">
        <f t="shared" si="161"/>
        <v>1248226.0700000003</v>
      </c>
      <c r="AF77" s="522">
        <f t="shared" si="162"/>
        <v>2.0082669494596814</v>
      </c>
      <c r="AG77" s="522">
        <f t="shared" si="177"/>
        <v>62081940.409999996</v>
      </c>
      <c r="AH77" s="522">
        <f t="shared" si="163"/>
        <v>-6322005.1400000155</v>
      </c>
      <c r="AI77" s="522">
        <f t="shared" si="164"/>
        <v>-9.2421644528953806</v>
      </c>
      <c r="AJ77" s="522">
        <f t="shared" si="165"/>
        <v>-1320675.5600000024</v>
      </c>
      <c r="AK77" s="522">
        <f t="shared" si="133"/>
        <v>-2.0829985321503131</v>
      </c>
      <c r="AL77" s="522">
        <f t="shared" si="189"/>
        <v>62081940.409999996</v>
      </c>
      <c r="AM77" s="522">
        <f t="shared" si="72"/>
        <v>34201972.850000001</v>
      </c>
      <c r="AN77" s="522">
        <f t="shared" si="72"/>
        <v>31000637.25</v>
      </c>
      <c r="AO77" s="522">
        <f t="shared" si="166"/>
        <v>-3201335.6000000015</v>
      </c>
      <c r="AP77" s="522">
        <f t="shared" si="178"/>
        <v>-9.3600904662433919</v>
      </c>
      <c r="AQ77" s="578">
        <f>18372170.46-1271183.97</f>
        <v>17100986.490000002</v>
      </c>
      <c r="AR77" s="578">
        <v>15502742.050000001</v>
      </c>
      <c r="AS77" s="578">
        <f>18372170.36-1271184</f>
        <v>17100986.359999999</v>
      </c>
      <c r="AT77" s="578">
        <v>15497895.199999999</v>
      </c>
      <c r="AU77" s="578">
        <f t="shared" si="79"/>
        <v>34201972.700000003</v>
      </c>
      <c r="AV77" s="578">
        <f t="shared" si="79"/>
        <v>32401978.719999999</v>
      </c>
      <c r="AW77" s="578">
        <f t="shared" si="167"/>
        <v>-1799993.9800000042</v>
      </c>
      <c r="AX77" s="578">
        <f t="shared" si="168"/>
        <v>-5.2628367252044654</v>
      </c>
      <c r="AY77" s="578">
        <f t="shared" si="82"/>
        <v>31081303.159999996</v>
      </c>
      <c r="AZ77" s="578">
        <f t="shared" si="169"/>
        <v>1320675.5600000024</v>
      </c>
      <c r="BA77" s="578">
        <f t="shared" si="170"/>
        <v>4.2490997021632069</v>
      </c>
      <c r="BB77" s="578">
        <f>18372170.35-1271184</f>
        <v>17100986.350000001</v>
      </c>
      <c r="BC77" s="576">
        <f>'[67]Дир_ имущ'!AT15</f>
        <v>16200989.359999999</v>
      </c>
      <c r="BD77" s="576">
        <f t="shared" si="190"/>
        <v>18110045.039999999</v>
      </c>
      <c r="BE77" s="576">
        <f t="shared" si="171"/>
        <v>1009058.6899999976</v>
      </c>
      <c r="BF77" s="576">
        <f t="shared" si="172"/>
        <v>1909055.6799999997</v>
      </c>
      <c r="BG77" s="576">
        <f t="shared" si="150"/>
        <v>51302959.200000003</v>
      </c>
      <c r="BH77" s="578">
        <f t="shared" si="150"/>
        <v>47201626.609999999</v>
      </c>
      <c r="BI77" s="578">
        <v>49110682.289999999</v>
      </c>
      <c r="BJ77" s="578">
        <f t="shared" si="173"/>
        <v>-2192276.9100000039</v>
      </c>
      <c r="BK77" s="578">
        <f t="shared" si="174"/>
        <v>1909055.6799999997</v>
      </c>
      <c r="BL77" s="576">
        <f>18372170.35-1271184</f>
        <v>17100986.350000001</v>
      </c>
      <c r="BM77" s="578">
        <f>'[67]Дир_ имущ'!AW15</f>
        <v>16200989.359999999</v>
      </c>
      <c r="BN77" s="522">
        <f t="shared" si="191"/>
        <v>12971258.119999997</v>
      </c>
      <c r="BO77" s="578">
        <f t="shared" si="181"/>
        <v>-4129728.2300000042</v>
      </c>
      <c r="BP77" s="578">
        <f t="shared" si="175"/>
        <v>-3229731.2400000021</v>
      </c>
      <c r="BQ77" s="576">
        <f>18372170.35-1271184</f>
        <v>17100986.350000001</v>
      </c>
      <c r="BR77" s="578">
        <f>'[67]Дир_ имущ'!BB15</f>
        <v>0</v>
      </c>
      <c r="BS77" s="578">
        <f>'[67]Дир_ имущ'!BC15</f>
        <v>0</v>
      </c>
      <c r="BT77" s="536"/>
      <c r="BU77" s="578">
        <v>62081940.409999996</v>
      </c>
      <c r="BV77" s="578"/>
      <c r="BW77" s="578"/>
      <c r="BX77" s="574"/>
      <c r="BY77" s="576">
        <v>62081940.409999996</v>
      </c>
      <c r="BZ77" s="576"/>
      <c r="CA77" s="576"/>
      <c r="CB77" s="522">
        <f t="shared" si="134"/>
        <v>62081940.409999996</v>
      </c>
      <c r="CC77" s="578">
        <f t="shared" si="176"/>
        <v>0</v>
      </c>
      <c r="CD77" s="578"/>
      <c r="CE77" s="578"/>
      <c r="CF77" s="578"/>
      <c r="CG77" s="578"/>
      <c r="CH77" s="578"/>
      <c r="CI77" s="578"/>
      <c r="CJ77" s="578"/>
      <c r="CK77" s="543" t="s">
        <v>1815</v>
      </c>
      <c r="CL77" s="543" t="s">
        <v>1816</v>
      </c>
      <c r="CM77" s="510" t="s">
        <v>1905</v>
      </c>
      <c r="CN77" s="528" t="s">
        <v>1849</v>
      </c>
      <c r="CO77" s="528"/>
      <c r="CP77" s="579">
        <f>U77</f>
        <v>68403945.550000012</v>
      </c>
      <c r="CQ77" s="579"/>
      <c r="CR77" s="579"/>
      <c r="CS77" s="1691"/>
      <c r="CT77" s="1692"/>
      <c r="CU77" s="1692"/>
      <c r="CV77" s="1692"/>
      <c r="CW77" s="1693"/>
      <c r="CX77" s="528"/>
      <c r="CY77" s="528"/>
      <c r="CZ77" s="528"/>
      <c r="DA77" s="528"/>
      <c r="DB77" s="579">
        <f>15502742.05</f>
        <v>15502742.050000001</v>
      </c>
      <c r="DD77" s="535">
        <v>49110682.289999999</v>
      </c>
      <c r="DE77" s="535"/>
      <c r="DF77" s="576">
        <f t="shared" si="88"/>
        <v>62081.940409999996</v>
      </c>
      <c r="DG77" s="576">
        <f t="shared" si="88"/>
        <v>0</v>
      </c>
      <c r="DH77" s="576">
        <f t="shared" si="88"/>
        <v>0</v>
      </c>
      <c r="DI77" s="522">
        <f t="shared" si="88"/>
        <v>62081.940409999996</v>
      </c>
      <c r="DJ77" s="536"/>
      <c r="DK77" s="536"/>
      <c r="DL77" s="536"/>
      <c r="DM77" s="536"/>
      <c r="DN77" s="536"/>
      <c r="DO77" s="536"/>
      <c r="DP77" s="536"/>
      <c r="DQ77" s="536"/>
      <c r="DR77" s="536"/>
      <c r="DS77" s="536"/>
    </row>
    <row r="78" spans="1:123" s="534" customFormat="1" ht="56.4">
      <c r="A78" s="537" t="s">
        <v>1182</v>
      </c>
      <c r="B78" s="538" t="s">
        <v>1183</v>
      </c>
      <c r="C78" s="576">
        <v>4596007.76</v>
      </c>
      <c r="D78" s="576">
        <v>9393734.7799999993</v>
      </c>
      <c r="E78" s="576">
        <v>4524490</v>
      </c>
      <c r="F78" s="576">
        <v>4636361.84</v>
      </c>
      <c r="G78" s="577">
        <v>4140770.0000000005</v>
      </c>
      <c r="H78" s="577">
        <v>0</v>
      </c>
      <c r="I78" s="576">
        <f t="shared" si="185"/>
        <v>4824186.96</v>
      </c>
      <c r="J78" s="576">
        <v>2509782.96</v>
      </c>
      <c r="K78" s="576">
        <v>1157202</v>
      </c>
      <c r="L78" s="576">
        <v>1157202</v>
      </c>
      <c r="M78" s="576">
        <f t="shared" si="186"/>
        <v>3666984.96</v>
      </c>
      <c r="N78" s="576">
        <v>3799529.49</v>
      </c>
      <c r="O78" s="525">
        <f t="shared" si="187"/>
        <v>1197618.1299999999</v>
      </c>
      <c r="P78" s="522">
        <f>4420824.36+576323.26</f>
        <v>4997147.62</v>
      </c>
      <c r="Q78" s="576">
        <f t="shared" si="151"/>
        <v>172960.66000000015</v>
      </c>
      <c r="R78" s="576">
        <f t="shared" si="152"/>
        <v>3.5852810314797665</v>
      </c>
      <c r="S78" s="576">
        <v>5120400</v>
      </c>
      <c r="T78" s="576">
        <v>5120400</v>
      </c>
      <c r="U78" s="522">
        <f t="shared" si="188"/>
        <v>5101490.5199999996</v>
      </c>
      <c r="V78" s="522">
        <f t="shared" si="149"/>
        <v>-18909.480000000447</v>
      </c>
      <c r="W78" s="522">
        <f t="shared" si="153"/>
        <v>-0.36929692992735852</v>
      </c>
      <c r="X78" s="522">
        <f t="shared" si="154"/>
        <v>104342.89999999944</v>
      </c>
      <c r="Y78" s="522">
        <f t="shared" si="155"/>
        <v>2.0880491819451237</v>
      </c>
      <c r="Z78" s="524">
        <f t="shared" si="156"/>
        <v>22853443.280000001</v>
      </c>
      <c r="AA78" s="522">
        <f t="shared" si="157"/>
        <v>17733043.280000001</v>
      </c>
      <c r="AB78" s="522">
        <f t="shared" si="158"/>
        <v>346.32144519959382</v>
      </c>
      <c r="AC78" s="522">
        <f t="shared" si="159"/>
        <v>17751952.760000002</v>
      </c>
      <c r="AD78" s="522">
        <f t="shared" si="160"/>
        <v>347.97580609833227</v>
      </c>
      <c r="AE78" s="522">
        <f t="shared" si="161"/>
        <v>17856295.66</v>
      </c>
      <c r="AF78" s="522">
        <f t="shared" si="162"/>
        <v>357.32976125288047</v>
      </c>
      <c r="AG78" s="522">
        <f t="shared" si="177"/>
        <v>22739184.769999996</v>
      </c>
      <c r="AH78" s="522">
        <f t="shared" si="163"/>
        <v>17637694.249999996</v>
      </c>
      <c r="AI78" s="522">
        <f t="shared" si="164"/>
        <v>345.73609773168801</v>
      </c>
      <c r="AJ78" s="522">
        <f t="shared" si="165"/>
        <v>-114258.51000000536</v>
      </c>
      <c r="AK78" s="522">
        <f t="shared" si="133"/>
        <v>-0.4999619033338405</v>
      </c>
      <c r="AL78" s="522">
        <f t="shared" si="189"/>
        <v>22739184.77</v>
      </c>
      <c r="AM78" s="522">
        <f t="shared" si="72"/>
        <v>2550745.2599999998</v>
      </c>
      <c r="AN78" s="522">
        <f t="shared" si="72"/>
        <v>5759100.0800000001</v>
      </c>
      <c r="AO78" s="522">
        <f t="shared" si="166"/>
        <v>3208354.8200000003</v>
      </c>
      <c r="AP78" s="522">
        <f t="shared" si="178"/>
        <v>125.78107544929833</v>
      </c>
      <c r="AQ78" s="578">
        <f>1211814.64+63557.99</f>
        <v>1275372.6299999999</v>
      </c>
      <c r="AR78" s="578">
        <v>1314505.6199999999</v>
      </c>
      <c r="AS78" s="578">
        <f>1211814.64+63557.99</f>
        <v>1275372.6299999999</v>
      </c>
      <c r="AT78" s="578">
        <v>4444594.46</v>
      </c>
      <c r="AU78" s="578">
        <f t="shared" si="79"/>
        <v>2550745.2599999998</v>
      </c>
      <c r="AV78" s="578">
        <f t="shared" si="79"/>
        <v>17094343.199999999</v>
      </c>
      <c r="AW78" s="578">
        <f t="shared" si="167"/>
        <v>14543597.939999999</v>
      </c>
      <c r="AX78" s="578">
        <f t="shared" si="168"/>
        <v>570.17053674736621</v>
      </c>
      <c r="AY78" s="578">
        <f t="shared" si="82"/>
        <v>16980084.689999998</v>
      </c>
      <c r="AZ78" s="578">
        <f t="shared" si="169"/>
        <v>114258.51000000164</v>
      </c>
      <c r="BA78" s="578">
        <f t="shared" si="170"/>
        <v>0.67289717387153303</v>
      </c>
      <c r="BB78" s="578">
        <f>1211814.64+63557.99</f>
        <v>1275372.6299999999</v>
      </c>
      <c r="BC78" s="576">
        <f>'[67]Дир_ имущ'!AT16</f>
        <v>8547171.5999999996</v>
      </c>
      <c r="BD78" s="576">
        <f t="shared" si="190"/>
        <v>8321555.4900000002</v>
      </c>
      <c r="BE78" s="576">
        <f t="shared" si="171"/>
        <v>7046182.8600000003</v>
      </c>
      <c r="BF78" s="576">
        <f t="shared" si="172"/>
        <v>-225616.1099999994</v>
      </c>
      <c r="BG78" s="576">
        <f t="shared" si="150"/>
        <v>3826117.8899999997</v>
      </c>
      <c r="BH78" s="578">
        <f t="shared" si="150"/>
        <v>14306271.68</v>
      </c>
      <c r="BI78" s="578">
        <f>783887.04+13296768.53</f>
        <v>14080655.57</v>
      </c>
      <c r="BJ78" s="578">
        <f t="shared" si="173"/>
        <v>10254537.68</v>
      </c>
      <c r="BK78" s="578">
        <f t="shared" si="174"/>
        <v>-225616.1099999994</v>
      </c>
      <c r="BL78" s="576">
        <f>1211814.64+63557.99</f>
        <v>1275372.6299999999</v>
      </c>
      <c r="BM78" s="578">
        <f>'[67]Дир_ имущ'!AW16</f>
        <v>8547171.5999999996</v>
      </c>
      <c r="BN78" s="522">
        <f t="shared" si="191"/>
        <v>8658529.1999999993</v>
      </c>
      <c r="BO78" s="578">
        <f t="shared" si="181"/>
        <v>7383156.5699999994</v>
      </c>
      <c r="BP78" s="578">
        <f t="shared" si="175"/>
        <v>111357.59999999963</v>
      </c>
      <c r="BQ78" s="576">
        <f>1211814.64+63557.99</f>
        <v>1275372.6299999999</v>
      </c>
      <c r="BR78" s="578">
        <f>'[67]Дир_ имущ'!BB16</f>
        <v>0</v>
      </c>
      <c r="BS78" s="578">
        <f>'[67]Дир_ имущ'!BC16</f>
        <v>0</v>
      </c>
      <c r="BT78" s="536"/>
      <c r="BU78" s="578">
        <v>1045182.72</v>
      </c>
      <c r="BV78" s="578">
        <v>21694002.050000001</v>
      </c>
      <c r="BW78" s="578"/>
      <c r="BX78" s="574"/>
      <c r="BY78" s="525">
        <f>1042023.87+21694002.05</f>
        <v>22736025.920000002</v>
      </c>
      <c r="BZ78" s="525">
        <v>2692.12</v>
      </c>
      <c r="CA78" s="525">
        <v>466.73</v>
      </c>
      <c r="CB78" s="522">
        <f t="shared" si="134"/>
        <v>22739184.770000003</v>
      </c>
      <c r="CC78" s="522">
        <f t="shared" si="176"/>
        <v>0</v>
      </c>
      <c r="CD78" s="578"/>
      <c r="CE78" s="578"/>
      <c r="CF78" s="578"/>
      <c r="CG78" s="578"/>
      <c r="CH78" s="578"/>
      <c r="CI78" s="578"/>
      <c r="CJ78" s="578"/>
      <c r="CK78" s="543" t="s">
        <v>1815</v>
      </c>
      <c r="CL78" s="543" t="s">
        <v>1816</v>
      </c>
      <c r="CM78" s="510" t="s">
        <v>1905</v>
      </c>
      <c r="CN78" s="528" t="s">
        <v>1849</v>
      </c>
      <c r="CO78" s="528"/>
      <c r="CP78" s="544">
        <f>U78*$CU$7/100</f>
        <v>4706739.4806560185</v>
      </c>
      <c r="CQ78" s="544">
        <f>U78*$CU$8/100</f>
        <v>345725.37019026536</v>
      </c>
      <c r="CR78" s="544">
        <f>U78*$CU$9/100</f>
        <v>49025.669153715513</v>
      </c>
      <c r="CS78" s="1688" t="s">
        <v>1826</v>
      </c>
      <c r="CT78" s="1689"/>
      <c r="CU78" s="1689"/>
      <c r="CV78" s="1689"/>
      <c r="CW78" s="1690"/>
      <c r="CX78" s="528"/>
      <c r="CY78" s="528"/>
      <c r="CZ78" s="528"/>
      <c r="DA78" s="528"/>
      <c r="DB78" s="579">
        <f>261295.68+1053209.94</f>
        <v>1314505.6199999999</v>
      </c>
      <c r="DD78" s="535">
        <f>783887.04</f>
        <v>783887.04</v>
      </c>
      <c r="DE78" s="535"/>
      <c r="DF78" s="525">
        <f t="shared" si="88"/>
        <v>22736.02592</v>
      </c>
      <c r="DG78" s="525">
        <f t="shared" si="88"/>
        <v>2.6921200000000001</v>
      </c>
      <c r="DH78" s="525">
        <f t="shared" si="88"/>
        <v>0.46673000000000003</v>
      </c>
      <c r="DI78" s="522">
        <f t="shared" si="88"/>
        <v>22739.184770000003</v>
      </c>
      <c r="DJ78" s="536"/>
      <c r="DK78" s="536"/>
      <c r="DL78" s="536"/>
      <c r="DM78" s="536"/>
      <c r="DN78" s="536"/>
      <c r="DO78" s="536"/>
      <c r="DP78" s="536"/>
      <c r="DQ78" s="536"/>
      <c r="DR78" s="536"/>
      <c r="DS78" s="536"/>
    </row>
    <row r="79" spans="1:123" s="534" customFormat="1" ht="58.5" customHeight="1">
      <c r="A79" s="537" t="s">
        <v>1187</v>
      </c>
      <c r="B79" s="538" t="s">
        <v>1188</v>
      </c>
      <c r="C79" s="576">
        <v>13795284.550000001</v>
      </c>
      <c r="D79" s="576">
        <v>2946409.24</v>
      </c>
      <c r="E79" s="576">
        <v>11186890</v>
      </c>
      <c r="F79" s="576">
        <v>9292293.1899999995</v>
      </c>
      <c r="G79" s="577">
        <v>13727381.290326264</v>
      </c>
      <c r="H79" s="577">
        <v>0</v>
      </c>
      <c r="I79" s="576">
        <f t="shared" si="185"/>
        <v>7261856.5499999998</v>
      </c>
      <c r="J79" s="576">
        <v>2850716.85</v>
      </c>
      <c r="K79" s="576">
        <v>2772864.67</v>
      </c>
      <c r="L79" s="576">
        <v>1638275.03</v>
      </c>
      <c r="M79" s="576">
        <f t="shared" si="186"/>
        <v>5623581.5199999996</v>
      </c>
      <c r="N79" s="576">
        <v>4347710.5999999996</v>
      </c>
      <c r="O79" s="525">
        <f t="shared" si="187"/>
        <v>1435212.2000000002</v>
      </c>
      <c r="P79" s="522">
        <f>5772452.46+10470.34</f>
        <v>5782922.7999999998</v>
      </c>
      <c r="Q79" s="576">
        <f t="shared" si="151"/>
        <v>-1478933.75</v>
      </c>
      <c r="R79" s="576">
        <f t="shared" si="152"/>
        <v>-20.36578029071643</v>
      </c>
      <c r="S79" s="576">
        <v>12796040</v>
      </c>
      <c r="T79" s="576">
        <v>12796040</v>
      </c>
      <c r="U79" s="522">
        <f t="shared" si="188"/>
        <v>8113838.7200000007</v>
      </c>
      <c r="V79" s="522">
        <f t="shared" si="149"/>
        <v>-4682201.2799999993</v>
      </c>
      <c r="W79" s="522">
        <f t="shared" si="153"/>
        <v>-36.591017846146144</v>
      </c>
      <c r="X79" s="522">
        <f t="shared" si="154"/>
        <v>2330915.9200000009</v>
      </c>
      <c r="Y79" s="522">
        <f t="shared" si="155"/>
        <v>40.306882879363371</v>
      </c>
      <c r="Z79" s="524">
        <f t="shared" si="156"/>
        <v>9823935.9900000002</v>
      </c>
      <c r="AA79" s="522">
        <f t="shared" si="157"/>
        <v>-2972104.01</v>
      </c>
      <c r="AB79" s="522">
        <f t="shared" si="158"/>
        <v>-23.226748353396829</v>
      </c>
      <c r="AC79" s="522">
        <f t="shared" si="159"/>
        <v>1710097.2699999996</v>
      </c>
      <c r="AD79" s="522">
        <f t="shared" si="160"/>
        <v>21.076303449127451</v>
      </c>
      <c r="AE79" s="522">
        <f t="shared" si="161"/>
        <v>4041013.1900000004</v>
      </c>
      <c r="AF79" s="522">
        <f t="shared" si="162"/>
        <v>69.878387275029866</v>
      </c>
      <c r="AG79" s="522">
        <f t="shared" si="177"/>
        <v>8444741.4499999993</v>
      </c>
      <c r="AH79" s="522">
        <f t="shared" si="163"/>
        <v>330902.72999999858</v>
      </c>
      <c r="AI79" s="522">
        <f t="shared" si="164"/>
        <v>4.0782512620610447</v>
      </c>
      <c r="AJ79" s="522">
        <f t="shared" si="165"/>
        <v>-1379194.540000001</v>
      </c>
      <c r="AK79" s="522">
        <f t="shared" si="133"/>
        <v>-14.039123844087669</v>
      </c>
      <c r="AL79" s="522">
        <f t="shared" si="189"/>
        <v>8444741.4499999993</v>
      </c>
      <c r="AM79" s="522">
        <f t="shared" si="72"/>
        <v>4051904.6</v>
      </c>
      <c r="AN79" s="522">
        <f t="shared" si="72"/>
        <v>3041389.21</v>
      </c>
      <c r="AO79" s="522">
        <f t="shared" si="166"/>
        <v>-1010515.3900000001</v>
      </c>
      <c r="AP79" s="522">
        <f t="shared" si="178"/>
        <v>-24.939269053866681</v>
      </c>
      <c r="AQ79" s="578">
        <v>2024278.51</v>
      </c>
      <c r="AR79" s="578">
        <v>1550099.26</v>
      </c>
      <c r="AS79" s="578">
        <v>2027626.09</v>
      </c>
      <c r="AT79" s="578">
        <v>1491289.95</v>
      </c>
      <c r="AU79" s="578">
        <f t="shared" si="79"/>
        <v>4061934.12</v>
      </c>
      <c r="AV79" s="578">
        <f t="shared" si="79"/>
        <v>6782546.7800000003</v>
      </c>
      <c r="AW79" s="578">
        <f t="shared" si="167"/>
        <v>2720612.66</v>
      </c>
      <c r="AX79" s="578">
        <f t="shared" si="168"/>
        <v>66.978256653753903</v>
      </c>
      <c r="AY79" s="578">
        <f t="shared" si="82"/>
        <v>5403352.2399999993</v>
      </c>
      <c r="AZ79" s="578">
        <f t="shared" si="169"/>
        <v>1379194.540000001</v>
      </c>
      <c r="BA79" s="578">
        <f t="shared" si="170"/>
        <v>25.524794215525759</v>
      </c>
      <c r="BB79" s="578">
        <v>2030967.06</v>
      </c>
      <c r="BC79" s="576">
        <f>'[67]Дир_ имущ'!AT17</f>
        <v>3391273.39</v>
      </c>
      <c r="BD79" s="576">
        <f t="shared" si="190"/>
        <v>2403479.25</v>
      </c>
      <c r="BE79" s="576">
        <f t="shared" si="171"/>
        <v>372512.18999999994</v>
      </c>
      <c r="BF79" s="576">
        <f t="shared" si="172"/>
        <v>-987794.14000000013</v>
      </c>
      <c r="BG79" s="576">
        <f t="shared" si="150"/>
        <v>6082871.6600000001</v>
      </c>
      <c r="BH79" s="578">
        <f t="shared" si="150"/>
        <v>6432662.5999999996</v>
      </c>
      <c r="BI79" s="578">
        <v>5444868.46</v>
      </c>
      <c r="BJ79" s="578">
        <f t="shared" si="173"/>
        <v>-638003.20000000019</v>
      </c>
      <c r="BK79" s="578">
        <f t="shared" si="174"/>
        <v>-987794.13999999966</v>
      </c>
      <c r="BL79" s="576">
        <v>2030967.06</v>
      </c>
      <c r="BM79" s="578">
        <f>'[67]Дир_ имущ'!AW17</f>
        <v>3391273.39</v>
      </c>
      <c r="BN79" s="522">
        <f t="shared" si="191"/>
        <v>2999872.9899999993</v>
      </c>
      <c r="BO79" s="578">
        <f t="shared" si="181"/>
        <v>968905.92999999924</v>
      </c>
      <c r="BP79" s="578">
        <f t="shared" si="175"/>
        <v>-391400.40000000084</v>
      </c>
      <c r="BQ79" s="576">
        <v>2030967.06</v>
      </c>
      <c r="BR79" s="578">
        <f>'[67]Дир_ имущ'!BB17</f>
        <v>0</v>
      </c>
      <c r="BS79" s="578">
        <f>'[67]Дир_ имущ'!BC17</f>
        <v>0</v>
      </c>
      <c r="BT79" s="536"/>
      <c r="BU79" s="578">
        <v>8444741.4499999993</v>
      </c>
      <c r="BV79" s="578"/>
      <c r="BW79" s="578"/>
      <c r="BX79" s="574"/>
      <c r="BY79" s="525">
        <v>8431750.2699999996</v>
      </c>
      <c r="BZ79" s="576">
        <v>9871.41</v>
      </c>
      <c r="CA79" s="576">
        <v>3119.77</v>
      </c>
      <c r="CB79" s="522">
        <f t="shared" si="134"/>
        <v>8444741.4499999993</v>
      </c>
      <c r="CC79" s="578">
        <f t="shared" si="176"/>
        <v>0</v>
      </c>
      <c r="CD79" s="578"/>
      <c r="CE79" s="578"/>
      <c r="CF79" s="578"/>
      <c r="CG79" s="578"/>
      <c r="CH79" s="578"/>
      <c r="CI79" s="578"/>
      <c r="CJ79" s="578"/>
      <c r="CK79" s="543" t="s">
        <v>1815</v>
      </c>
      <c r="CL79" s="543" t="s">
        <v>1816</v>
      </c>
      <c r="CM79" s="510" t="s">
        <v>1905</v>
      </c>
      <c r="CN79" s="528" t="s">
        <v>1849</v>
      </c>
      <c r="CO79" s="528"/>
      <c r="CP79" s="544">
        <f>U79</f>
        <v>8113838.7200000007</v>
      </c>
      <c r="CQ79" s="579"/>
      <c r="CR79" s="579"/>
      <c r="CS79" s="1691"/>
      <c r="CT79" s="1692"/>
      <c r="CU79" s="1692"/>
      <c r="CV79" s="1692"/>
      <c r="CW79" s="1693"/>
      <c r="CX79" s="528"/>
      <c r="CY79" s="528"/>
      <c r="CZ79" s="528"/>
      <c r="DA79" s="528"/>
      <c r="DB79" s="579">
        <f>1550099.26</f>
        <v>1550099.26</v>
      </c>
      <c r="DD79" s="535">
        <f>5444868.46</f>
        <v>5444868.46</v>
      </c>
      <c r="DE79" s="535"/>
      <c r="DF79" s="525">
        <f t="shared" si="88"/>
        <v>8431.7502700000005</v>
      </c>
      <c r="DG79" s="576">
        <f t="shared" si="88"/>
        <v>9.8714099999999991</v>
      </c>
      <c r="DH79" s="576">
        <f t="shared" si="88"/>
        <v>3.1197699999999999</v>
      </c>
      <c r="DI79" s="522">
        <f t="shared" si="88"/>
        <v>8444.7414499999995</v>
      </c>
      <c r="DJ79" s="536"/>
      <c r="DK79" s="536"/>
      <c r="DL79" s="536"/>
      <c r="DM79" s="536"/>
      <c r="DN79" s="536"/>
      <c r="DO79" s="536"/>
      <c r="DP79" s="536"/>
      <c r="DQ79" s="536"/>
      <c r="DR79" s="536"/>
      <c r="DS79" s="536"/>
    </row>
    <row r="80" spans="1:123" s="534" customFormat="1" ht="56.4">
      <c r="A80" s="537" t="s">
        <v>1192</v>
      </c>
      <c r="B80" s="538" t="s">
        <v>1193</v>
      </c>
      <c r="C80" s="576">
        <v>120114377.06999999</v>
      </c>
      <c r="D80" s="576">
        <v>143441523.97</v>
      </c>
      <c r="E80" s="576">
        <v>128911640</v>
      </c>
      <c r="F80" s="576">
        <v>115680124.13</v>
      </c>
      <c r="G80" s="577">
        <v>120738581.12</v>
      </c>
      <c r="H80" s="577">
        <v>0</v>
      </c>
      <c r="I80" s="576">
        <f t="shared" si="185"/>
        <v>121601572.20999999</v>
      </c>
      <c r="J80" s="576">
        <v>60139632.209999993</v>
      </c>
      <c r="K80" s="576">
        <v>30730970</v>
      </c>
      <c r="L80" s="576">
        <v>30730970</v>
      </c>
      <c r="M80" s="576">
        <f t="shared" si="186"/>
        <v>90870602.209999993</v>
      </c>
      <c r="N80" s="576">
        <v>88154316.319999993</v>
      </c>
      <c r="O80" s="525">
        <f t="shared" si="187"/>
        <v>29079564.969999999</v>
      </c>
      <c r="P80" s="522">
        <f>117518285.05+43566.88-327970.64</f>
        <v>117233881.28999999</v>
      </c>
      <c r="Q80" s="576">
        <f t="shared" si="151"/>
        <v>-4367690.9200000018</v>
      </c>
      <c r="R80" s="576">
        <f t="shared" si="152"/>
        <v>-3.5918046457962021</v>
      </c>
      <c r="S80" s="576">
        <v>112419271.22059998</v>
      </c>
      <c r="T80" s="576">
        <v>112419271.22059998</v>
      </c>
      <c r="U80" s="522">
        <f t="shared" si="188"/>
        <v>127054554.93000001</v>
      </c>
      <c r="V80" s="522">
        <f t="shared" si="149"/>
        <v>14635283.709400028</v>
      </c>
      <c r="W80" s="522">
        <f t="shared" si="153"/>
        <v>13.018482997173365</v>
      </c>
      <c r="X80" s="522">
        <f t="shared" si="154"/>
        <v>9820673.6400000155</v>
      </c>
      <c r="Y80" s="522">
        <f t="shared" si="155"/>
        <v>8.376992667935923</v>
      </c>
      <c r="Z80" s="524">
        <f t="shared" si="156"/>
        <v>121449373.66</v>
      </c>
      <c r="AA80" s="522">
        <f t="shared" si="157"/>
        <v>9030102.4394000173</v>
      </c>
      <c r="AB80" s="522">
        <f t="shared" si="158"/>
        <v>8.0325217743853585</v>
      </c>
      <c r="AC80" s="522">
        <f t="shared" si="159"/>
        <v>-5605181.2700000107</v>
      </c>
      <c r="AD80" s="522">
        <f t="shared" si="160"/>
        <v>-4.4116334696447126</v>
      </c>
      <c r="AE80" s="522">
        <f t="shared" si="161"/>
        <v>4215492.3700000048</v>
      </c>
      <c r="AF80" s="522">
        <f t="shared" si="162"/>
        <v>3.5957969860028811</v>
      </c>
      <c r="AG80" s="522">
        <f t="shared" si="177"/>
        <v>120149259.04000001</v>
      </c>
      <c r="AH80" s="522">
        <f t="shared" si="163"/>
        <v>-6905295.8900000006</v>
      </c>
      <c r="AI80" s="522">
        <f t="shared" si="164"/>
        <v>-5.4349062052945953</v>
      </c>
      <c r="AJ80" s="522">
        <f t="shared" si="165"/>
        <v>-1300114.6199999899</v>
      </c>
      <c r="AK80" s="522">
        <f t="shared" si="133"/>
        <v>-1.0704992383408154</v>
      </c>
      <c r="AL80" s="522">
        <f t="shared" si="189"/>
        <v>120149259.04000001</v>
      </c>
      <c r="AM80" s="522">
        <f t="shared" si="72"/>
        <v>63527277.450000003</v>
      </c>
      <c r="AN80" s="522">
        <f t="shared" si="72"/>
        <v>61064243.32</v>
      </c>
      <c r="AO80" s="522">
        <f t="shared" si="166"/>
        <v>-2463034.1300000027</v>
      </c>
      <c r="AP80" s="522">
        <f t="shared" si="178"/>
        <v>-3.8771284224144011</v>
      </c>
      <c r="AQ80" s="578">
        <f>30556012.73+1207625.98</f>
        <v>31763638.710000001</v>
      </c>
      <c r="AR80" s="578">
        <v>31267300.170000002</v>
      </c>
      <c r="AS80" s="578">
        <f>30556012.73+1207626.01</f>
        <v>31763638.740000002</v>
      </c>
      <c r="AT80" s="578">
        <v>29796943.149999999</v>
      </c>
      <c r="AU80" s="578">
        <f t="shared" si="79"/>
        <v>63527277.480000004</v>
      </c>
      <c r="AV80" s="578">
        <f t="shared" si="79"/>
        <v>60385130.340000004</v>
      </c>
      <c r="AW80" s="578">
        <f t="shared" si="167"/>
        <v>-3142147.1400000006</v>
      </c>
      <c r="AX80" s="578">
        <f t="shared" si="168"/>
        <v>-4.9461385166226108</v>
      </c>
      <c r="AY80" s="578">
        <f t="shared" si="82"/>
        <v>59085015.720000006</v>
      </c>
      <c r="AZ80" s="578">
        <f t="shared" si="169"/>
        <v>1300114.6199999973</v>
      </c>
      <c r="BA80" s="578">
        <f t="shared" si="170"/>
        <v>2.2004134282728387</v>
      </c>
      <c r="BB80" s="578">
        <f>30556012.73+1207626.01</f>
        <v>31763638.740000002</v>
      </c>
      <c r="BC80" s="576">
        <f>'[67]Дир_ имущ'!AT18</f>
        <v>30192565.170000002</v>
      </c>
      <c r="BD80" s="576">
        <f t="shared" si="190"/>
        <v>29225329.410000004</v>
      </c>
      <c r="BE80" s="576">
        <f t="shared" si="171"/>
        <v>-2538309.3299999982</v>
      </c>
      <c r="BF80" s="576">
        <f t="shared" si="172"/>
        <v>-967235.75999999791</v>
      </c>
      <c r="BG80" s="576">
        <f t="shared" si="150"/>
        <v>95290916.189999998</v>
      </c>
      <c r="BH80" s="578">
        <f t="shared" si="150"/>
        <v>91256808.49000001</v>
      </c>
      <c r="BI80" s="578">
        <v>90289572.730000004</v>
      </c>
      <c r="BJ80" s="578">
        <f t="shared" si="173"/>
        <v>-5001343.4599999934</v>
      </c>
      <c r="BK80" s="578">
        <f t="shared" si="174"/>
        <v>-967235.76000000536</v>
      </c>
      <c r="BL80" s="576">
        <f>30556012.73+1207626.01</f>
        <v>31763638.740000002</v>
      </c>
      <c r="BM80" s="578">
        <f>'[67]Дир_ имущ'!AW18</f>
        <v>30192565.170000002</v>
      </c>
      <c r="BN80" s="522">
        <f t="shared" si="191"/>
        <v>29859686.310000002</v>
      </c>
      <c r="BO80" s="578">
        <f t="shared" si="181"/>
        <v>-1903952.4299999997</v>
      </c>
      <c r="BP80" s="578">
        <f t="shared" si="175"/>
        <v>-332878.8599999994</v>
      </c>
      <c r="BQ80" s="576">
        <f>30556012.73+1207626.01</f>
        <v>31763638.740000002</v>
      </c>
      <c r="BR80" s="578">
        <f>'[67]Дир_ имущ'!BB18</f>
        <v>0</v>
      </c>
      <c r="BS80" s="578">
        <f>'[67]Дир_ имущ'!BC18</f>
        <v>0</v>
      </c>
      <c r="BT80" s="536"/>
      <c r="BU80" s="578">
        <v>120149259.04000001</v>
      </c>
      <c r="BV80" s="578"/>
      <c r="BW80" s="578"/>
      <c r="BX80" s="574"/>
      <c r="BY80" s="525">
        <v>118045646.34</v>
      </c>
      <c r="BZ80" s="576">
        <v>1773472.9</v>
      </c>
      <c r="CA80" s="576">
        <v>330139.8</v>
      </c>
      <c r="CB80" s="522">
        <f t="shared" si="134"/>
        <v>120149259.04000001</v>
      </c>
      <c r="CC80" s="578">
        <f t="shared" si="176"/>
        <v>0</v>
      </c>
      <c r="CD80" s="578"/>
      <c r="CE80" s="578"/>
      <c r="CF80" s="578"/>
      <c r="CG80" s="578"/>
      <c r="CH80" s="578"/>
      <c r="CI80" s="578"/>
      <c r="CJ80" s="578"/>
      <c r="CK80" s="543" t="s">
        <v>1815</v>
      </c>
      <c r="CL80" s="543" t="s">
        <v>1816</v>
      </c>
      <c r="CM80" s="510" t="s">
        <v>1905</v>
      </c>
      <c r="CN80" s="528" t="s">
        <v>1849</v>
      </c>
      <c r="CO80" s="528"/>
      <c r="CP80" s="544">
        <f>U80</f>
        <v>127054554.93000001</v>
      </c>
      <c r="CQ80" s="579"/>
      <c r="CR80" s="579"/>
      <c r="CS80" s="1691"/>
      <c r="CT80" s="1692"/>
      <c r="CU80" s="1692"/>
      <c r="CV80" s="1692"/>
      <c r="CW80" s="1693"/>
      <c r="CX80" s="528"/>
      <c r="CY80" s="528"/>
      <c r="CZ80" s="528"/>
      <c r="DA80" s="528"/>
      <c r="DB80" s="579">
        <f>31267300.17</f>
        <v>31267300.170000002</v>
      </c>
      <c r="DD80" s="535">
        <v>90289572.730000004</v>
      </c>
      <c r="DE80" s="535"/>
      <c r="DF80" s="525">
        <f t="shared" si="88"/>
        <v>118045.64634000001</v>
      </c>
      <c r="DG80" s="576">
        <f t="shared" si="88"/>
        <v>1773.4729</v>
      </c>
      <c r="DH80" s="576">
        <f t="shared" si="88"/>
        <v>330.13979999999998</v>
      </c>
      <c r="DI80" s="522">
        <f t="shared" si="88"/>
        <v>120149.25904</v>
      </c>
      <c r="DJ80" s="536"/>
      <c r="DK80" s="536"/>
      <c r="DL80" s="536"/>
      <c r="DM80" s="536"/>
      <c r="DN80" s="536"/>
      <c r="DO80" s="536"/>
      <c r="DP80" s="536"/>
      <c r="DQ80" s="536"/>
      <c r="DR80" s="536"/>
      <c r="DS80" s="536"/>
    </row>
    <row r="81" spans="1:123" s="623" customFormat="1" ht="56.4">
      <c r="A81" s="537" t="s">
        <v>1197</v>
      </c>
      <c r="B81" s="538" t="s">
        <v>1198</v>
      </c>
      <c r="C81" s="576">
        <v>5918537.9000000004</v>
      </c>
      <c r="D81" s="576">
        <v>11689888.880000001</v>
      </c>
      <c r="E81" s="576">
        <v>1216952.52</v>
      </c>
      <c r="F81" s="576">
        <v>1678384.2</v>
      </c>
      <c r="G81" s="577">
        <v>1769020</v>
      </c>
      <c r="H81" s="577">
        <v>0</v>
      </c>
      <c r="I81" s="576">
        <f t="shared" si="185"/>
        <v>476544.32</v>
      </c>
      <c r="J81" s="576">
        <v>0</v>
      </c>
      <c r="K81" s="576">
        <v>238272.16</v>
      </c>
      <c r="L81" s="576">
        <v>238272.16</v>
      </c>
      <c r="M81" s="576">
        <f t="shared" si="186"/>
        <v>238272.16</v>
      </c>
      <c r="N81" s="576">
        <v>714813.57</v>
      </c>
      <c r="O81" s="525">
        <f t="shared" si="187"/>
        <v>-714813.57</v>
      </c>
      <c r="P81" s="522"/>
      <c r="Q81" s="576">
        <f t="shared" si="151"/>
        <v>-476544.32</v>
      </c>
      <c r="R81" s="576">
        <f t="shared" si="152"/>
        <v>-100</v>
      </c>
      <c r="S81" s="576">
        <v>1723173.6999999997</v>
      </c>
      <c r="T81" s="576">
        <v>1723173.6999999997</v>
      </c>
      <c r="U81" s="522">
        <f t="shared" si="188"/>
        <v>953084.76</v>
      </c>
      <c r="V81" s="522">
        <f t="shared" si="149"/>
        <v>-770088.93999999971</v>
      </c>
      <c r="W81" s="522">
        <f t="shared" si="153"/>
        <v>-44.690151666079849</v>
      </c>
      <c r="X81" s="522">
        <f t="shared" si="154"/>
        <v>953084.76</v>
      </c>
      <c r="Y81" s="522">
        <v>0</v>
      </c>
      <c r="Z81" s="524">
        <f t="shared" si="156"/>
        <v>476542.38</v>
      </c>
      <c r="AA81" s="522">
        <f t="shared" si="157"/>
        <v>-1246631.3199999998</v>
      </c>
      <c r="AB81" s="522">
        <f t="shared" si="158"/>
        <v>-72.345075833039928</v>
      </c>
      <c r="AC81" s="522">
        <f t="shared" si="159"/>
        <v>-476542.38</v>
      </c>
      <c r="AD81" s="522">
        <f t="shared" si="160"/>
        <v>-50</v>
      </c>
      <c r="AE81" s="522">
        <f t="shared" si="161"/>
        <v>476542.38</v>
      </c>
      <c r="AF81" s="522">
        <v>0</v>
      </c>
      <c r="AG81" s="522">
        <f t="shared" si="177"/>
        <v>0</v>
      </c>
      <c r="AH81" s="522">
        <f t="shared" si="163"/>
        <v>-953084.76</v>
      </c>
      <c r="AI81" s="522">
        <f t="shared" si="164"/>
        <v>-100</v>
      </c>
      <c r="AJ81" s="522">
        <f t="shared" si="165"/>
        <v>-476542.38</v>
      </c>
      <c r="AK81" s="522">
        <f t="shared" si="133"/>
        <v>-100</v>
      </c>
      <c r="AL81" s="522">
        <f t="shared" si="189"/>
        <v>0</v>
      </c>
      <c r="AM81" s="522">
        <f t="shared" si="72"/>
        <v>476542.38</v>
      </c>
      <c r="AN81" s="522">
        <f t="shared" si="72"/>
        <v>0</v>
      </c>
      <c r="AO81" s="522">
        <f t="shared" si="166"/>
        <v>-476542.38</v>
      </c>
      <c r="AP81" s="522">
        <f t="shared" si="178"/>
        <v>-100</v>
      </c>
      <c r="AQ81" s="578">
        <v>238271.19</v>
      </c>
      <c r="AR81" s="578">
        <v>0</v>
      </c>
      <c r="AS81" s="578">
        <v>238271.19</v>
      </c>
      <c r="AT81" s="578">
        <v>0</v>
      </c>
      <c r="AU81" s="578">
        <f t="shared" si="79"/>
        <v>476542.38</v>
      </c>
      <c r="AV81" s="578">
        <f t="shared" si="79"/>
        <v>476542.38</v>
      </c>
      <c r="AW81" s="578">
        <f t="shared" si="167"/>
        <v>0</v>
      </c>
      <c r="AX81" s="578">
        <f t="shared" si="168"/>
        <v>0</v>
      </c>
      <c r="AY81" s="578">
        <f t="shared" si="82"/>
        <v>0</v>
      </c>
      <c r="AZ81" s="578">
        <f t="shared" si="169"/>
        <v>476542.38</v>
      </c>
      <c r="BA81" s="578" t="e">
        <f t="shared" si="170"/>
        <v>#DIV/0!</v>
      </c>
      <c r="BB81" s="578">
        <v>238271.19</v>
      </c>
      <c r="BC81" s="576">
        <f>'[67]Дир_ имущ'!AT19</f>
        <v>238271.19</v>
      </c>
      <c r="BD81" s="576">
        <f t="shared" si="190"/>
        <v>0</v>
      </c>
      <c r="BE81" s="576">
        <f t="shared" si="171"/>
        <v>-238271.19</v>
      </c>
      <c r="BF81" s="576">
        <f t="shared" si="172"/>
        <v>-238271.19</v>
      </c>
      <c r="BG81" s="576">
        <f t="shared" si="150"/>
        <v>714813.57000000007</v>
      </c>
      <c r="BH81" s="578">
        <f t="shared" si="150"/>
        <v>238271.19</v>
      </c>
      <c r="BI81" s="578"/>
      <c r="BJ81" s="578">
        <f t="shared" si="173"/>
        <v>-714813.57000000007</v>
      </c>
      <c r="BK81" s="578">
        <f t="shared" si="174"/>
        <v>-238271.19</v>
      </c>
      <c r="BL81" s="576">
        <v>238271.19</v>
      </c>
      <c r="BM81" s="578">
        <f>'[67]Дир_ имущ'!AW19</f>
        <v>238271.19</v>
      </c>
      <c r="BN81" s="522">
        <f t="shared" si="191"/>
        <v>0</v>
      </c>
      <c r="BO81" s="578">
        <f t="shared" si="181"/>
        <v>-238271.19</v>
      </c>
      <c r="BP81" s="578">
        <f t="shared" si="175"/>
        <v>-238271.19</v>
      </c>
      <c r="BQ81" s="576">
        <v>238271.19</v>
      </c>
      <c r="BR81" s="578">
        <f>'[67]Дир_ имущ'!BB19</f>
        <v>0</v>
      </c>
      <c r="BS81" s="578">
        <f>'[67]Дир_ имущ'!BC19</f>
        <v>0</v>
      </c>
      <c r="BT81" s="621"/>
      <c r="BU81" s="578"/>
      <c r="BV81" s="578"/>
      <c r="BW81" s="578"/>
      <c r="BX81" s="574"/>
      <c r="BY81" s="525"/>
      <c r="BZ81" s="525"/>
      <c r="CA81" s="525"/>
      <c r="CB81" s="522">
        <f t="shared" si="134"/>
        <v>0</v>
      </c>
      <c r="CC81" s="522">
        <f t="shared" si="176"/>
        <v>0</v>
      </c>
      <c r="CD81" s="578"/>
      <c r="CE81" s="578"/>
      <c r="CF81" s="578"/>
      <c r="CG81" s="578"/>
      <c r="CH81" s="578"/>
      <c r="CI81" s="578"/>
      <c r="CJ81" s="578"/>
      <c r="CK81" s="542" t="s">
        <v>1815</v>
      </c>
      <c r="CL81" s="542" t="s">
        <v>1816</v>
      </c>
      <c r="CM81" s="510" t="s">
        <v>1905</v>
      </c>
      <c r="CN81" s="528" t="s">
        <v>1849</v>
      </c>
      <c r="CO81" s="622"/>
      <c r="CP81" s="544">
        <f>U81*$CU$7/100</f>
        <v>879335.49042517215</v>
      </c>
      <c r="CQ81" s="544">
        <f>U81*$CU$8/100</f>
        <v>64590.060528760951</v>
      </c>
      <c r="CR81" s="544">
        <f>U81*$CU$9/100</f>
        <v>9159.209046066866</v>
      </c>
      <c r="CS81" s="1688" t="s">
        <v>1826</v>
      </c>
      <c r="CT81" s="1689"/>
      <c r="CU81" s="1689"/>
      <c r="CV81" s="1689"/>
      <c r="CW81" s="1690"/>
      <c r="CX81" s="622"/>
      <c r="CY81" s="622"/>
      <c r="CZ81" s="622"/>
      <c r="DA81" s="622"/>
      <c r="DB81" s="579"/>
      <c r="DD81" s="624"/>
      <c r="DE81" s="624"/>
      <c r="DF81" s="525">
        <f t="shared" si="88"/>
        <v>0</v>
      </c>
      <c r="DG81" s="525">
        <f t="shared" si="88"/>
        <v>0</v>
      </c>
      <c r="DH81" s="525">
        <f t="shared" si="88"/>
        <v>0</v>
      </c>
      <c r="DI81" s="522">
        <f t="shared" si="88"/>
        <v>0</v>
      </c>
      <c r="DJ81" s="621"/>
      <c r="DK81" s="621"/>
      <c r="DL81" s="621"/>
      <c r="DM81" s="621"/>
      <c r="DN81" s="621"/>
      <c r="DO81" s="621"/>
      <c r="DP81" s="621"/>
      <c r="DQ81" s="621"/>
      <c r="DR81" s="621"/>
      <c r="DS81" s="621"/>
    </row>
    <row r="82" spans="1:123" s="534" customFormat="1" ht="56.4">
      <c r="A82" s="537" t="s">
        <v>1202</v>
      </c>
      <c r="B82" s="538" t="s">
        <v>1203</v>
      </c>
      <c r="C82" s="576">
        <v>34229251.170000002</v>
      </c>
      <c r="D82" s="576">
        <v>48789236.82</v>
      </c>
      <c r="E82" s="576">
        <v>37728680</v>
      </c>
      <c r="F82" s="576">
        <v>37599429.829999998</v>
      </c>
      <c r="G82" s="577">
        <v>38351500</v>
      </c>
      <c r="H82" s="577">
        <v>0</v>
      </c>
      <c r="I82" s="576">
        <f t="shared" si="185"/>
        <v>37418524.340000004</v>
      </c>
      <c r="J82" s="576">
        <v>17834807.640000001</v>
      </c>
      <c r="K82" s="576">
        <v>9791858.3499999996</v>
      </c>
      <c r="L82" s="576">
        <v>9791858.3499999996</v>
      </c>
      <c r="M82" s="576">
        <f t="shared" si="186"/>
        <v>27626665.990000002</v>
      </c>
      <c r="N82" s="576">
        <v>27742677.629999999</v>
      </c>
      <c r="O82" s="525">
        <f t="shared" si="187"/>
        <v>11384506.680000003</v>
      </c>
      <c r="P82" s="522">
        <v>39127184.310000002</v>
      </c>
      <c r="Q82" s="576">
        <f t="shared" si="151"/>
        <v>1708659.9699999988</v>
      </c>
      <c r="R82" s="576">
        <f t="shared" si="152"/>
        <v>4.5663478187285307</v>
      </c>
      <c r="S82" s="576">
        <v>43428900</v>
      </c>
      <c r="T82" s="576">
        <v>43428900</v>
      </c>
      <c r="U82" s="522">
        <f t="shared" si="188"/>
        <v>42274930.759999998</v>
      </c>
      <c r="V82" s="522">
        <f t="shared" si="149"/>
        <v>-1153969.2400000021</v>
      </c>
      <c r="W82" s="522">
        <f t="shared" si="153"/>
        <v>-2.6571459097513497</v>
      </c>
      <c r="X82" s="522">
        <f t="shared" si="154"/>
        <v>3147746.4499999955</v>
      </c>
      <c r="Y82" s="522">
        <f t="shared" si="155"/>
        <v>8.0449091993453266</v>
      </c>
      <c r="Z82" s="524">
        <f t="shared" si="156"/>
        <v>42476851.599999994</v>
      </c>
      <c r="AA82" s="522">
        <f t="shared" si="157"/>
        <v>-952048.40000000596</v>
      </c>
      <c r="AB82" s="522">
        <f t="shared" si="158"/>
        <v>-2.1922001248017011</v>
      </c>
      <c r="AC82" s="522">
        <f t="shared" si="159"/>
        <v>201920.83999999613</v>
      </c>
      <c r="AD82" s="522">
        <f t="shared" si="160"/>
        <v>0.47763730506460433</v>
      </c>
      <c r="AE82" s="522">
        <f t="shared" si="161"/>
        <v>3349667.2899999917</v>
      </c>
      <c r="AF82" s="522">
        <f t="shared" si="162"/>
        <v>8.5609719919045943</v>
      </c>
      <c r="AG82" s="522">
        <f t="shared" si="177"/>
        <v>42678772.439999998</v>
      </c>
      <c r="AH82" s="522">
        <f t="shared" si="163"/>
        <v>403841.6799999997</v>
      </c>
      <c r="AI82" s="522">
        <f t="shared" si="164"/>
        <v>0.9552746101292513</v>
      </c>
      <c r="AJ82" s="522">
        <f t="shared" si="165"/>
        <v>201920.84000000358</v>
      </c>
      <c r="AK82" s="522">
        <f t="shared" si="133"/>
        <v>0.47536677600655253</v>
      </c>
      <c r="AL82" s="522">
        <f t="shared" si="189"/>
        <v>42678772.439999998</v>
      </c>
      <c r="AM82" s="522">
        <f t="shared" si="72"/>
        <v>21137465.379999999</v>
      </c>
      <c r="AN82" s="522">
        <f t="shared" si="72"/>
        <v>21339386.219999999</v>
      </c>
      <c r="AO82" s="522">
        <f t="shared" si="166"/>
        <v>201920.83999999985</v>
      </c>
      <c r="AP82" s="522">
        <f t="shared" si="178"/>
        <v>0.9552746101292513</v>
      </c>
      <c r="AQ82" s="578">
        <v>10568732.689999999</v>
      </c>
      <c r="AR82" s="578">
        <v>10669693.109999999</v>
      </c>
      <c r="AS82" s="578">
        <v>10568732.689999999</v>
      </c>
      <c r="AT82" s="578">
        <v>10669693.109999999</v>
      </c>
      <c r="AU82" s="578">
        <f t="shared" si="79"/>
        <v>21137465.379999999</v>
      </c>
      <c r="AV82" s="578">
        <f t="shared" si="79"/>
        <v>21137465.379999999</v>
      </c>
      <c r="AW82" s="578">
        <f t="shared" si="167"/>
        <v>0</v>
      </c>
      <c r="AX82" s="578">
        <f t="shared" si="168"/>
        <v>0</v>
      </c>
      <c r="AY82" s="578">
        <f t="shared" si="82"/>
        <v>21339386.219999999</v>
      </c>
      <c r="AZ82" s="578">
        <f t="shared" si="169"/>
        <v>-201920.83999999985</v>
      </c>
      <c r="BA82" s="578">
        <f t="shared" si="170"/>
        <v>-0.9462354629991836</v>
      </c>
      <c r="BB82" s="578">
        <v>10568732.689999999</v>
      </c>
      <c r="BC82" s="576">
        <f>'[67]Дир_ имущ'!AT20</f>
        <v>10568732.689999999</v>
      </c>
      <c r="BD82" s="576">
        <f t="shared" si="190"/>
        <v>10669693.109999999</v>
      </c>
      <c r="BE82" s="576">
        <f t="shared" si="171"/>
        <v>100960.41999999993</v>
      </c>
      <c r="BF82" s="576">
        <f t="shared" si="172"/>
        <v>100960.41999999993</v>
      </c>
      <c r="BG82" s="576">
        <f t="shared" si="150"/>
        <v>31706198.07</v>
      </c>
      <c r="BH82" s="578">
        <f t="shared" si="150"/>
        <v>31908118.909999996</v>
      </c>
      <c r="BI82" s="578">
        <v>32009079.329999998</v>
      </c>
      <c r="BJ82" s="578">
        <f t="shared" si="173"/>
        <v>302881.25999999791</v>
      </c>
      <c r="BK82" s="578">
        <f t="shared" si="174"/>
        <v>100960.42000000179</v>
      </c>
      <c r="BL82" s="576">
        <v>10568732.689999999</v>
      </c>
      <c r="BM82" s="578">
        <f>'[67]Дир_ имущ'!AW20</f>
        <v>10568732.689999999</v>
      </c>
      <c r="BN82" s="522">
        <f t="shared" si="191"/>
        <v>10669693.109999999</v>
      </c>
      <c r="BO82" s="578">
        <f t="shared" si="181"/>
        <v>100960.41999999993</v>
      </c>
      <c r="BP82" s="578">
        <f t="shared" si="175"/>
        <v>100960.41999999993</v>
      </c>
      <c r="BQ82" s="576">
        <v>10568732.689999999</v>
      </c>
      <c r="BR82" s="578">
        <f>'[67]Дир_ имущ'!BB20</f>
        <v>0</v>
      </c>
      <c r="BS82" s="578">
        <f>'[67]Дир_ имущ'!BC20</f>
        <v>0</v>
      </c>
      <c r="BT82" s="536"/>
      <c r="BU82" s="578">
        <v>42678772.439999998</v>
      </c>
      <c r="BV82" s="578"/>
      <c r="BW82" s="578"/>
      <c r="BX82" s="625"/>
      <c r="BY82" s="525">
        <v>42547889.479999997</v>
      </c>
      <c r="BZ82" s="525">
        <v>111712.46</v>
      </c>
      <c r="CA82" s="525">
        <v>19170.5</v>
      </c>
      <c r="CB82" s="522">
        <f t="shared" si="134"/>
        <v>42678772.439999998</v>
      </c>
      <c r="CC82" s="522">
        <f t="shared" si="176"/>
        <v>0</v>
      </c>
      <c r="CD82" s="578"/>
      <c r="CE82" s="578"/>
      <c r="CF82" s="578"/>
      <c r="CG82" s="578"/>
      <c r="CH82" s="578"/>
      <c r="CI82" s="578"/>
      <c r="CJ82" s="578"/>
      <c r="CK82" s="542" t="s">
        <v>1815</v>
      </c>
      <c r="CL82" s="542" t="s">
        <v>1816</v>
      </c>
      <c r="CM82" s="510" t="s">
        <v>1905</v>
      </c>
      <c r="CN82" s="528" t="s">
        <v>1849</v>
      </c>
      <c r="CO82" s="528"/>
      <c r="CP82" s="544">
        <f>U82*$CU$7/100</f>
        <v>39003715.653301179</v>
      </c>
      <c r="CQ82" s="544">
        <f>U82*$CU$8/100</f>
        <v>2864950.1610303563</v>
      </c>
      <c r="CR82" s="544">
        <f>U82*$CU$9/100</f>
        <v>406264.94566846534</v>
      </c>
      <c r="CS82" s="1688" t="s">
        <v>1826</v>
      </c>
      <c r="CT82" s="1689"/>
      <c r="CU82" s="1689"/>
      <c r="CV82" s="1689"/>
      <c r="CW82" s="1690"/>
      <c r="CX82" s="528"/>
      <c r="CY82" s="528"/>
      <c r="CZ82" s="528"/>
      <c r="DA82" s="528"/>
      <c r="DB82" s="579">
        <f>10669693.11</f>
        <v>10669693.109999999</v>
      </c>
      <c r="DD82" s="535">
        <v>32009079.329999998</v>
      </c>
      <c r="DE82" s="535"/>
      <c r="DF82" s="525">
        <f t="shared" si="88"/>
        <v>42547.889479999998</v>
      </c>
      <c r="DG82" s="525">
        <f t="shared" si="88"/>
        <v>111.71246000000001</v>
      </c>
      <c r="DH82" s="525">
        <f t="shared" si="88"/>
        <v>19.170500000000001</v>
      </c>
      <c r="DI82" s="522">
        <f t="shared" si="88"/>
        <v>42678.772440000001</v>
      </c>
      <c r="DJ82" s="536"/>
      <c r="DK82" s="536"/>
      <c r="DL82" s="536"/>
      <c r="DM82" s="536"/>
      <c r="DN82" s="536"/>
      <c r="DO82" s="536"/>
      <c r="DP82" s="536"/>
      <c r="DQ82" s="536"/>
      <c r="DR82" s="536"/>
      <c r="DS82" s="536"/>
    </row>
    <row r="83" spans="1:123" s="534" customFormat="1" ht="61.5" customHeight="1">
      <c r="A83" s="537" t="s">
        <v>1207</v>
      </c>
      <c r="B83" s="538" t="s">
        <v>1208</v>
      </c>
      <c r="C83" s="576">
        <v>119272788.17</v>
      </c>
      <c r="D83" s="576">
        <v>188727606.05000001</v>
      </c>
      <c r="E83" s="576">
        <v>135426310</v>
      </c>
      <c r="F83" s="576">
        <v>133307652.84</v>
      </c>
      <c r="G83" s="626">
        <v>143863890</v>
      </c>
      <c r="H83" s="626">
        <v>0</v>
      </c>
      <c r="I83" s="576">
        <f t="shared" si="185"/>
        <v>136191138.61000001</v>
      </c>
      <c r="J83" s="576">
        <v>67766066.450000018</v>
      </c>
      <c r="K83" s="576">
        <v>34212536.079999998</v>
      </c>
      <c r="L83" s="576">
        <v>34212536.079999998</v>
      </c>
      <c r="M83" s="576">
        <f t="shared" si="186"/>
        <v>101978602.53000002</v>
      </c>
      <c r="N83" s="576">
        <v>101966925.38</v>
      </c>
      <c r="O83" s="525">
        <f t="shared" si="187"/>
        <v>36083812.829999983</v>
      </c>
      <c r="P83" s="522">
        <f>895506.32+137155231.89</f>
        <v>138050738.20999998</v>
      </c>
      <c r="Q83" s="576">
        <f t="shared" si="151"/>
        <v>1859599.5999999642</v>
      </c>
      <c r="R83" s="576">
        <f t="shared" si="152"/>
        <v>1.3654336243748872</v>
      </c>
      <c r="S83" s="576">
        <v>160529340</v>
      </c>
      <c r="T83" s="576">
        <v>160529340</v>
      </c>
      <c r="U83" s="522">
        <f t="shared" si="188"/>
        <v>146497710.80000001</v>
      </c>
      <c r="V83" s="522">
        <f t="shared" si="149"/>
        <v>-14031629.199999988</v>
      </c>
      <c r="W83" s="522">
        <f t="shared" si="153"/>
        <v>-8.7408502395885961</v>
      </c>
      <c r="X83" s="522">
        <f t="shared" si="154"/>
        <v>8446972.5900000334</v>
      </c>
      <c r="Y83" s="522">
        <f t="shared" si="155"/>
        <v>6.1187449625591057</v>
      </c>
      <c r="Z83" s="524">
        <f t="shared" si="156"/>
        <v>149490192.45999998</v>
      </c>
      <c r="AA83" s="522">
        <f t="shared" si="157"/>
        <v>-11039147.540000021</v>
      </c>
      <c r="AB83" s="522">
        <f t="shared" si="158"/>
        <v>-6.8767164556958988</v>
      </c>
      <c r="AC83" s="522">
        <f t="shared" si="159"/>
        <v>2992481.6599999666</v>
      </c>
      <c r="AD83" s="522">
        <f t="shared" si="160"/>
        <v>2.0426815160854801</v>
      </c>
      <c r="AE83" s="522">
        <f t="shared" si="161"/>
        <v>11439454.25</v>
      </c>
      <c r="AF83" s="522">
        <f t="shared" si="162"/>
        <v>8.2864129510112008</v>
      </c>
      <c r="AG83" s="522">
        <f t="shared" si="177"/>
        <v>144911378.89000002</v>
      </c>
      <c r="AH83" s="522">
        <f t="shared" si="163"/>
        <v>-1586331.9099999964</v>
      </c>
      <c r="AI83" s="522">
        <f t="shared" si="164"/>
        <v>-1.0828373367319557</v>
      </c>
      <c r="AJ83" s="522">
        <f t="shared" si="165"/>
        <v>-4578813.569999963</v>
      </c>
      <c r="AK83" s="522">
        <f t="shared" si="133"/>
        <v>-3.0629524884886052</v>
      </c>
      <c r="AL83" s="522">
        <f t="shared" si="189"/>
        <v>144911378.89000002</v>
      </c>
      <c r="AM83" s="522">
        <f t="shared" ref="AM83:AN146" si="192">AQ83+AS83</f>
        <v>73248855.400000006</v>
      </c>
      <c r="AN83" s="522">
        <f t="shared" si="192"/>
        <v>72066647.859999999</v>
      </c>
      <c r="AO83" s="522">
        <f t="shared" si="166"/>
        <v>-1182207.5400000066</v>
      </c>
      <c r="AP83" s="522">
        <f t="shared" si="178"/>
        <v>-1.6139604278376254</v>
      </c>
      <c r="AQ83" s="578">
        <v>36624427.700000003</v>
      </c>
      <c r="AR83" s="578">
        <v>36285093.370000005</v>
      </c>
      <c r="AS83" s="578">
        <v>36624427.700000003</v>
      </c>
      <c r="AT83" s="578">
        <v>35781554.489999995</v>
      </c>
      <c r="AU83" s="578">
        <f t="shared" si="79"/>
        <v>73248855.400000006</v>
      </c>
      <c r="AV83" s="578">
        <f t="shared" si="79"/>
        <v>77423544.599999994</v>
      </c>
      <c r="AW83" s="578">
        <f t="shared" si="167"/>
        <v>4174689.1999999881</v>
      </c>
      <c r="AX83" s="578">
        <f t="shared" si="168"/>
        <v>5.699323460008614</v>
      </c>
      <c r="AY83" s="578">
        <f t="shared" si="82"/>
        <v>72844731.030000016</v>
      </c>
      <c r="AZ83" s="578">
        <f t="shared" si="169"/>
        <v>4578813.5699999779</v>
      </c>
      <c r="BA83" s="578">
        <f t="shared" si="170"/>
        <v>6.2857169012186347</v>
      </c>
      <c r="BB83" s="578">
        <v>36624427.700000003</v>
      </c>
      <c r="BC83" s="576">
        <f>'[67]Дир_ имущ'!AT21</f>
        <v>38711772.299999997</v>
      </c>
      <c r="BD83" s="576">
        <f t="shared" si="190"/>
        <v>33841897.819999993</v>
      </c>
      <c r="BE83" s="576">
        <f t="shared" si="171"/>
        <v>-2782529.8800000101</v>
      </c>
      <c r="BF83" s="576">
        <f t="shared" si="172"/>
        <v>-4869874.4800000042</v>
      </c>
      <c r="BG83" s="576">
        <f t="shared" si="150"/>
        <v>109873283.10000001</v>
      </c>
      <c r="BH83" s="578">
        <f t="shared" si="150"/>
        <v>110778420.16</v>
      </c>
      <c r="BI83" s="578">
        <f>105332575.58+575970.1</f>
        <v>105908545.67999999</v>
      </c>
      <c r="BJ83" s="578">
        <f t="shared" si="173"/>
        <v>-3964737.4200000167</v>
      </c>
      <c r="BK83" s="578">
        <f t="shared" si="174"/>
        <v>-4869874.4800000042</v>
      </c>
      <c r="BL83" s="576">
        <v>36624427.700000003</v>
      </c>
      <c r="BM83" s="578">
        <f>'[67]Дир_ имущ'!AW21</f>
        <v>38711772.299999997</v>
      </c>
      <c r="BN83" s="522">
        <f t="shared" si="191"/>
        <v>39002833.210000023</v>
      </c>
      <c r="BO83" s="578">
        <f t="shared" si="181"/>
        <v>2378405.5100000203</v>
      </c>
      <c r="BP83" s="578">
        <f t="shared" si="175"/>
        <v>291060.91000002623</v>
      </c>
      <c r="BQ83" s="576">
        <v>36624427.700000003</v>
      </c>
      <c r="BR83" s="578">
        <f>'[67]Дир_ имущ'!BB21</f>
        <v>0</v>
      </c>
      <c r="BS83" s="578">
        <f>'[67]Дир_ имущ'!BC21</f>
        <v>0</v>
      </c>
      <c r="BT83" s="536"/>
      <c r="BU83" s="578">
        <v>144142761.09</v>
      </c>
      <c r="BV83" s="578">
        <v>768617.8</v>
      </c>
      <c r="BW83" s="578"/>
      <c r="BX83" s="574"/>
      <c r="BY83" s="525">
        <f>144060496.18+768617.8</f>
        <v>144829113.98000002</v>
      </c>
      <c r="BZ83" s="576">
        <v>56940.14</v>
      </c>
      <c r="CA83" s="576">
        <v>25324.77</v>
      </c>
      <c r="CB83" s="522">
        <f t="shared" si="134"/>
        <v>144911378.89000002</v>
      </c>
      <c r="CC83" s="578">
        <f t="shared" si="176"/>
        <v>0</v>
      </c>
      <c r="CD83" s="578"/>
      <c r="CE83" s="578"/>
      <c r="CF83" s="578"/>
      <c r="CG83" s="578"/>
      <c r="CH83" s="578"/>
      <c r="CI83" s="578"/>
      <c r="CJ83" s="578"/>
      <c r="CK83" s="543" t="s">
        <v>1815</v>
      </c>
      <c r="CL83" s="543" t="s">
        <v>1816</v>
      </c>
      <c r="CM83" s="510" t="s">
        <v>1905</v>
      </c>
      <c r="CN83" s="528" t="s">
        <v>1849</v>
      </c>
      <c r="CO83" s="528"/>
      <c r="CP83" s="544">
        <f>U83</f>
        <v>146497710.80000001</v>
      </c>
      <c r="CQ83" s="579"/>
      <c r="CR83" s="579"/>
      <c r="CS83" s="1691"/>
      <c r="CT83" s="1692"/>
      <c r="CU83" s="1692"/>
      <c r="CV83" s="1692"/>
      <c r="CW83" s="1693"/>
      <c r="CX83" s="528"/>
      <c r="CY83" s="528"/>
      <c r="CZ83" s="528"/>
      <c r="DA83" s="528"/>
      <c r="DB83" s="579">
        <f>36094753.67+190339.7</f>
        <v>36285093.370000005</v>
      </c>
      <c r="DD83" s="535">
        <v>105332575.58</v>
      </c>
      <c r="DE83" s="535"/>
      <c r="DF83" s="525">
        <f t="shared" si="88"/>
        <v>144829.11398000002</v>
      </c>
      <c r="DG83" s="576">
        <f t="shared" si="88"/>
        <v>56.94014</v>
      </c>
      <c r="DH83" s="576">
        <f t="shared" si="88"/>
        <v>25.324770000000001</v>
      </c>
      <c r="DI83" s="522">
        <f t="shared" si="88"/>
        <v>144911.37889000002</v>
      </c>
      <c r="DJ83" s="536"/>
      <c r="DK83" s="536"/>
      <c r="DL83" s="536"/>
      <c r="DM83" s="536"/>
      <c r="DN83" s="536"/>
      <c r="DO83" s="536"/>
      <c r="DP83" s="536"/>
      <c r="DQ83" s="536"/>
      <c r="DR83" s="536"/>
      <c r="DS83" s="536"/>
    </row>
    <row r="84" spans="1:123" s="534" customFormat="1" ht="65.25" customHeight="1">
      <c r="A84" s="537" t="s">
        <v>1212</v>
      </c>
      <c r="B84" s="538" t="s">
        <v>1213</v>
      </c>
      <c r="C84" s="576"/>
      <c r="D84" s="576"/>
      <c r="E84" s="576"/>
      <c r="F84" s="576"/>
      <c r="G84" s="627">
        <v>0</v>
      </c>
      <c r="H84" s="627">
        <v>0</v>
      </c>
      <c r="I84" s="576">
        <f t="shared" si="185"/>
        <v>145332.93</v>
      </c>
      <c r="J84" s="576">
        <v>54332.93</v>
      </c>
      <c r="K84" s="576">
        <v>35000</v>
      </c>
      <c r="L84" s="576">
        <v>56000</v>
      </c>
      <c r="M84" s="576">
        <f t="shared" si="186"/>
        <v>89332.93</v>
      </c>
      <c r="N84" s="576">
        <v>72208.06</v>
      </c>
      <c r="O84" s="525">
        <f t="shared" si="187"/>
        <v>4600.3399999999965</v>
      </c>
      <c r="P84" s="522">
        <v>76808.399999999994</v>
      </c>
      <c r="Q84" s="576">
        <f t="shared" si="151"/>
        <v>-68524.53</v>
      </c>
      <c r="R84" s="576">
        <f t="shared" si="152"/>
        <v>-47.150036815469143</v>
      </c>
      <c r="S84" s="576">
        <v>0</v>
      </c>
      <c r="T84" s="576">
        <v>0</v>
      </c>
      <c r="U84" s="522">
        <f t="shared" si="188"/>
        <v>206000</v>
      </c>
      <c r="V84" s="522">
        <f t="shared" si="149"/>
        <v>206000</v>
      </c>
      <c r="W84" s="522">
        <v>0</v>
      </c>
      <c r="X84" s="522">
        <f t="shared" si="154"/>
        <v>129191.6</v>
      </c>
      <c r="Y84" s="522">
        <f t="shared" si="155"/>
        <v>168.19983231000776</v>
      </c>
      <c r="Z84" s="524">
        <f t="shared" si="156"/>
        <v>112506.29000000001</v>
      </c>
      <c r="AA84" s="522">
        <f t="shared" si="157"/>
        <v>112506.29000000001</v>
      </c>
      <c r="AB84" s="522">
        <v>0</v>
      </c>
      <c r="AC84" s="522">
        <f t="shared" si="159"/>
        <v>-93493.709999999992</v>
      </c>
      <c r="AD84" s="522">
        <f t="shared" si="160"/>
        <v>-45.385296116504847</v>
      </c>
      <c r="AE84" s="522">
        <f t="shared" si="161"/>
        <v>35697.890000000014</v>
      </c>
      <c r="AF84" s="522">
        <f t="shared" si="162"/>
        <v>46.476544232141293</v>
      </c>
      <c r="AG84" s="522">
        <f t="shared" si="177"/>
        <v>11314.42</v>
      </c>
      <c r="AH84" s="522">
        <f t="shared" si="163"/>
        <v>-194685.58</v>
      </c>
      <c r="AI84" s="522">
        <f t="shared" si="164"/>
        <v>-94.507563106796113</v>
      </c>
      <c r="AJ84" s="522">
        <f t="shared" si="165"/>
        <v>-101191.87000000001</v>
      </c>
      <c r="AK84" s="522">
        <f t="shared" si="133"/>
        <v>-89.943300059045583</v>
      </c>
      <c r="AL84" s="522">
        <f t="shared" si="189"/>
        <v>11314.42</v>
      </c>
      <c r="AM84" s="522">
        <f t="shared" si="192"/>
        <v>103000</v>
      </c>
      <c r="AN84" s="522">
        <f t="shared" si="192"/>
        <v>9506.2900000000009</v>
      </c>
      <c r="AO84" s="522">
        <f t="shared" si="166"/>
        <v>-93493.709999999992</v>
      </c>
      <c r="AP84" s="522">
        <f t="shared" si="178"/>
        <v>-90.770592233009708</v>
      </c>
      <c r="AQ84" s="578">
        <v>61000</v>
      </c>
      <c r="AR84" s="578">
        <v>2906.99</v>
      </c>
      <c r="AS84" s="578">
        <v>42000</v>
      </c>
      <c r="AT84" s="578">
        <v>6599.3000000000011</v>
      </c>
      <c r="AU84" s="578">
        <f t="shared" si="79"/>
        <v>103000</v>
      </c>
      <c r="AV84" s="578">
        <f t="shared" si="79"/>
        <v>103000</v>
      </c>
      <c r="AW84" s="578">
        <f t="shared" si="167"/>
        <v>0</v>
      </c>
      <c r="AX84" s="578">
        <f t="shared" si="168"/>
        <v>0</v>
      </c>
      <c r="AY84" s="578">
        <f t="shared" si="82"/>
        <v>1808.1299999999992</v>
      </c>
      <c r="AZ84" s="578">
        <f t="shared" si="169"/>
        <v>101191.87</v>
      </c>
      <c r="BA84" s="578">
        <f t="shared" si="170"/>
        <v>5596.4930618926765</v>
      </c>
      <c r="BB84" s="578">
        <v>42000</v>
      </c>
      <c r="BC84" s="576">
        <f>'[67]Дир_ имущ'!AT22</f>
        <v>42000</v>
      </c>
      <c r="BD84" s="576">
        <f t="shared" si="190"/>
        <v>1286.1899999999987</v>
      </c>
      <c r="BE84" s="576">
        <f t="shared" si="171"/>
        <v>-40713.81</v>
      </c>
      <c r="BF84" s="576">
        <f t="shared" si="172"/>
        <v>-40713.81</v>
      </c>
      <c r="BG84" s="576">
        <f t="shared" si="150"/>
        <v>145000</v>
      </c>
      <c r="BH84" s="578">
        <f t="shared" si="150"/>
        <v>51506.29</v>
      </c>
      <c r="BI84" s="578">
        <v>10792.48</v>
      </c>
      <c r="BJ84" s="578">
        <f t="shared" si="173"/>
        <v>-134207.51999999999</v>
      </c>
      <c r="BK84" s="578">
        <f t="shared" si="174"/>
        <v>-40713.81</v>
      </c>
      <c r="BL84" s="576">
        <v>61000</v>
      </c>
      <c r="BM84" s="578">
        <f>'[67]Дир_ имущ'!AW22</f>
        <v>61000</v>
      </c>
      <c r="BN84" s="522">
        <f t="shared" si="191"/>
        <v>521.94000000000051</v>
      </c>
      <c r="BO84" s="578">
        <f t="shared" si="181"/>
        <v>-60478.06</v>
      </c>
      <c r="BP84" s="578">
        <f t="shared" si="175"/>
        <v>-60478.06</v>
      </c>
      <c r="BQ84" s="576">
        <v>61000</v>
      </c>
      <c r="BR84" s="578">
        <f>'[67]Дир_ имущ'!BB22</f>
        <v>0</v>
      </c>
      <c r="BS84" s="578">
        <f>'[67]Дир_ имущ'!BC22</f>
        <v>0</v>
      </c>
      <c r="BT84" s="536"/>
      <c r="BU84" s="578">
        <v>11314.42</v>
      </c>
      <c r="BV84" s="578"/>
      <c r="BW84" s="578"/>
      <c r="BX84" s="574"/>
      <c r="BY84" s="525">
        <v>11305.62</v>
      </c>
      <c r="BZ84" s="576">
        <v>6.53</v>
      </c>
      <c r="CA84" s="576">
        <v>2.27</v>
      </c>
      <c r="CB84" s="522">
        <f t="shared" si="134"/>
        <v>11314.420000000002</v>
      </c>
      <c r="CC84" s="578">
        <f t="shared" si="176"/>
        <v>0</v>
      </c>
      <c r="CD84" s="578"/>
      <c r="CE84" s="578"/>
      <c r="CF84" s="578"/>
      <c r="CG84" s="578"/>
      <c r="CH84" s="578"/>
      <c r="CI84" s="578"/>
      <c r="CJ84" s="578"/>
      <c r="CK84" s="543" t="s">
        <v>1815</v>
      </c>
      <c r="CL84" s="543" t="s">
        <v>1816</v>
      </c>
      <c r="CM84" s="510" t="s">
        <v>1905</v>
      </c>
      <c r="CN84" s="528" t="s">
        <v>1849</v>
      </c>
      <c r="CO84" s="528"/>
      <c r="CP84" s="544">
        <f>U84</f>
        <v>206000</v>
      </c>
      <c r="CQ84" s="579"/>
      <c r="CR84" s="579"/>
      <c r="CS84" s="1691"/>
      <c r="CT84" s="1692"/>
      <c r="CU84" s="1692"/>
      <c r="CV84" s="1692"/>
      <c r="CW84" s="1693"/>
      <c r="CX84" s="528"/>
      <c r="CY84" s="528"/>
      <c r="CZ84" s="528"/>
      <c r="DA84" s="528"/>
      <c r="DB84" s="579">
        <f>2906.99</f>
        <v>2906.99</v>
      </c>
      <c r="DD84" s="535">
        <f>10792.48</f>
        <v>10792.48</v>
      </c>
      <c r="DE84" s="535"/>
      <c r="DF84" s="525">
        <f t="shared" si="88"/>
        <v>11.305620000000001</v>
      </c>
      <c r="DG84" s="576">
        <f t="shared" si="88"/>
        <v>6.5300000000000002E-3</v>
      </c>
      <c r="DH84" s="576">
        <f t="shared" si="88"/>
        <v>2.2699999999999999E-3</v>
      </c>
      <c r="DI84" s="522">
        <f t="shared" si="88"/>
        <v>11.314420000000002</v>
      </c>
      <c r="DJ84" s="536"/>
      <c r="DK84" s="536"/>
      <c r="DL84" s="536"/>
      <c r="DM84" s="536"/>
      <c r="DN84" s="536"/>
      <c r="DO84" s="536"/>
      <c r="DP84" s="536"/>
      <c r="DQ84" s="536"/>
      <c r="DR84" s="536"/>
      <c r="DS84" s="536"/>
    </row>
    <row r="85" spans="1:123" ht="33" customHeight="1">
      <c r="A85" s="505" t="s">
        <v>1906</v>
      </c>
      <c r="B85" s="506" t="s">
        <v>1907</v>
      </c>
      <c r="C85" s="580">
        <f>SUBTOTAL(9,C86:C138)</f>
        <v>288449850.26999998</v>
      </c>
      <c r="D85" s="580">
        <f t="shared" ref="D85:U85" si="193">SUBTOTAL(9,D86:D138)</f>
        <v>339442260.10999995</v>
      </c>
      <c r="E85" s="594">
        <f t="shared" si="193"/>
        <v>319175765.07999992</v>
      </c>
      <c r="F85" s="580">
        <f t="shared" si="193"/>
        <v>246093862.21000004</v>
      </c>
      <c r="G85" s="580">
        <f t="shared" si="193"/>
        <v>283152319.18433881</v>
      </c>
      <c r="H85" s="580">
        <f t="shared" si="193"/>
        <v>0</v>
      </c>
      <c r="I85" s="580">
        <f t="shared" si="193"/>
        <v>310629110.67000008</v>
      </c>
      <c r="J85" s="580">
        <f>SUBTOTAL(9,J86:J138)</f>
        <v>119811059.06000002</v>
      </c>
      <c r="K85" s="580">
        <f t="shared" si="193"/>
        <v>96451881.030000016</v>
      </c>
      <c r="L85" s="580">
        <f t="shared" si="193"/>
        <v>94366170.580000028</v>
      </c>
      <c r="M85" s="580">
        <f t="shared" si="193"/>
        <v>216262940.08999997</v>
      </c>
      <c r="N85" s="580">
        <f t="shared" si="193"/>
        <v>194945950.57000002</v>
      </c>
      <c r="O85" s="580">
        <f>SUBTOTAL(9,O86:O138)</f>
        <v>110169792.02000001</v>
      </c>
      <c r="P85" s="580">
        <f>SUBTOTAL(9,P86:P138)</f>
        <v>305115742.59000009</v>
      </c>
      <c r="Q85" s="580">
        <f t="shared" si="151"/>
        <v>-5513368.0799999833</v>
      </c>
      <c r="R85" s="580">
        <f t="shared" si="152"/>
        <v>-1.7749038614275747</v>
      </c>
      <c r="S85" s="580">
        <f t="shared" si="193"/>
        <v>244570806.39018714</v>
      </c>
      <c r="T85" s="580">
        <f t="shared" si="193"/>
        <v>244570806.3901872</v>
      </c>
      <c r="U85" s="580">
        <f t="shared" si="193"/>
        <v>272063173.75999993</v>
      </c>
      <c r="V85" s="580">
        <f t="shared" si="149"/>
        <v>27492367.369812727</v>
      </c>
      <c r="W85" s="580">
        <f t="shared" si="153"/>
        <v>11.241066656971114</v>
      </c>
      <c r="X85" s="580">
        <f t="shared" si="154"/>
        <v>-33052568.830000162</v>
      </c>
      <c r="Y85" s="580">
        <f t="shared" si="155"/>
        <v>-10.832796941065936</v>
      </c>
      <c r="Z85" s="580">
        <f t="shared" si="156"/>
        <v>274803186.75</v>
      </c>
      <c r="AA85" s="580">
        <f t="shared" si="157"/>
        <v>30232380.359812796</v>
      </c>
      <c r="AB85" s="580">
        <f t="shared" si="158"/>
        <v>12.361401921200766</v>
      </c>
      <c r="AC85" s="580">
        <f t="shared" si="159"/>
        <v>2740012.9900000691</v>
      </c>
      <c r="AD85" s="580">
        <f t="shared" si="160"/>
        <v>1.0071238058911831</v>
      </c>
      <c r="AE85" s="580">
        <f t="shared" si="161"/>
        <v>-30312555.840000093</v>
      </c>
      <c r="AF85" s="580">
        <f t="shared" si="162"/>
        <v>-9.9347728120120848</v>
      </c>
      <c r="AG85" s="580">
        <f t="shared" si="177"/>
        <v>315396655.55999994</v>
      </c>
      <c r="AH85" s="580">
        <f t="shared" si="163"/>
        <v>43333481.800000012</v>
      </c>
      <c r="AI85" s="580">
        <f t="shared" si="164"/>
        <v>15.92772781450627</v>
      </c>
      <c r="AJ85" s="580">
        <f t="shared" si="165"/>
        <v>40593468.809999943</v>
      </c>
      <c r="AK85" s="580">
        <f t="shared" si="133"/>
        <v>14.771833358297087</v>
      </c>
      <c r="AL85" s="580">
        <f t="shared" ref="AL85" si="194">SUBTOTAL(9,AL86:AL138)</f>
        <v>315396655.56</v>
      </c>
      <c r="AM85" s="580">
        <f t="shared" si="192"/>
        <v>129952397.39</v>
      </c>
      <c r="AN85" s="580">
        <f t="shared" si="192"/>
        <v>133573143.60999998</v>
      </c>
      <c r="AO85" s="580">
        <f t="shared" si="166"/>
        <v>3620746.2199999839</v>
      </c>
      <c r="AP85" s="580">
        <f t="shared" si="178"/>
        <v>2.7862096373133909</v>
      </c>
      <c r="AQ85" s="580">
        <f t="shared" ref="AQ85:BN85" si="195">SUBTOTAL(9,AQ86:AQ138)</f>
        <v>39297597.170000002</v>
      </c>
      <c r="AR85" s="580">
        <f t="shared" si="195"/>
        <v>57325126.940000013</v>
      </c>
      <c r="AS85" s="580">
        <f t="shared" si="195"/>
        <v>90654800.219999999</v>
      </c>
      <c r="AT85" s="580">
        <f t="shared" si="195"/>
        <v>76248016.669999972</v>
      </c>
      <c r="AU85" s="580">
        <f t="shared" si="79"/>
        <v>142110776.37000003</v>
      </c>
      <c r="AV85" s="580">
        <f t="shared" si="79"/>
        <v>141230043.13999999</v>
      </c>
      <c r="AW85" s="580">
        <f t="shared" si="167"/>
        <v>-880733.23000004888</v>
      </c>
      <c r="AX85" s="580">
        <f t="shared" si="168"/>
        <v>-0.61975119163867021</v>
      </c>
      <c r="AY85" s="580">
        <f t="shared" si="82"/>
        <v>181823511.94999999</v>
      </c>
      <c r="AZ85" s="580">
        <f t="shared" si="169"/>
        <v>-40593468.810000002</v>
      </c>
      <c r="BA85" s="580">
        <f t="shared" si="170"/>
        <v>-22.325753349854381</v>
      </c>
      <c r="BB85" s="580">
        <f t="shared" si="195"/>
        <v>91834370.370000035</v>
      </c>
      <c r="BC85" s="580">
        <f t="shared" si="195"/>
        <v>83142970.625000015</v>
      </c>
      <c r="BD85" s="580">
        <f t="shared" si="195"/>
        <v>92545668.120000005</v>
      </c>
      <c r="BE85" s="580">
        <f t="shared" si="171"/>
        <v>711297.7499999702</v>
      </c>
      <c r="BF85" s="580">
        <f t="shared" si="172"/>
        <v>9402697.4949999899</v>
      </c>
      <c r="BG85" s="580">
        <f t="shared" si="150"/>
        <v>221786767.76000005</v>
      </c>
      <c r="BH85" s="580">
        <f t="shared" si="195"/>
        <v>216716114.23500007</v>
      </c>
      <c r="BI85" s="580">
        <f>SUBTOTAL(9,BI86:BI138)</f>
        <v>226118811.72999999</v>
      </c>
      <c r="BJ85" s="580">
        <f t="shared" si="173"/>
        <v>4332043.9699999392</v>
      </c>
      <c r="BK85" s="580">
        <f t="shared" si="174"/>
        <v>9402697.4949999154</v>
      </c>
      <c r="BL85" s="580">
        <f t="shared" si="195"/>
        <v>50276405.999999993</v>
      </c>
      <c r="BM85" s="580">
        <f t="shared" si="195"/>
        <v>58087072.514999986</v>
      </c>
      <c r="BN85" s="580">
        <f t="shared" si="195"/>
        <v>89277843.829999983</v>
      </c>
      <c r="BO85" s="580">
        <f t="shared" si="181"/>
        <v>39001437.829999991</v>
      </c>
      <c r="BP85" s="580">
        <f t="shared" si="175"/>
        <v>31190771.314999998</v>
      </c>
      <c r="BQ85" s="580">
        <f t="shared" ref="BQ85:BS85" si="196">SUBTOTAL(9,BQ86:BQ138)</f>
        <v>50276405.999999993</v>
      </c>
      <c r="BR85" s="580">
        <f t="shared" si="196"/>
        <v>0</v>
      </c>
      <c r="BS85" s="580">
        <f t="shared" si="196"/>
        <v>0</v>
      </c>
      <c r="BU85" s="580">
        <f>SUM(BU86:BU137)</f>
        <v>231053001.63</v>
      </c>
      <c r="BV85" s="580">
        <f>SUM(BV86:BV137)</f>
        <v>84343653.929999962</v>
      </c>
      <c r="BW85" s="580">
        <f t="shared" ref="BW85" si="197">SUBTOTAL(9,BW86:BW138)</f>
        <v>0</v>
      </c>
      <c r="BX85" s="581"/>
      <c r="BY85" s="580">
        <f>SUBTOTAL(9,BY86:BY138)</f>
        <v>305661527.97999996</v>
      </c>
      <c r="BZ85" s="580">
        <f>SUBTOTAL(9,BZ86:BZ138)</f>
        <v>4206455.1399999997</v>
      </c>
      <c r="CA85" s="580">
        <f>SUBTOTAL(9,CA86:CA138)</f>
        <v>5528672.4399999995</v>
      </c>
      <c r="CB85" s="580">
        <f>SUBTOTAL(9,CB86:CB138)</f>
        <v>315396655.56</v>
      </c>
      <c r="CC85" s="580">
        <f t="shared" si="176"/>
        <v>0</v>
      </c>
      <c r="CD85" s="580"/>
      <c r="CE85" s="580"/>
      <c r="CF85" s="580"/>
      <c r="CG85" s="580"/>
      <c r="CH85" s="580"/>
      <c r="CI85" s="580"/>
      <c r="CJ85" s="580"/>
      <c r="CK85" s="508"/>
      <c r="CL85" s="508"/>
      <c r="CM85" s="528" t="s">
        <v>1907</v>
      </c>
      <c r="CN85" s="510"/>
      <c r="CO85" s="510"/>
      <c r="CP85" s="582">
        <f>SUBTOTAL(9,CP86:CP138)</f>
        <v>258249365.09168696</v>
      </c>
      <c r="CQ85" s="582">
        <f>SUBTOTAL(9,CQ86:CQ138)</f>
        <v>8737385.3152064476</v>
      </c>
      <c r="CR85" s="582">
        <f>SUBTOTAL(9,CR86:CR138)</f>
        <v>5076423.3531065304</v>
      </c>
      <c r="CS85" s="1679"/>
      <c r="CT85" s="1680"/>
      <c r="CU85" s="1680"/>
      <c r="CV85" s="1680"/>
      <c r="CW85" s="1681"/>
      <c r="CX85" s="510"/>
      <c r="CY85" s="510"/>
      <c r="CZ85" s="510"/>
      <c r="DA85" s="510"/>
      <c r="DB85" s="582">
        <f>SUBTOTAL(9,DB86:DB138)</f>
        <v>57325126.940000013</v>
      </c>
      <c r="DC85" s="628" t="e">
        <f>P85-#REF!</f>
        <v>#REF!</v>
      </c>
      <c r="DD85" s="517"/>
      <c r="DE85" s="517"/>
      <c r="DF85" s="580">
        <f t="shared" si="88"/>
        <v>305661.52797999996</v>
      </c>
      <c r="DG85" s="580">
        <f t="shared" si="88"/>
        <v>4206.45514</v>
      </c>
      <c r="DH85" s="580">
        <f t="shared" si="88"/>
        <v>5528.6724399999994</v>
      </c>
      <c r="DI85" s="580">
        <f t="shared" si="88"/>
        <v>315396.65555999998</v>
      </c>
      <c r="DJ85" s="569"/>
    </row>
    <row r="86" spans="1:123" s="534" customFormat="1">
      <c r="A86" s="537" t="s">
        <v>530</v>
      </c>
      <c r="B86" s="538" t="s">
        <v>531</v>
      </c>
      <c r="C86" s="576"/>
      <c r="D86" s="576"/>
      <c r="E86" s="576"/>
      <c r="F86" s="576"/>
      <c r="G86" s="577">
        <v>148552.09008969704</v>
      </c>
      <c r="H86" s="577">
        <v>0</v>
      </c>
      <c r="I86" s="576">
        <f t="shared" ref="I86:I138" si="198">J86+K86+L86</f>
        <v>1066430.3199999998</v>
      </c>
      <c r="J86" s="576">
        <v>205631.48</v>
      </c>
      <c r="K86" s="576">
        <v>335818.25</v>
      </c>
      <c r="L86" s="576">
        <v>524980.59</v>
      </c>
      <c r="M86" s="576">
        <f t="shared" ref="M86:M138" si="199">J86+K86</f>
        <v>541449.73</v>
      </c>
      <c r="N86" s="576">
        <v>355382.26</v>
      </c>
      <c r="O86" s="525">
        <f t="shared" ref="O86:O138" si="200">P86-N86</f>
        <v>209298.07999999996</v>
      </c>
      <c r="P86" s="522">
        <v>564680.34</v>
      </c>
      <c r="Q86" s="576">
        <f t="shared" si="151"/>
        <v>-501749.97999999986</v>
      </c>
      <c r="R86" s="576">
        <f t="shared" si="152"/>
        <v>-47.049485614775087</v>
      </c>
      <c r="S86" s="576"/>
      <c r="T86" s="576"/>
      <c r="U86" s="522">
        <f t="shared" ref="U86:U137" si="201">AQ86+AS86+BB86+BL86</f>
        <v>498009.01</v>
      </c>
      <c r="V86" s="522">
        <f t="shared" si="149"/>
        <v>498009.01</v>
      </c>
      <c r="W86" s="522">
        <v>0</v>
      </c>
      <c r="X86" s="522">
        <f t="shared" si="154"/>
        <v>-66671.329999999958</v>
      </c>
      <c r="Y86" s="522">
        <f t="shared" si="155"/>
        <v>-11.806915395708657</v>
      </c>
      <c r="Z86" s="524">
        <f t="shared" si="156"/>
        <v>1062694.24</v>
      </c>
      <c r="AA86" s="522">
        <f t="shared" si="157"/>
        <v>1062694.24</v>
      </c>
      <c r="AB86" s="522">
        <v>0</v>
      </c>
      <c r="AC86" s="522">
        <f t="shared" si="159"/>
        <v>564685.23</v>
      </c>
      <c r="AD86" s="522">
        <f t="shared" si="160"/>
        <v>113.38855696606777</v>
      </c>
      <c r="AE86" s="522">
        <f t="shared" si="161"/>
        <v>498013.9</v>
      </c>
      <c r="AF86" s="522">
        <f t="shared" si="162"/>
        <v>88.193950580960546</v>
      </c>
      <c r="AG86" s="522">
        <f t="shared" si="177"/>
        <v>1140697.45</v>
      </c>
      <c r="AH86" s="522">
        <f t="shared" si="163"/>
        <v>642688.43999999994</v>
      </c>
      <c r="AI86" s="522">
        <f t="shared" si="164"/>
        <v>129.051568765794</v>
      </c>
      <c r="AJ86" s="522">
        <f t="shared" si="165"/>
        <v>78003.209999999963</v>
      </c>
      <c r="AK86" s="522">
        <f t="shared" si="133"/>
        <v>7.3401367076196777</v>
      </c>
      <c r="AL86" s="522">
        <f t="shared" ref="AL86:AL137" si="202">SUM(BU86:BV86)</f>
        <v>1140697.45</v>
      </c>
      <c r="AM86" s="522">
        <f t="shared" si="192"/>
        <v>212669.67</v>
      </c>
      <c r="AN86" s="522">
        <f t="shared" si="192"/>
        <v>477354.9</v>
      </c>
      <c r="AO86" s="522">
        <f t="shared" si="166"/>
        <v>264685.23</v>
      </c>
      <c r="AP86" s="522">
        <f t="shared" si="178"/>
        <v>124.45838186517145</v>
      </c>
      <c r="AQ86" s="578">
        <v>70000</v>
      </c>
      <c r="AR86" s="578">
        <v>230292.74</v>
      </c>
      <c r="AS86" s="578">
        <v>142669.67000000001</v>
      </c>
      <c r="AT86" s="578">
        <v>247062.16000000003</v>
      </c>
      <c r="AU86" s="578">
        <f t="shared" si="79"/>
        <v>285339.34000000003</v>
      </c>
      <c r="AV86" s="578">
        <f t="shared" si="79"/>
        <v>585339.34</v>
      </c>
      <c r="AW86" s="578">
        <f t="shared" si="167"/>
        <v>299999.99999999994</v>
      </c>
      <c r="AX86" s="578">
        <f t="shared" si="168"/>
        <v>105.13797361415357</v>
      </c>
      <c r="AY86" s="578">
        <f t="shared" si="82"/>
        <v>663342.54999999993</v>
      </c>
      <c r="AZ86" s="578">
        <f t="shared" si="169"/>
        <v>-78003.209999999963</v>
      </c>
      <c r="BA86" s="578">
        <f t="shared" si="170"/>
        <v>-11.759114502755779</v>
      </c>
      <c r="BB86" s="578">
        <v>142669.67000000001</v>
      </c>
      <c r="BC86" s="576">
        <f>'[67]Гл инж_Тех дир'!AT26</f>
        <v>292669.67</v>
      </c>
      <c r="BD86" s="576">
        <f t="shared" ref="BD86:BD137" si="203">BI86-AN86</f>
        <v>229514.36</v>
      </c>
      <c r="BE86" s="576">
        <f t="shared" si="171"/>
        <v>86844.689999999973</v>
      </c>
      <c r="BF86" s="576">
        <f t="shared" si="172"/>
        <v>-63155.31</v>
      </c>
      <c r="BG86" s="576">
        <f t="shared" si="150"/>
        <v>355339.34</v>
      </c>
      <c r="BH86" s="578">
        <f t="shared" si="150"/>
        <v>770024.57000000007</v>
      </c>
      <c r="BI86" s="578">
        <f>631347+75522.26</f>
        <v>706869.26</v>
      </c>
      <c r="BJ86" s="578">
        <f t="shared" si="173"/>
        <v>351529.92</v>
      </c>
      <c r="BK86" s="578">
        <f t="shared" si="174"/>
        <v>-63155.310000000056</v>
      </c>
      <c r="BL86" s="576">
        <v>142669.67000000001</v>
      </c>
      <c r="BM86" s="578">
        <f>'[67]Гл инж_Тех дир'!AW26</f>
        <v>292669.67</v>
      </c>
      <c r="BN86" s="522">
        <f t="shared" ref="BN86:BN137" si="204">AL86-BI86</f>
        <v>433828.18999999994</v>
      </c>
      <c r="BO86" s="578">
        <f t="shared" si="181"/>
        <v>291158.5199999999</v>
      </c>
      <c r="BP86" s="578">
        <f t="shared" si="175"/>
        <v>141158.51999999996</v>
      </c>
      <c r="BQ86" s="576">
        <v>142669.67000000001</v>
      </c>
      <c r="BR86" s="578">
        <f>'[67]Гл инж_Тех дир'!BB26</f>
        <v>0</v>
      </c>
      <c r="BS86" s="578">
        <f>'[67]Гл инж_Тех дир'!BC26</f>
        <v>0</v>
      </c>
      <c r="BT86" s="536"/>
      <c r="BU86" s="578">
        <v>1019474.27</v>
      </c>
      <c r="BV86" s="578">
        <v>121223.18</v>
      </c>
      <c r="BW86" s="578"/>
      <c r="BX86" s="629"/>
      <c r="BY86" s="525">
        <f>1017464.77+121223.18</f>
        <v>1138687.95</v>
      </c>
      <c r="BZ86" s="525">
        <v>159.46</v>
      </c>
      <c r="CA86" s="525">
        <v>1850.04</v>
      </c>
      <c r="CB86" s="522">
        <f t="shared" si="134"/>
        <v>1140697.45</v>
      </c>
      <c r="CC86" s="522">
        <f t="shared" si="176"/>
        <v>0</v>
      </c>
      <c r="CD86" s="578"/>
      <c r="CE86" s="578"/>
      <c r="CF86" s="578"/>
      <c r="CG86" s="578"/>
      <c r="CH86" s="578"/>
      <c r="CI86" s="578"/>
      <c r="CJ86" s="578"/>
      <c r="CK86" s="543" t="s">
        <v>79</v>
      </c>
      <c r="CL86" s="543" t="s">
        <v>1806</v>
      </c>
      <c r="CM86" s="528" t="s">
        <v>1907</v>
      </c>
      <c r="CN86" s="528"/>
      <c r="CO86" s="528"/>
      <c r="CP86" s="544">
        <f t="shared" ref="CP86:CP112" si="205">U86*$CU$7/100</f>
        <v>459473.29704915703</v>
      </c>
      <c r="CQ86" s="544">
        <f t="shared" ref="CQ86:CQ112" si="206">U86*$CU$8/100</f>
        <v>33749.812660700103</v>
      </c>
      <c r="CR86" s="544">
        <f t="shared" ref="CR86:CR112" si="207">U86*$CU$9/100</f>
        <v>4785.9002901429294</v>
      </c>
      <c r="CS86" s="1688" t="s">
        <v>1826</v>
      </c>
      <c r="CT86" s="1689"/>
      <c r="CU86" s="1689"/>
      <c r="CV86" s="1689"/>
      <c r="CW86" s="1690"/>
      <c r="CX86" s="528"/>
      <c r="CY86" s="528"/>
      <c r="CZ86" s="528"/>
      <c r="DA86" s="528"/>
      <c r="DB86" s="579">
        <f>229882.74+410</f>
        <v>230292.74</v>
      </c>
      <c r="DC86" s="628" t="e">
        <f>P86-#REF!</f>
        <v>#REF!</v>
      </c>
      <c r="DD86" s="535"/>
      <c r="DE86" s="535"/>
      <c r="DF86" s="525">
        <f t="shared" si="88"/>
        <v>1138.68795</v>
      </c>
      <c r="DG86" s="525">
        <f t="shared" si="88"/>
        <v>0.15946000000000002</v>
      </c>
      <c r="DH86" s="525">
        <f t="shared" si="88"/>
        <v>1.8500399999999999</v>
      </c>
      <c r="DI86" s="522">
        <f t="shared" si="88"/>
        <v>1140.6974499999999</v>
      </c>
      <c r="DJ86" s="536"/>
      <c r="DK86" s="536"/>
      <c r="DL86" s="536"/>
      <c r="DM86" s="536"/>
      <c r="DN86" s="536"/>
      <c r="DO86" s="536"/>
      <c r="DP86" s="536"/>
      <c r="DQ86" s="536"/>
      <c r="DR86" s="536"/>
      <c r="DS86" s="536"/>
    </row>
    <row r="87" spans="1:123" s="534" customFormat="1" ht="56.4">
      <c r="A87" s="537" t="s">
        <v>535</v>
      </c>
      <c r="B87" s="538" t="s">
        <v>536</v>
      </c>
      <c r="C87" s="576">
        <v>3541266.16</v>
      </c>
      <c r="D87" s="576">
        <v>7721751.1799999997</v>
      </c>
      <c r="E87" s="576">
        <v>3200000</v>
      </c>
      <c r="F87" s="576">
        <v>2842028.08</v>
      </c>
      <c r="G87" s="577">
        <v>2586015.6887463024</v>
      </c>
      <c r="H87" s="577">
        <v>0</v>
      </c>
      <c r="I87" s="576">
        <f t="shared" si="198"/>
        <v>4039208.6399999997</v>
      </c>
      <c r="J87" s="576">
        <v>1933402.26</v>
      </c>
      <c r="K87" s="576">
        <v>958334.62</v>
      </c>
      <c r="L87" s="576">
        <v>1147471.76</v>
      </c>
      <c r="M87" s="576">
        <f t="shared" si="199"/>
        <v>2891736.88</v>
      </c>
      <c r="N87" s="576">
        <v>2668340.98</v>
      </c>
      <c r="O87" s="525">
        <f t="shared" si="200"/>
        <v>1077221.27</v>
      </c>
      <c r="P87" s="522">
        <f>3622685.87+122876.38</f>
        <v>3745562.25</v>
      </c>
      <c r="Q87" s="576">
        <f t="shared" si="151"/>
        <v>-293646.38999999966</v>
      </c>
      <c r="R87" s="576">
        <f t="shared" si="152"/>
        <v>-7.2698990364607567</v>
      </c>
      <c r="S87" s="576">
        <v>3222173.8787499992</v>
      </c>
      <c r="T87" s="576">
        <v>3132113.8787499997</v>
      </c>
      <c r="U87" s="522">
        <f t="shared" si="201"/>
        <v>4245208.2799999993</v>
      </c>
      <c r="V87" s="522">
        <f t="shared" si="149"/>
        <v>1113094.4012499996</v>
      </c>
      <c r="W87" s="522">
        <f t="shared" si="153"/>
        <v>35.538120398554184</v>
      </c>
      <c r="X87" s="522">
        <f t="shared" si="154"/>
        <v>499646.02999999933</v>
      </c>
      <c r="Y87" s="522">
        <f t="shared" si="155"/>
        <v>13.339680311013353</v>
      </c>
      <c r="Z87" s="524">
        <f t="shared" si="156"/>
        <v>4677400.0999999996</v>
      </c>
      <c r="AA87" s="522">
        <f t="shared" si="157"/>
        <v>1545286.2212499999</v>
      </c>
      <c r="AB87" s="522">
        <f t="shared" si="158"/>
        <v>49.336846649608759</v>
      </c>
      <c r="AC87" s="522">
        <f t="shared" si="159"/>
        <v>432191.8200000003</v>
      </c>
      <c r="AD87" s="522">
        <f t="shared" si="160"/>
        <v>10.180697659432639</v>
      </c>
      <c r="AE87" s="522">
        <f t="shared" si="161"/>
        <v>931837.84999999963</v>
      </c>
      <c r="AF87" s="522">
        <f t="shared" si="162"/>
        <v>24.87845049164514</v>
      </c>
      <c r="AG87" s="522">
        <f t="shared" si="177"/>
        <v>3906735.54</v>
      </c>
      <c r="AH87" s="522">
        <f t="shared" si="163"/>
        <v>-338472.73999999929</v>
      </c>
      <c r="AI87" s="522">
        <f t="shared" si="164"/>
        <v>-7.973053797963459</v>
      </c>
      <c r="AJ87" s="522">
        <f t="shared" si="165"/>
        <v>-770664.55999999959</v>
      </c>
      <c r="AK87" s="522">
        <f t="shared" si="133"/>
        <v>-16.476344625724863</v>
      </c>
      <c r="AL87" s="522">
        <f t="shared" si="202"/>
        <v>3906735.54</v>
      </c>
      <c r="AM87" s="522">
        <f t="shared" si="192"/>
        <v>1815069.42</v>
      </c>
      <c r="AN87" s="522">
        <f t="shared" si="192"/>
        <v>1724886.24</v>
      </c>
      <c r="AO87" s="522">
        <f t="shared" si="166"/>
        <v>-90183.179999999935</v>
      </c>
      <c r="AP87" s="522">
        <f t="shared" si="178"/>
        <v>-4.9685802100065075</v>
      </c>
      <c r="AQ87" s="578">
        <v>600000</v>
      </c>
      <c r="AR87" s="578">
        <v>751474.04</v>
      </c>
      <c r="AS87" s="578">
        <v>1215069.42</v>
      </c>
      <c r="AT87" s="578">
        <v>973412.2</v>
      </c>
      <c r="AU87" s="578">
        <f t="shared" si="79"/>
        <v>2430138.86</v>
      </c>
      <c r="AV87" s="578">
        <f t="shared" si="79"/>
        <v>2952513.86</v>
      </c>
      <c r="AW87" s="578">
        <f t="shared" si="167"/>
        <v>522375</v>
      </c>
      <c r="AX87" s="578">
        <f t="shared" si="168"/>
        <v>21.495685230102453</v>
      </c>
      <c r="AY87" s="578">
        <f t="shared" si="82"/>
        <v>2181849.2999999998</v>
      </c>
      <c r="AZ87" s="578">
        <f t="shared" si="169"/>
        <v>770664.56</v>
      </c>
      <c r="BA87" s="578">
        <f t="shared" si="170"/>
        <v>35.321621892034415</v>
      </c>
      <c r="BB87" s="578">
        <v>1215069.42</v>
      </c>
      <c r="BC87" s="576">
        <f>'[67]Гл инж_Тех дир'!AT27</f>
        <v>1468196.42</v>
      </c>
      <c r="BD87" s="576">
        <f t="shared" si="203"/>
        <v>984851.28</v>
      </c>
      <c r="BE87" s="576">
        <f t="shared" si="171"/>
        <v>-230218.1399999999</v>
      </c>
      <c r="BF87" s="576">
        <f t="shared" si="172"/>
        <v>-483345.1399999999</v>
      </c>
      <c r="BG87" s="576">
        <f t="shared" si="150"/>
        <v>3030138.84</v>
      </c>
      <c r="BH87" s="578">
        <f t="shared" si="150"/>
        <v>3193082.66</v>
      </c>
      <c r="BI87" s="578">
        <f>60896+2648841.52</f>
        <v>2709737.52</v>
      </c>
      <c r="BJ87" s="578">
        <f t="shared" si="173"/>
        <v>-320401.31999999983</v>
      </c>
      <c r="BK87" s="578">
        <f t="shared" si="174"/>
        <v>-483345.14000000013</v>
      </c>
      <c r="BL87" s="576">
        <v>1215069.44</v>
      </c>
      <c r="BM87" s="578">
        <f>'[67]Гл инж_Тех дир'!AW27</f>
        <v>1484317.44</v>
      </c>
      <c r="BN87" s="522">
        <f t="shared" si="204"/>
        <v>1196998.02</v>
      </c>
      <c r="BO87" s="578">
        <f t="shared" si="181"/>
        <v>-18071.419999999925</v>
      </c>
      <c r="BP87" s="578">
        <f t="shared" si="175"/>
        <v>-287319.41999999993</v>
      </c>
      <c r="BQ87" s="576">
        <v>1215069.44</v>
      </c>
      <c r="BR87" s="578">
        <f>'[67]Гл инж_Тех дир'!BB27</f>
        <v>0</v>
      </c>
      <c r="BS87" s="578">
        <f>'[67]Гл инж_Тех дир'!BC27</f>
        <v>0</v>
      </c>
      <c r="BT87" s="536"/>
      <c r="BU87" s="578">
        <v>91420.72</v>
      </c>
      <c r="BV87" s="578">
        <v>3815314.82</v>
      </c>
      <c r="BW87" s="578"/>
      <c r="BX87" s="629"/>
      <c r="BY87" s="525">
        <f>90915.04+3806113.97</f>
        <v>3897029.0100000002</v>
      </c>
      <c r="BZ87" s="525">
        <f>454.37+180</f>
        <v>634.37</v>
      </c>
      <c r="CA87" s="525">
        <f>51.31+9020.85</f>
        <v>9072.16</v>
      </c>
      <c r="CB87" s="522">
        <f t="shared" si="134"/>
        <v>3906735.5400000005</v>
      </c>
      <c r="CC87" s="522">
        <f t="shared" si="176"/>
        <v>0</v>
      </c>
      <c r="CD87" s="578"/>
      <c r="CE87" s="578"/>
      <c r="CF87" s="578"/>
      <c r="CG87" s="578"/>
      <c r="CH87" s="578"/>
      <c r="CI87" s="578"/>
      <c r="CJ87" s="578"/>
      <c r="CK87" s="543" t="s">
        <v>79</v>
      </c>
      <c r="CL87" s="543" t="s">
        <v>1806</v>
      </c>
      <c r="CM87" s="528" t="s">
        <v>1907</v>
      </c>
      <c r="CN87" s="528" t="s">
        <v>1849</v>
      </c>
      <c r="CO87" s="528"/>
      <c r="CP87" s="544">
        <f t="shared" si="205"/>
        <v>3916715.9748213803</v>
      </c>
      <c r="CQ87" s="544">
        <f t="shared" si="206"/>
        <v>287695.56630241068</v>
      </c>
      <c r="CR87" s="544">
        <f t="shared" si="207"/>
        <v>40796.738876208605</v>
      </c>
      <c r="CS87" s="1688" t="s">
        <v>1826</v>
      </c>
      <c r="CT87" s="1689"/>
      <c r="CU87" s="1689"/>
      <c r="CV87" s="1689"/>
      <c r="CW87" s="1690"/>
      <c r="CX87" s="528"/>
      <c r="CY87" s="528"/>
      <c r="CZ87" s="528"/>
      <c r="DA87" s="528"/>
      <c r="DB87" s="579">
        <f>150+751324.04</f>
        <v>751474.04</v>
      </c>
      <c r="DC87" s="628" t="e">
        <f>P87-#REF!</f>
        <v>#REF!</v>
      </c>
      <c r="DD87" s="535">
        <f>60896+631347</f>
        <v>692243</v>
      </c>
      <c r="DE87" s="535"/>
      <c r="DF87" s="525">
        <f t="shared" si="88"/>
        <v>3897.0290100000002</v>
      </c>
      <c r="DG87" s="525">
        <f t="shared" si="88"/>
        <v>0.63436999999999999</v>
      </c>
      <c r="DH87" s="525">
        <f t="shared" si="88"/>
        <v>9.0721600000000002</v>
      </c>
      <c r="DI87" s="522">
        <f t="shared" si="88"/>
        <v>3906.7355400000006</v>
      </c>
      <c r="DJ87" s="536"/>
      <c r="DK87" s="536"/>
      <c r="DL87" s="536"/>
      <c r="DM87" s="536"/>
      <c r="DN87" s="536"/>
      <c r="DO87" s="536"/>
      <c r="DP87" s="536"/>
      <c r="DQ87" s="536"/>
      <c r="DR87" s="536"/>
      <c r="DS87" s="536"/>
    </row>
    <row r="88" spans="1:123" s="534" customFormat="1" ht="84.6">
      <c r="A88" s="537" t="s">
        <v>540</v>
      </c>
      <c r="B88" s="538" t="s">
        <v>541</v>
      </c>
      <c r="C88" s="576">
        <f>50095385.27+160507.27</f>
        <v>50255892.540000007</v>
      </c>
      <c r="D88" s="576">
        <f>65214934.08+514903.97</f>
        <v>65729838.049999997</v>
      </c>
      <c r="E88" s="576">
        <v>58859720</v>
      </c>
      <c r="F88" s="576">
        <v>52774853.340000004</v>
      </c>
      <c r="G88" s="577">
        <v>47997714.207787313</v>
      </c>
      <c r="H88" s="577">
        <v>0</v>
      </c>
      <c r="I88" s="576">
        <f t="shared" si="198"/>
        <v>55622921.459999993</v>
      </c>
      <c r="J88" s="576">
        <v>26549896.379999999</v>
      </c>
      <c r="K88" s="576">
        <v>13213544.779999999</v>
      </c>
      <c r="L88" s="576">
        <v>15859480.300000001</v>
      </c>
      <c r="M88" s="576">
        <f t="shared" si="199"/>
        <v>39763441.159999996</v>
      </c>
      <c r="N88" s="576">
        <v>41981489.939999998</v>
      </c>
      <c r="O88" s="525">
        <f t="shared" si="200"/>
        <v>16958754.580000006</v>
      </c>
      <c r="P88" s="522">
        <v>58940244.520000003</v>
      </c>
      <c r="Q88" s="576">
        <f t="shared" si="151"/>
        <v>3317323.0600000098</v>
      </c>
      <c r="R88" s="576">
        <f t="shared" si="152"/>
        <v>5.9639497044138352</v>
      </c>
      <c r="S88" s="576">
        <v>58417249.008176252</v>
      </c>
      <c r="T88" s="576">
        <v>58507309.008176297</v>
      </c>
      <c r="U88" s="522">
        <f t="shared" si="201"/>
        <v>57394214.609999999</v>
      </c>
      <c r="V88" s="522">
        <f t="shared" si="149"/>
        <v>-1113094.3981762975</v>
      </c>
      <c r="W88" s="522">
        <f t="shared" si="153"/>
        <v>-1.9024877695549804</v>
      </c>
      <c r="X88" s="522">
        <f t="shared" si="154"/>
        <v>-1546029.9100000039</v>
      </c>
      <c r="Y88" s="522">
        <f t="shared" si="155"/>
        <v>-2.6230463117189657</v>
      </c>
      <c r="Z88" s="524">
        <f t="shared" si="156"/>
        <v>65078548.239999995</v>
      </c>
      <c r="AA88" s="522">
        <f t="shared" si="157"/>
        <v>6571239.2318236977</v>
      </c>
      <c r="AB88" s="522">
        <f t="shared" si="158"/>
        <v>11.23148431062755</v>
      </c>
      <c r="AC88" s="522">
        <f t="shared" si="159"/>
        <v>7684333.6299999952</v>
      </c>
      <c r="AD88" s="522">
        <f t="shared" si="160"/>
        <v>13.388690275171271</v>
      </c>
      <c r="AE88" s="522">
        <f t="shared" si="161"/>
        <v>6138303.7199999914</v>
      </c>
      <c r="AF88" s="522">
        <f t="shared" si="162"/>
        <v>10.414452417001939</v>
      </c>
      <c r="AG88" s="522">
        <f t="shared" si="177"/>
        <v>67903828.439999998</v>
      </c>
      <c r="AH88" s="522">
        <f t="shared" si="163"/>
        <v>10509613.829999998</v>
      </c>
      <c r="AI88" s="522">
        <f t="shared" si="164"/>
        <v>18.311277367264239</v>
      </c>
      <c r="AJ88" s="522">
        <f t="shared" si="165"/>
        <v>2825280.200000003</v>
      </c>
      <c r="AK88" s="522">
        <f t="shared" si="133"/>
        <v>4.3413386997829093</v>
      </c>
      <c r="AL88" s="522">
        <f t="shared" si="202"/>
        <v>67903828.439999998</v>
      </c>
      <c r="AM88" s="522">
        <f t="shared" si="192"/>
        <v>33000000</v>
      </c>
      <c r="AN88" s="522">
        <f t="shared" si="192"/>
        <v>31243548.239999998</v>
      </c>
      <c r="AO88" s="522">
        <f t="shared" si="166"/>
        <v>-1756451.7600000016</v>
      </c>
      <c r="AP88" s="522">
        <f t="shared" si="178"/>
        <v>-5.3225810909090967</v>
      </c>
      <c r="AQ88" s="578">
        <v>16000000</v>
      </c>
      <c r="AR88" s="578">
        <v>14399822.640000001</v>
      </c>
      <c r="AS88" s="578">
        <v>17000000</v>
      </c>
      <c r="AT88" s="578">
        <v>16843725.599999998</v>
      </c>
      <c r="AU88" s="578">
        <f t="shared" si="79"/>
        <v>24394214.609999999</v>
      </c>
      <c r="AV88" s="578">
        <f t="shared" si="79"/>
        <v>33835000</v>
      </c>
      <c r="AW88" s="578">
        <f t="shared" si="167"/>
        <v>9440785.3900000006</v>
      </c>
      <c r="AX88" s="578">
        <f t="shared" si="168"/>
        <v>38.700919627598552</v>
      </c>
      <c r="AY88" s="578">
        <f t="shared" si="82"/>
        <v>36660280.200000003</v>
      </c>
      <c r="AZ88" s="578">
        <f t="shared" si="169"/>
        <v>-2825280.200000003</v>
      </c>
      <c r="BA88" s="578">
        <f t="shared" si="170"/>
        <v>-7.7066519529766282</v>
      </c>
      <c r="BB88" s="578">
        <v>17000000</v>
      </c>
      <c r="BC88" s="576">
        <f>'[67]Гл инж_Тех дир'!AT28</f>
        <v>16994000</v>
      </c>
      <c r="BD88" s="576">
        <f t="shared" si="203"/>
        <v>17463290.499999996</v>
      </c>
      <c r="BE88" s="576">
        <f t="shared" si="171"/>
        <v>463290.49999999627</v>
      </c>
      <c r="BF88" s="576">
        <f t="shared" si="172"/>
        <v>469290.49999999627</v>
      </c>
      <c r="BG88" s="576">
        <f t="shared" si="150"/>
        <v>50000000</v>
      </c>
      <c r="BH88" s="578">
        <f t="shared" si="150"/>
        <v>48237548.239999995</v>
      </c>
      <c r="BI88" s="578">
        <f>3368706.62+45338132.12</f>
        <v>48706838.739999995</v>
      </c>
      <c r="BJ88" s="578">
        <f t="shared" si="173"/>
        <v>-1293161.2600000054</v>
      </c>
      <c r="BK88" s="578">
        <f t="shared" si="174"/>
        <v>469290.5</v>
      </c>
      <c r="BL88" s="576">
        <v>7394214.6100000003</v>
      </c>
      <c r="BM88" s="578">
        <f>'[67]Гл инж_Тех дир'!AW28</f>
        <v>16841000</v>
      </c>
      <c r="BN88" s="522">
        <f t="shared" si="204"/>
        <v>19196989.700000003</v>
      </c>
      <c r="BO88" s="578">
        <f t="shared" si="181"/>
        <v>11802775.090000004</v>
      </c>
      <c r="BP88" s="578">
        <f t="shared" si="175"/>
        <v>2355989.700000003</v>
      </c>
      <c r="BQ88" s="576">
        <v>7394214.6100000003</v>
      </c>
      <c r="BR88" s="578">
        <f>'[67]Гл инж_Тех дир'!BB28</f>
        <v>0</v>
      </c>
      <c r="BS88" s="578">
        <f>'[67]Гл инж_Тех дир'!BC28</f>
        <v>0</v>
      </c>
      <c r="BT88" s="536"/>
      <c r="BU88" s="578">
        <v>4782325.05</v>
      </c>
      <c r="BV88" s="578">
        <v>63121503.390000001</v>
      </c>
      <c r="BW88" s="578"/>
      <c r="BX88" s="629"/>
      <c r="BY88" s="525">
        <f>4702442.66+61324610.93</f>
        <v>66027053.590000004</v>
      </c>
      <c r="BZ88" s="525">
        <f>52609.29+97442.42+370684.87+29020.22</f>
        <v>549756.79999999993</v>
      </c>
      <c r="CA88" s="525">
        <f>27273.1+1299744.95</f>
        <v>1327018.05</v>
      </c>
      <c r="CB88" s="522">
        <f t="shared" si="134"/>
        <v>67903828.439999998</v>
      </c>
      <c r="CC88" s="522">
        <f t="shared" si="176"/>
        <v>0</v>
      </c>
      <c r="CD88" s="578"/>
      <c r="CE88" s="578"/>
      <c r="CF88" s="578"/>
      <c r="CG88" s="578"/>
      <c r="CH88" s="578"/>
      <c r="CI88" s="578"/>
      <c r="CJ88" s="578"/>
      <c r="CK88" s="543" t="s">
        <v>79</v>
      </c>
      <c r="CL88" s="543" t="s">
        <v>1806</v>
      </c>
      <c r="CM88" s="528" t="s">
        <v>1907</v>
      </c>
      <c r="CN88" s="528" t="s">
        <v>1849</v>
      </c>
      <c r="CO88" s="528"/>
      <c r="CP88" s="544">
        <f t="shared" si="205"/>
        <v>52953076.126882918</v>
      </c>
      <c r="CQ88" s="544">
        <f t="shared" si="206"/>
        <v>3889576.1964136292</v>
      </c>
      <c r="CR88" s="544">
        <f t="shared" si="207"/>
        <v>551562.28670345654</v>
      </c>
      <c r="CS88" s="1688" t="s">
        <v>1826</v>
      </c>
      <c r="CT88" s="1689"/>
      <c r="CU88" s="1689"/>
      <c r="CV88" s="1689"/>
      <c r="CW88" s="1690"/>
      <c r="CX88" s="528"/>
      <c r="CY88" s="528"/>
      <c r="CZ88" s="528"/>
      <c r="DA88" s="528"/>
      <c r="DB88" s="579">
        <f>1155832.56+13243990.08</f>
        <v>14399822.640000001</v>
      </c>
      <c r="DC88" s="628" t="e">
        <f>P88-#REF!</f>
        <v>#REF!</v>
      </c>
      <c r="DD88" s="535">
        <f>3368706.62</f>
        <v>3368706.62</v>
      </c>
      <c r="DE88" s="535"/>
      <c r="DF88" s="525">
        <f t="shared" si="88"/>
        <v>66027.05359000001</v>
      </c>
      <c r="DG88" s="525">
        <f t="shared" si="88"/>
        <v>549.75679999999988</v>
      </c>
      <c r="DH88" s="525">
        <f t="shared" si="88"/>
        <v>1327.0180500000001</v>
      </c>
      <c r="DI88" s="522">
        <f t="shared" si="88"/>
        <v>67903.828439999997</v>
      </c>
      <c r="DJ88" s="536"/>
      <c r="DK88" s="536"/>
      <c r="DL88" s="536"/>
      <c r="DM88" s="536"/>
      <c r="DN88" s="536"/>
      <c r="DO88" s="536"/>
      <c r="DP88" s="536"/>
      <c r="DQ88" s="536"/>
      <c r="DR88" s="536"/>
      <c r="DS88" s="536"/>
    </row>
    <row r="89" spans="1:123" s="534" customFormat="1" ht="84.6">
      <c r="A89" s="537" t="s">
        <v>298</v>
      </c>
      <c r="B89" s="538" t="s">
        <v>299</v>
      </c>
      <c r="C89" s="576">
        <v>179371.28</v>
      </c>
      <c r="D89" s="576">
        <v>356078.15</v>
      </c>
      <c r="E89" s="576">
        <v>356078.15</v>
      </c>
      <c r="F89" s="576">
        <v>401971.64</v>
      </c>
      <c r="G89" s="577">
        <v>330633.96039921266</v>
      </c>
      <c r="H89" s="577">
        <v>0</v>
      </c>
      <c r="I89" s="576">
        <f t="shared" si="198"/>
        <v>399067.29</v>
      </c>
      <c r="J89" s="576">
        <v>191091.82</v>
      </c>
      <c r="K89" s="576">
        <v>82658.490000000005</v>
      </c>
      <c r="L89" s="576">
        <v>125316.98</v>
      </c>
      <c r="M89" s="576">
        <f t="shared" si="199"/>
        <v>273750.31</v>
      </c>
      <c r="N89" s="576">
        <v>380927.04</v>
      </c>
      <c r="O89" s="525">
        <f t="shared" si="200"/>
        <v>121496.72999999998</v>
      </c>
      <c r="P89" s="522">
        <f>501071.48+1352.29</f>
        <v>502423.76999999996</v>
      </c>
      <c r="Q89" s="576">
        <f t="shared" si="151"/>
        <v>103356.47999999998</v>
      </c>
      <c r="R89" s="576">
        <f t="shared" si="152"/>
        <v>25.899511834207203</v>
      </c>
      <c r="S89" s="576">
        <v>348818.8282211693</v>
      </c>
      <c r="T89" s="576">
        <v>348818.8282211693</v>
      </c>
      <c r="U89" s="522">
        <f t="shared" si="201"/>
        <v>348818.83</v>
      </c>
      <c r="V89" s="522">
        <f t="shared" si="149"/>
        <v>1.7788307159207761E-3</v>
      </c>
      <c r="W89" s="522">
        <f t="shared" si="153"/>
        <v>5.0995834044442745E-7</v>
      </c>
      <c r="X89" s="522">
        <f t="shared" si="154"/>
        <v>-153604.93999999994</v>
      </c>
      <c r="Y89" s="522">
        <f t="shared" si="155"/>
        <v>-30.572785200827568</v>
      </c>
      <c r="Z89" s="524">
        <f t="shared" si="156"/>
        <v>355353.73</v>
      </c>
      <c r="AA89" s="522">
        <f t="shared" si="157"/>
        <v>6534.901778830681</v>
      </c>
      <c r="AB89" s="522">
        <f t="shared" si="158"/>
        <v>1.8734372258962964</v>
      </c>
      <c r="AC89" s="522">
        <f t="shared" si="159"/>
        <v>6534.8999999999651</v>
      </c>
      <c r="AD89" s="522">
        <f t="shared" si="160"/>
        <v>1.8734367063842257</v>
      </c>
      <c r="AE89" s="522">
        <f t="shared" si="161"/>
        <v>-147070.03999999998</v>
      </c>
      <c r="AF89" s="522">
        <f t="shared" si="162"/>
        <v>-29.272110274559665</v>
      </c>
      <c r="AG89" s="522">
        <f t="shared" si="177"/>
        <v>375525.06000000006</v>
      </c>
      <c r="AH89" s="522">
        <f t="shared" si="163"/>
        <v>26706.23000000004</v>
      </c>
      <c r="AI89" s="522">
        <f t="shared" si="164"/>
        <v>7.6561893175319824</v>
      </c>
      <c r="AJ89" s="522">
        <f t="shared" si="165"/>
        <v>20171.330000000075</v>
      </c>
      <c r="AK89" s="522">
        <f t="shared" si="133"/>
        <v>5.6764086871974371</v>
      </c>
      <c r="AL89" s="522">
        <f t="shared" si="202"/>
        <v>375525.06</v>
      </c>
      <c r="AM89" s="522">
        <f t="shared" si="192"/>
        <v>140000</v>
      </c>
      <c r="AN89" s="522">
        <f t="shared" si="192"/>
        <v>82578.899999999994</v>
      </c>
      <c r="AO89" s="522">
        <f t="shared" si="166"/>
        <v>-57421.100000000006</v>
      </c>
      <c r="AP89" s="522">
        <f t="shared" si="178"/>
        <v>-41.015071428571439</v>
      </c>
      <c r="AQ89" s="578">
        <v>50000</v>
      </c>
      <c r="AR89" s="578">
        <v>46067.25</v>
      </c>
      <c r="AS89" s="578">
        <v>90000</v>
      </c>
      <c r="AT89" s="578">
        <v>36511.649999999994</v>
      </c>
      <c r="AU89" s="578">
        <f t="shared" si="79"/>
        <v>208818.83000000002</v>
      </c>
      <c r="AV89" s="578">
        <f t="shared" si="79"/>
        <v>272774.83</v>
      </c>
      <c r="AW89" s="578">
        <f t="shared" si="167"/>
        <v>63956</v>
      </c>
      <c r="AX89" s="578">
        <f t="shared" si="168"/>
        <v>30.627506149708807</v>
      </c>
      <c r="AY89" s="578">
        <f t="shared" si="82"/>
        <v>292946.16000000003</v>
      </c>
      <c r="AZ89" s="578">
        <f t="shared" si="169"/>
        <v>-20171.330000000016</v>
      </c>
      <c r="BA89" s="578">
        <f t="shared" si="170"/>
        <v>-6.8856782420360219</v>
      </c>
      <c r="BB89" s="578">
        <v>100000</v>
      </c>
      <c r="BC89" s="576">
        <f>'[67]Гл инж_Тех дир'!AT29</f>
        <v>154000</v>
      </c>
      <c r="BD89" s="576">
        <f t="shared" si="203"/>
        <v>46082.97</v>
      </c>
      <c r="BE89" s="576">
        <f t="shared" si="171"/>
        <v>-53917.03</v>
      </c>
      <c r="BF89" s="576">
        <f t="shared" si="172"/>
        <v>-107917.03</v>
      </c>
      <c r="BG89" s="576">
        <f t="shared" si="150"/>
        <v>240000</v>
      </c>
      <c r="BH89" s="578">
        <f t="shared" si="150"/>
        <v>236578.9</v>
      </c>
      <c r="BI89" s="578">
        <f>6793.4+121868.47</f>
        <v>128661.87</v>
      </c>
      <c r="BJ89" s="578">
        <f t="shared" si="173"/>
        <v>-111338.13</v>
      </c>
      <c r="BK89" s="578">
        <f t="shared" si="174"/>
        <v>-107917.03</v>
      </c>
      <c r="BL89" s="576">
        <v>108818.83</v>
      </c>
      <c r="BM89" s="578">
        <f>'[67]Гл инж_Тех дир'!AW29</f>
        <v>118774.83</v>
      </c>
      <c r="BN89" s="522">
        <f t="shared" si="204"/>
        <v>246863.19</v>
      </c>
      <c r="BO89" s="578">
        <f t="shared" si="181"/>
        <v>138044.35999999999</v>
      </c>
      <c r="BP89" s="578">
        <f t="shared" si="175"/>
        <v>128088.36</v>
      </c>
      <c r="BQ89" s="576">
        <v>108818.83</v>
      </c>
      <c r="BR89" s="578">
        <f>'[67]Гл инж_Тех дир'!BB29</f>
        <v>0</v>
      </c>
      <c r="BS89" s="578">
        <f>'[67]Гл инж_Тех дир'!BC29</f>
        <v>0</v>
      </c>
      <c r="BT89" s="536"/>
      <c r="BU89" s="578">
        <f>2184.92+9840.68</f>
        <v>12025.6</v>
      </c>
      <c r="BV89" s="578">
        <v>363499.46</v>
      </c>
      <c r="BW89" s="578"/>
      <c r="BX89" s="629"/>
      <c r="BY89" s="525">
        <f>1926.09+9025.89+363499.46</f>
        <v>374451.44</v>
      </c>
      <c r="BZ89" s="525">
        <f>232.46+698.45</f>
        <v>930.91000000000008</v>
      </c>
      <c r="CA89" s="525">
        <f>26.37+116.34</f>
        <v>142.71</v>
      </c>
      <c r="CB89" s="522">
        <f t="shared" si="134"/>
        <v>375525.06</v>
      </c>
      <c r="CC89" s="522">
        <f t="shared" si="176"/>
        <v>0</v>
      </c>
      <c r="CD89" s="578"/>
      <c r="CE89" s="578"/>
      <c r="CF89" s="578"/>
      <c r="CG89" s="578"/>
      <c r="CH89" s="578"/>
      <c r="CI89" s="578"/>
      <c r="CJ89" s="578"/>
      <c r="CK89" s="543" t="s">
        <v>79</v>
      </c>
      <c r="CL89" s="543" t="s">
        <v>1806</v>
      </c>
      <c r="CM89" s="528" t="s">
        <v>1907</v>
      </c>
      <c r="CN89" s="528"/>
      <c r="CO89" s="528"/>
      <c r="CP89" s="544">
        <f t="shared" si="205"/>
        <v>321827.38600036455</v>
      </c>
      <c r="CQ89" s="544">
        <f t="shared" si="206"/>
        <v>23639.271436122406</v>
      </c>
      <c r="CR89" s="544">
        <f t="shared" si="207"/>
        <v>3352.172563513092</v>
      </c>
      <c r="CS89" s="1688" t="s">
        <v>1826</v>
      </c>
      <c r="CT89" s="1689"/>
      <c r="CU89" s="1689"/>
      <c r="CV89" s="1689"/>
      <c r="CW89" s="1690"/>
      <c r="CX89" s="528"/>
      <c r="CY89" s="528"/>
      <c r="CZ89" s="528"/>
      <c r="DA89" s="528"/>
      <c r="DB89" s="579">
        <v>46067.25</v>
      </c>
      <c r="DC89" s="628" t="e">
        <f>P89-#REF!</f>
        <v>#REF!</v>
      </c>
      <c r="DD89" s="535">
        <f>1752.72+5040.68</f>
        <v>6793.4000000000005</v>
      </c>
      <c r="DE89" s="535"/>
      <c r="DF89" s="525">
        <f t="shared" si="88"/>
        <v>374.45143999999999</v>
      </c>
      <c r="DG89" s="525">
        <f t="shared" si="88"/>
        <v>0.93091000000000013</v>
      </c>
      <c r="DH89" s="525">
        <f t="shared" si="88"/>
        <v>0.14271</v>
      </c>
      <c r="DI89" s="522">
        <f t="shared" si="88"/>
        <v>375.52506</v>
      </c>
      <c r="DJ89" s="536"/>
      <c r="DK89" s="536"/>
      <c r="DL89" s="536"/>
      <c r="DM89" s="536"/>
      <c r="DN89" s="536"/>
      <c r="DO89" s="536"/>
      <c r="DP89" s="536"/>
      <c r="DQ89" s="536"/>
      <c r="DR89" s="536"/>
      <c r="DS89" s="536"/>
    </row>
    <row r="90" spans="1:123" s="534" customFormat="1" ht="56.4">
      <c r="A90" s="537" t="s">
        <v>301</v>
      </c>
      <c r="B90" s="538" t="s">
        <v>302</v>
      </c>
      <c r="C90" s="576">
        <f>157666.1+1203380.12</f>
        <v>1361046.2200000002</v>
      </c>
      <c r="D90" s="576">
        <f>1050693.87+0</f>
        <v>1050693.8700000001</v>
      </c>
      <c r="E90" s="576">
        <f>203130+200000</f>
        <v>403130</v>
      </c>
      <c r="F90" s="576">
        <f>98224.65+249990.59</f>
        <v>348215.24</v>
      </c>
      <c r="G90" s="577">
        <v>87069.880378300702</v>
      </c>
      <c r="H90" s="577">
        <v>0</v>
      </c>
      <c r="I90" s="576">
        <f t="shared" si="198"/>
        <v>265743.8</v>
      </c>
      <c r="J90" s="576">
        <v>83805.799999999988</v>
      </c>
      <c r="K90" s="576">
        <v>77575.990000000005</v>
      </c>
      <c r="L90" s="576">
        <v>104362.01</v>
      </c>
      <c r="M90" s="576">
        <f t="shared" si="199"/>
        <v>161381.78999999998</v>
      </c>
      <c r="N90" s="576">
        <v>110475.88</v>
      </c>
      <c r="O90" s="525">
        <f t="shared" si="200"/>
        <v>45813.399999999994</v>
      </c>
      <c r="P90" s="522">
        <f>125456.22+2957.63+19575.43+8300</f>
        <v>156289.28</v>
      </c>
      <c r="Q90" s="576">
        <f t="shared" si="151"/>
        <v>-109454.51999999999</v>
      </c>
      <c r="R90" s="576">
        <f t="shared" si="152"/>
        <v>-41.187986323669634</v>
      </c>
      <c r="S90" s="576">
        <v>388392.44749999989</v>
      </c>
      <c r="T90" s="576">
        <v>388392.44749999989</v>
      </c>
      <c r="U90" s="522">
        <f t="shared" si="201"/>
        <v>240862.22</v>
      </c>
      <c r="V90" s="522">
        <f t="shared" si="149"/>
        <v>-147530.22749999989</v>
      </c>
      <c r="W90" s="522">
        <f t="shared" si="153"/>
        <v>-37.984834269981505</v>
      </c>
      <c r="X90" s="522">
        <f t="shared" si="154"/>
        <v>84572.94</v>
      </c>
      <c r="Y90" s="522">
        <f t="shared" si="155"/>
        <v>54.113078005094138</v>
      </c>
      <c r="Z90" s="524">
        <f t="shared" si="156"/>
        <v>734167.37</v>
      </c>
      <c r="AA90" s="522">
        <f t="shared" si="157"/>
        <v>345774.9225000001</v>
      </c>
      <c r="AB90" s="522">
        <f t="shared" si="158"/>
        <v>89.027200380872557</v>
      </c>
      <c r="AC90" s="522">
        <f t="shared" si="159"/>
        <v>493305.15</v>
      </c>
      <c r="AD90" s="522">
        <f t="shared" si="160"/>
        <v>204.80802261143322</v>
      </c>
      <c r="AE90" s="522">
        <f t="shared" si="161"/>
        <v>577878.09</v>
      </c>
      <c r="AF90" s="522">
        <f t="shared" si="162"/>
        <v>369.74902565294309</v>
      </c>
      <c r="AG90" s="522">
        <f t="shared" si="177"/>
        <v>526843.13</v>
      </c>
      <c r="AH90" s="522">
        <f t="shared" si="163"/>
        <v>285980.91000000003</v>
      </c>
      <c r="AI90" s="522">
        <f t="shared" si="164"/>
        <v>118.73215733044393</v>
      </c>
      <c r="AJ90" s="522">
        <f t="shared" si="165"/>
        <v>-207324.24</v>
      </c>
      <c r="AK90" s="522">
        <f t="shared" si="133"/>
        <v>-28.239369995427609</v>
      </c>
      <c r="AL90" s="522">
        <f t="shared" si="202"/>
        <v>526843.13</v>
      </c>
      <c r="AM90" s="522">
        <f t="shared" si="192"/>
        <v>120431.11</v>
      </c>
      <c r="AN90" s="522">
        <f t="shared" si="192"/>
        <v>293305.26</v>
      </c>
      <c r="AO90" s="522">
        <f t="shared" si="166"/>
        <v>172874.15000000002</v>
      </c>
      <c r="AP90" s="522">
        <f t="shared" si="178"/>
        <v>143.54609037482092</v>
      </c>
      <c r="AQ90" s="578">
        <v>0</v>
      </c>
      <c r="AR90" s="578">
        <v>4548.57</v>
      </c>
      <c r="AS90" s="578">
        <v>120431.11</v>
      </c>
      <c r="AT90" s="578">
        <v>288756.69</v>
      </c>
      <c r="AU90" s="578">
        <f t="shared" si="79"/>
        <v>120431.11</v>
      </c>
      <c r="AV90" s="578">
        <f t="shared" si="79"/>
        <v>440862.11</v>
      </c>
      <c r="AW90" s="578">
        <f t="shared" si="167"/>
        <v>320431</v>
      </c>
      <c r="AX90" s="578">
        <f t="shared" si="168"/>
        <v>266.06995484804548</v>
      </c>
      <c r="AY90" s="578">
        <f t="shared" si="82"/>
        <v>233537.87</v>
      </c>
      <c r="AZ90" s="578">
        <f t="shared" si="169"/>
        <v>207324.24</v>
      </c>
      <c r="BA90" s="578">
        <f t="shared" si="170"/>
        <v>88.775426443685546</v>
      </c>
      <c r="BB90" s="578">
        <v>120431.11</v>
      </c>
      <c r="BC90" s="576">
        <f>'[67]Гл инж_Тех дир'!AT30</f>
        <v>220431.11</v>
      </c>
      <c r="BD90" s="576">
        <f t="shared" si="203"/>
        <v>83945.150000000023</v>
      </c>
      <c r="BE90" s="576">
        <f t="shared" si="171"/>
        <v>-36485.959999999977</v>
      </c>
      <c r="BF90" s="576">
        <f t="shared" si="172"/>
        <v>-136485.95999999996</v>
      </c>
      <c r="BG90" s="576">
        <f t="shared" si="150"/>
        <v>240862.22</v>
      </c>
      <c r="BH90" s="578">
        <f t="shared" si="150"/>
        <v>513736.37</v>
      </c>
      <c r="BI90" s="578">
        <f>159183.82+218066.59</f>
        <v>377250.41000000003</v>
      </c>
      <c r="BJ90" s="578">
        <f t="shared" si="173"/>
        <v>136388.19000000003</v>
      </c>
      <c r="BK90" s="578">
        <f t="shared" si="174"/>
        <v>-136485.95999999996</v>
      </c>
      <c r="BL90" s="576">
        <v>0</v>
      </c>
      <c r="BM90" s="578">
        <f>'[67]Гл инж_Тех дир'!AW30</f>
        <v>220431</v>
      </c>
      <c r="BN90" s="522">
        <f t="shared" si="204"/>
        <v>149592.71999999997</v>
      </c>
      <c r="BO90" s="578">
        <f t="shared" si="181"/>
        <v>149592.71999999997</v>
      </c>
      <c r="BP90" s="578">
        <f t="shared" si="175"/>
        <v>-70838.280000000028</v>
      </c>
      <c r="BQ90" s="576">
        <v>0</v>
      </c>
      <c r="BR90" s="578">
        <f>'[67]Гл инж_Тех дир'!BB30</f>
        <v>0</v>
      </c>
      <c r="BS90" s="578">
        <f>'[67]Гл инж_Тех дир'!BC30</f>
        <v>0</v>
      </c>
      <c r="BT90" s="536"/>
      <c r="BU90" s="578">
        <v>237183.42</v>
      </c>
      <c r="BV90" s="578">
        <f>286100.39+3559.32</f>
        <v>289659.71000000002</v>
      </c>
      <c r="BW90" s="578"/>
      <c r="BX90" s="629"/>
      <c r="BY90" s="525">
        <f>236127.6+286100.39+3559.32</f>
        <v>525787.30999999994</v>
      </c>
      <c r="BZ90" s="525">
        <v>903.12</v>
      </c>
      <c r="CA90" s="525">
        <v>152.69999999999999</v>
      </c>
      <c r="CB90" s="522">
        <f t="shared" si="134"/>
        <v>526843.12999999989</v>
      </c>
      <c r="CC90" s="522">
        <f t="shared" si="176"/>
        <v>0</v>
      </c>
      <c r="CD90" s="578"/>
      <c r="CE90" s="578"/>
      <c r="CF90" s="578"/>
      <c r="CG90" s="578"/>
      <c r="CH90" s="578"/>
      <c r="CI90" s="578"/>
      <c r="CJ90" s="578"/>
      <c r="CK90" s="543" t="s">
        <v>79</v>
      </c>
      <c r="CL90" s="543" t="s">
        <v>1806</v>
      </c>
      <c r="CM90" s="528" t="s">
        <v>1907</v>
      </c>
      <c r="CN90" s="528"/>
      <c r="CO90" s="528"/>
      <c r="CP90" s="544">
        <f t="shared" si="205"/>
        <v>222224.40987157924</v>
      </c>
      <c r="CQ90" s="544">
        <f t="shared" si="206"/>
        <v>16323.107893249429</v>
      </c>
      <c r="CR90" s="544">
        <f t="shared" si="207"/>
        <v>2314.7022351713476</v>
      </c>
      <c r="CS90" s="1688" t="s">
        <v>1826</v>
      </c>
      <c r="CT90" s="1689"/>
      <c r="CU90" s="1689"/>
      <c r="CV90" s="1689"/>
      <c r="CW90" s="1690"/>
      <c r="CX90" s="528"/>
      <c r="CY90" s="528"/>
      <c r="CZ90" s="528"/>
      <c r="DA90" s="528"/>
      <c r="DB90" s="579">
        <f>966.27+3582.3</f>
        <v>4548.57</v>
      </c>
      <c r="DC90" s="628" t="e">
        <f>P90-#REF!</f>
        <v>#REF!</v>
      </c>
      <c r="DD90" s="535">
        <f>159183.82</f>
        <v>159183.82</v>
      </c>
      <c r="DE90" s="535"/>
      <c r="DF90" s="525">
        <f t="shared" si="88"/>
        <v>525.78730999999993</v>
      </c>
      <c r="DG90" s="525">
        <f t="shared" si="88"/>
        <v>0.90312000000000003</v>
      </c>
      <c r="DH90" s="525">
        <f t="shared" si="88"/>
        <v>0.1527</v>
      </c>
      <c r="DI90" s="522">
        <f t="shared" si="88"/>
        <v>526.84312999999986</v>
      </c>
      <c r="DJ90" s="536"/>
      <c r="DK90" s="536"/>
      <c r="DL90" s="536"/>
      <c r="DM90" s="536"/>
      <c r="DN90" s="536"/>
      <c r="DO90" s="536"/>
      <c r="DP90" s="536"/>
      <c r="DQ90" s="536"/>
      <c r="DR90" s="536"/>
      <c r="DS90" s="536"/>
    </row>
    <row r="91" spans="1:123" s="534" customFormat="1" ht="56.4">
      <c r="A91" s="537" t="s">
        <v>304</v>
      </c>
      <c r="B91" s="538" t="s">
        <v>305</v>
      </c>
      <c r="C91" s="576">
        <v>12888849.32</v>
      </c>
      <c r="D91" s="576">
        <v>9433324.5500000007</v>
      </c>
      <c r="E91" s="576">
        <v>9433323.5500000007</v>
      </c>
      <c r="F91" s="576">
        <v>12213171.550000001</v>
      </c>
      <c r="G91" s="577">
        <v>11508547.144853132</v>
      </c>
      <c r="H91" s="577">
        <v>0</v>
      </c>
      <c r="I91" s="576">
        <f t="shared" si="198"/>
        <v>12413396.649999999</v>
      </c>
      <c r="J91" s="576">
        <v>6426966.2899999991</v>
      </c>
      <c r="K91" s="576">
        <v>2877136.78</v>
      </c>
      <c r="L91" s="576">
        <v>3109293.58</v>
      </c>
      <c r="M91" s="576">
        <f t="shared" si="199"/>
        <v>9304103.0699999984</v>
      </c>
      <c r="N91" s="576">
        <v>9728650.4800000004</v>
      </c>
      <c r="O91" s="525">
        <f t="shared" si="200"/>
        <v>4639517.17</v>
      </c>
      <c r="P91" s="522">
        <f>14155686.32+212481.33</f>
        <v>14368167.65</v>
      </c>
      <c r="Q91" s="576">
        <f t="shared" si="151"/>
        <v>1954771.0000000019</v>
      </c>
      <c r="R91" s="576">
        <f t="shared" si="152"/>
        <v>15.74726930199239</v>
      </c>
      <c r="S91" s="576">
        <v>12141517.237820053</v>
      </c>
      <c r="T91" s="576">
        <v>12141517.237820053</v>
      </c>
      <c r="U91" s="522">
        <f t="shared" si="201"/>
        <v>12141517.24</v>
      </c>
      <c r="V91" s="522">
        <f t="shared" si="149"/>
        <v>2.1799467504024506E-3</v>
      </c>
      <c r="W91" s="522">
        <f t="shared" si="153"/>
        <v>1.7954477016246528E-8</v>
      </c>
      <c r="X91" s="522">
        <f t="shared" si="154"/>
        <v>-2226650.41</v>
      </c>
      <c r="Y91" s="522">
        <f t="shared" si="155"/>
        <v>-15.497107663550963</v>
      </c>
      <c r="Z91" s="524">
        <f t="shared" si="156"/>
        <v>14800891.719999999</v>
      </c>
      <c r="AA91" s="522">
        <f t="shared" si="157"/>
        <v>2659374.4821799453</v>
      </c>
      <c r="AB91" s="522">
        <f t="shared" si="158"/>
        <v>21.903147935219863</v>
      </c>
      <c r="AC91" s="522">
        <f t="shared" si="159"/>
        <v>2659374.4799999986</v>
      </c>
      <c r="AD91" s="522">
        <f t="shared" si="160"/>
        <v>21.903147913332759</v>
      </c>
      <c r="AE91" s="522">
        <f t="shared" si="161"/>
        <v>432724.06999999844</v>
      </c>
      <c r="AF91" s="522">
        <f t="shared" si="162"/>
        <v>3.0116858359458263</v>
      </c>
      <c r="AG91" s="522">
        <f t="shared" si="177"/>
        <v>15893385.189999998</v>
      </c>
      <c r="AH91" s="522">
        <f t="shared" si="163"/>
        <v>3751867.9499999974</v>
      </c>
      <c r="AI91" s="522">
        <f t="shared" si="164"/>
        <v>30.901145843943937</v>
      </c>
      <c r="AJ91" s="522">
        <f t="shared" si="165"/>
        <v>1092493.4699999988</v>
      </c>
      <c r="AK91" s="522">
        <f t="shared" si="133"/>
        <v>7.3812679037692277</v>
      </c>
      <c r="AL91" s="522">
        <f t="shared" si="202"/>
        <v>15893385.189999999</v>
      </c>
      <c r="AM91" s="522">
        <f t="shared" si="192"/>
        <v>5913839.0800000001</v>
      </c>
      <c r="AN91" s="522">
        <f t="shared" si="192"/>
        <v>6130217.5599999996</v>
      </c>
      <c r="AO91" s="522">
        <f t="shared" si="166"/>
        <v>216378.47999999952</v>
      </c>
      <c r="AP91" s="522">
        <f t="shared" si="178"/>
        <v>3.6588496418810053</v>
      </c>
      <c r="AQ91" s="578">
        <v>2800000</v>
      </c>
      <c r="AR91" s="578">
        <v>2871256.78</v>
      </c>
      <c r="AS91" s="578">
        <v>3113839.08</v>
      </c>
      <c r="AT91" s="578">
        <v>3258960.78</v>
      </c>
      <c r="AU91" s="578">
        <f t="shared" ref="AU91:AV154" si="208">BB91+BL91</f>
        <v>6227678.1600000001</v>
      </c>
      <c r="AV91" s="578">
        <f t="shared" si="208"/>
        <v>8670674.1600000001</v>
      </c>
      <c r="AW91" s="578">
        <f t="shared" si="167"/>
        <v>2442996</v>
      </c>
      <c r="AX91" s="578">
        <f t="shared" si="168"/>
        <v>39.228038720613654</v>
      </c>
      <c r="AY91" s="578">
        <f t="shared" si="82"/>
        <v>9763167.629999999</v>
      </c>
      <c r="AZ91" s="578">
        <f t="shared" si="169"/>
        <v>-1092493.4699999988</v>
      </c>
      <c r="BA91" s="578">
        <f t="shared" si="170"/>
        <v>-11.189948912103219</v>
      </c>
      <c r="BB91" s="578">
        <v>3113839.08</v>
      </c>
      <c r="BC91" s="576">
        <f>'[67]Гл инж_Тех дир'!AT31</f>
        <v>4335337.08</v>
      </c>
      <c r="BD91" s="576">
        <f t="shared" si="203"/>
        <v>3811249.580000001</v>
      </c>
      <c r="BE91" s="576">
        <f t="shared" si="171"/>
        <v>697410.50000000093</v>
      </c>
      <c r="BF91" s="576">
        <f t="shared" si="172"/>
        <v>-524087.49999999907</v>
      </c>
      <c r="BG91" s="576">
        <f t="shared" si="150"/>
        <v>9027678.1600000001</v>
      </c>
      <c r="BH91" s="578">
        <f t="shared" si="150"/>
        <v>10465554.640000001</v>
      </c>
      <c r="BI91" s="578">
        <f>162311.98+9779155.16</f>
        <v>9941467.1400000006</v>
      </c>
      <c r="BJ91" s="578">
        <f t="shared" si="173"/>
        <v>913788.98000000045</v>
      </c>
      <c r="BK91" s="578">
        <f t="shared" si="174"/>
        <v>-524087.5</v>
      </c>
      <c r="BL91" s="576">
        <v>3113839.08</v>
      </c>
      <c r="BM91" s="578">
        <f>'[67]Гл инж_Тех дир'!AW31</f>
        <v>4335337.08</v>
      </c>
      <c r="BN91" s="522">
        <f t="shared" si="204"/>
        <v>5951918.0499999989</v>
      </c>
      <c r="BO91" s="578">
        <f t="shared" si="181"/>
        <v>2838078.9699999988</v>
      </c>
      <c r="BP91" s="578">
        <f t="shared" si="175"/>
        <v>1616580.9699999988</v>
      </c>
      <c r="BQ91" s="576">
        <v>3113839.08</v>
      </c>
      <c r="BR91" s="578">
        <f>'[67]Гл инж_Тех дир'!BB31</f>
        <v>0</v>
      </c>
      <c r="BS91" s="578">
        <f>'[67]Гл инж_Тех дир'!BC31</f>
        <v>0</v>
      </c>
      <c r="BT91" s="536"/>
      <c r="BU91" s="578">
        <f>236681.45+1378</f>
        <v>238059.45</v>
      </c>
      <c r="BV91" s="578">
        <v>15655325.74</v>
      </c>
      <c r="BW91" s="578"/>
      <c r="BX91" s="629"/>
      <c r="BY91" s="525">
        <f>235610.59+1367.44+15600547.74</f>
        <v>15837525.77</v>
      </c>
      <c r="BZ91" s="525">
        <f>918.8+9.8</f>
        <v>928.59999999999991</v>
      </c>
      <c r="CA91" s="525">
        <f>152.06+0.76+54778</f>
        <v>54930.82</v>
      </c>
      <c r="CB91" s="522">
        <f t="shared" si="134"/>
        <v>15893385.189999999</v>
      </c>
      <c r="CC91" s="522">
        <f t="shared" si="176"/>
        <v>0</v>
      </c>
      <c r="CD91" s="578"/>
      <c r="CE91" s="578"/>
      <c r="CF91" s="578"/>
      <c r="CG91" s="578"/>
      <c r="CH91" s="578"/>
      <c r="CI91" s="578"/>
      <c r="CJ91" s="578"/>
      <c r="CK91" s="543" t="s">
        <v>79</v>
      </c>
      <c r="CL91" s="543" t="s">
        <v>1806</v>
      </c>
      <c r="CM91" s="528" t="s">
        <v>1907</v>
      </c>
      <c r="CN91" s="528" t="s">
        <v>1849</v>
      </c>
      <c r="CO91" s="528" t="s">
        <v>1849</v>
      </c>
      <c r="CP91" s="544">
        <f t="shared" si="205"/>
        <v>11202012.103038019</v>
      </c>
      <c r="CQ91" s="544">
        <f t="shared" si="206"/>
        <v>822824.33457712049</v>
      </c>
      <c r="CR91" s="544">
        <f t="shared" si="207"/>
        <v>116680.80238486323</v>
      </c>
      <c r="CS91" s="1688" t="s">
        <v>1826</v>
      </c>
      <c r="CT91" s="1689"/>
      <c r="CU91" s="1689"/>
      <c r="CV91" s="1689"/>
      <c r="CW91" s="1690"/>
      <c r="CX91" s="528"/>
      <c r="CY91" s="528"/>
      <c r="CZ91" s="528"/>
      <c r="DA91" s="528"/>
      <c r="DB91" s="579">
        <f>2610+2868646.78</f>
        <v>2871256.78</v>
      </c>
      <c r="DC91" s="628" t="e">
        <f>P91-#REF!</f>
        <v>#REF!</v>
      </c>
      <c r="DD91" s="535">
        <f>160933.98+1378</f>
        <v>162311.98000000001</v>
      </c>
      <c r="DE91" s="535"/>
      <c r="DF91" s="525">
        <f t="shared" si="88"/>
        <v>15837.52577</v>
      </c>
      <c r="DG91" s="525">
        <f t="shared" si="88"/>
        <v>0.92859999999999987</v>
      </c>
      <c r="DH91" s="525">
        <f t="shared" si="88"/>
        <v>54.930819999999997</v>
      </c>
      <c r="DI91" s="522">
        <f t="shared" ref="DI91:DI154" si="209">CB91/1000</f>
        <v>15893.385189999999</v>
      </c>
      <c r="DJ91" s="536"/>
      <c r="DK91" s="536"/>
      <c r="DL91" s="536"/>
      <c r="DM91" s="536"/>
      <c r="DN91" s="536"/>
      <c r="DO91" s="536"/>
      <c r="DP91" s="536"/>
      <c r="DQ91" s="536"/>
      <c r="DR91" s="536"/>
      <c r="DS91" s="536"/>
    </row>
    <row r="92" spans="1:123" s="534" customFormat="1" ht="57" customHeight="1">
      <c r="A92" s="537" t="s">
        <v>309</v>
      </c>
      <c r="B92" s="538" t="s">
        <v>310</v>
      </c>
      <c r="C92" s="576">
        <v>2034454.08</v>
      </c>
      <c r="D92" s="576">
        <v>1057791.47</v>
      </c>
      <c r="E92" s="576">
        <v>2060600</v>
      </c>
      <c r="F92" s="576">
        <v>2343929.83</v>
      </c>
      <c r="G92" s="577">
        <v>1939034.0042625754</v>
      </c>
      <c r="H92" s="577">
        <v>0</v>
      </c>
      <c r="I92" s="576">
        <f t="shared" si="198"/>
        <v>2251457.31</v>
      </c>
      <c r="J92" s="576">
        <v>1078324.1100000001</v>
      </c>
      <c r="K92" s="576">
        <v>578547.80000000005</v>
      </c>
      <c r="L92" s="576">
        <v>594585.4</v>
      </c>
      <c r="M92" s="576">
        <f t="shared" si="199"/>
        <v>1656871.9100000001</v>
      </c>
      <c r="N92" s="576">
        <v>1696588.87</v>
      </c>
      <c r="O92" s="525">
        <f t="shared" si="200"/>
        <v>696614.88999999966</v>
      </c>
      <c r="P92" s="522">
        <f>14363.9+2378839.86</f>
        <v>2393203.7599999998</v>
      </c>
      <c r="Q92" s="576">
        <f t="shared" si="151"/>
        <v>141746.44999999972</v>
      </c>
      <c r="R92" s="576">
        <f t="shared" si="152"/>
        <v>6.2957644975289355</v>
      </c>
      <c r="S92" s="576">
        <v>2045676.65</v>
      </c>
      <c r="T92" s="576">
        <v>2045676.65</v>
      </c>
      <c r="U92" s="522">
        <f t="shared" si="201"/>
        <v>2366281.63</v>
      </c>
      <c r="V92" s="522">
        <f t="shared" si="149"/>
        <v>320604.98</v>
      </c>
      <c r="W92" s="522">
        <f t="shared" si="153"/>
        <v>15.672319474341151</v>
      </c>
      <c r="X92" s="522">
        <f t="shared" si="154"/>
        <v>-26922.129999999888</v>
      </c>
      <c r="Y92" s="522">
        <f t="shared" si="155"/>
        <v>-1.1249409870557798</v>
      </c>
      <c r="Z92" s="524">
        <f t="shared" si="156"/>
        <v>2464597.17</v>
      </c>
      <c r="AA92" s="522">
        <f t="shared" si="157"/>
        <v>418920.52</v>
      </c>
      <c r="AB92" s="522">
        <f t="shared" si="158"/>
        <v>20.478335126912668</v>
      </c>
      <c r="AC92" s="522">
        <f t="shared" si="159"/>
        <v>98315.540000000037</v>
      </c>
      <c r="AD92" s="522">
        <f t="shared" si="160"/>
        <v>4.1548537060654098</v>
      </c>
      <c r="AE92" s="522">
        <f t="shared" si="161"/>
        <v>71393.410000000149</v>
      </c>
      <c r="AF92" s="522">
        <f t="shared" si="162"/>
        <v>2.9831730667178959</v>
      </c>
      <c r="AG92" s="522">
        <f t="shared" si="177"/>
        <v>2812923.45</v>
      </c>
      <c r="AH92" s="522">
        <f t="shared" si="163"/>
        <v>446641.8200000003</v>
      </c>
      <c r="AI92" s="522">
        <f t="shared" si="164"/>
        <v>18.875260422826344</v>
      </c>
      <c r="AJ92" s="522">
        <f t="shared" si="165"/>
        <v>348326.28000000026</v>
      </c>
      <c r="AK92" s="522">
        <f t="shared" si="133"/>
        <v>14.133193214694813</v>
      </c>
      <c r="AL92" s="522">
        <f t="shared" si="202"/>
        <v>2812923.45</v>
      </c>
      <c r="AM92" s="522">
        <f t="shared" si="192"/>
        <v>1109361.6299999999</v>
      </c>
      <c r="AN92" s="522">
        <f t="shared" si="192"/>
        <v>1207677.1700000002</v>
      </c>
      <c r="AO92" s="522">
        <f t="shared" si="166"/>
        <v>98315.54000000027</v>
      </c>
      <c r="AP92" s="522">
        <f t="shared" si="178"/>
        <v>8.8623526667314252</v>
      </c>
      <c r="AQ92" s="578">
        <v>439063</v>
      </c>
      <c r="AR92" s="578">
        <v>443379.96</v>
      </c>
      <c r="AS92" s="578">
        <v>670298.63</v>
      </c>
      <c r="AT92" s="578">
        <v>764297.2100000002</v>
      </c>
      <c r="AU92" s="578">
        <f t="shared" si="208"/>
        <v>1256920</v>
      </c>
      <c r="AV92" s="578">
        <f t="shared" si="208"/>
        <v>1256920</v>
      </c>
      <c r="AW92" s="578">
        <f t="shared" si="167"/>
        <v>0</v>
      </c>
      <c r="AX92" s="578">
        <f t="shared" si="168"/>
        <v>0</v>
      </c>
      <c r="AY92" s="578">
        <f t="shared" ref="AY92:AY155" si="210">BD92+BN92</f>
        <v>1605246.28</v>
      </c>
      <c r="AZ92" s="578">
        <f t="shared" si="169"/>
        <v>-348326.28</v>
      </c>
      <c r="BA92" s="578">
        <f t="shared" si="170"/>
        <v>-21.699242311902438</v>
      </c>
      <c r="BB92" s="578">
        <v>650260</v>
      </c>
      <c r="BC92" s="576">
        <f>'[67]Дир_ имущ'!AT41</f>
        <v>650260</v>
      </c>
      <c r="BD92" s="576">
        <f t="shared" si="203"/>
        <v>783998.86999999965</v>
      </c>
      <c r="BE92" s="576">
        <f t="shared" si="171"/>
        <v>133738.86999999965</v>
      </c>
      <c r="BF92" s="576">
        <f t="shared" si="172"/>
        <v>133738.86999999965</v>
      </c>
      <c r="BG92" s="576">
        <f t="shared" si="150"/>
        <v>1759621.63</v>
      </c>
      <c r="BH92" s="578">
        <f t="shared" si="150"/>
        <v>1857937.1700000002</v>
      </c>
      <c r="BI92" s="578">
        <f>1979638.65+12037.39</f>
        <v>1991676.0399999998</v>
      </c>
      <c r="BJ92" s="578">
        <f t="shared" si="173"/>
        <v>232054.40999999992</v>
      </c>
      <c r="BK92" s="578">
        <f t="shared" si="174"/>
        <v>133738.86999999965</v>
      </c>
      <c r="BL92" s="576">
        <v>606660</v>
      </c>
      <c r="BM92" s="578">
        <f>'[67]Дир_ имущ'!AW41</f>
        <v>606660</v>
      </c>
      <c r="BN92" s="522">
        <f t="shared" si="204"/>
        <v>821247.41000000038</v>
      </c>
      <c r="BO92" s="578">
        <f t="shared" si="181"/>
        <v>214587.41000000038</v>
      </c>
      <c r="BP92" s="578">
        <f t="shared" si="175"/>
        <v>214587.41000000038</v>
      </c>
      <c r="BQ92" s="576">
        <v>606660</v>
      </c>
      <c r="BR92" s="578">
        <f>'[67]Дир_ имущ'!BB41</f>
        <v>0</v>
      </c>
      <c r="BS92" s="578">
        <f>'[67]Дир_ имущ'!BC41</f>
        <v>0</v>
      </c>
      <c r="BT92" s="536"/>
      <c r="BU92" s="578">
        <v>2797725.87</v>
      </c>
      <c r="BV92" s="578">
        <v>15197.58</v>
      </c>
      <c r="BW92" s="578"/>
      <c r="BX92" s="629"/>
      <c r="BY92" s="525">
        <f>2255512.65+15197.58</f>
        <v>2270710.23</v>
      </c>
      <c r="BZ92" s="525">
        <v>381491.38</v>
      </c>
      <c r="CA92" s="525">
        <v>160721.84</v>
      </c>
      <c r="CB92" s="522">
        <f t="shared" si="134"/>
        <v>2812923.4499999997</v>
      </c>
      <c r="CC92" s="522">
        <f t="shared" si="176"/>
        <v>0</v>
      </c>
      <c r="CD92" s="578"/>
      <c r="CE92" s="578"/>
      <c r="CF92" s="578"/>
      <c r="CG92" s="578"/>
      <c r="CH92" s="578"/>
      <c r="CI92" s="578"/>
      <c r="CJ92" s="578"/>
      <c r="CK92" s="543" t="s">
        <v>1815</v>
      </c>
      <c r="CL92" s="543" t="s">
        <v>1897</v>
      </c>
      <c r="CM92" s="528" t="s">
        <v>1907</v>
      </c>
      <c r="CN92" s="528" t="s">
        <v>1849</v>
      </c>
      <c r="CO92" s="528"/>
      <c r="CP92" s="544">
        <f t="shared" si="205"/>
        <v>2183179.8229573262</v>
      </c>
      <c r="CQ92" s="544">
        <f t="shared" si="206"/>
        <v>160361.68043416741</v>
      </c>
      <c r="CR92" s="544">
        <f t="shared" si="207"/>
        <v>22740.126608506307</v>
      </c>
      <c r="CS92" s="1688" t="s">
        <v>1826</v>
      </c>
      <c r="CT92" s="1689"/>
      <c r="CU92" s="1689"/>
      <c r="CV92" s="1689"/>
      <c r="CW92" s="1690"/>
      <c r="CX92" s="528"/>
      <c r="CY92" s="528"/>
      <c r="CZ92" s="528"/>
      <c r="DA92" s="528"/>
      <c r="DB92" s="579">
        <f>439211.39+4168.57</f>
        <v>443379.96</v>
      </c>
      <c r="DC92" s="628" t="e">
        <f>P92-#REF!</f>
        <v>#REF!</v>
      </c>
      <c r="DD92" s="535">
        <f>1979638.65</f>
        <v>1979638.65</v>
      </c>
      <c r="DE92" s="535"/>
      <c r="DF92" s="525">
        <f t="shared" ref="DF92:DI155" si="211">BY92/1000</f>
        <v>2270.7102300000001</v>
      </c>
      <c r="DG92" s="525">
        <f t="shared" si="211"/>
        <v>381.49137999999999</v>
      </c>
      <c r="DH92" s="525">
        <f t="shared" si="211"/>
        <v>160.72183999999999</v>
      </c>
      <c r="DI92" s="522">
        <f t="shared" si="209"/>
        <v>2812.9234499999998</v>
      </c>
      <c r="DJ92" s="536"/>
      <c r="DK92" s="536"/>
      <c r="DL92" s="536"/>
      <c r="DM92" s="536"/>
      <c r="DN92" s="536"/>
      <c r="DO92" s="536"/>
      <c r="DP92" s="536"/>
      <c r="DQ92" s="536"/>
      <c r="DR92" s="536"/>
      <c r="DS92" s="536"/>
    </row>
    <row r="93" spans="1:123" s="534" customFormat="1" ht="56.4">
      <c r="A93" s="537" t="s">
        <v>313</v>
      </c>
      <c r="B93" s="538" t="s">
        <v>314</v>
      </c>
      <c r="C93" s="576">
        <v>258148.66</v>
      </c>
      <c r="D93" s="576">
        <v>1213712.7</v>
      </c>
      <c r="E93" s="576">
        <v>288133.28000000003</v>
      </c>
      <c r="F93" s="576">
        <v>265729</v>
      </c>
      <c r="G93" s="577">
        <v>216280.47451465257</v>
      </c>
      <c r="H93" s="577">
        <v>0</v>
      </c>
      <c r="I93" s="576">
        <f t="shared" si="198"/>
        <v>300988.76</v>
      </c>
      <c r="J93" s="576">
        <v>152874.01</v>
      </c>
      <c r="K93" s="576">
        <v>74057.37</v>
      </c>
      <c r="L93" s="576">
        <v>74057.38</v>
      </c>
      <c r="M93" s="576">
        <f t="shared" si="199"/>
        <v>226931.38</v>
      </c>
      <c r="N93" s="576">
        <v>212998.79</v>
      </c>
      <c r="O93" s="525">
        <f t="shared" si="200"/>
        <v>120868.9</v>
      </c>
      <c r="P93" s="522">
        <f>326368.27+3499.42+4000</f>
        <v>333867.69</v>
      </c>
      <c r="Q93" s="576">
        <f t="shared" si="151"/>
        <v>32878.929999999993</v>
      </c>
      <c r="R93" s="576">
        <f t="shared" si="152"/>
        <v>10.923640470826882</v>
      </c>
      <c r="S93" s="576">
        <v>259147.5625</v>
      </c>
      <c r="T93" s="576">
        <v>259147.5625</v>
      </c>
      <c r="U93" s="522">
        <f t="shared" si="201"/>
        <v>259147.56</v>
      </c>
      <c r="V93" s="522">
        <f t="shared" si="149"/>
        <v>-2.5000000023283064E-3</v>
      </c>
      <c r="W93" s="522">
        <f t="shared" si="153"/>
        <v>-9.6470134280934872E-7</v>
      </c>
      <c r="X93" s="522">
        <f t="shared" si="154"/>
        <v>-74720.13</v>
      </c>
      <c r="Y93" s="522">
        <f t="shared" si="155"/>
        <v>-22.380162033648716</v>
      </c>
      <c r="Z93" s="524">
        <f t="shared" si="156"/>
        <v>247747.26</v>
      </c>
      <c r="AA93" s="522">
        <f t="shared" si="157"/>
        <v>-11400.302499999991</v>
      </c>
      <c r="AB93" s="522">
        <f t="shared" si="158"/>
        <v>-4.3991548251587318</v>
      </c>
      <c r="AC93" s="522">
        <f t="shared" si="159"/>
        <v>-11400.299999999988</v>
      </c>
      <c r="AD93" s="522">
        <f t="shared" si="160"/>
        <v>-4.3991539028960887</v>
      </c>
      <c r="AE93" s="522">
        <f t="shared" si="161"/>
        <v>-86120.43</v>
      </c>
      <c r="AF93" s="522">
        <f t="shared" si="162"/>
        <v>-25.794778164967084</v>
      </c>
      <c r="AG93" s="522">
        <f t="shared" si="177"/>
        <v>235210.77</v>
      </c>
      <c r="AH93" s="522">
        <f t="shared" si="163"/>
        <v>-23936.790000000008</v>
      </c>
      <c r="AI93" s="522">
        <f t="shared" si="164"/>
        <v>-9.2367414148140199</v>
      </c>
      <c r="AJ93" s="522">
        <f t="shared" si="165"/>
        <v>-12536.49000000002</v>
      </c>
      <c r="AK93" s="522">
        <f t="shared" si="133"/>
        <v>-5.0601931985040096</v>
      </c>
      <c r="AL93" s="522">
        <f t="shared" si="202"/>
        <v>235210.77</v>
      </c>
      <c r="AM93" s="522">
        <f t="shared" si="192"/>
        <v>103659.02</v>
      </c>
      <c r="AN93" s="522">
        <f t="shared" si="192"/>
        <v>92258.72</v>
      </c>
      <c r="AO93" s="522">
        <f t="shared" si="166"/>
        <v>-11400.300000000003</v>
      </c>
      <c r="AP93" s="522">
        <f t="shared" si="178"/>
        <v>-10.997885181627225</v>
      </c>
      <c r="AQ93" s="578">
        <v>41463.61</v>
      </c>
      <c r="AR93" s="578">
        <v>41439.199999999997</v>
      </c>
      <c r="AS93" s="578">
        <v>62195.41</v>
      </c>
      <c r="AT93" s="578">
        <v>50819.520000000004</v>
      </c>
      <c r="AU93" s="578">
        <f t="shared" si="208"/>
        <v>155488.54</v>
      </c>
      <c r="AV93" s="578">
        <f t="shared" si="208"/>
        <v>155488.54</v>
      </c>
      <c r="AW93" s="578">
        <f t="shared" si="167"/>
        <v>0</v>
      </c>
      <c r="AX93" s="578">
        <f t="shared" si="168"/>
        <v>0</v>
      </c>
      <c r="AY93" s="578">
        <f t="shared" si="210"/>
        <v>142952.04999999999</v>
      </c>
      <c r="AZ93" s="578">
        <f t="shared" si="169"/>
        <v>12536.49000000002</v>
      </c>
      <c r="BA93" s="578">
        <f t="shared" si="170"/>
        <v>8.7697168386182653</v>
      </c>
      <c r="BB93" s="578">
        <v>77744.27</v>
      </c>
      <c r="BC93" s="576">
        <f>'[67]Дир_по корп'!AT23</f>
        <v>77744.27</v>
      </c>
      <c r="BD93" s="576">
        <f t="shared" si="203"/>
        <v>59827.579999999987</v>
      </c>
      <c r="BE93" s="576">
        <f t="shared" si="171"/>
        <v>-17916.690000000017</v>
      </c>
      <c r="BF93" s="576">
        <f t="shared" si="172"/>
        <v>-17916.690000000017</v>
      </c>
      <c r="BG93" s="576">
        <f t="shared" si="150"/>
        <v>181403.29</v>
      </c>
      <c r="BH93" s="578">
        <f t="shared" si="150"/>
        <v>170002.99</v>
      </c>
      <c r="BI93" s="578">
        <v>152086.29999999999</v>
      </c>
      <c r="BJ93" s="578">
        <f t="shared" si="173"/>
        <v>-29316.99000000002</v>
      </c>
      <c r="BK93" s="578">
        <f t="shared" si="174"/>
        <v>-17916.690000000002</v>
      </c>
      <c r="BL93" s="576">
        <v>77744.27</v>
      </c>
      <c r="BM93" s="578">
        <f>'[67]Дир_по корп'!AW23</f>
        <v>77744.27</v>
      </c>
      <c r="BN93" s="522">
        <f t="shared" si="204"/>
        <v>83124.47</v>
      </c>
      <c r="BO93" s="578">
        <f t="shared" si="181"/>
        <v>5380.1999999999971</v>
      </c>
      <c r="BP93" s="578">
        <f t="shared" si="175"/>
        <v>5380.1999999999971</v>
      </c>
      <c r="BQ93" s="576">
        <v>77744.27</v>
      </c>
      <c r="BR93" s="578">
        <f>'[67]Дир_по корп'!BB23</f>
        <v>0</v>
      </c>
      <c r="BS93" s="578">
        <f>'[67]Дир_по корп'!BC23</f>
        <v>0</v>
      </c>
      <c r="BT93" s="536"/>
      <c r="BU93" s="578">
        <f>221995.77+13215</f>
        <v>235210.77</v>
      </c>
      <c r="BV93" s="578"/>
      <c r="BW93" s="578"/>
      <c r="BX93" s="629"/>
      <c r="BY93" s="525">
        <f>170473.52+11040.4</f>
        <v>181513.91999999998</v>
      </c>
      <c r="BZ93" s="525">
        <f>49523.79+2032.53</f>
        <v>51556.32</v>
      </c>
      <c r="CA93" s="525">
        <f>1998.46+142.07</f>
        <v>2140.5300000000002</v>
      </c>
      <c r="CB93" s="522">
        <f t="shared" si="134"/>
        <v>235210.77</v>
      </c>
      <c r="CC93" s="522">
        <f t="shared" si="176"/>
        <v>0</v>
      </c>
      <c r="CD93" s="578"/>
      <c r="CE93" s="578"/>
      <c r="CF93" s="578"/>
      <c r="CG93" s="578"/>
      <c r="CH93" s="578"/>
      <c r="CI93" s="578"/>
      <c r="CJ93" s="578"/>
      <c r="CK93" s="543" t="s">
        <v>80</v>
      </c>
      <c r="CL93" s="543" t="s">
        <v>1908</v>
      </c>
      <c r="CM93" s="528" t="s">
        <v>1907</v>
      </c>
      <c r="CN93" s="528" t="s">
        <v>1849</v>
      </c>
      <c r="CO93" s="528"/>
      <c r="CP93" s="544">
        <f t="shared" si="205"/>
        <v>239094.83849588232</v>
      </c>
      <c r="CQ93" s="544">
        <f t="shared" si="206"/>
        <v>17562.295914038863</v>
      </c>
      <c r="CR93" s="544">
        <f t="shared" si="207"/>
        <v>2490.4255900788467</v>
      </c>
      <c r="CS93" s="1688" t="s">
        <v>1826</v>
      </c>
      <c r="CT93" s="1689"/>
      <c r="CU93" s="1689"/>
      <c r="CV93" s="1689"/>
      <c r="CW93" s="1690"/>
      <c r="CX93" s="528"/>
      <c r="CY93" s="528"/>
      <c r="CZ93" s="528"/>
      <c r="DA93" s="528"/>
      <c r="DB93" s="579">
        <f>38579.2+2860</f>
        <v>41439.199999999997</v>
      </c>
      <c r="DC93" s="628" t="e">
        <f>P93-#REF!</f>
        <v>#REF!</v>
      </c>
      <c r="DD93" s="535"/>
      <c r="DE93" s="535"/>
      <c r="DF93" s="525">
        <f t="shared" si="211"/>
        <v>181.51391999999998</v>
      </c>
      <c r="DG93" s="525">
        <f t="shared" si="211"/>
        <v>51.556319999999999</v>
      </c>
      <c r="DH93" s="525">
        <f t="shared" si="211"/>
        <v>2.14053</v>
      </c>
      <c r="DI93" s="522">
        <f t="shared" si="209"/>
        <v>235.21077</v>
      </c>
      <c r="DJ93" s="536"/>
      <c r="DK93" s="536"/>
      <c r="DL93" s="536"/>
      <c r="DM93" s="536"/>
      <c r="DN93" s="536"/>
      <c r="DO93" s="536"/>
      <c r="DP93" s="536"/>
      <c r="DQ93" s="536"/>
      <c r="DR93" s="536"/>
      <c r="DS93" s="536"/>
    </row>
    <row r="94" spans="1:123" s="534" customFormat="1" ht="54" customHeight="1">
      <c r="A94" s="537" t="s">
        <v>317</v>
      </c>
      <c r="B94" s="538" t="s">
        <v>1909</v>
      </c>
      <c r="C94" s="576">
        <v>1504701.12</v>
      </c>
      <c r="D94" s="576">
        <v>2099059.5499999998</v>
      </c>
      <c r="E94" s="576">
        <v>1464062</v>
      </c>
      <c r="F94" s="576">
        <v>1726740.98</v>
      </c>
      <c r="G94" s="577">
        <v>1315155.4948213659</v>
      </c>
      <c r="H94" s="577">
        <v>0</v>
      </c>
      <c r="I94" s="576">
        <f t="shared" si="198"/>
        <v>1484348.7</v>
      </c>
      <c r="J94" s="576">
        <v>755332.7</v>
      </c>
      <c r="K94" s="576">
        <v>364273.98</v>
      </c>
      <c r="L94" s="576">
        <v>364742.02</v>
      </c>
      <c r="M94" s="576">
        <f t="shared" si="199"/>
        <v>1119606.68</v>
      </c>
      <c r="N94" s="576">
        <v>1107254.58</v>
      </c>
      <c r="O94" s="525">
        <f t="shared" si="200"/>
        <v>504221.37999999989</v>
      </c>
      <c r="P94" s="522">
        <f>7917.78+1603558.18</f>
        <v>1611475.96</v>
      </c>
      <c r="Q94" s="576">
        <f t="shared" si="151"/>
        <v>127127.26000000001</v>
      </c>
      <c r="R94" s="576">
        <f t="shared" si="152"/>
        <v>8.5645145241141734</v>
      </c>
      <c r="S94" s="576">
        <v>1821505.4602999997</v>
      </c>
      <c r="T94" s="576">
        <v>1821505.4602999997</v>
      </c>
      <c r="U94" s="522">
        <f t="shared" si="201"/>
        <v>1505639.61</v>
      </c>
      <c r="V94" s="522">
        <f t="shared" si="149"/>
        <v>-315865.85029999958</v>
      </c>
      <c r="W94" s="522">
        <f t="shared" si="153"/>
        <v>-17.340922505276311</v>
      </c>
      <c r="X94" s="522">
        <f t="shared" si="154"/>
        <v>-105836.34999999986</v>
      </c>
      <c r="Y94" s="522">
        <f t="shared" si="155"/>
        <v>-6.5676654586891772</v>
      </c>
      <c r="Z94" s="524">
        <f t="shared" si="156"/>
        <v>1614873.12</v>
      </c>
      <c r="AA94" s="522">
        <f t="shared" si="157"/>
        <v>-206632.34029999957</v>
      </c>
      <c r="AB94" s="522">
        <f t="shared" si="158"/>
        <v>-11.344041772236437</v>
      </c>
      <c r="AC94" s="522">
        <f t="shared" si="159"/>
        <v>109233.51000000001</v>
      </c>
      <c r="AD94" s="522">
        <f t="shared" si="160"/>
        <v>7.2549572470400108</v>
      </c>
      <c r="AE94" s="522">
        <f t="shared" si="161"/>
        <v>3397.160000000149</v>
      </c>
      <c r="AF94" s="522">
        <f t="shared" si="162"/>
        <v>0.21081046719430674</v>
      </c>
      <c r="AG94" s="522">
        <f t="shared" si="177"/>
        <v>1872527.93</v>
      </c>
      <c r="AH94" s="522">
        <f t="shared" si="163"/>
        <v>366888.31999999983</v>
      </c>
      <c r="AI94" s="522">
        <f t="shared" si="164"/>
        <v>24.367605472334759</v>
      </c>
      <c r="AJ94" s="522">
        <f t="shared" si="165"/>
        <v>257654.80999999982</v>
      </c>
      <c r="AK94" s="522">
        <f t="shared" si="133"/>
        <v>15.955111693233206</v>
      </c>
      <c r="AL94" s="522">
        <f t="shared" si="202"/>
        <v>1872527.93</v>
      </c>
      <c r="AM94" s="522">
        <f t="shared" si="192"/>
        <v>755265.29</v>
      </c>
      <c r="AN94" s="522">
        <f t="shared" si="192"/>
        <v>864498.8</v>
      </c>
      <c r="AO94" s="522">
        <f t="shared" si="166"/>
        <v>109233.51000000001</v>
      </c>
      <c r="AP94" s="522">
        <f t="shared" si="178"/>
        <v>14.462932620668951</v>
      </c>
      <c r="AQ94" s="578">
        <v>373462.73</v>
      </c>
      <c r="AR94" s="578">
        <v>461373.81</v>
      </c>
      <c r="AS94" s="578">
        <v>381802.56</v>
      </c>
      <c r="AT94" s="578">
        <v>403124.99000000005</v>
      </c>
      <c r="AU94" s="578">
        <f t="shared" si="208"/>
        <v>750374.32000000007</v>
      </c>
      <c r="AV94" s="578">
        <f t="shared" si="208"/>
        <v>750374.32000000007</v>
      </c>
      <c r="AW94" s="578">
        <f t="shared" si="167"/>
        <v>0</v>
      </c>
      <c r="AX94" s="578">
        <f t="shared" si="168"/>
        <v>0</v>
      </c>
      <c r="AY94" s="578">
        <f t="shared" si="210"/>
        <v>1008029.1299999999</v>
      </c>
      <c r="AZ94" s="578">
        <f t="shared" si="169"/>
        <v>-257654.80999999982</v>
      </c>
      <c r="BA94" s="578">
        <f t="shared" si="170"/>
        <v>-25.560254394632409</v>
      </c>
      <c r="BB94" s="578">
        <v>361889.03</v>
      </c>
      <c r="BC94" s="576">
        <f>'[67]Дир_ имущ'!AT42</f>
        <v>361889.03</v>
      </c>
      <c r="BD94" s="576">
        <f t="shared" si="203"/>
        <v>402652.64999999991</v>
      </c>
      <c r="BE94" s="576">
        <f t="shared" si="171"/>
        <v>40763.619999999879</v>
      </c>
      <c r="BF94" s="576">
        <f t="shared" si="172"/>
        <v>40763.619999999879</v>
      </c>
      <c r="BG94" s="576">
        <f t="shared" si="150"/>
        <v>1117154.32</v>
      </c>
      <c r="BH94" s="578">
        <f t="shared" si="150"/>
        <v>1226387.83</v>
      </c>
      <c r="BI94" s="578">
        <f>1263394.26+3757.19</f>
        <v>1267151.45</v>
      </c>
      <c r="BJ94" s="578">
        <f t="shared" si="173"/>
        <v>149997.12999999989</v>
      </c>
      <c r="BK94" s="578">
        <f t="shared" si="174"/>
        <v>40763.619999999879</v>
      </c>
      <c r="BL94" s="576">
        <v>388485.29</v>
      </c>
      <c r="BM94" s="578">
        <f>'[67]Дир_ имущ'!AW42</f>
        <v>388485.29</v>
      </c>
      <c r="BN94" s="522">
        <f t="shared" si="204"/>
        <v>605376.48</v>
      </c>
      <c r="BO94" s="578">
        <f t="shared" si="181"/>
        <v>216891.19</v>
      </c>
      <c r="BP94" s="578">
        <f t="shared" si="175"/>
        <v>216891.19</v>
      </c>
      <c r="BQ94" s="576">
        <v>388485.29</v>
      </c>
      <c r="BR94" s="578">
        <f>'[67]Дир_ имущ'!BB42</f>
        <v>0</v>
      </c>
      <c r="BS94" s="578">
        <f>'[67]Дир_ имущ'!BC42</f>
        <v>0</v>
      </c>
      <c r="BT94" s="536"/>
      <c r="BU94" s="578">
        <v>1866132.44</v>
      </c>
      <c r="BV94" s="578">
        <v>6395.49</v>
      </c>
      <c r="BW94" s="578"/>
      <c r="BX94" s="629"/>
      <c r="BY94" s="525">
        <f>1662059.2+6395.49</f>
        <v>1668454.69</v>
      </c>
      <c r="BZ94" s="525">
        <v>164766.29999999999</v>
      </c>
      <c r="CA94" s="525">
        <v>39306.94</v>
      </c>
      <c r="CB94" s="522">
        <f t="shared" si="134"/>
        <v>1872527.93</v>
      </c>
      <c r="CC94" s="522">
        <f t="shared" si="176"/>
        <v>0</v>
      </c>
      <c r="CD94" s="578"/>
      <c r="CE94" s="578"/>
      <c r="CF94" s="578"/>
      <c r="CG94" s="578"/>
      <c r="CH94" s="578"/>
      <c r="CI94" s="578"/>
      <c r="CJ94" s="578"/>
      <c r="CK94" s="543" t="s">
        <v>1815</v>
      </c>
      <c r="CL94" s="543" t="s">
        <v>1897</v>
      </c>
      <c r="CM94" s="528" t="s">
        <v>1907</v>
      </c>
      <c r="CN94" s="528" t="s">
        <v>1849</v>
      </c>
      <c r="CO94" s="528"/>
      <c r="CP94" s="544">
        <f t="shared" si="205"/>
        <v>1389133.8949359709</v>
      </c>
      <c r="CQ94" s="544">
        <f t="shared" si="206"/>
        <v>102036.41651388911</v>
      </c>
      <c r="CR94" s="544">
        <f t="shared" si="207"/>
        <v>14469.298550140062</v>
      </c>
      <c r="CS94" s="1688" t="s">
        <v>1826</v>
      </c>
      <c r="CT94" s="1689"/>
      <c r="CU94" s="1689"/>
      <c r="CV94" s="1689"/>
      <c r="CW94" s="1690"/>
      <c r="CX94" s="528"/>
      <c r="CY94" s="528"/>
      <c r="CZ94" s="528"/>
      <c r="DA94" s="528"/>
      <c r="DB94" s="579">
        <f>460093.76+1280.05</f>
        <v>461373.81</v>
      </c>
      <c r="DC94" s="628" t="e">
        <f>P94-#REF!</f>
        <v>#REF!</v>
      </c>
      <c r="DD94" s="535">
        <f>1263394.26</f>
        <v>1263394.26</v>
      </c>
      <c r="DE94" s="535"/>
      <c r="DF94" s="525">
        <f t="shared" si="211"/>
        <v>1668.45469</v>
      </c>
      <c r="DG94" s="525">
        <f t="shared" si="211"/>
        <v>164.7663</v>
      </c>
      <c r="DH94" s="525">
        <f t="shared" si="211"/>
        <v>39.306940000000004</v>
      </c>
      <c r="DI94" s="522">
        <f t="shared" si="209"/>
        <v>1872.52793</v>
      </c>
      <c r="DJ94" s="536"/>
      <c r="DK94" s="536"/>
      <c r="DL94" s="536"/>
      <c r="DM94" s="536"/>
      <c r="DN94" s="536"/>
      <c r="DO94" s="536"/>
      <c r="DP94" s="536"/>
      <c r="DQ94" s="536"/>
      <c r="DR94" s="536"/>
      <c r="DS94" s="536"/>
    </row>
    <row r="95" spans="1:123" s="534" customFormat="1" ht="34.5" customHeight="1">
      <c r="A95" s="537" t="s">
        <v>321</v>
      </c>
      <c r="B95" s="538" t="s">
        <v>1910</v>
      </c>
      <c r="C95" s="576">
        <v>679642.01</v>
      </c>
      <c r="D95" s="576">
        <v>357321.36</v>
      </c>
      <c r="E95" s="576">
        <v>802509</v>
      </c>
      <c r="F95" s="576">
        <v>801138.59</v>
      </c>
      <c r="G95" s="577">
        <v>664829.34533809568</v>
      </c>
      <c r="H95" s="577">
        <v>0</v>
      </c>
      <c r="I95" s="576">
        <f t="shared" si="198"/>
        <v>609686.92999999993</v>
      </c>
      <c r="J95" s="576">
        <v>303313.77</v>
      </c>
      <c r="K95" s="576">
        <v>152980.04999999999</v>
      </c>
      <c r="L95" s="576">
        <v>153393.10999999999</v>
      </c>
      <c r="M95" s="576">
        <f t="shared" si="199"/>
        <v>456293.82</v>
      </c>
      <c r="N95" s="576">
        <v>498776.97</v>
      </c>
      <c r="O95" s="525">
        <f t="shared" si="200"/>
        <v>221433.58999999997</v>
      </c>
      <c r="P95" s="522">
        <f>471.83+719738.73</f>
        <v>720210.55999999994</v>
      </c>
      <c r="Q95" s="576">
        <f t="shared" si="151"/>
        <v>110523.63</v>
      </c>
      <c r="R95" s="576">
        <f t="shared" si="152"/>
        <v>18.12793165830206</v>
      </c>
      <c r="S95" s="576">
        <v>701394.95933169092</v>
      </c>
      <c r="T95" s="576">
        <v>701394.95933169092</v>
      </c>
      <c r="U95" s="522">
        <f t="shared" si="201"/>
        <v>634265.01</v>
      </c>
      <c r="V95" s="522">
        <f t="shared" si="149"/>
        <v>-67129.949331690907</v>
      </c>
      <c r="W95" s="522">
        <f t="shared" si="153"/>
        <v>-9.5709198417471129</v>
      </c>
      <c r="X95" s="522">
        <f t="shared" si="154"/>
        <v>-85945.54999999993</v>
      </c>
      <c r="Y95" s="522">
        <f t="shared" si="155"/>
        <v>-11.933392090224274</v>
      </c>
      <c r="Z95" s="524">
        <f t="shared" si="156"/>
        <v>705841.73</v>
      </c>
      <c r="AA95" s="522">
        <f t="shared" si="157"/>
        <v>4446.7706683090655</v>
      </c>
      <c r="AB95" s="522">
        <f t="shared" si="158"/>
        <v>0.63398953886782294</v>
      </c>
      <c r="AC95" s="522">
        <f t="shared" si="159"/>
        <v>71576.719999999972</v>
      </c>
      <c r="AD95" s="522">
        <f t="shared" si="160"/>
        <v>11.284986381323463</v>
      </c>
      <c r="AE95" s="522">
        <f t="shared" si="161"/>
        <v>-14368.829999999958</v>
      </c>
      <c r="AF95" s="522">
        <f t="shared" si="162"/>
        <v>-1.9950873811125405</v>
      </c>
      <c r="AG95" s="522">
        <f t="shared" si="177"/>
        <v>847701.76</v>
      </c>
      <c r="AH95" s="522">
        <f t="shared" si="163"/>
        <v>213436.75</v>
      </c>
      <c r="AI95" s="522">
        <f t="shared" si="164"/>
        <v>33.651036496558419</v>
      </c>
      <c r="AJ95" s="522">
        <f t="shared" si="165"/>
        <v>141860.03000000003</v>
      </c>
      <c r="AK95" s="522">
        <f t="shared" si="133"/>
        <v>20.097994206151569</v>
      </c>
      <c r="AL95" s="522">
        <f t="shared" si="202"/>
        <v>847701.76</v>
      </c>
      <c r="AM95" s="522">
        <f t="shared" si="192"/>
        <v>305946.30000000005</v>
      </c>
      <c r="AN95" s="522">
        <f t="shared" si="192"/>
        <v>377523.02</v>
      </c>
      <c r="AO95" s="522">
        <f t="shared" si="166"/>
        <v>71576.719999999972</v>
      </c>
      <c r="AP95" s="522">
        <f t="shared" si="178"/>
        <v>23.395190593904871</v>
      </c>
      <c r="AQ95" s="578">
        <v>143984.64000000001</v>
      </c>
      <c r="AR95" s="578">
        <v>187611.79</v>
      </c>
      <c r="AS95" s="578">
        <v>161961.66</v>
      </c>
      <c r="AT95" s="578">
        <v>189911.23</v>
      </c>
      <c r="AU95" s="578">
        <f t="shared" si="208"/>
        <v>328318.71000000002</v>
      </c>
      <c r="AV95" s="578">
        <f t="shared" si="208"/>
        <v>328318.71000000002</v>
      </c>
      <c r="AW95" s="578">
        <f t="shared" si="167"/>
        <v>0</v>
      </c>
      <c r="AX95" s="578">
        <f t="shared" si="168"/>
        <v>0</v>
      </c>
      <c r="AY95" s="578">
        <f t="shared" si="210"/>
        <v>470178.74</v>
      </c>
      <c r="AZ95" s="578">
        <f t="shared" si="169"/>
        <v>-141860.02999999997</v>
      </c>
      <c r="BA95" s="578">
        <f t="shared" si="170"/>
        <v>-30.171510944965306</v>
      </c>
      <c r="BB95" s="578">
        <v>162099.73000000001</v>
      </c>
      <c r="BC95" s="576">
        <f>'[67]Дир_ имущ'!AT43</f>
        <v>162099.73000000001</v>
      </c>
      <c r="BD95" s="576">
        <f t="shared" si="203"/>
        <v>229223.54999999993</v>
      </c>
      <c r="BE95" s="576">
        <f t="shared" si="171"/>
        <v>67123.81999999992</v>
      </c>
      <c r="BF95" s="576">
        <f t="shared" si="172"/>
        <v>67123.81999999992</v>
      </c>
      <c r="BG95" s="576">
        <f t="shared" si="150"/>
        <v>468046.03</v>
      </c>
      <c r="BH95" s="578">
        <f t="shared" si="150"/>
        <v>539622.75</v>
      </c>
      <c r="BI95" s="578">
        <f>606255.11+491.46</f>
        <v>606746.56999999995</v>
      </c>
      <c r="BJ95" s="578">
        <f t="shared" si="173"/>
        <v>138700.53999999992</v>
      </c>
      <c r="BK95" s="578">
        <f t="shared" si="174"/>
        <v>67123.819999999949</v>
      </c>
      <c r="BL95" s="576">
        <v>166218.98000000001</v>
      </c>
      <c r="BM95" s="578">
        <f>'[67]Дир_ имущ'!AW43</f>
        <v>166218.98000000001</v>
      </c>
      <c r="BN95" s="522">
        <f t="shared" si="204"/>
        <v>240955.19000000006</v>
      </c>
      <c r="BO95" s="578">
        <f t="shared" si="181"/>
        <v>74736.21000000005</v>
      </c>
      <c r="BP95" s="578">
        <f t="shared" si="175"/>
        <v>74736.21000000005</v>
      </c>
      <c r="BQ95" s="576">
        <v>166218.98000000001</v>
      </c>
      <c r="BR95" s="578">
        <f>'[67]Дир_ имущ'!BB43</f>
        <v>0</v>
      </c>
      <c r="BS95" s="578">
        <f>'[67]Дир_ имущ'!BC43</f>
        <v>0</v>
      </c>
      <c r="BT95" s="536"/>
      <c r="BU95" s="578">
        <v>847198.52</v>
      </c>
      <c r="BV95" s="578">
        <v>503.24</v>
      </c>
      <c r="BW95" s="578"/>
      <c r="BX95" s="629"/>
      <c r="BY95" s="525">
        <f>756447.79+503.24</f>
        <v>756951.03</v>
      </c>
      <c r="BZ95" s="525">
        <v>78803.55</v>
      </c>
      <c r="CA95" s="525">
        <v>11947.18</v>
      </c>
      <c r="CB95" s="522">
        <f t="shared" si="134"/>
        <v>847701.76000000013</v>
      </c>
      <c r="CC95" s="522">
        <f t="shared" si="176"/>
        <v>0</v>
      </c>
      <c r="CD95" s="578"/>
      <c r="CE95" s="578"/>
      <c r="CF95" s="578"/>
      <c r="CG95" s="578"/>
      <c r="CH95" s="578"/>
      <c r="CI95" s="578"/>
      <c r="CJ95" s="578"/>
      <c r="CK95" s="543" t="s">
        <v>1815</v>
      </c>
      <c r="CL95" s="543" t="s">
        <v>1897</v>
      </c>
      <c r="CM95" s="528" t="s">
        <v>1907</v>
      </c>
      <c r="CN95" s="528" t="s">
        <v>1849</v>
      </c>
      <c r="CO95" s="528"/>
      <c r="CP95" s="544">
        <f t="shared" si="205"/>
        <v>585185.86912236095</v>
      </c>
      <c r="CQ95" s="544">
        <f t="shared" si="206"/>
        <v>42983.811206020306</v>
      </c>
      <c r="CR95" s="544">
        <f t="shared" si="207"/>
        <v>6095.3296716188079</v>
      </c>
      <c r="CS95" s="1688" t="s">
        <v>1826</v>
      </c>
      <c r="CT95" s="1689"/>
      <c r="CU95" s="1689"/>
      <c r="CV95" s="1689"/>
      <c r="CW95" s="1690"/>
      <c r="CX95" s="528"/>
      <c r="CY95" s="528"/>
      <c r="CZ95" s="528"/>
      <c r="DA95" s="528"/>
      <c r="DB95" s="579">
        <f>187611.79</f>
        <v>187611.79</v>
      </c>
      <c r="DC95" s="628" t="e">
        <f>P95-#REF!</f>
        <v>#REF!</v>
      </c>
      <c r="DD95" s="535">
        <f>606255.11</f>
        <v>606255.11</v>
      </c>
      <c r="DE95" s="535"/>
      <c r="DF95" s="525">
        <f t="shared" si="211"/>
        <v>756.95103000000006</v>
      </c>
      <c r="DG95" s="525">
        <f t="shared" si="211"/>
        <v>78.803550000000001</v>
      </c>
      <c r="DH95" s="525">
        <f t="shared" si="211"/>
        <v>11.947179999999999</v>
      </c>
      <c r="DI95" s="522">
        <f t="shared" si="209"/>
        <v>847.70176000000015</v>
      </c>
      <c r="DJ95" s="536"/>
      <c r="DK95" s="536"/>
      <c r="DL95" s="536"/>
      <c r="DM95" s="536"/>
      <c r="DN95" s="536"/>
      <c r="DO95" s="536"/>
      <c r="DP95" s="536"/>
      <c r="DQ95" s="536"/>
      <c r="DR95" s="536"/>
      <c r="DS95" s="536"/>
    </row>
    <row r="96" spans="1:123" s="534" customFormat="1" ht="60" customHeight="1">
      <c r="A96" s="537" t="s">
        <v>325</v>
      </c>
      <c r="B96" s="538" t="s">
        <v>326</v>
      </c>
      <c r="C96" s="576">
        <v>654096.86</v>
      </c>
      <c r="D96" s="576">
        <v>0</v>
      </c>
      <c r="E96" s="576">
        <v>653736</v>
      </c>
      <c r="F96" s="576">
        <v>657792.18999999994</v>
      </c>
      <c r="G96" s="577">
        <v>0</v>
      </c>
      <c r="H96" s="577">
        <v>0</v>
      </c>
      <c r="I96" s="576">
        <f t="shared" si="198"/>
        <v>694379.38</v>
      </c>
      <c r="J96" s="576">
        <v>382317.46</v>
      </c>
      <c r="K96" s="576">
        <v>144976.51</v>
      </c>
      <c r="L96" s="576">
        <v>167085.41</v>
      </c>
      <c r="M96" s="576">
        <f t="shared" si="199"/>
        <v>527293.97</v>
      </c>
      <c r="N96" s="576">
        <v>539511.41</v>
      </c>
      <c r="O96" s="525">
        <f t="shared" si="200"/>
        <v>225375.20000000007</v>
      </c>
      <c r="P96" s="522">
        <f>90699.93+674186.68</f>
        <v>764886.6100000001</v>
      </c>
      <c r="Q96" s="576">
        <f t="shared" si="151"/>
        <v>70507.230000000098</v>
      </c>
      <c r="R96" s="576">
        <f t="shared" si="152"/>
        <v>10.153992475986271</v>
      </c>
      <c r="S96" s="576">
        <v>0</v>
      </c>
      <c r="T96" s="576">
        <v>0</v>
      </c>
      <c r="U96" s="522">
        <f t="shared" si="201"/>
        <v>726179.19</v>
      </c>
      <c r="V96" s="522">
        <f t="shared" si="149"/>
        <v>726179.19</v>
      </c>
      <c r="W96" s="522">
        <v>0</v>
      </c>
      <c r="X96" s="522">
        <f t="shared" si="154"/>
        <v>-38707.420000000158</v>
      </c>
      <c r="Y96" s="522">
        <f t="shared" si="155"/>
        <v>-5.0605435490627997</v>
      </c>
      <c r="Z96" s="524">
        <f t="shared" si="156"/>
        <v>613317.38</v>
      </c>
      <c r="AA96" s="522">
        <f t="shared" si="157"/>
        <v>613317.38</v>
      </c>
      <c r="AB96" s="522">
        <v>0</v>
      </c>
      <c r="AC96" s="522">
        <f t="shared" si="159"/>
        <v>-112861.80999999994</v>
      </c>
      <c r="AD96" s="522">
        <f t="shared" si="160"/>
        <v>-15.541867841186686</v>
      </c>
      <c r="AE96" s="522">
        <f t="shared" si="161"/>
        <v>-151569.2300000001</v>
      </c>
      <c r="AF96" s="522">
        <f t="shared" si="162"/>
        <v>-19.81590839980845</v>
      </c>
      <c r="AG96" s="522">
        <f t="shared" si="177"/>
        <v>795943.2</v>
      </c>
      <c r="AH96" s="522">
        <f t="shared" si="163"/>
        <v>69764.010000000009</v>
      </c>
      <c r="AI96" s="522">
        <f t="shared" si="164"/>
        <v>9.6069965871646588</v>
      </c>
      <c r="AJ96" s="522">
        <f t="shared" si="165"/>
        <v>182625.81999999995</v>
      </c>
      <c r="AK96" s="522">
        <f t="shared" si="133"/>
        <v>29.776723431512721</v>
      </c>
      <c r="AL96" s="522">
        <f t="shared" si="202"/>
        <v>795943.2</v>
      </c>
      <c r="AM96" s="522">
        <f t="shared" si="192"/>
        <v>319659.73</v>
      </c>
      <c r="AN96" s="522">
        <f t="shared" si="192"/>
        <v>206797.92</v>
      </c>
      <c r="AO96" s="522">
        <f t="shared" si="166"/>
        <v>-112861.80999999997</v>
      </c>
      <c r="AP96" s="522">
        <f t="shared" si="178"/>
        <v>-35.306858952799587</v>
      </c>
      <c r="AQ96" s="578">
        <v>116400</v>
      </c>
      <c r="AR96" s="578">
        <v>104754.34</v>
      </c>
      <c r="AS96" s="578">
        <v>203259.73</v>
      </c>
      <c r="AT96" s="578">
        <v>102043.58000000002</v>
      </c>
      <c r="AU96" s="578">
        <f t="shared" si="208"/>
        <v>406519.46</v>
      </c>
      <c r="AV96" s="578">
        <f t="shared" si="208"/>
        <v>406519.46</v>
      </c>
      <c r="AW96" s="578">
        <f t="shared" si="167"/>
        <v>0</v>
      </c>
      <c r="AX96" s="578">
        <f t="shared" si="168"/>
        <v>0</v>
      </c>
      <c r="AY96" s="578">
        <f t="shared" si="210"/>
        <v>589145.27999999991</v>
      </c>
      <c r="AZ96" s="578">
        <f t="shared" si="169"/>
        <v>-182625.81999999989</v>
      </c>
      <c r="BA96" s="578">
        <f t="shared" si="170"/>
        <v>-30.998435564144714</v>
      </c>
      <c r="BB96" s="578">
        <v>203259.73</v>
      </c>
      <c r="BC96" s="576">
        <f>'[67]Дир_ имущ'!AT44</f>
        <v>203259.73</v>
      </c>
      <c r="BD96" s="576">
        <f t="shared" si="203"/>
        <v>258834.02999999994</v>
      </c>
      <c r="BE96" s="576">
        <f t="shared" si="171"/>
        <v>55574.29999999993</v>
      </c>
      <c r="BF96" s="576">
        <f t="shared" si="172"/>
        <v>55574.29999999993</v>
      </c>
      <c r="BG96" s="576">
        <f t="shared" si="150"/>
        <v>522919.45999999996</v>
      </c>
      <c r="BH96" s="578">
        <f t="shared" si="150"/>
        <v>410057.65</v>
      </c>
      <c r="BI96" s="578">
        <f>390333.16+75298.79</f>
        <v>465631.94999999995</v>
      </c>
      <c r="BJ96" s="578">
        <f t="shared" si="173"/>
        <v>-57287.510000000009</v>
      </c>
      <c r="BK96" s="578">
        <f t="shared" si="174"/>
        <v>55574.29999999993</v>
      </c>
      <c r="BL96" s="576">
        <v>203259.73</v>
      </c>
      <c r="BM96" s="578">
        <f>'[67]Дир_ имущ'!AW44</f>
        <v>203259.73</v>
      </c>
      <c r="BN96" s="522">
        <f t="shared" si="204"/>
        <v>330311.25</v>
      </c>
      <c r="BO96" s="578">
        <f t="shared" si="181"/>
        <v>127051.51999999999</v>
      </c>
      <c r="BP96" s="578">
        <f t="shared" si="175"/>
        <v>127051.51999999999</v>
      </c>
      <c r="BQ96" s="576">
        <v>203259.73</v>
      </c>
      <c r="BR96" s="578">
        <f>'[67]Дир_ имущ'!BB44</f>
        <v>0</v>
      </c>
      <c r="BS96" s="578">
        <f>'[67]Дир_ имущ'!BC44</f>
        <v>0</v>
      </c>
      <c r="BT96" s="536"/>
      <c r="BU96" s="578">
        <v>707764.25</v>
      </c>
      <c r="BV96" s="578">
        <v>88178.95</v>
      </c>
      <c r="BW96" s="578"/>
      <c r="BX96" s="629"/>
      <c r="BY96" s="525">
        <f>669398.23+88178.95</f>
        <v>757577.17999999993</v>
      </c>
      <c r="BZ96" s="525">
        <v>33704.959999999999</v>
      </c>
      <c r="CA96" s="525">
        <v>4661.0600000000004</v>
      </c>
      <c r="CB96" s="522">
        <f t="shared" si="134"/>
        <v>795943.2</v>
      </c>
      <c r="CC96" s="522">
        <f t="shared" si="176"/>
        <v>0</v>
      </c>
      <c r="CD96" s="578"/>
      <c r="CE96" s="578"/>
      <c r="CF96" s="578"/>
      <c r="CG96" s="578"/>
      <c r="CH96" s="578"/>
      <c r="CI96" s="578"/>
      <c r="CJ96" s="578"/>
      <c r="CK96" s="543" t="s">
        <v>1815</v>
      </c>
      <c r="CL96" s="543" t="s">
        <v>1897</v>
      </c>
      <c r="CM96" s="528" t="s">
        <v>1907</v>
      </c>
      <c r="CN96" s="528" t="s">
        <v>1849</v>
      </c>
      <c r="CO96" s="528"/>
      <c r="CP96" s="544">
        <f t="shared" si="205"/>
        <v>669987.77126097819</v>
      </c>
      <c r="CQ96" s="544">
        <f t="shared" si="206"/>
        <v>49212.78757707405</v>
      </c>
      <c r="CR96" s="544">
        <f t="shared" si="207"/>
        <v>6978.6311619477674</v>
      </c>
      <c r="CS96" s="1688" t="s">
        <v>1826</v>
      </c>
      <c r="CT96" s="1689"/>
      <c r="CU96" s="1689"/>
      <c r="CV96" s="1689"/>
      <c r="CW96" s="1690"/>
      <c r="CX96" s="528"/>
      <c r="CY96" s="528"/>
      <c r="CZ96" s="528"/>
      <c r="DA96" s="528"/>
      <c r="DB96" s="579">
        <f>80206.08+24548.26</f>
        <v>104754.34</v>
      </c>
      <c r="DC96" s="628" t="e">
        <f>P96-#REF!</f>
        <v>#REF!</v>
      </c>
      <c r="DD96" s="535">
        <f>390333.16</f>
        <v>390333.16</v>
      </c>
      <c r="DE96" s="535"/>
      <c r="DF96" s="525">
        <f t="shared" si="211"/>
        <v>757.57717999999988</v>
      </c>
      <c r="DG96" s="525">
        <f t="shared" si="211"/>
        <v>33.70496</v>
      </c>
      <c r="DH96" s="525">
        <f t="shared" si="211"/>
        <v>4.66106</v>
      </c>
      <c r="DI96" s="522">
        <f t="shared" si="209"/>
        <v>795.94319999999993</v>
      </c>
      <c r="DJ96" s="536"/>
      <c r="DK96" s="536"/>
      <c r="DL96" s="536"/>
      <c r="DM96" s="536"/>
      <c r="DN96" s="536"/>
      <c r="DO96" s="536"/>
      <c r="DP96" s="536"/>
      <c r="DQ96" s="536"/>
      <c r="DR96" s="536"/>
      <c r="DS96" s="536"/>
    </row>
    <row r="97" spans="1:123" s="534" customFormat="1" ht="34.5" customHeight="1">
      <c r="A97" s="537" t="s">
        <v>330</v>
      </c>
      <c r="B97" s="538" t="s">
        <v>331</v>
      </c>
      <c r="C97" s="576">
        <v>41593.589999999997</v>
      </c>
      <c r="D97" s="576">
        <v>60126.19</v>
      </c>
      <c r="E97" s="576">
        <v>66238</v>
      </c>
      <c r="F97" s="576">
        <v>45993.43</v>
      </c>
      <c r="G97" s="577">
        <v>43174.625614235942</v>
      </c>
      <c r="H97" s="577">
        <v>0</v>
      </c>
      <c r="I97" s="576">
        <f t="shared" si="198"/>
        <v>33988.49</v>
      </c>
      <c r="J97" s="576">
        <v>25971.81</v>
      </c>
      <c r="K97" s="576">
        <v>6651.46</v>
      </c>
      <c r="L97" s="576">
        <v>1365.22</v>
      </c>
      <c r="M97" s="576">
        <f t="shared" si="199"/>
        <v>32623.27</v>
      </c>
      <c r="N97" s="576">
        <v>37653.25</v>
      </c>
      <c r="O97" s="525">
        <f t="shared" si="200"/>
        <v>32504.86</v>
      </c>
      <c r="P97" s="522">
        <v>70158.11</v>
      </c>
      <c r="Q97" s="576">
        <f t="shared" si="151"/>
        <v>36169.620000000003</v>
      </c>
      <c r="R97" s="576">
        <f t="shared" si="152"/>
        <v>106.41726066677282</v>
      </c>
      <c r="S97" s="576">
        <v>46465.10125</v>
      </c>
      <c r="T97" s="576">
        <v>46465.10125</v>
      </c>
      <c r="U97" s="522">
        <f t="shared" si="201"/>
        <v>39573.57</v>
      </c>
      <c r="V97" s="522">
        <f t="shared" si="149"/>
        <v>-6891.53125</v>
      </c>
      <c r="W97" s="522">
        <f t="shared" si="153"/>
        <v>-14.831628608578569</v>
      </c>
      <c r="X97" s="522">
        <f t="shared" si="154"/>
        <v>-30584.54</v>
      </c>
      <c r="Y97" s="522">
        <f t="shared" si="155"/>
        <v>-43.593734209772762</v>
      </c>
      <c r="Z97" s="524">
        <f t="shared" si="156"/>
        <v>211559.72</v>
      </c>
      <c r="AA97" s="522">
        <f t="shared" si="157"/>
        <v>165094.61874999999</v>
      </c>
      <c r="AB97" s="522">
        <f t="shared" si="158"/>
        <v>355.30885397564907</v>
      </c>
      <c r="AC97" s="522">
        <f t="shared" si="159"/>
        <v>171986.15</v>
      </c>
      <c r="AD97" s="522">
        <f t="shared" si="160"/>
        <v>434.59852118471997</v>
      </c>
      <c r="AE97" s="522">
        <f t="shared" si="161"/>
        <v>141401.60999999999</v>
      </c>
      <c r="AF97" s="522">
        <f t="shared" si="162"/>
        <v>201.54706277007745</v>
      </c>
      <c r="AG97" s="522">
        <f t="shared" si="177"/>
        <v>50665.120000000003</v>
      </c>
      <c r="AH97" s="522">
        <f t="shared" si="163"/>
        <v>11091.550000000003</v>
      </c>
      <c r="AI97" s="522">
        <f t="shared" si="164"/>
        <v>28.027670993544433</v>
      </c>
      <c r="AJ97" s="522">
        <f t="shared" si="165"/>
        <v>-160894.6</v>
      </c>
      <c r="AK97" s="522">
        <f t="shared" si="133"/>
        <v>-76.051622681293011</v>
      </c>
      <c r="AL97" s="522">
        <f t="shared" si="202"/>
        <v>50665.120000000003</v>
      </c>
      <c r="AM97" s="522">
        <f t="shared" si="192"/>
        <v>17873.57</v>
      </c>
      <c r="AN97" s="522">
        <f t="shared" si="192"/>
        <v>16969.72</v>
      </c>
      <c r="AO97" s="522">
        <f t="shared" si="166"/>
        <v>-903.84999999999854</v>
      </c>
      <c r="AP97" s="522">
        <f t="shared" si="178"/>
        <v>-5.0569080491474239</v>
      </c>
      <c r="AQ97" s="578">
        <v>7023.57</v>
      </c>
      <c r="AR97" s="578">
        <v>9619.7199999999993</v>
      </c>
      <c r="AS97" s="578">
        <v>10850</v>
      </c>
      <c r="AT97" s="578">
        <v>7350.0000000000018</v>
      </c>
      <c r="AU97" s="578">
        <f t="shared" si="208"/>
        <v>21700</v>
      </c>
      <c r="AV97" s="578">
        <f t="shared" si="208"/>
        <v>194590</v>
      </c>
      <c r="AW97" s="578">
        <f t="shared" si="167"/>
        <v>172890</v>
      </c>
      <c r="AX97" s="578">
        <f t="shared" si="168"/>
        <v>796.72811059907838</v>
      </c>
      <c r="AY97" s="578">
        <f t="shared" si="210"/>
        <v>33695.4</v>
      </c>
      <c r="AZ97" s="578">
        <f t="shared" si="169"/>
        <v>160894.6</v>
      </c>
      <c r="BA97" s="578">
        <f t="shared" si="170"/>
        <v>477.4972251405236</v>
      </c>
      <c r="BB97" s="578">
        <v>10850</v>
      </c>
      <c r="BC97" s="576">
        <f>'[67]Дир_ имущ'!AT45</f>
        <v>183740</v>
      </c>
      <c r="BD97" s="576">
        <f t="shared" si="203"/>
        <v>24223.4</v>
      </c>
      <c r="BE97" s="576">
        <f t="shared" si="171"/>
        <v>13373.400000000001</v>
      </c>
      <c r="BF97" s="576">
        <f t="shared" si="172"/>
        <v>-159516.6</v>
      </c>
      <c r="BG97" s="576">
        <f t="shared" si="150"/>
        <v>28723.57</v>
      </c>
      <c r="BH97" s="578">
        <f t="shared" si="150"/>
        <v>200709.72</v>
      </c>
      <c r="BI97" s="578">
        <v>41193.120000000003</v>
      </c>
      <c r="BJ97" s="578">
        <f t="shared" si="173"/>
        <v>12469.550000000003</v>
      </c>
      <c r="BK97" s="578">
        <f t="shared" si="174"/>
        <v>-159516.6</v>
      </c>
      <c r="BL97" s="576">
        <v>10850</v>
      </c>
      <c r="BM97" s="578">
        <f>'[67]Дир_ имущ'!AW45</f>
        <v>10850</v>
      </c>
      <c r="BN97" s="522">
        <f t="shared" si="204"/>
        <v>9472</v>
      </c>
      <c r="BO97" s="578">
        <f t="shared" si="181"/>
        <v>-1378</v>
      </c>
      <c r="BP97" s="578">
        <f t="shared" si="175"/>
        <v>-1378</v>
      </c>
      <c r="BQ97" s="576">
        <v>10850</v>
      </c>
      <c r="BR97" s="578">
        <f>'[67]Дир_ имущ'!BB45</f>
        <v>0</v>
      </c>
      <c r="BS97" s="578">
        <f>'[67]Дир_ имущ'!BC45</f>
        <v>0</v>
      </c>
      <c r="BT97" s="536"/>
      <c r="BU97" s="578">
        <v>50665.120000000003</v>
      </c>
      <c r="BV97" s="578"/>
      <c r="BW97" s="578"/>
      <c r="BX97" s="629"/>
      <c r="BY97" s="525">
        <v>47940.28</v>
      </c>
      <c r="BZ97" s="525">
        <v>2356.3200000000002</v>
      </c>
      <c r="CA97" s="525">
        <v>368.52</v>
      </c>
      <c r="CB97" s="522">
        <f t="shared" si="134"/>
        <v>50665.119999999995</v>
      </c>
      <c r="CC97" s="522">
        <f t="shared" si="176"/>
        <v>0</v>
      </c>
      <c r="CD97" s="578"/>
      <c r="CE97" s="578"/>
      <c r="CF97" s="578"/>
      <c r="CG97" s="578"/>
      <c r="CH97" s="578"/>
      <c r="CI97" s="578"/>
      <c r="CJ97" s="578"/>
      <c r="CK97" s="543" t="s">
        <v>1815</v>
      </c>
      <c r="CL97" s="543" t="s">
        <v>1897</v>
      </c>
      <c r="CM97" s="528" t="s">
        <v>1907</v>
      </c>
      <c r="CN97" s="528" t="s">
        <v>1849</v>
      </c>
      <c r="CO97" s="528"/>
      <c r="CP97" s="544">
        <f t="shared" si="205"/>
        <v>36511.384972544183</v>
      </c>
      <c r="CQ97" s="544">
        <f t="shared" si="206"/>
        <v>2681.8803415124999</v>
      </c>
      <c r="CR97" s="544">
        <f t="shared" si="207"/>
        <v>380.30468594331558</v>
      </c>
      <c r="CS97" s="1688" t="s">
        <v>1826</v>
      </c>
      <c r="CT97" s="1689"/>
      <c r="CU97" s="1689"/>
      <c r="CV97" s="1689"/>
      <c r="CW97" s="1690"/>
      <c r="CX97" s="528"/>
      <c r="CY97" s="528"/>
      <c r="CZ97" s="528"/>
      <c r="DA97" s="528"/>
      <c r="DB97" s="579">
        <f>9619.72</f>
        <v>9619.7199999999993</v>
      </c>
      <c r="DC97" s="628" t="e">
        <f>P97-#REF!</f>
        <v>#REF!</v>
      </c>
      <c r="DD97" s="535"/>
      <c r="DE97" s="535"/>
      <c r="DF97" s="525">
        <f t="shared" si="211"/>
        <v>47.940280000000001</v>
      </c>
      <c r="DG97" s="525">
        <f t="shared" si="211"/>
        <v>2.3563200000000002</v>
      </c>
      <c r="DH97" s="525">
        <f t="shared" si="211"/>
        <v>0.36851999999999996</v>
      </c>
      <c r="DI97" s="522">
        <f t="shared" si="209"/>
        <v>50.665119999999995</v>
      </c>
      <c r="DJ97" s="536"/>
      <c r="DK97" s="536"/>
      <c r="DL97" s="536"/>
      <c r="DM97" s="536"/>
      <c r="DN97" s="536"/>
      <c r="DO97" s="536"/>
      <c r="DP97" s="536"/>
      <c r="DQ97" s="536"/>
      <c r="DR97" s="536"/>
      <c r="DS97" s="536"/>
    </row>
    <row r="98" spans="1:123" s="534" customFormat="1">
      <c r="A98" s="607" t="s">
        <v>335</v>
      </c>
      <c r="B98" s="608" t="s">
        <v>336</v>
      </c>
      <c r="C98" s="576">
        <v>928758.16</v>
      </c>
      <c r="D98" s="576">
        <v>854334.98</v>
      </c>
      <c r="E98" s="576">
        <v>1007964.72</v>
      </c>
      <c r="F98" s="576">
        <v>630776.6</v>
      </c>
      <c r="G98" s="577">
        <v>799363.14205110446</v>
      </c>
      <c r="H98" s="577">
        <v>0</v>
      </c>
      <c r="I98" s="576">
        <f t="shared" si="198"/>
        <v>519282.87</v>
      </c>
      <c r="J98" s="576">
        <v>154919.72999999998</v>
      </c>
      <c r="K98" s="576">
        <v>90000</v>
      </c>
      <c r="L98" s="576">
        <v>274363.14</v>
      </c>
      <c r="M98" s="576">
        <f t="shared" si="199"/>
        <v>244919.72999999998</v>
      </c>
      <c r="N98" s="576">
        <v>264125.07</v>
      </c>
      <c r="O98" s="525">
        <f t="shared" si="200"/>
        <v>111552.08000000002</v>
      </c>
      <c r="P98" s="522">
        <v>375677.15</v>
      </c>
      <c r="Q98" s="576">
        <f t="shared" si="151"/>
        <v>-143605.71999999997</v>
      </c>
      <c r="R98" s="576">
        <f t="shared" si="152"/>
        <v>-27.654622999599425</v>
      </c>
      <c r="S98" s="576">
        <v>693097.81124999991</v>
      </c>
      <c r="T98" s="576">
        <v>693097.81124999991</v>
      </c>
      <c r="U98" s="522">
        <f t="shared" si="201"/>
        <v>0</v>
      </c>
      <c r="V98" s="522">
        <f t="shared" si="149"/>
        <v>-693097.81124999991</v>
      </c>
      <c r="W98" s="522">
        <f t="shared" si="153"/>
        <v>-100</v>
      </c>
      <c r="X98" s="522">
        <f t="shared" si="154"/>
        <v>-375677.15</v>
      </c>
      <c r="Y98" s="522">
        <f t="shared" si="155"/>
        <v>-100</v>
      </c>
      <c r="Z98" s="524">
        <f t="shared" si="156"/>
        <v>0</v>
      </c>
      <c r="AA98" s="522">
        <f t="shared" si="157"/>
        <v>-693097.81124999991</v>
      </c>
      <c r="AB98" s="522">
        <f t="shared" si="158"/>
        <v>-100</v>
      </c>
      <c r="AC98" s="522">
        <f t="shared" si="159"/>
        <v>0</v>
      </c>
      <c r="AD98" s="522">
        <v>0</v>
      </c>
      <c r="AE98" s="522">
        <f t="shared" si="161"/>
        <v>-375677.15</v>
      </c>
      <c r="AF98" s="522">
        <f t="shared" si="162"/>
        <v>-100</v>
      </c>
      <c r="AG98" s="522">
        <f t="shared" si="177"/>
        <v>0</v>
      </c>
      <c r="AH98" s="522">
        <f t="shared" si="163"/>
        <v>0</v>
      </c>
      <c r="AI98" s="522">
        <v>0</v>
      </c>
      <c r="AJ98" s="522">
        <f t="shared" si="165"/>
        <v>0</v>
      </c>
      <c r="AK98" s="522">
        <v>0</v>
      </c>
      <c r="AL98" s="522">
        <f t="shared" si="202"/>
        <v>0</v>
      </c>
      <c r="AM98" s="522">
        <f t="shared" si="192"/>
        <v>0</v>
      </c>
      <c r="AN98" s="522">
        <f t="shared" si="192"/>
        <v>0</v>
      </c>
      <c r="AO98" s="522">
        <f t="shared" si="166"/>
        <v>0</v>
      </c>
      <c r="AP98" s="522">
        <v>0</v>
      </c>
      <c r="AQ98" s="578">
        <v>0</v>
      </c>
      <c r="AR98" s="578">
        <v>0</v>
      </c>
      <c r="AS98" s="578">
        <f>230766.3-230766.3</f>
        <v>0</v>
      </c>
      <c r="AT98" s="578">
        <v>0</v>
      </c>
      <c r="AU98" s="578">
        <f t="shared" si="208"/>
        <v>0</v>
      </c>
      <c r="AV98" s="578">
        <f t="shared" si="208"/>
        <v>0</v>
      </c>
      <c r="AW98" s="578">
        <f t="shared" si="167"/>
        <v>0</v>
      </c>
      <c r="AX98" s="578">
        <v>0</v>
      </c>
      <c r="AY98" s="578">
        <f t="shared" si="210"/>
        <v>0</v>
      </c>
      <c r="AZ98" s="578">
        <f t="shared" si="169"/>
        <v>0</v>
      </c>
      <c r="BA98" s="578">
        <v>0</v>
      </c>
      <c r="BB98" s="578">
        <v>0</v>
      </c>
      <c r="BC98" s="576"/>
      <c r="BD98" s="576">
        <f t="shared" si="203"/>
        <v>0</v>
      </c>
      <c r="BE98" s="576">
        <f t="shared" si="171"/>
        <v>0</v>
      </c>
      <c r="BF98" s="576">
        <f t="shared" si="172"/>
        <v>0</v>
      </c>
      <c r="BG98" s="576">
        <f t="shared" si="150"/>
        <v>0</v>
      </c>
      <c r="BH98" s="578">
        <f t="shared" si="150"/>
        <v>0</v>
      </c>
      <c r="BI98" s="578"/>
      <c r="BJ98" s="578">
        <f t="shared" si="173"/>
        <v>0</v>
      </c>
      <c r="BK98" s="578">
        <f t="shared" si="174"/>
        <v>0</v>
      </c>
      <c r="BL98" s="576">
        <f>315000-315000</f>
        <v>0</v>
      </c>
      <c r="BM98" s="578"/>
      <c r="BN98" s="522">
        <f t="shared" si="204"/>
        <v>0</v>
      </c>
      <c r="BO98" s="578">
        <f t="shared" si="181"/>
        <v>0</v>
      </c>
      <c r="BP98" s="578">
        <f t="shared" si="175"/>
        <v>0</v>
      </c>
      <c r="BQ98" s="576">
        <f>315000-315000</f>
        <v>0</v>
      </c>
      <c r="BR98" s="578"/>
      <c r="BS98" s="578"/>
      <c r="BT98" s="536"/>
      <c r="BU98" s="578"/>
      <c r="BV98" s="578"/>
      <c r="BW98" s="578"/>
      <c r="BX98" s="629"/>
      <c r="BY98" s="525"/>
      <c r="BZ98" s="525"/>
      <c r="CA98" s="525"/>
      <c r="CB98" s="522">
        <f t="shared" si="134"/>
        <v>0</v>
      </c>
      <c r="CC98" s="522">
        <f t="shared" si="176"/>
        <v>0</v>
      </c>
      <c r="CD98" s="578"/>
      <c r="CE98" s="578"/>
      <c r="CF98" s="578"/>
      <c r="CG98" s="578"/>
      <c r="CH98" s="578"/>
      <c r="CI98" s="578"/>
      <c r="CJ98" s="578"/>
      <c r="CK98" s="543" t="s">
        <v>80</v>
      </c>
      <c r="CL98" s="543" t="s">
        <v>1908</v>
      </c>
      <c r="CM98" s="528" t="s">
        <v>1907</v>
      </c>
      <c r="CN98" s="528"/>
      <c r="CO98" s="528"/>
      <c r="CP98" s="544">
        <f t="shared" si="205"/>
        <v>0</v>
      </c>
      <c r="CQ98" s="544">
        <f t="shared" si="206"/>
        <v>0</v>
      </c>
      <c r="CR98" s="544">
        <f t="shared" si="207"/>
        <v>0</v>
      </c>
      <c r="CS98" s="1688" t="s">
        <v>1826</v>
      </c>
      <c r="CT98" s="1689"/>
      <c r="CU98" s="1689"/>
      <c r="CV98" s="1689"/>
      <c r="CW98" s="1690"/>
      <c r="CX98" s="528"/>
      <c r="CY98" s="528"/>
      <c r="CZ98" s="528"/>
      <c r="DA98" s="528"/>
      <c r="DB98" s="579"/>
      <c r="DC98" s="628" t="e">
        <f>P98-#REF!</f>
        <v>#REF!</v>
      </c>
      <c r="DD98" s="535"/>
      <c r="DE98" s="535"/>
      <c r="DF98" s="525">
        <f t="shared" si="211"/>
        <v>0</v>
      </c>
      <c r="DG98" s="525">
        <f t="shared" si="211"/>
        <v>0</v>
      </c>
      <c r="DH98" s="525">
        <f t="shared" si="211"/>
        <v>0</v>
      </c>
      <c r="DI98" s="522">
        <f t="shared" si="209"/>
        <v>0</v>
      </c>
      <c r="DJ98" s="536"/>
      <c r="DK98" s="536"/>
      <c r="DL98" s="536"/>
      <c r="DM98" s="536"/>
      <c r="DN98" s="536"/>
      <c r="DO98" s="536"/>
      <c r="DP98" s="536"/>
      <c r="DQ98" s="536"/>
      <c r="DR98" s="536"/>
      <c r="DS98" s="536"/>
    </row>
    <row r="99" spans="1:123" s="534" customFormat="1" ht="94.5" customHeight="1">
      <c r="A99" s="537" t="s">
        <v>341</v>
      </c>
      <c r="B99" s="538" t="s">
        <v>342</v>
      </c>
      <c r="C99" s="576">
        <v>566949.41</v>
      </c>
      <c r="D99" s="576">
        <v>377483.98</v>
      </c>
      <c r="E99" s="576">
        <v>639000</v>
      </c>
      <c r="F99" s="576">
        <v>692701.65</v>
      </c>
      <c r="G99" s="577">
        <v>591706.95736626512</v>
      </c>
      <c r="H99" s="577">
        <v>0</v>
      </c>
      <c r="I99" s="576">
        <f t="shared" si="198"/>
        <v>602242.89</v>
      </c>
      <c r="J99" s="576">
        <v>278786.46999999997</v>
      </c>
      <c r="K99" s="576">
        <v>161546.89000000001</v>
      </c>
      <c r="L99" s="576">
        <v>161909.53</v>
      </c>
      <c r="M99" s="576">
        <f t="shared" si="199"/>
        <v>440333.36</v>
      </c>
      <c r="N99" s="576">
        <v>454773.81</v>
      </c>
      <c r="O99" s="525">
        <f t="shared" si="200"/>
        <v>219187.12000000005</v>
      </c>
      <c r="P99" s="522">
        <f>912.61+672806.8+241.52</f>
        <v>673960.93</v>
      </c>
      <c r="Q99" s="576">
        <f t="shared" si="151"/>
        <v>71718.040000000037</v>
      </c>
      <c r="R99" s="576">
        <f t="shared" si="152"/>
        <v>11.908490941254612</v>
      </c>
      <c r="S99" s="576">
        <v>624250.84002140968</v>
      </c>
      <c r="T99" s="576">
        <v>624250.84002140968</v>
      </c>
      <c r="U99" s="522">
        <f t="shared" si="201"/>
        <v>624250.84000000008</v>
      </c>
      <c r="V99" s="522">
        <f t="shared" si="149"/>
        <v>-2.1409592591226101E-5</v>
      </c>
      <c r="W99" s="522">
        <f t="shared" si="153"/>
        <v>-3.4296476769668516E-9</v>
      </c>
      <c r="X99" s="522">
        <f t="shared" si="154"/>
        <v>-49710.089999999967</v>
      </c>
      <c r="Y99" s="522">
        <f t="shared" si="155"/>
        <v>-7.3758118293296207</v>
      </c>
      <c r="Z99" s="524">
        <f t="shared" si="156"/>
        <v>651039.06000000006</v>
      </c>
      <c r="AA99" s="522">
        <f t="shared" si="157"/>
        <v>26788.219978590379</v>
      </c>
      <c r="AB99" s="522">
        <f t="shared" si="158"/>
        <v>4.2912589397030843</v>
      </c>
      <c r="AC99" s="522">
        <f t="shared" si="159"/>
        <v>26788.219999999972</v>
      </c>
      <c r="AD99" s="522">
        <f t="shared" si="160"/>
        <v>4.2912589432799138</v>
      </c>
      <c r="AE99" s="522">
        <f t="shared" si="161"/>
        <v>-22921.869999999995</v>
      </c>
      <c r="AF99" s="522">
        <f t="shared" si="162"/>
        <v>-3.4010680708153131</v>
      </c>
      <c r="AG99" s="522">
        <f t="shared" si="177"/>
        <v>745162.26</v>
      </c>
      <c r="AH99" s="522">
        <f t="shared" si="163"/>
        <v>120911.41999999993</v>
      </c>
      <c r="AI99" s="522">
        <f t="shared" si="164"/>
        <v>19.369044020829818</v>
      </c>
      <c r="AJ99" s="522">
        <f t="shared" si="165"/>
        <v>94123.199999999953</v>
      </c>
      <c r="AK99" s="522">
        <f t="shared" ref="AK99:AK162" si="212">AG99/Z99*100-100</f>
        <v>14.457381405041957</v>
      </c>
      <c r="AL99" s="522">
        <f t="shared" si="202"/>
        <v>745162.26</v>
      </c>
      <c r="AM99" s="522">
        <f t="shared" si="192"/>
        <v>304331.14</v>
      </c>
      <c r="AN99" s="522">
        <f t="shared" si="192"/>
        <v>331119.35999999999</v>
      </c>
      <c r="AO99" s="522">
        <f t="shared" si="166"/>
        <v>26788.219999999972</v>
      </c>
      <c r="AP99" s="522">
        <f t="shared" si="178"/>
        <v>8.8023263081129244</v>
      </c>
      <c r="AQ99" s="578">
        <v>113823.5</v>
      </c>
      <c r="AR99" s="578">
        <v>130352.78000000001</v>
      </c>
      <c r="AS99" s="578">
        <v>190507.64</v>
      </c>
      <c r="AT99" s="578">
        <v>200766.57999999996</v>
      </c>
      <c r="AU99" s="578">
        <f t="shared" si="208"/>
        <v>319919.7</v>
      </c>
      <c r="AV99" s="578">
        <f t="shared" si="208"/>
        <v>319919.7</v>
      </c>
      <c r="AW99" s="578">
        <f t="shared" si="167"/>
        <v>0</v>
      </c>
      <c r="AX99" s="578">
        <f t="shared" si="168"/>
        <v>0</v>
      </c>
      <c r="AY99" s="578">
        <f t="shared" si="210"/>
        <v>414042.9</v>
      </c>
      <c r="AZ99" s="578">
        <f t="shared" si="169"/>
        <v>-94123.200000000012</v>
      </c>
      <c r="BA99" s="578">
        <f t="shared" si="170"/>
        <v>-22.732716827169369</v>
      </c>
      <c r="BB99" s="578">
        <v>164739.81</v>
      </c>
      <c r="BC99" s="576">
        <f>'[67]Дир_ имущ'!AT46</f>
        <v>164739.81</v>
      </c>
      <c r="BD99" s="576">
        <f t="shared" si="203"/>
        <v>206510.33999999997</v>
      </c>
      <c r="BE99" s="576">
        <f t="shared" si="171"/>
        <v>41770.52999999997</v>
      </c>
      <c r="BF99" s="576">
        <f t="shared" si="172"/>
        <v>41770.52999999997</v>
      </c>
      <c r="BG99" s="576">
        <f t="shared" si="150"/>
        <v>469070.95</v>
      </c>
      <c r="BH99" s="578">
        <f t="shared" si="150"/>
        <v>495859.17</v>
      </c>
      <c r="BI99" s="578">
        <f>537063.38+566.32</f>
        <v>537629.69999999995</v>
      </c>
      <c r="BJ99" s="578">
        <f t="shared" si="173"/>
        <v>68558.749999999942</v>
      </c>
      <c r="BK99" s="578">
        <f t="shared" si="174"/>
        <v>41770.52999999997</v>
      </c>
      <c r="BL99" s="576">
        <v>155179.89000000001</v>
      </c>
      <c r="BM99" s="578">
        <f>'[67]Дир_ имущ'!AW46</f>
        <v>155179.89000000001</v>
      </c>
      <c r="BN99" s="522">
        <f t="shared" si="204"/>
        <v>207532.56000000006</v>
      </c>
      <c r="BO99" s="578">
        <f t="shared" si="181"/>
        <v>52352.670000000042</v>
      </c>
      <c r="BP99" s="578">
        <f t="shared" si="175"/>
        <v>52352.670000000042</v>
      </c>
      <c r="BQ99" s="576">
        <v>155179.89000000001</v>
      </c>
      <c r="BR99" s="578">
        <f>'[67]Дир_ имущ'!BB46</f>
        <v>0</v>
      </c>
      <c r="BS99" s="578">
        <f>'[67]Дир_ имущ'!BC46</f>
        <v>0</v>
      </c>
      <c r="BT99" s="536"/>
      <c r="BU99" s="578">
        <f>741704.31+2891.63</f>
        <v>744595.94000000006</v>
      </c>
      <c r="BV99" s="578">
        <v>566.32000000000005</v>
      </c>
      <c r="BW99" s="578"/>
      <c r="BX99" s="629"/>
      <c r="BY99" s="525">
        <f>681146.91+2741.9+566.32</f>
        <v>684455.13</v>
      </c>
      <c r="BZ99" s="525">
        <f>52645.68+107.27</f>
        <v>52752.95</v>
      </c>
      <c r="CA99" s="525">
        <f>7911.72+42.46</f>
        <v>7954.18</v>
      </c>
      <c r="CB99" s="522">
        <f t="shared" si="134"/>
        <v>745162.26</v>
      </c>
      <c r="CC99" s="522">
        <f t="shared" si="176"/>
        <v>0</v>
      </c>
      <c r="CD99" s="578"/>
      <c r="CE99" s="578"/>
      <c r="CF99" s="578"/>
      <c r="CG99" s="578"/>
      <c r="CH99" s="578"/>
      <c r="CI99" s="578"/>
      <c r="CJ99" s="578"/>
      <c r="CK99" s="543" t="s">
        <v>1815</v>
      </c>
      <c r="CL99" s="543" t="s">
        <v>1897</v>
      </c>
      <c r="CM99" s="528" t="s">
        <v>1907</v>
      </c>
      <c r="CN99" s="528"/>
      <c r="CO99" s="528"/>
      <c r="CP99" s="544">
        <f t="shared" si="205"/>
        <v>575946.59108779137</v>
      </c>
      <c r="CQ99" s="544">
        <f t="shared" si="206"/>
        <v>42305.156092024677</v>
      </c>
      <c r="CR99" s="544">
        <f t="shared" si="207"/>
        <v>5999.0928201840516</v>
      </c>
      <c r="CS99" s="1688" t="s">
        <v>1826</v>
      </c>
      <c r="CT99" s="1689"/>
      <c r="CU99" s="1689"/>
      <c r="CV99" s="1689"/>
      <c r="CW99" s="1690"/>
      <c r="CX99" s="528"/>
      <c r="CY99" s="528"/>
      <c r="CZ99" s="528"/>
      <c r="DA99" s="528"/>
      <c r="DB99" s="579">
        <f>129786.46+566.32</f>
        <v>130352.78000000001</v>
      </c>
      <c r="DC99" s="628" t="e">
        <f>P99-#REF!</f>
        <v>#REF!</v>
      </c>
      <c r="DD99" s="535">
        <f>534171.75+2891.63</f>
        <v>537063.38</v>
      </c>
      <c r="DE99" s="535"/>
      <c r="DF99" s="525">
        <f t="shared" si="211"/>
        <v>684.45513000000005</v>
      </c>
      <c r="DG99" s="525">
        <f t="shared" si="211"/>
        <v>52.752949999999998</v>
      </c>
      <c r="DH99" s="525">
        <f t="shared" si="211"/>
        <v>7.95418</v>
      </c>
      <c r="DI99" s="522">
        <f t="shared" si="209"/>
        <v>745.16226000000006</v>
      </c>
      <c r="DJ99" s="536"/>
      <c r="DK99" s="536"/>
      <c r="DL99" s="536"/>
      <c r="DM99" s="536"/>
      <c r="DN99" s="536"/>
      <c r="DO99" s="536"/>
      <c r="DP99" s="536"/>
      <c r="DQ99" s="536"/>
      <c r="DR99" s="536"/>
      <c r="DS99" s="536"/>
    </row>
    <row r="100" spans="1:123" s="534" customFormat="1" ht="84" customHeight="1">
      <c r="A100" s="537" t="s">
        <v>346</v>
      </c>
      <c r="B100" s="538" t="s">
        <v>347</v>
      </c>
      <c r="C100" s="576">
        <v>1817942.98</v>
      </c>
      <c r="D100" s="576">
        <v>842998.57</v>
      </c>
      <c r="E100" s="576">
        <v>1500000</v>
      </c>
      <c r="F100" s="576">
        <v>2110811.4300000002</v>
      </c>
      <c r="G100" s="577">
        <v>1697810.1135423637</v>
      </c>
      <c r="H100" s="577">
        <v>0</v>
      </c>
      <c r="I100" s="576">
        <f t="shared" si="198"/>
        <v>1914051.27</v>
      </c>
      <c r="J100" s="576">
        <v>984341.74</v>
      </c>
      <c r="K100" s="576">
        <v>464693.71</v>
      </c>
      <c r="L100" s="576">
        <v>465015.82</v>
      </c>
      <c r="M100" s="576">
        <f t="shared" si="199"/>
        <v>1449035.45</v>
      </c>
      <c r="N100" s="576">
        <v>1553524.1</v>
      </c>
      <c r="O100" s="525">
        <f t="shared" si="200"/>
        <v>676918.29999999981</v>
      </c>
      <c r="P100" s="522">
        <f>7702.96+2176428+46311.44</f>
        <v>2230442.4</v>
      </c>
      <c r="Q100" s="576">
        <f t="shared" si="151"/>
        <v>316391.12999999989</v>
      </c>
      <c r="R100" s="576">
        <f t="shared" si="152"/>
        <v>16.529919284763977</v>
      </c>
      <c r="S100" s="576">
        <v>1791189.6697871936</v>
      </c>
      <c r="T100" s="576">
        <v>1791189.6697871936</v>
      </c>
      <c r="U100" s="522">
        <f t="shared" si="201"/>
        <v>1351699.05</v>
      </c>
      <c r="V100" s="522">
        <f t="shared" si="149"/>
        <v>-439490.6197871936</v>
      </c>
      <c r="W100" s="522">
        <f t="shared" si="153"/>
        <v>-24.536241314936134</v>
      </c>
      <c r="X100" s="522">
        <f t="shared" si="154"/>
        <v>-878743.34999999986</v>
      </c>
      <c r="Y100" s="522">
        <f t="shared" si="155"/>
        <v>-39.397715448737877</v>
      </c>
      <c r="Z100" s="524">
        <f t="shared" si="156"/>
        <v>1642351.6600000001</v>
      </c>
      <c r="AA100" s="522">
        <f t="shared" si="157"/>
        <v>-148838.0097871935</v>
      </c>
      <c r="AB100" s="522">
        <f t="shared" si="158"/>
        <v>-8.3094499872186276</v>
      </c>
      <c r="AC100" s="522">
        <f t="shared" si="159"/>
        <v>290652.6100000001</v>
      </c>
      <c r="AD100" s="522">
        <f t="shared" si="160"/>
        <v>21.502760544220266</v>
      </c>
      <c r="AE100" s="522">
        <f t="shared" si="161"/>
        <v>-588090.73999999976</v>
      </c>
      <c r="AF100" s="522">
        <f t="shared" si="162"/>
        <v>-26.366551317352986</v>
      </c>
      <c r="AG100" s="522">
        <f t="shared" si="177"/>
        <v>1943115.2799999998</v>
      </c>
      <c r="AH100" s="522">
        <f t="shared" si="163"/>
        <v>591416.22999999975</v>
      </c>
      <c r="AI100" s="522">
        <f t="shared" si="164"/>
        <v>43.753543364552911</v>
      </c>
      <c r="AJ100" s="522">
        <f t="shared" si="165"/>
        <v>300763.61999999965</v>
      </c>
      <c r="AK100" s="522">
        <f t="shared" si="212"/>
        <v>18.312985417507946</v>
      </c>
      <c r="AL100" s="522">
        <f t="shared" si="202"/>
        <v>1943115.2799999998</v>
      </c>
      <c r="AM100" s="522">
        <f t="shared" si="192"/>
        <v>677518.55</v>
      </c>
      <c r="AN100" s="522">
        <f t="shared" si="192"/>
        <v>968171.16</v>
      </c>
      <c r="AO100" s="522">
        <f t="shared" si="166"/>
        <v>290652.61</v>
      </c>
      <c r="AP100" s="522">
        <f t="shared" si="178"/>
        <v>42.899579649885595</v>
      </c>
      <c r="AQ100" s="578">
        <f>366908.55-32500</f>
        <v>334408.55</v>
      </c>
      <c r="AR100" s="578">
        <v>489185.44</v>
      </c>
      <c r="AS100" s="578">
        <f>430712.74-87602.74</f>
        <v>343110</v>
      </c>
      <c r="AT100" s="578">
        <v>478985.72000000003</v>
      </c>
      <c r="AU100" s="578">
        <f t="shared" si="208"/>
        <v>674180.5</v>
      </c>
      <c r="AV100" s="578">
        <f t="shared" si="208"/>
        <v>674180.5</v>
      </c>
      <c r="AW100" s="578">
        <f t="shared" si="167"/>
        <v>0</v>
      </c>
      <c r="AX100" s="578">
        <f t="shared" si="168"/>
        <v>0</v>
      </c>
      <c r="AY100" s="578">
        <f t="shared" si="210"/>
        <v>974944.11999999976</v>
      </c>
      <c r="AZ100" s="578">
        <f t="shared" si="169"/>
        <v>-300763.61999999976</v>
      </c>
      <c r="BA100" s="578">
        <f t="shared" si="170"/>
        <v>-30.849318830703837</v>
      </c>
      <c r="BB100" s="578">
        <f>443130.25-88979.75</f>
        <v>354150.5</v>
      </c>
      <c r="BC100" s="576">
        <f>'[67]Дир_ имущ'!AT47</f>
        <v>354150.5</v>
      </c>
      <c r="BD100" s="576">
        <f t="shared" si="203"/>
        <v>445349.52999999991</v>
      </c>
      <c r="BE100" s="576">
        <f t="shared" si="171"/>
        <v>91199.029999999912</v>
      </c>
      <c r="BF100" s="576">
        <f t="shared" si="172"/>
        <v>91199.029999999912</v>
      </c>
      <c r="BG100" s="576">
        <f t="shared" si="150"/>
        <v>1031669.05</v>
      </c>
      <c r="BH100" s="578">
        <f t="shared" si="150"/>
        <v>1322321.6600000001</v>
      </c>
      <c r="BI100" s="578">
        <f>1413306.28+214.41</f>
        <v>1413520.69</v>
      </c>
      <c r="BJ100" s="578">
        <f t="shared" si="173"/>
        <v>381851.6399999999</v>
      </c>
      <c r="BK100" s="578">
        <f t="shared" si="174"/>
        <v>91199.029999999795</v>
      </c>
      <c r="BL100" s="576">
        <f>406805.57-86775.57</f>
        <v>320030</v>
      </c>
      <c r="BM100" s="578">
        <f>'[67]Дир_ имущ'!AW47</f>
        <v>320030</v>
      </c>
      <c r="BN100" s="522">
        <f t="shared" si="204"/>
        <v>529594.58999999985</v>
      </c>
      <c r="BO100" s="578">
        <f t="shared" si="181"/>
        <v>209564.58999999985</v>
      </c>
      <c r="BP100" s="578">
        <f t="shared" si="175"/>
        <v>209564.58999999985</v>
      </c>
      <c r="BQ100" s="576">
        <f>406805.57-86775.57</f>
        <v>320030</v>
      </c>
      <c r="BR100" s="578">
        <f>'[67]Дир_ имущ'!BB47</f>
        <v>0</v>
      </c>
      <c r="BS100" s="578">
        <f>'[67]Дир_ имущ'!BC47</f>
        <v>0</v>
      </c>
      <c r="BT100" s="536"/>
      <c r="BU100" s="578">
        <f>1883875.41+54801.46</f>
        <v>1938676.8699999999</v>
      </c>
      <c r="BV100" s="578">
        <v>4438.41</v>
      </c>
      <c r="BW100" s="578"/>
      <c r="BX100" s="629"/>
      <c r="BY100" s="525">
        <f>1750950.25+51567.02+4438.41</f>
        <v>1806955.68</v>
      </c>
      <c r="BZ100" s="525">
        <f>114570.77+2613.62</f>
        <v>117184.39</v>
      </c>
      <c r="CA100" s="525">
        <f>18354.39+620.82</f>
        <v>18975.21</v>
      </c>
      <c r="CB100" s="522">
        <f t="shared" si="134"/>
        <v>1943115.2799999998</v>
      </c>
      <c r="CC100" s="522">
        <f t="shared" si="176"/>
        <v>0</v>
      </c>
      <c r="CD100" s="578"/>
      <c r="CE100" s="578"/>
      <c r="CF100" s="578"/>
      <c r="CG100" s="578"/>
      <c r="CH100" s="578"/>
      <c r="CI100" s="578"/>
      <c r="CJ100" s="578"/>
      <c r="CK100" s="543" t="s">
        <v>1815</v>
      </c>
      <c r="CL100" s="543" t="s">
        <v>1897</v>
      </c>
      <c r="CM100" s="528" t="s">
        <v>1907</v>
      </c>
      <c r="CN100" s="528"/>
      <c r="CO100" s="528"/>
      <c r="CP100" s="544">
        <f t="shared" si="205"/>
        <v>1247105.1861525825</v>
      </c>
      <c r="CQ100" s="544">
        <f t="shared" si="206"/>
        <v>91603.944497201577</v>
      </c>
      <c r="CR100" s="544">
        <f t="shared" si="207"/>
        <v>12989.919350216016</v>
      </c>
      <c r="CS100" s="1688" t="s">
        <v>1826</v>
      </c>
      <c r="CT100" s="1689"/>
      <c r="CU100" s="1689"/>
      <c r="CV100" s="1689"/>
      <c r="CW100" s="1690"/>
      <c r="CX100" s="528"/>
      <c r="CY100" s="528"/>
      <c r="CZ100" s="528"/>
      <c r="DA100" s="528"/>
      <c r="DB100" s="579">
        <f>477240.48+11824.96+120</f>
        <v>489185.44</v>
      </c>
      <c r="DC100" s="628" t="e">
        <f>P100-#REF!</f>
        <v>#REF!</v>
      </c>
      <c r="DD100" s="535"/>
      <c r="DE100" s="535"/>
      <c r="DF100" s="525">
        <f t="shared" si="211"/>
        <v>1806.95568</v>
      </c>
      <c r="DG100" s="525">
        <f t="shared" si="211"/>
        <v>117.18438999999999</v>
      </c>
      <c r="DH100" s="525">
        <f t="shared" si="211"/>
        <v>18.975210000000001</v>
      </c>
      <c r="DI100" s="522">
        <f t="shared" si="209"/>
        <v>1943.1152799999998</v>
      </c>
      <c r="DJ100" s="536"/>
      <c r="DK100" s="536"/>
      <c r="DL100" s="536"/>
      <c r="DM100" s="536"/>
      <c r="DN100" s="536"/>
      <c r="DO100" s="536"/>
      <c r="DP100" s="536"/>
      <c r="DQ100" s="536"/>
      <c r="DR100" s="536"/>
      <c r="DS100" s="536"/>
    </row>
    <row r="101" spans="1:123" s="534" customFormat="1" ht="90" customHeight="1">
      <c r="A101" s="537" t="s">
        <v>351</v>
      </c>
      <c r="B101" s="538" t="s">
        <v>352</v>
      </c>
      <c r="C101" s="576">
        <v>5201614.1900000004</v>
      </c>
      <c r="D101" s="576">
        <v>3119837.25</v>
      </c>
      <c r="E101" s="576">
        <v>3119837.25</v>
      </c>
      <c r="F101" s="576">
        <v>4644650.8899999997</v>
      </c>
      <c r="G101" s="577">
        <v>3294245.632812066</v>
      </c>
      <c r="H101" s="577">
        <v>0</v>
      </c>
      <c r="I101" s="576">
        <f t="shared" si="198"/>
        <v>4262575.6900000004</v>
      </c>
      <c r="J101" s="576">
        <v>2772896.37</v>
      </c>
      <c r="K101" s="576">
        <v>863325.99</v>
      </c>
      <c r="L101" s="576">
        <v>626353.32999999996</v>
      </c>
      <c r="M101" s="576">
        <f t="shared" si="199"/>
        <v>3636222.3600000003</v>
      </c>
      <c r="N101" s="576">
        <v>3701596.35</v>
      </c>
      <c r="O101" s="525">
        <f t="shared" si="200"/>
        <v>1563346.3299999996</v>
      </c>
      <c r="P101" s="522">
        <f>15677.97+4700+4942739.52+301825.19</f>
        <v>5264942.68</v>
      </c>
      <c r="Q101" s="576">
        <f t="shared" si="151"/>
        <v>1002366.9899999993</v>
      </c>
      <c r="R101" s="576">
        <f t="shared" si="152"/>
        <v>23.515523544873389</v>
      </c>
      <c r="S101" s="576">
        <v>3475429.1426167297</v>
      </c>
      <c r="T101" s="576">
        <v>3475429.1426167297</v>
      </c>
      <c r="U101" s="522">
        <f t="shared" si="201"/>
        <v>4708640.93</v>
      </c>
      <c r="V101" s="522">
        <f t="shared" si="149"/>
        <v>1233211.78738327</v>
      </c>
      <c r="W101" s="522">
        <f t="shared" si="153"/>
        <v>35.483726952198964</v>
      </c>
      <c r="X101" s="522">
        <f t="shared" si="154"/>
        <v>-556301.75</v>
      </c>
      <c r="Y101" s="522">
        <f t="shared" si="155"/>
        <v>-10.566150171268333</v>
      </c>
      <c r="Z101" s="524">
        <f t="shared" si="156"/>
        <v>4233079.6500000004</v>
      </c>
      <c r="AA101" s="522">
        <f t="shared" si="157"/>
        <v>757650.50738327065</v>
      </c>
      <c r="AB101" s="522">
        <f t="shared" si="158"/>
        <v>21.800200098823439</v>
      </c>
      <c r="AC101" s="522">
        <f t="shared" si="159"/>
        <v>-475561.27999999933</v>
      </c>
      <c r="AD101" s="522">
        <f t="shared" si="160"/>
        <v>-10.099756746582074</v>
      </c>
      <c r="AE101" s="522">
        <f t="shared" si="161"/>
        <v>-1031863.0299999993</v>
      </c>
      <c r="AF101" s="522">
        <f t="shared" si="162"/>
        <v>-19.598751453073731</v>
      </c>
      <c r="AG101" s="522">
        <f t="shared" si="177"/>
        <v>5033189.2700000005</v>
      </c>
      <c r="AH101" s="522">
        <f t="shared" si="163"/>
        <v>324548.34000000078</v>
      </c>
      <c r="AI101" s="522">
        <f t="shared" si="164"/>
        <v>6.8926117923373056</v>
      </c>
      <c r="AJ101" s="522">
        <f t="shared" si="165"/>
        <v>800109.62000000011</v>
      </c>
      <c r="AK101" s="522">
        <f t="shared" si="212"/>
        <v>18.901359911807944</v>
      </c>
      <c r="AL101" s="522">
        <f t="shared" si="202"/>
        <v>5033189.2700000005</v>
      </c>
      <c r="AM101" s="522">
        <f t="shared" si="192"/>
        <v>2440257.13</v>
      </c>
      <c r="AN101" s="522">
        <f t="shared" si="192"/>
        <v>2357695.85</v>
      </c>
      <c r="AO101" s="522">
        <f t="shared" si="166"/>
        <v>-82561.279999999795</v>
      </c>
      <c r="AP101" s="522">
        <f t="shared" si="178"/>
        <v>-3.3833024800956082</v>
      </c>
      <c r="AQ101" s="578">
        <f>760000+446065.23</f>
        <v>1206065.23</v>
      </c>
      <c r="AR101" s="578">
        <v>1073076.45</v>
      </c>
      <c r="AS101" s="578">
        <v>1234191.8999999999</v>
      </c>
      <c r="AT101" s="578">
        <v>1284619.4000000001</v>
      </c>
      <c r="AU101" s="578">
        <f t="shared" si="208"/>
        <v>2268383.7999999998</v>
      </c>
      <c r="AV101" s="578">
        <f t="shared" si="208"/>
        <v>1875383.8</v>
      </c>
      <c r="AW101" s="578">
        <f t="shared" si="167"/>
        <v>-392999.99999999977</v>
      </c>
      <c r="AX101" s="578">
        <f t="shared" si="168"/>
        <v>-17.325110503786874</v>
      </c>
      <c r="AY101" s="578">
        <f t="shared" si="210"/>
        <v>2675493.4200000004</v>
      </c>
      <c r="AZ101" s="578">
        <f t="shared" si="169"/>
        <v>-800109.62000000034</v>
      </c>
      <c r="BA101" s="578">
        <f t="shared" si="170"/>
        <v>-29.905123818245087</v>
      </c>
      <c r="BB101" s="578">
        <v>1234191.8999999999</v>
      </c>
      <c r="BC101" s="576">
        <f>'[67]Дир_ имущ'!AT48</f>
        <v>841191.9</v>
      </c>
      <c r="BD101" s="576">
        <f t="shared" si="203"/>
        <v>1074821.5299999998</v>
      </c>
      <c r="BE101" s="576">
        <f t="shared" si="171"/>
        <v>-159370.37000000011</v>
      </c>
      <c r="BF101" s="576">
        <f t="shared" si="172"/>
        <v>233629.62999999977</v>
      </c>
      <c r="BG101" s="576">
        <f t="shared" si="150"/>
        <v>3674449.03</v>
      </c>
      <c r="BH101" s="578">
        <f t="shared" si="150"/>
        <v>3198887.75</v>
      </c>
      <c r="BI101" s="578">
        <v>3432517.38</v>
      </c>
      <c r="BJ101" s="578">
        <f t="shared" si="173"/>
        <v>-241931.64999999991</v>
      </c>
      <c r="BK101" s="578">
        <f t="shared" si="174"/>
        <v>233629.62999999989</v>
      </c>
      <c r="BL101" s="576">
        <v>1034191.9</v>
      </c>
      <c r="BM101" s="578">
        <f>'[67]Дир_ имущ'!AW48</f>
        <v>1034191.9</v>
      </c>
      <c r="BN101" s="522">
        <f t="shared" si="204"/>
        <v>1600671.8900000006</v>
      </c>
      <c r="BO101" s="578">
        <f t="shared" si="181"/>
        <v>566479.99000000057</v>
      </c>
      <c r="BP101" s="578">
        <f t="shared" si="175"/>
        <v>566479.99000000057</v>
      </c>
      <c r="BQ101" s="576">
        <v>1034191.9</v>
      </c>
      <c r="BR101" s="578">
        <f>'[67]Дир_ имущ'!BB48</f>
        <v>0</v>
      </c>
      <c r="BS101" s="578">
        <f>'[67]Дир_ имущ'!BC48</f>
        <v>0</v>
      </c>
      <c r="BT101" s="536"/>
      <c r="BU101" s="578">
        <f>4892269.3+122513.19</f>
        <v>5014782.49</v>
      </c>
      <c r="BV101" s="578">
        <v>18406.78</v>
      </c>
      <c r="BW101" s="578"/>
      <c r="BX101" s="629"/>
      <c r="BY101" s="525">
        <f>4521012.12+118332.64+18406.78</f>
        <v>4657751.54</v>
      </c>
      <c r="BZ101" s="525">
        <f>327331.33+3884.08</f>
        <v>331215.41000000003</v>
      </c>
      <c r="CA101" s="525">
        <f>43925.85+296.47</f>
        <v>44222.32</v>
      </c>
      <c r="CB101" s="522">
        <f t="shared" si="134"/>
        <v>5033189.2700000005</v>
      </c>
      <c r="CC101" s="522">
        <f t="shared" si="176"/>
        <v>0</v>
      </c>
      <c r="CD101" s="578"/>
      <c r="CE101" s="578"/>
      <c r="CF101" s="578"/>
      <c r="CG101" s="578"/>
      <c r="CH101" s="578"/>
      <c r="CI101" s="578"/>
      <c r="CJ101" s="578"/>
      <c r="CK101" s="543" t="s">
        <v>1815</v>
      </c>
      <c r="CL101" s="543" t="s">
        <v>1897</v>
      </c>
      <c r="CM101" s="528" t="s">
        <v>1907</v>
      </c>
      <c r="CN101" s="528"/>
      <c r="CO101" s="528"/>
      <c r="CP101" s="544">
        <f t="shared" si="205"/>
        <v>4344288.4150383314</v>
      </c>
      <c r="CQ101" s="544">
        <f t="shared" si="206"/>
        <v>319102.15695496096</v>
      </c>
      <c r="CR101" s="544">
        <f t="shared" si="207"/>
        <v>45250.358006707291</v>
      </c>
      <c r="CS101" s="1688" t="s">
        <v>1826</v>
      </c>
      <c r="CT101" s="1689"/>
      <c r="CU101" s="1689"/>
      <c r="CV101" s="1689"/>
      <c r="CW101" s="1690"/>
      <c r="CX101" s="528"/>
      <c r="CY101" s="528"/>
      <c r="CZ101" s="528"/>
      <c r="DA101" s="528"/>
      <c r="DB101" s="579">
        <f>1060218.88+12857.57</f>
        <v>1073076.45</v>
      </c>
      <c r="DC101" s="628" t="e">
        <f>P101-#REF!</f>
        <v>#REF!</v>
      </c>
      <c r="DD101" s="535">
        <f>3399956.44+32560.94</f>
        <v>3432517.38</v>
      </c>
      <c r="DE101" s="535"/>
      <c r="DF101" s="525">
        <f t="shared" si="211"/>
        <v>4657.7515400000002</v>
      </c>
      <c r="DG101" s="525">
        <f t="shared" si="211"/>
        <v>331.21541000000002</v>
      </c>
      <c r="DH101" s="525">
        <f t="shared" si="211"/>
        <v>44.222319999999996</v>
      </c>
      <c r="DI101" s="522">
        <f t="shared" si="209"/>
        <v>5033.1892700000008</v>
      </c>
      <c r="DJ101" s="536"/>
      <c r="DK101" s="536"/>
      <c r="DL101" s="536"/>
      <c r="DM101" s="536"/>
      <c r="DN101" s="536"/>
      <c r="DO101" s="536"/>
      <c r="DP101" s="536"/>
      <c r="DQ101" s="536"/>
      <c r="DR101" s="536"/>
      <c r="DS101" s="536"/>
    </row>
    <row r="102" spans="1:123" s="534" customFormat="1" ht="33.75" customHeight="1">
      <c r="A102" s="537" t="s">
        <v>495</v>
      </c>
      <c r="B102" s="538" t="s">
        <v>496</v>
      </c>
      <c r="C102" s="576">
        <v>27726589.030000001</v>
      </c>
      <c r="D102" s="576">
        <v>367583.5</v>
      </c>
      <c r="E102" s="576">
        <v>367583.5</v>
      </c>
      <c r="F102" s="576">
        <v>839753.48</v>
      </c>
      <c r="G102" s="577">
        <v>766514.82253211725</v>
      </c>
      <c r="H102" s="577">
        <v>0</v>
      </c>
      <c r="I102" s="576">
        <f t="shared" si="198"/>
        <v>811936.76</v>
      </c>
      <c r="J102" s="576">
        <v>373306.07</v>
      </c>
      <c r="K102" s="576">
        <v>297651.18</v>
      </c>
      <c r="L102" s="576">
        <v>140979.51</v>
      </c>
      <c r="M102" s="576">
        <f t="shared" si="199"/>
        <v>670957.25</v>
      </c>
      <c r="N102" s="576">
        <v>646786.28</v>
      </c>
      <c r="O102" s="525">
        <f t="shared" si="200"/>
        <v>318295.86999999988</v>
      </c>
      <c r="P102" s="522">
        <f>30927.13+310.5+594778.32+339066.2</f>
        <v>965082.14999999991</v>
      </c>
      <c r="Q102" s="576">
        <f t="shared" si="151"/>
        <v>153145.3899999999</v>
      </c>
      <c r="R102" s="576">
        <f t="shared" si="152"/>
        <v>18.861738690092068</v>
      </c>
      <c r="S102" s="576">
        <v>808673.13777138363</v>
      </c>
      <c r="T102" s="576">
        <v>808673.13777138363</v>
      </c>
      <c r="U102" s="522">
        <f t="shared" si="201"/>
        <v>846068.72</v>
      </c>
      <c r="V102" s="522">
        <f t="shared" si="149"/>
        <v>37395.582228616346</v>
      </c>
      <c r="W102" s="522">
        <f t="shared" si="153"/>
        <v>4.62431364193381</v>
      </c>
      <c r="X102" s="522">
        <f t="shared" si="154"/>
        <v>-119013.42999999993</v>
      </c>
      <c r="Y102" s="522">
        <f t="shared" si="155"/>
        <v>-12.331948114468787</v>
      </c>
      <c r="Z102" s="524">
        <f t="shared" si="156"/>
        <v>826678.7</v>
      </c>
      <c r="AA102" s="522">
        <f t="shared" si="157"/>
        <v>18005.562228616327</v>
      </c>
      <c r="AB102" s="522">
        <f t="shared" si="158"/>
        <v>2.2265562422708598</v>
      </c>
      <c r="AC102" s="522">
        <f t="shared" si="159"/>
        <v>-19390.020000000019</v>
      </c>
      <c r="AD102" s="522">
        <f t="shared" si="160"/>
        <v>-2.2917783794205349</v>
      </c>
      <c r="AE102" s="522">
        <f t="shared" si="161"/>
        <v>-138403.44999999995</v>
      </c>
      <c r="AF102" s="522">
        <f t="shared" si="162"/>
        <v>-14.341105573240583</v>
      </c>
      <c r="AG102" s="522">
        <f t="shared" si="177"/>
        <v>1125635.95</v>
      </c>
      <c r="AH102" s="522">
        <f t="shared" si="163"/>
        <v>279567.23</v>
      </c>
      <c r="AI102" s="522">
        <f t="shared" si="164"/>
        <v>33.043087800243939</v>
      </c>
      <c r="AJ102" s="522">
        <f t="shared" si="165"/>
        <v>298957.25</v>
      </c>
      <c r="AK102" s="522">
        <f t="shared" si="212"/>
        <v>36.163657053217889</v>
      </c>
      <c r="AL102" s="522">
        <f t="shared" si="202"/>
        <v>1125635.95</v>
      </c>
      <c r="AM102" s="522">
        <f t="shared" si="192"/>
        <v>365383.25</v>
      </c>
      <c r="AN102" s="522">
        <f t="shared" si="192"/>
        <v>345993.23</v>
      </c>
      <c r="AO102" s="522">
        <f t="shared" si="166"/>
        <v>-19390.020000000019</v>
      </c>
      <c r="AP102" s="522">
        <f t="shared" si="178"/>
        <v>-5.3067621463217023</v>
      </c>
      <c r="AQ102" s="578">
        <v>102103.24</v>
      </c>
      <c r="AR102" s="578">
        <v>148486.14000000001</v>
      </c>
      <c r="AS102" s="578">
        <v>263280.01</v>
      </c>
      <c r="AT102" s="578">
        <v>197507.08999999997</v>
      </c>
      <c r="AU102" s="578">
        <f t="shared" si="208"/>
        <v>480685.47</v>
      </c>
      <c r="AV102" s="578">
        <f t="shared" si="208"/>
        <v>480685.47</v>
      </c>
      <c r="AW102" s="578">
        <f t="shared" si="167"/>
        <v>0</v>
      </c>
      <c r="AX102" s="578">
        <f t="shared" si="168"/>
        <v>0</v>
      </c>
      <c r="AY102" s="578">
        <f t="shared" si="210"/>
        <v>779642.72</v>
      </c>
      <c r="AZ102" s="578">
        <f t="shared" si="169"/>
        <v>-298957.25</v>
      </c>
      <c r="BA102" s="578">
        <f t="shared" si="170"/>
        <v>-38.345416731397172</v>
      </c>
      <c r="BB102" s="578">
        <v>233153.86</v>
      </c>
      <c r="BC102" s="576">
        <f>'[67]Дир_ имущ'!AT49</f>
        <v>233153.86</v>
      </c>
      <c r="BD102" s="576">
        <f t="shared" si="203"/>
        <v>556699.4800000001</v>
      </c>
      <c r="BE102" s="576">
        <f t="shared" si="171"/>
        <v>323545.62000000011</v>
      </c>
      <c r="BF102" s="576">
        <f t="shared" si="172"/>
        <v>323545.62000000011</v>
      </c>
      <c r="BG102" s="576">
        <f t="shared" si="150"/>
        <v>598537.11</v>
      </c>
      <c r="BH102" s="578">
        <f t="shared" si="150"/>
        <v>579147.09</v>
      </c>
      <c r="BI102" s="578">
        <f>795863.43+106829.28</f>
        <v>902692.71000000008</v>
      </c>
      <c r="BJ102" s="578">
        <f t="shared" si="173"/>
        <v>304155.60000000009</v>
      </c>
      <c r="BK102" s="578">
        <f t="shared" si="174"/>
        <v>323545.62000000011</v>
      </c>
      <c r="BL102" s="576">
        <v>247531.61</v>
      </c>
      <c r="BM102" s="578">
        <f>'[67]Дир_ имущ'!AW49</f>
        <v>247531.61</v>
      </c>
      <c r="BN102" s="522">
        <f t="shared" si="204"/>
        <v>222943.23999999987</v>
      </c>
      <c r="BO102" s="578">
        <f t="shared" si="181"/>
        <v>-24588.370000000112</v>
      </c>
      <c r="BP102" s="578">
        <f t="shared" si="175"/>
        <v>-24588.370000000112</v>
      </c>
      <c r="BQ102" s="576">
        <v>247531.61</v>
      </c>
      <c r="BR102" s="578">
        <f>'[67]Дир_ имущ'!BB49</f>
        <v>0</v>
      </c>
      <c r="BS102" s="578">
        <f>'[67]Дир_ имущ'!BC49</f>
        <v>0</v>
      </c>
      <c r="BT102" s="536"/>
      <c r="BU102" s="578">
        <f>885815.82+177449.07</f>
        <v>1063264.8899999999</v>
      </c>
      <c r="BV102" s="578">
        <v>62371.06</v>
      </c>
      <c r="BW102" s="578"/>
      <c r="BX102" s="629"/>
      <c r="BY102" s="525">
        <f>819712.4+158458.59+62371.06</f>
        <v>1040542.05</v>
      </c>
      <c r="BZ102" s="525">
        <f>57007.15+17282.07</f>
        <v>74289.22</v>
      </c>
      <c r="CA102" s="525">
        <f>9096.27+1708.41</f>
        <v>10804.68</v>
      </c>
      <c r="CB102" s="522">
        <f t="shared" si="134"/>
        <v>1125635.95</v>
      </c>
      <c r="CC102" s="522">
        <f t="shared" si="176"/>
        <v>0</v>
      </c>
      <c r="CD102" s="578"/>
      <c r="CE102" s="578"/>
      <c r="CF102" s="578"/>
      <c r="CG102" s="578"/>
      <c r="CH102" s="578"/>
      <c r="CI102" s="578"/>
      <c r="CJ102" s="578"/>
      <c r="CK102" s="543" t="s">
        <v>1815</v>
      </c>
      <c r="CL102" s="543" t="s">
        <v>1897</v>
      </c>
      <c r="CM102" s="528" t="s">
        <v>1907</v>
      </c>
      <c r="CN102" s="528"/>
      <c r="CO102" s="528"/>
      <c r="CP102" s="544">
        <f t="shared" si="205"/>
        <v>780600.30341330578</v>
      </c>
      <c r="CQ102" s="544">
        <f t="shared" si="206"/>
        <v>57337.63892761364</v>
      </c>
      <c r="CR102" s="544">
        <f t="shared" si="207"/>
        <v>8130.7776590806188</v>
      </c>
      <c r="CS102" s="1688" t="s">
        <v>1826</v>
      </c>
      <c r="CT102" s="1689"/>
      <c r="CU102" s="1689"/>
      <c r="CV102" s="1689"/>
      <c r="CW102" s="1690"/>
      <c r="CX102" s="528"/>
      <c r="CY102" s="528"/>
      <c r="CZ102" s="528"/>
      <c r="DA102" s="528"/>
      <c r="DB102" s="579">
        <f>141638.04+6848.1</f>
        <v>148486.14000000001</v>
      </c>
      <c r="DC102" s="628" t="e">
        <f>P102-#REF!</f>
        <v>#REF!</v>
      </c>
      <c r="DD102" s="535">
        <f>1106022.84</f>
        <v>1106022.8400000001</v>
      </c>
      <c r="DE102" s="535"/>
      <c r="DF102" s="525">
        <f t="shared" si="211"/>
        <v>1040.54205</v>
      </c>
      <c r="DG102" s="525">
        <f t="shared" si="211"/>
        <v>74.28922</v>
      </c>
      <c r="DH102" s="525">
        <f t="shared" si="211"/>
        <v>10.804680000000001</v>
      </c>
      <c r="DI102" s="522">
        <f t="shared" si="209"/>
        <v>1125.6359499999999</v>
      </c>
      <c r="DJ102" s="536"/>
      <c r="DK102" s="536"/>
      <c r="DL102" s="536"/>
      <c r="DM102" s="536"/>
      <c r="DN102" s="536"/>
      <c r="DO102" s="536"/>
      <c r="DP102" s="536"/>
      <c r="DQ102" s="536"/>
      <c r="DR102" s="536"/>
      <c r="DS102" s="536"/>
    </row>
    <row r="103" spans="1:123" s="534" customFormat="1" ht="34.5" customHeight="1">
      <c r="A103" s="537" t="s">
        <v>500</v>
      </c>
      <c r="B103" s="538" t="s">
        <v>501</v>
      </c>
      <c r="C103" s="576">
        <v>785398.89</v>
      </c>
      <c r="D103" s="576">
        <v>0</v>
      </c>
      <c r="E103" s="576">
        <v>924210</v>
      </c>
      <c r="F103" s="576">
        <v>992982.95</v>
      </c>
      <c r="G103" s="577">
        <v>0</v>
      </c>
      <c r="H103" s="577">
        <v>0</v>
      </c>
      <c r="I103" s="576">
        <f t="shared" si="198"/>
        <v>1028438.21</v>
      </c>
      <c r="J103" s="576">
        <v>467046.78</v>
      </c>
      <c r="K103" s="576">
        <v>293641.40999999997</v>
      </c>
      <c r="L103" s="576">
        <v>267750.02</v>
      </c>
      <c r="M103" s="576">
        <f t="shared" si="199"/>
        <v>760688.19</v>
      </c>
      <c r="N103" s="576">
        <v>743851.41</v>
      </c>
      <c r="O103" s="525">
        <f t="shared" si="200"/>
        <v>253471.65000000002</v>
      </c>
      <c r="P103" s="522">
        <f>3740+993583.06</f>
        <v>997323.06</v>
      </c>
      <c r="Q103" s="576">
        <f t="shared" si="151"/>
        <v>-31115.149999999907</v>
      </c>
      <c r="R103" s="576">
        <f t="shared" si="152"/>
        <v>-3.0254758815310652</v>
      </c>
      <c r="S103" s="576">
        <v>0</v>
      </c>
      <c r="T103" s="576">
        <v>0</v>
      </c>
      <c r="U103" s="522">
        <f t="shared" si="201"/>
        <v>1080888.55</v>
      </c>
      <c r="V103" s="522">
        <f t="shared" si="149"/>
        <v>1080888.55</v>
      </c>
      <c r="W103" s="522">
        <v>0</v>
      </c>
      <c r="X103" s="522">
        <f t="shared" si="154"/>
        <v>83565.489999999991</v>
      </c>
      <c r="Y103" s="522">
        <f t="shared" si="155"/>
        <v>8.3789790241088014</v>
      </c>
      <c r="Z103" s="524">
        <f t="shared" si="156"/>
        <v>1040792.12</v>
      </c>
      <c r="AA103" s="522">
        <f t="shared" si="157"/>
        <v>1040792.12</v>
      </c>
      <c r="AB103" s="522">
        <v>0</v>
      </c>
      <c r="AC103" s="522">
        <f t="shared" si="159"/>
        <v>-40096.430000000051</v>
      </c>
      <c r="AD103" s="522">
        <f t="shared" si="160"/>
        <v>-3.7095804188137578</v>
      </c>
      <c r="AE103" s="522">
        <f t="shared" si="161"/>
        <v>43469.059999999939</v>
      </c>
      <c r="AF103" s="522">
        <f t="shared" si="162"/>
        <v>4.3585736401201842</v>
      </c>
      <c r="AG103" s="522">
        <f t="shared" si="177"/>
        <v>1027553.09</v>
      </c>
      <c r="AH103" s="522">
        <f t="shared" si="163"/>
        <v>-53335.460000000079</v>
      </c>
      <c r="AI103" s="522">
        <f t="shared" si="164"/>
        <v>-4.9344088250356606</v>
      </c>
      <c r="AJ103" s="522">
        <f t="shared" si="165"/>
        <v>-13239.030000000028</v>
      </c>
      <c r="AK103" s="522">
        <f t="shared" si="212"/>
        <v>-1.2720148188670066</v>
      </c>
      <c r="AL103" s="522">
        <f t="shared" si="202"/>
        <v>1027553.09</v>
      </c>
      <c r="AM103" s="522">
        <f t="shared" si="192"/>
        <v>517433.78</v>
      </c>
      <c r="AN103" s="522">
        <f t="shared" si="192"/>
        <v>477337.35</v>
      </c>
      <c r="AO103" s="522">
        <f t="shared" si="166"/>
        <v>-40096.430000000051</v>
      </c>
      <c r="AP103" s="522">
        <f t="shared" si="178"/>
        <v>-7.7490940000090518</v>
      </c>
      <c r="AQ103" s="578">
        <v>219710.67</v>
      </c>
      <c r="AR103" s="578">
        <v>215302.42</v>
      </c>
      <c r="AS103" s="578">
        <v>297723.11</v>
      </c>
      <c r="AT103" s="578">
        <v>262034.92999999996</v>
      </c>
      <c r="AU103" s="578">
        <f t="shared" si="208"/>
        <v>563454.77</v>
      </c>
      <c r="AV103" s="578">
        <f t="shared" si="208"/>
        <v>563454.77</v>
      </c>
      <c r="AW103" s="578">
        <f t="shared" si="167"/>
        <v>0</v>
      </c>
      <c r="AX103" s="578">
        <f t="shared" si="168"/>
        <v>0</v>
      </c>
      <c r="AY103" s="578">
        <f t="shared" si="210"/>
        <v>550215.74</v>
      </c>
      <c r="AZ103" s="578">
        <f t="shared" si="169"/>
        <v>13239.030000000028</v>
      </c>
      <c r="BA103" s="578">
        <f t="shared" si="170"/>
        <v>2.4061525393657348</v>
      </c>
      <c r="BB103" s="578">
        <v>306708.5</v>
      </c>
      <c r="BC103" s="576">
        <f>'[67]Дир_ имущ'!AT50</f>
        <v>306708.5</v>
      </c>
      <c r="BD103" s="576">
        <f t="shared" si="203"/>
        <v>279855.17000000004</v>
      </c>
      <c r="BE103" s="576">
        <f t="shared" si="171"/>
        <v>-26853.329999999958</v>
      </c>
      <c r="BF103" s="576">
        <f t="shared" si="172"/>
        <v>-26853.329999999958</v>
      </c>
      <c r="BG103" s="576">
        <f t="shared" si="150"/>
        <v>824142.28</v>
      </c>
      <c r="BH103" s="578">
        <f t="shared" si="150"/>
        <v>784045.85</v>
      </c>
      <c r="BI103" s="578">
        <v>757192.52</v>
      </c>
      <c r="BJ103" s="578">
        <f t="shared" si="173"/>
        <v>-66949.760000000009</v>
      </c>
      <c r="BK103" s="578">
        <f t="shared" si="174"/>
        <v>-26853.329999999958</v>
      </c>
      <c r="BL103" s="576">
        <v>256746.27</v>
      </c>
      <c r="BM103" s="578">
        <f>'[67]Дир_ имущ'!AW50</f>
        <v>256746.27</v>
      </c>
      <c r="BN103" s="522">
        <f t="shared" si="204"/>
        <v>270360.56999999995</v>
      </c>
      <c r="BO103" s="578">
        <f t="shared" si="181"/>
        <v>13614.299999999959</v>
      </c>
      <c r="BP103" s="578">
        <f t="shared" si="175"/>
        <v>13614.299999999959</v>
      </c>
      <c r="BQ103" s="576">
        <v>256746.27</v>
      </c>
      <c r="BR103" s="578">
        <f>'[67]Дир_ имущ'!BB50</f>
        <v>0</v>
      </c>
      <c r="BS103" s="578">
        <f>'[67]Дир_ имущ'!BC50</f>
        <v>0</v>
      </c>
      <c r="BT103" s="536"/>
      <c r="BU103" s="578">
        <v>1027553.09</v>
      </c>
      <c r="BV103" s="578"/>
      <c r="BW103" s="578"/>
      <c r="BX103" s="629"/>
      <c r="BY103" s="525">
        <v>971923.26</v>
      </c>
      <c r="BZ103" s="525">
        <v>47153.52</v>
      </c>
      <c r="CA103" s="525">
        <v>8476.31</v>
      </c>
      <c r="CB103" s="522">
        <f t="shared" si="134"/>
        <v>1027553.0900000001</v>
      </c>
      <c r="CC103" s="522">
        <f t="shared" si="176"/>
        <v>0</v>
      </c>
      <c r="CD103" s="578"/>
      <c r="CE103" s="578"/>
      <c r="CF103" s="578"/>
      <c r="CG103" s="578"/>
      <c r="CH103" s="578"/>
      <c r="CI103" s="578"/>
      <c r="CJ103" s="578"/>
      <c r="CK103" s="543" t="s">
        <v>1815</v>
      </c>
      <c r="CL103" s="543" t="s">
        <v>1897</v>
      </c>
      <c r="CM103" s="528" t="s">
        <v>1907</v>
      </c>
      <c r="CN103" s="528"/>
      <c r="CO103" s="528"/>
      <c r="CP103" s="544">
        <f t="shared" si="205"/>
        <v>997249.88070232421</v>
      </c>
      <c r="CQ103" s="544">
        <f t="shared" si="206"/>
        <v>73251.25718025821</v>
      </c>
      <c r="CR103" s="544">
        <f t="shared" si="207"/>
        <v>10387.412117417654</v>
      </c>
      <c r="CS103" s="1688" t="s">
        <v>1826</v>
      </c>
      <c r="CT103" s="1689"/>
      <c r="CU103" s="1689"/>
      <c r="CV103" s="1689"/>
      <c r="CW103" s="1690"/>
      <c r="CX103" s="528"/>
      <c r="CY103" s="528"/>
      <c r="CZ103" s="528"/>
      <c r="DA103" s="528"/>
      <c r="DB103" s="579">
        <f>215302.42</f>
        <v>215302.42</v>
      </c>
      <c r="DC103" s="628" t="e">
        <f>P103-#REF!</f>
        <v>#REF!</v>
      </c>
      <c r="DD103" s="535"/>
      <c r="DE103" s="535"/>
      <c r="DF103" s="525">
        <f t="shared" si="211"/>
        <v>971.92326000000003</v>
      </c>
      <c r="DG103" s="525">
        <f t="shared" si="211"/>
        <v>47.15352</v>
      </c>
      <c r="DH103" s="525">
        <f t="shared" si="211"/>
        <v>8.4763099999999998</v>
      </c>
      <c r="DI103" s="522">
        <f t="shared" si="209"/>
        <v>1027.5530900000001</v>
      </c>
      <c r="DJ103" s="536"/>
      <c r="DK103" s="536"/>
      <c r="DL103" s="536"/>
      <c r="DM103" s="536"/>
      <c r="DN103" s="536"/>
      <c r="DO103" s="536"/>
      <c r="DP103" s="536"/>
      <c r="DQ103" s="536"/>
      <c r="DR103" s="536"/>
      <c r="DS103" s="536"/>
    </row>
    <row r="104" spans="1:123" s="534" customFormat="1" ht="84.6">
      <c r="A104" s="537" t="s">
        <v>357</v>
      </c>
      <c r="B104" s="538" t="s">
        <v>358</v>
      </c>
      <c r="C104" s="576">
        <v>4694.1499999999996</v>
      </c>
      <c r="D104" s="576">
        <v>237554.96</v>
      </c>
      <c r="E104" s="576">
        <v>40000</v>
      </c>
      <c r="F104" s="576">
        <v>22808.02</v>
      </c>
      <c r="G104" s="577">
        <v>25630.903210188761</v>
      </c>
      <c r="H104" s="577">
        <v>0</v>
      </c>
      <c r="I104" s="576">
        <f t="shared" si="198"/>
        <v>761.01</v>
      </c>
      <c r="J104" s="576">
        <v>761.01</v>
      </c>
      <c r="K104" s="576">
        <v>0</v>
      </c>
      <c r="L104" s="576">
        <v>0</v>
      </c>
      <c r="M104" s="576">
        <f t="shared" si="199"/>
        <v>761.01</v>
      </c>
      <c r="N104" s="576">
        <v>761.01</v>
      </c>
      <c r="O104" s="525">
        <f t="shared" si="200"/>
        <v>6447.46</v>
      </c>
      <c r="P104" s="522">
        <v>7208.47</v>
      </c>
      <c r="Q104" s="576">
        <f t="shared" si="151"/>
        <v>6447.46</v>
      </c>
      <c r="R104" s="576">
        <f t="shared" si="152"/>
        <v>847.2240837833931</v>
      </c>
      <c r="S104" s="576">
        <v>25359.035</v>
      </c>
      <c r="T104" s="576">
        <v>25359.035</v>
      </c>
      <c r="U104" s="522">
        <f t="shared" si="201"/>
        <v>29754.05</v>
      </c>
      <c r="V104" s="522">
        <f t="shared" si="149"/>
        <v>4395.0149999999994</v>
      </c>
      <c r="W104" s="522">
        <f t="shared" si="153"/>
        <v>17.33116027482906</v>
      </c>
      <c r="X104" s="522">
        <f t="shared" si="154"/>
        <v>22545.579999999998</v>
      </c>
      <c r="Y104" s="522">
        <f t="shared" si="155"/>
        <v>312.76512214103684</v>
      </c>
      <c r="Z104" s="524">
        <f t="shared" si="156"/>
        <v>5076.2700000000004</v>
      </c>
      <c r="AA104" s="522">
        <f t="shared" si="157"/>
        <v>-20282.764999999999</v>
      </c>
      <c r="AB104" s="522">
        <f t="shared" si="158"/>
        <v>-79.982400749870806</v>
      </c>
      <c r="AC104" s="522">
        <f t="shared" si="159"/>
        <v>-24677.78</v>
      </c>
      <c r="AD104" s="522">
        <f t="shared" si="160"/>
        <v>-82.93923012161369</v>
      </c>
      <c r="AE104" s="522">
        <f t="shared" si="161"/>
        <v>-2132.1999999999998</v>
      </c>
      <c r="AF104" s="522">
        <f t="shared" si="162"/>
        <v>-29.579092373277547</v>
      </c>
      <c r="AG104" s="522">
        <f t="shared" si="177"/>
        <v>5076.2700000000004</v>
      </c>
      <c r="AH104" s="522">
        <f t="shared" si="163"/>
        <v>-24677.78</v>
      </c>
      <c r="AI104" s="522">
        <f t="shared" si="164"/>
        <v>-82.93923012161369</v>
      </c>
      <c r="AJ104" s="522">
        <f t="shared" si="165"/>
        <v>0</v>
      </c>
      <c r="AK104" s="522">
        <f t="shared" si="212"/>
        <v>0</v>
      </c>
      <c r="AL104" s="522">
        <f t="shared" si="202"/>
        <v>5076.2700000000004</v>
      </c>
      <c r="AM104" s="522">
        <f t="shared" si="192"/>
        <v>29754.05</v>
      </c>
      <c r="AN104" s="522">
        <f t="shared" si="192"/>
        <v>5076.2700000000004</v>
      </c>
      <c r="AO104" s="522">
        <f t="shared" si="166"/>
        <v>-24677.78</v>
      </c>
      <c r="AP104" s="522">
        <f t="shared" si="178"/>
        <v>-82.93923012161369</v>
      </c>
      <c r="AQ104" s="578">
        <v>0</v>
      </c>
      <c r="AR104" s="578">
        <v>1016.95</v>
      </c>
      <c r="AS104" s="578">
        <v>29754.05</v>
      </c>
      <c r="AT104" s="578">
        <v>4059.3200000000006</v>
      </c>
      <c r="AU104" s="578">
        <f t="shared" si="208"/>
        <v>0</v>
      </c>
      <c r="AV104" s="578">
        <f t="shared" si="208"/>
        <v>0</v>
      </c>
      <c r="AW104" s="578">
        <f t="shared" si="167"/>
        <v>0</v>
      </c>
      <c r="AX104" s="578">
        <v>0</v>
      </c>
      <c r="AY104" s="578">
        <f t="shared" si="210"/>
        <v>0</v>
      </c>
      <c r="AZ104" s="578">
        <f t="shared" si="169"/>
        <v>0</v>
      </c>
      <c r="BA104" s="578">
        <v>0</v>
      </c>
      <c r="BB104" s="578">
        <v>0</v>
      </c>
      <c r="BC104" s="576">
        <f>'[67]Гл инж_Тех дир'!AT63</f>
        <v>0</v>
      </c>
      <c r="BD104" s="576">
        <f t="shared" si="203"/>
        <v>0</v>
      </c>
      <c r="BE104" s="576">
        <f t="shared" si="171"/>
        <v>0</v>
      </c>
      <c r="BF104" s="576">
        <f t="shared" si="172"/>
        <v>0</v>
      </c>
      <c r="BG104" s="576">
        <f t="shared" si="150"/>
        <v>29754.05</v>
      </c>
      <c r="BH104" s="578">
        <f t="shared" si="150"/>
        <v>5076.2700000000004</v>
      </c>
      <c r="BI104" s="578">
        <v>5076.2700000000004</v>
      </c>
      <c r="BJ104" s="578">
        <f t="shared" si="173"/>
        <v>-24677.78</v>
      </c>
      <c r="BK104" s="578">
        <f t="shared" si="174"/>
        <v>0</v>
      </c>
      <c r="BL104" s="576">
        <v>0</v>
      </c>
      <c r="BM104" s="578">
        <f>'[67]Гл инж_Тех дир'!AW63</f>
        <v>0</v>
      </c>
      <c r="BN104" s="522">
        <f t="shared" si="204"/>
        <v>0</v>
      </c>
      <c r="BO104" s="578">
        <f t="shared" si="181"/>
        <v>0</v>
      </c>
      <c r="BP104" s="578">
        <f t="shared" si="175"/>
        <v>0</v>
      </c>
      <c r="BQ104" s="576">
        <v>0</v>
      </c>
      <c r="BR104" s="578">
        <f>'[67]Гл инж_Тех дир'!BB63</f>
        <v>0</v>
      </c>
      <c r="BS104" s="578">
        <f>'[67]Гл инж_Тех дир'!BC63</f>
        <v>0</v>
      </c>
      <c r="BT104" s="536"/>
      <c r="BU104" s="578">
        <v>5076.2700000000004</v>
      </c>
      <c r="BV104" s="578"/>
      <c r="BW104" s="578"/>
      <c r="BX104" s="629"/>
      <c r="BY104" s="525">
        <v>5014.95</v>
      </c>
      <c r="BZ104" s="525">
        <v>53.19</v>
      </c>
      <c r="CA104" s="525">
        <v>8.1300000000000008</v>
      </c>
      <c r="CB104" s="522">
        <f t="shared" si="134"/>
        <v>5076.2699999999995</v>
      </c>
      <c r="CC104" s="522">
        <f t="shared" si="176"/>
        <v>0</v>
      </c>
      <c r="CD104" s="578"/>
      <c r="CE104" s="578"/>
      <c r="CF104" s="578"/>
      <c r="CG104" s="578"/>
      <c r="CH104" s="578"/>
      <c r="CI104" s="578"/>
      <c r="CJ104" s="578"/>
      <c r="CK104" s="542" t="s">
        <v>79</v>
      </c>
      <c r="CL104" s="543" t="s">
        <v>1911</v>
      </c>
      <c r="CM104" s="528" t="s">
        <v>1907</v>
      </c>
      <c r="CN104" s="528"/>
      <c r="CO104" s="528"/>
      <c r="CP104" s="544">
        <f t="shared" si="205"/>
        <v>27451.695008621369</v>
      </c>
      <c r="CQ104" s="544">
        <f t="shared" si="206"/>
        <v>2016.4165571966337</v>
      </c>
      <c r="CR104" s="544">
        <f t="shared" si="207"/>
        <v>285.93843418199845</v>
      </c>
      <c r="CS104" s="1688" t="s">
        <v>1826</v>
      </c>
      <c r="CT104" s="1689"/>
      <c r="CU104" s="1689"/>
      <c r="CV104" s="1689"/>
      <c r="CW104" s="1690"/>
      <c r="CX104" s="528"/>
      <c r="CY104" s="528"/>
      <c r="CZ104" s="528"/>
      <c r="DA104" s="528"/>
      <c r="DB104" s="579">
        <f>1016.95</f>
        <v>1016.95</v>
      </c>
      <c r="DC104" s="628" t="e">
        <f>P104-#REF!</f>
        <v>#REF!</v>
      </c>
      <c r="DD104" s="535"/>
      <c r="DE104" s="535"/>
      <c r="DF104" s="525">
        <f t="shared" si="211"/>
        <v>5.0149499999999998</v>
      </c>
      <c r="DG104" s="525">
        <f t="shared" si="211"/>
        <v>5.3190000000000001E-2</v>
      </c>
      <c r="DH104" s="525">
        <f t="shared" si="211"/>
        <v>8.1300000000000001E-3</v>
      </c>
      <c r="DI104" s="522">
        <f t="shared" si="209"/>
        <v>5.0762699999999992</v>
      </c>
      <c r="DJ104" s="536"/>
      <c r="DK104" s="536"/>
      <c r="DL104" s="536"/>
      <c r="DM104" s="536"/>
      <c r="DN104" s="536"/>
      <c r="DO104" s="536"/>
      <c r="DP104" s="536"/>
      <c r="DQ104" s="536"/>
      <c r="DR104" s="536"/>
      <c r="DS104" s="536"/>
    </row>
    <row r="105" spans="1:123" s="534" customFormat="1" ht="56.4">
      <c r="A105" s="537" t="s">
        <v>362</v>
      </c>
      <c r="B105" s="538" t="s">
        <v>363</v>
      </c>
      <c r="C105" s="576">
        <v>350271.52</v>
      </c>
      <c r="D105" s="576">
        <v>445826.66</v>
      </c>
      <c r="E105" s="576">
        <v>597936.66</v>
      </c>
      <c r="F105" s="576">
        <v>406008.56</v>
      </c>
      <c r="G105" s="577">
        <v>334164.33542537247</v>
      </c>
      <c r="H105" s="577">
        <v>0</v>
      </c>
      <c r="I105" s="576">
        <f t="shared" si="198"/>
        <v>273179.69999999995</v>
      </c>
      <c r="J105" s="576">
        <v>106097.52</v>
      </c>
      <c r="K105" s="576">
        <v>83541.09</v>
      </c>
      <c r="L105" s="576">
        <v>83541.09</v>
      </c>
      <c r="M105" s="576">
        <f t="shared" si="199"/>
        <v>189638.61</v>
      </c>
      <c r="N105" s="576">
        <v>166144.13</v>
      </c>
      <c r="O105" s="525">
        <f t="shared" si="200"/>
        <v>133291.85999999999</v>
      </c>
      <c r="P105" s="522">
        <v>299435.99</v>
      </c>
      <c r="Q105" s="576">
        <f t="shared" si="151"/>
        <v>26256.290000000037</v>
      </c>
      <c r="R105" s="576">
        <f t="shared" si="152"/>
        <v>9.6113620448371648</v>
      </c>
      <c r="S105" s="576">
        <v>374260</v>
      </c>
      <c r="T105" s="576">
        <v>374260</v>
      </c>
      <c r="U105" s="522">
        <f t="shared" si="201"/>
        <v>232823.32</v>
      </c>
      <c r="V105" s="522">
        <f t="shared" si="149"/>
        <v>-141436.68</v>
      </c>
      <c r="W105" s="522">
        <f t="shared" si="153"/>
        <v>-37.79102228397371</v>
      </c>
      <c r="X105" s="522">
        <f t="shared" si="154"/>
        <v>-66612.669999999984</v>
      </c>
      <c r="Y105" s="522">
        <f t="shared" si="155"/>
        <v>-22.246046642556223</v>
      </c>
      <c r="Z105" s="524">
        <f t="shared" si="156"/>
        <v>232823.32</v>
      </c>
      <c r="AA105" s="522">
        <f t="shared" si="157"/>
        <v>-141436.68</v>
      </c>
      <c r="AB105" s="522">
        <f t="shared" si="158"/>
        <v>-37.79102228397371</v>
      </c>
      <c r="AC105" s="522">
        <f t="shared" si="159"/>
        <v>0</v>
      </c>
      <c r="AD105" s="522">
        <f t="shared" si="160"/>
        <v>0</v>
      </c>
      <c r="AE105" s="522">
        <f t="shared" si="161"/>
        <v>-66612.669999999984</v>
      </c>
      <c r="AF105" s="522">
        <f t="shared" si="162"/>
        <v>-22.246046642556223</v>
      </c>
      <c r="AG105" s="522">
        <f t="shared" si="177"/>
        <v>309975.12</v>
      </c>
      <c r="AH105" s="522">
        <f t="shared" si="163"/>
        <v>77151.799999999988</v>
      </c>
      <c r="AI105" s="522">
        <f t="shared" si="164"/>
        <v>33.13748811759919</v>
      </c>
      <c r="AJ105" s="522">
        <f t="shared" si="165"/>
        <v>77151.799999999988</v>
      </c>
      <c r="AK105" s="522">
        <f t="shared" si="212"/>
        <v>33.13748811759919</v>
      </c>
      <c r="AL105" s="522">
        <f t="shared" si="202"/>
        <v>309975.12</v>
      </c>
      <c r="AM105" s="522">
        <f t="shared" si="192"/>
        <v>116411.66</v>
      </c>
      <c r="AN105" s="522">
        <f t="shared" si="192"/>
        <v>135940.79</v>
      </c>
      <c r="AO105" s="522">
        <f t="shared" si="166"/>
        <v>19529.130000000005</v>
      </c>
      <c r="AP105" s="522">
        <f t="shared" si="178"/>
        <v>16.775922618060775</v>
      </c>
      <c r="AQ105" s="578">
        <v>58205.83</v>
      </c>
      <c r="AR105" s="578">
        <v>68557.179999999993</v>
      </c>
      <c r="AS105" s="578">
        <v>58205.83</v>
      </c>
      <c r="AT105" s="578">
        <v>67383.610000000015</v>
      </c>
      <c r="AU105" s="578">
        <f t="shared" si="208"/>
        <v>116411.66</v>
      </c>
      <c r="AV105" s="578">
        <f t="shared" si="208"/>
        <v>96882.53</v>
      </c>
      <c r="AW105" s="578">
        <f t="shared" si="167"/>
        <v>-19529.130000000005</v>
      </c>
      <c r="AX105" s="578">
        <f t="shared" si="168"/>
        <v>-16.775922618060761</v>
      </c>
      <c r="AY105" s="578">
        <f t="shared" si="210"/>
        <v>174034.33</v>
      </c>
      <c r="AZ105" s="578">
        <f t="shared" si="169"/>
        <v>-77151.799999999988</v>
      </c>
      <c r="BA105" s="578">
        <f t="shared" si="170"/>
        <v>-44.331368414496154</v>
      </c>
      <c r="BB105" s="578">
        <v>58205.83</v>
      </c>
      <c r="BC105" s="576">
        <f>'[67]Гл инж_Тех дир'!AT64</f>
        <v>48441.264999999999</v>
      </c>
      <c r="BD105" s="576">
        <f t="shared" si="203"/>
        <v>88288.85</v>
      </c>
      <c r="BE105" s="576">
        <f t="shared" si="171"/>
        <v>30083.020000000004</v>
      </c>
      <c r="BF105" s="576">
        <f t="shared" si="172"/>
        <v>39847.585000000006</v>
      </c>
      <c r="BG105" s="576">
        <f t="shared" si="150"/>
        <v>174617.49</v>
      </c>
      <c r="BH105" s="578">
        <f t="shared" si="150"/>
        <v>184382.05499999999</v>
      </c>
      <c r="BI105" s="578">
        <v>224229.64</v>
      </c>
      <c r="BJ105" s="578">
        <f t="shared" si="173"/>
        <v>49612.150000000023</v>
      </c>
      <c r="BK105" s="578">
        <f t="shared" si="174"/>
        <v>39847.585000000021</v>
      </c>
      <c r="BL105" s="576">
        <v>58205.83</v>
      </c>
      <c r="BM105" s="578">
        <f>'[67]Гл инж_Тех дир'!AW64</f>
        <v>48441.264999999999</v>
      </c>
      <c r="BN105" s="522">
        <f t="shared" si="204"/>
        <v>85745.479999999981</v>
      </c>
      <c r="BO105" s="578">
        <f t="shared" si="181"/>
        <v>27539.64999999998</v>
      </c>
      <c r="BP105" s="578">
        <f t="shared" si="175"/>
        <v>37304.214999999982</v>
      </c>
      <c r="BQ105" s="576">
        <v>58205.83</v>
      </c>
      <c r="BR105" s="578">
        <f>'[67]Гл инж_Тех дир'!BB64</f>
        <v>0</v>
      </c>
      <c r="BS105" s="578">
        <f>'[67]Гл инж_Тех дир'!BC64</f>
        <v>0</v>
      </c>
      <c r="BT105" s="536"/>
      <c r="BU105" s="578">
        <v>309975.12</v>
      </c>
      <c r="BV105" s="578"/>
      <c r="BW105" s="578"/>
      <c r="BX105" s="629"/>
      <c r="BY105" s="525">
        <v>280664.09000000003</v>
      </c>
      <c r="BZ105" s="525">
        <v>26370.31</v>
      </c>
      <c r="CA105" s="525">
        <v>2940.72</v>
      </c>
      <c r="CB105" s="522">
        <f t="shared" si="134"/>
        <v>309975.12</v>
      </c>
      <c r="CC105" s="522">
        <f t="shared" si="176"/>
        <v>0</v>
      </c>
      <c r="CD105" s="578"/>
      <c r="CE105" s="578"/>
      <c r="CF105" s="578"/>
      <c r="CG105" s="578"/>
      <c r="CH105" s="578"/>
      <c r="CI105" s="578"/>
      <c r="CJ105" s="578"/>
      <c r="CK105" s="542" t="s">
        <v>79</v>
      </c>
      <c r="CL105" s="543" t="s">
        <v>1911</v>
      </c>
      <c r="CM105" s="528" t="s">
        <v>1907</v>
      </c>
      <c r="CN105" s="528" t="s">
        <v>1849</v>
      </c>
      <c r="CO105" s="528"/>
      <c r="CP105" s="544">
        <f t="shared" si="205"/>
        <v>214807.55633383206</v>
      </c>
      <c r="CQ105" s="544">
        <f t="shared" si="206"/>
        <v>15778.315804049875</v>
      </c>
      <c r="CR105" s="544">
        <f t="shared" si="207"/>
        <v>2237.447862118077</v>
      </c>
      <c r="CS105" s="1688" t="s">
        <v>1826</v>
      </c>
      <c r="CT105" s="1689"/>
      <c r="CU105" s="1689"/>
      <c r="CV105" s="1689"/>
      <c r="CW105" s="1690"/>
      <c r="CX105" s="528"/>
      <c r="CY105" s="528"/>
      <c r="CZ105" s="528"/>
      <c r="DA105" s="528"/>
      <c r="DB105" s="579">
        <f>68557.18</f>
        <v>68557.179999999993</v>
      </c>
      <c r="DC105" s="628" t="e">
        <f>P105-#REF!</f>
        <v>#REF!</v>
      </c>
      <c r="DD105" s="535"/>
      <c r="DE105" s="535"/>
      <c r="DF105" s="525">
        <f t="shared" si="211"/>
        <v>280.66409000000004</v>
      </c>
      <c r="DG105" s="525">
        <f t="shared" si="211"/>
        <v>26.37031</v>
      </c>
      <c r="DH105" s="525">
        <f t="shared" si="211"/>
        <v>2.9407199999999998</v>
      </c>
      <c r="DI105" s="522">
        <f t="shared" si="209"/>
        <v>309.97512</v>
      </c>
      <c r="DJ105" s="536"/>
      <c r="DK105" s="536"/>
      <c r="DL105" s="536"/>
      <c r="DM105" s="536"/>
      <c r="DN105" s="536"/>
      <c r="DO105" s="536"/>
      <c r="DP105" s="536"/>
      <c r="DQ105" s="536"/>
      <c r="DR105" s="536"/>
      <c r="DS105" s="536"/>
    </row>
    <row r="106" spans="1:123" s="534" customFormat="1">
      <c r="A106" s="520" t="s">
        <v>367</v>
      </c>
      <c r="B106" s="521" t="s">
        <v>368</v>
      </c>
      <c r="C106" s="578">
        <v>439235.6</v>
      </c>
      <c r="D106" s="578">
        <v>2069629.36</v>
      </c>
      <c r="E106" s="578">
        <v>469640</v>
      </c>
      <c r="F106" s="578">
        <v>626968.68000000005</v>
      </c>
      <c r="G106" s="593">
        <v>686086.00349633384</v>
      </c>
      <c r="H106" s="593">
        <v>0</v>
      </c>
      <c r="I106" s="578">
        <f t="shared" si="198"/>
        <v>1162611.2</v>
      </c>
      <c r="J106" s="578">
        <v>805520.54</v>
      </c>
      <c r="K106" s="578">
        <v>178545.33</v>
      </c>
      <c r="L106" s="578">
        <v>178545.33</v>
      </c>
      <c r="M106" s="578">
        <f t="shared" si="199"/>
        <v>984065.87</v>
      </c>
      <c r="N106" s="578">
        <v>954083.12</v>
      </c>
      <c r="O106" s="522">
        <f t="shared" si="200"/>
        <v>1444574.6599999997</v>
      </c>
      <c r="P106" s="522">
        <v>2398657.7799999998</v>
      </c>
      <c r="Q106" s="578">
        <f t="shared" si="151"/>
        <v>1236046.5799999998</v>
      </c>
      <c r="R106" s="578">
        <f t="shared" si="152"/>
        <v>106.31641773277258</v>
      </c>
      <c r="S106" s="578">
        <v>694855.70499999996</v>
      </c>
      <c r="T106" s="578">
        <v>694855.70499999996</v>
      </c>
      <c r="U106" s="522">
        <f t="shared" si="201"/>
        <v>1002741.36</v>
      </c>
      <c r="V106" s="522">
        <f t="shared" si="149"/>
        <v>307885.65500000003</v>
      </c>
      <c r="W106" s="522">
        <f t="shared" si="153"/>
        <v>44.30929368277981</v>
      </c>
      <c r="X106" s="522">
        <f t="shared" si="154"/>
        <v>-1395916.42</v>
      </c>
      <c r="Y106" s="522">
        <f t="shared" si="155"/>
        <v>-58.195730613976956</v>
      </c>
      <c r="Z106" s="524">
        <f t="shared" si="156"/>
        <v>1651827.24</v>
      </c>
      <c r="AA106" s="522">
        <f t="shared" si="157"/>
        <v>956971.53500000003</v>
      </c>
      <c r="AB106" s="522">
        <f t="shared" si="158"/>
        <v>137.72233977700452</v>
      </c>
      <c r="AC106" s="522">
        <f t="shared" si="159"/>
        <v>649085.88</v>
      </c>
      <c r="AD106" s="522">
        <f t="shared" si="160"/>
        <v>64.731136651229775</v>
      </c>
      <c r="AE106" s="522">
        <f t="shared" si="161"/>
        <v>-746830.5399999998</v>
      </c>
      <c r="AF106" s="522">
        <f t="shared" si="162"/>
        <v>-31.135351871662152</v>
      </c>
      <c r="AG106" s="522">
        <f t="shared" si="177"/>
        <v>3084426.13</v>
      </c>
      <c r="AH106" s="522">
        <f t="shared" si="163"/>
        <v>2081684.77</v>
      </c>
      <c r="AI106" s="522">
        <f t="shared" si="164"/>
        <v>207.59937238452</v>
      </c>
      <c r="AJ106" s="522">
        <f t="shared" si="165"/>
        <v>1432598.89</v>
      </c>
      <c r="AK106" s="522">
        <f t="shared" si="212"/>
        <v>86.728130842544999</v>
      </c>
      <c r="AL106" s="522">
        <f t="shared" si="202"/>
        <v>3084426.13</v>
      </c>
      <c r="AM106" s="522">
        <f t="shared" si="192"/>
        <v>501370.68</v>
      </c>
      <c r="AN106" s="522">
        <f t="shared" si="192"/>
        <v>1150456.56</v>
      </c>
      <c r="AO106" s="522">
        <f t="shared" si="166"/>
        <v>649085.88000000012</v>
      </c>
      <c r="AP106" s="522">
        <f t="shared" si="178"/>
        <v>129.46227330245955</v>
      </c>
      <c r="AQ106" s="578">
        <v>250685.34</v>
      </c>
      <c r="AR106" s="578">
        <v>467601.58</v>
      </c>
      <c r="AS106" s="578">
        <v>250685.34</v>
      </c>
      <c r="AT106" s="578">
        <v>682854.98</v>
      </c>
      <c r="AU106" s="578">
        <f t="shared" si="208"/>
        <v>501370.68</v>
      </c>
      <c r="AV106" s="578">
        <f t="shared" si="208"/>
        <v>501370.68</v>
      </c>
      <c r="AW106" s="578">
        <f t="shared" si="167"/>
        <v>0</v>
      </c>
      <c r="AX106" s="578">
        <f t="shared" si="168"/>
        <v>0</v>
      </c>
      <c r="AY106" s="578">
        <f t="shared" si="210"/>
        <v>1933969.5699999998</v>
      </c>
      <c r="AZ106" s="578">
        <f t="shared" si="169"/>
        <v>-1432598.89</v>
      </c>
      <c r="BA106" s="578">
        <f t="shared" si="170"/>
        <v>-74.075565211711165</v>
      </c>
      <c r="BB106" s="578">
        <v>250685.34</v>
      </c>
      <c r="BC106" s="576">
        <f>'[67]Гл инж_Тех дир'!AT65</f>
        <v>250685.34</v>
      </c>
      <c r="BD106" s="576">
        <f t="shared" si="203"/>
        <v>464791.59999999986</v>
      </c>
      <c r="BE106" s="576">
        <f t="shared" si="171"/>
        <v>214106.25999999986</v>
      </c>
      <c r="BF106" s="576">
        <f t="shared" si="172"/>
        <v>214106.25999999986</v>
      </c>
      <c r="BG106" s="576">
        <f t="shared" si="150"/>
        <v>752056.02</v>
      </c>
      <c r="BH106" s="578">
        <f t="shared" si="150"/>
        <v>1401141.9000000001</v>
      </c>
      <c r="BI106" s="578">
        <v>1615248.16</v>
      </c>
      <c r="BJ106" s="578">
        <f t="shared" si="173"/>
        <v>863192.1399999999</v>
      </c>
      <c r="BK106" s="578">
        <f t="shared" si="174"/>
        <v>214106.25999999978</v>
      </c>
      <c r="BL106" s="576">
        <v>250685.34</v>
      </c>
      <c r="BM106" s="578">
        <f>'[67]Гл инж_Тех дир'!AW65</f>
        <v>250685.34</v>
      </c>
      <c r="BN106" s="522">
        <f t="shared" si="204"/>
        <v>1469177.97</v>
      </c>
      <c r="BO106" s="578">
        <f t="shared" si="181"/>
        <v>1218492.6299999999</v>
      </c>
      <c r="BP106" s="578">
        <f t="shared" si="175"/>
        <v>1218492.6299999999</v>
      </c>
      <c r="BQ106" s="576">
        <v>250685.34</v>
      </c>
      <c r="BR106" s="578">
        <f>'[67]Гл инж_Тех дир'!BB65</f>
        <v>0</v>
      </c>
      <c r="BS106" s="578">
        <f>'[67]Гл инж_Тех дир'!BC65</f>
        <v>0</v>
      </c>
      <c r="BT106" s="536"/>
      <c r="BU106" s="578">
        <v>3084426.13</v>
      </c>
      <c r="BV106" s="578"/>
      <c r="BW106" s="578"/>
      <c r="BX106" s="629"/>
      <c r="BY106" s="522">
        <v>2601741.67</v>
      </c>
      <c r="BZ106" s="522">
        <v>461543.49</v>
      </c>
      <c r="CA106" s="522">
        <v>21140.97</v>
      </c>
      <c r="CB106" s="522">
        <f t="shared" si="134"/>
        <v>3084426.1300000004</v>
      </c>
      <c r="CC106" s="522">
        <f t="shared" si="176"/>
        <v>0</v>
      </c>
      <c r="CD106" s="578"/>
      <c r="CE106" s="578"/>
      <c r="CF106" s="578"/>
      <c r="CG106" s="578"/>
      <c r="CH106" s="578"/>
      <c r="CI106" s="578"/>
      <c r="CJ106" s="578"/>
      <c r="CK106" s="526" t="s">
        <v>79</v>
      </c>
      <c r="CL106" s="605" t="s">
        <v>1911</v>
      </c>
      <c r="CM106" s="528" t="s">
        <v>1907</v>
      </c>
      <c r="CN106" s="528" t="s">
        <v>1849</v>
      </c>
      <c r="CO106" s="528"/>
      <c r="CP106" s="529">
        <f t="shared" si="205"/>
        <v>925149.68507649214</v>
      </c>
      <c r="CQ106" s="529">
        <f t="shared" si="206"/>
        <v>67955.262590802609</v>
      </c>
      <c r="CR106" s="529">
        <f t="shared" si="207"/>
        <v>9636.4123327052166</v>
      </c>
      <c r="CS106" s="1695" t="s">
        <v>1826</v>
      </c>
      <c r="CT106" s="1696"/>
      <c r="CU106" s="1696"/>
      <c r="CV106" s="1696"/>
      <c r="CW106" s="1697"/>
      <c r="CX106" s="528"/>
      <c r="CY106" s="528"/>
      <c r="CZ106" s="528"/>
      <c r="DA106" s="528"/>
      <c r="DB106" s="630">
        <f>467601.58</f>
        <v>467601.58</v>
      </c>
      <c r="DC106" s="571" t="e">
        <f>P106-#REF!</f>
        <v>#REF!</v>
      </c>
      <c r="DD106" s="535"/>
      <c r="DE106" s="535"/>
      <c r="DF106" s="522">
        <f t="shared" si="211"/>
        <v>2601.7416699999999</v>
      </c>
      <c r="DG106" s="522">
        <f t="shared" si="211"/>
        <v>461.54348999999996</v>
      </c>
      <c r="DH106" s="522">
        <f t="shared" si="211"/>
        <v>21.140970000000003</v>
      </c>
      <c r="DI106" s="522">
        <f t="shared" si="209"/>
        <v>3084.4261300000003</v>
      </c>
      <c r="DJ106" s="536"/>
      <c r="DK106" s="536"/>
      <c r="DL106" s="536"/>
      <c r="DM106" s="536"/>
      <c r="DN106" s="536"/>
      <c r="DO106" s="536"/>
      <c r="DP106" s="536"/>
      <c r="DQ106" s="536"/>
      <c r="DR106" s="536"/>
      <c r="DS106" s="536"/>
    </row>
    <row r="107" spans="1:123" s="534" customFormat="1" ht="56.4">
      <c r="A107" s="537" t="s">
        <v>372</v>
      </c>
      <c r="B107" s="538" t="s">
        <v>373</v>
      </c>
      <c r="C107" s="576">
        <v>4251829.72</v>
      </c>
      <c r="D107" s="576">
        <v>2041092.02</v>
      </c>
      <c r="E107" s="576">
        <v>3600000</v>
      </c>
      <c r="F107" s="576">
        <v>4265339.88</v>
      </c>
      <c r="G107" s="577">
        <v>3768639.5106192501</v>
      </c>
      <c r="H107" s="577">
        <v>0</v>
      </c>
      <c r="I107" s="576">
        <f t="shared" si="198"/>
        <v>3229680.08</v>
      </c>
      <c r="J107" s="576">
        <v>1316373.74</v>
      </c>
      <c r="K107" s="576">
        <v>956653.17</v>
      </c>
      <c r="L107" s="576">
        <v>956653.17</v>
      </c>
      <c r="M107" s="576">
        <f t="shared" si="199"/>
        <v>2273026.91</v>
      </c>
      <c r="N107" s="576">
        <v>1976126.14</v>
      </c>
      <c r="O107" s="525">
        <f t="shared" si="200"/>
        <v>1798828.8300000003</v>
      </c>
      <c r="P107" s="522">
        <f>135+3774819.97</f>
        <v>3774954.97</v>
      </c>
      <c r="Q107" s="576">
        <f t="shared" si="151"/>
        <v>545274.89000000013</v>
      </c>
      <c r="R107" s="576">
        <f t="shared" si="152"/>
        <v>16.883247767376403</v>
      </c>
      <c r="S107" s="576">
        <v>3975914.6837033085</v>
      </c>
      <c r="T107" s="576">
        <v>3975914.6837033085</v>
      </c>
      <c r="U107" s="522">
        <f t="shared" si="201"/>
        <v>2769211.43</v>
      </c>
      <c r="V107" s="522">
        <f t="shared" si="149"/>
        <v>-1206703.2537033083</v>
      </c>
      <c r="W107" s="522">
        <f t="shared" si="153"/>
        <v>-30.350330671063148</v>
      </c>
      <c r="X107" s="522">
        <f t="shared" si="154"/>
        <v>-1005743.54</v>
      </c>
      <c r="Y107" s="522">
        <f t="shared" si="155"/>
        <v>-26.642530784943375</v>
      </c>
      <c r="Z107" s="524">
        <f t="shared" si="156"/>
        <v>3722225.99</v>
      </c>
      <c r="AA107" s="522">
        <f t="shared" si="157"/>
        <v>-253688.69370330824</v>
      </c>
      <c r="AB107" s="522">
        <f t="shared" si="158"/>
        <v>-6.3806372592234197</v>
      </c>
      <c r="AC107" s="522">
        <f t="shared" si="159"/>
        <v>953014.56</v>
      </c>
      <c r="AD107" s="522">
        <f t="shared" si="160"/>
        <v>34.414655005233755</v>
      </c>
      <c r="AE107" s="522">
        <f t="shared" si="161"/>
        <v>-52728.979999999981</v>
      </c>
      <c r="AF107" s="522">
        <f t="shared" si="162"/>
        <v>-1.3968108340110916</v>
      </c>
      <c r="AG107" s="522">
        <f t="shared" si="177"/>
        <v>3663829.12</v>
      </c>
      <c r="AH107" s="522">
        <f t="shared" si="163"/>
        <v>894617.69</v>
      </c>
      <c r="AI107" s="522">
        <f t="shared" si="164"/>
        <v>32.305864417149252</v>
      </c>
      <c r="AJ107" s="522">
        <f t="shared" si="165"/>
        <v>-58396.870000000112</v>
      </c>
      <c r="AK107" s="522">
        <f t="shared" si="212"/>
        <v>-1.56886954625773</v>
      </c>
      <c r="AL107" s="522">
        <f t="shared" si="202"/>
        <v>3663829.12</v>
      </c>
      <c r="AM107" s="522">
        <f t="shared" si="192"/>
        <v>1560839.26</v>
      </c>
      <c r="AN107" s="522">
        <f t="shared" si="192"/>
        <v>1669635.02</v>
      </c>
      <c r="AO107" s="522">
        <f t="shared" si="166"/>
        <v>108795.76000000001</v>
      </c>
      <c r="AP107" s="522">
        <f t="shared" si="178"/>
        <v>6.9703372274221351</v>
      </c>
      <c r="AQ107" s="578">
        <v>956653.17</v>
      </c>
      <c r="AR107" s="578">
        <v>769498.31</v>
      </c>
      <c r="AS107" s="578">
        <v>604186.09</v>
      </c>
      <c r="AT107" s="578">
        <v>900136.71</v>
      </c>
      <c r="AU107" s="578">
        <f t="shared" si="208"/>
        <v>1208372.17</v>
      </c>
      <c r="AV107" s="578">
        <f t="shared" si="208"/>
        <v>2052590.97</v>
      </c>
      <c r="AW107" s="578">
        <f t="shared" si="167"/>
        <v>844218.8</v>
      </c>
      <c r="AX107" s="578">
        <f t="shared" si="168"/>
        <v>69.864137966699445</v>
      </c>
      <c r="AY107" s="578">
        <f t="shared" si="210"/>
        <v>1994194.1</v>
      </c>
      <c r="AZ107" s="578">
        <f t="shared" si="169"/>
        <v>58396.869999999879</v>
      </c>
      <c r="BA107" s="578">
        <f t="shared" si="170"/>
        <v>2.9283443371936499</v>
      </c>
      <c r="BB107" s="578">
        <v>604186.09</v>
      </c>
      <c r="BC107" s="576">
        <f>'[67]Гл инж_Тех дир'!AT66</f>
        <v>1026295.49</v>
      </c>
      <c r="BD107" s="576">
        <f t="shared" si="203"/>
        <v>694801.83999999985</v>
      </c>
      <c r="BE107" s="576">
        <f t="shared" si="171"/>
        <v>90615.749999999884</v>
      </c>
      <c r="BF107" s="576">
        <f t="shared" si="172"/>
        <v>-331493.65000000014</v>
      </c>
      <c r="BG107" s="576">
        <f t="shared" si="150"/>
        <v>2165025.35</v>
      </c>
      <c r="BH107" s="578">
        <f t="shared" si="150"/>
        <v>2695930.51</v>
      </c>
      <c r="BI107" s="578">
        <v>2364436.86</v>
      </c>
      <c r="BJ107" s="578">
        <f t="shared" si="173"/>
        <v>199411.50999999978</v>
      </c>
      <c r="BK107" s="578">
        <f t="shared" si="174"/>
        <v>-331493.64999999991</v>
      </c>
      <c r="BL107" s="576">
        <v>604186.07999999996</v>
      </c>
      <c r="BM107" s="578">
        <f>'[67]Гл инж_Тех дир'!AW66</f>
        <v>1026295.48</v>
      </c>
      <c r="BN107" s="522">
        <f t="shared" si="204"/>
        <v>1299392.2600000002</v>
      </c>
      <c r="BO107" s="578">
        <f t="shared" si="181"/>
        <v>695206.18000000028</v>
      </c>
      <c r="BP107" s="578">
        <f t="shared" si="175"/>
        <v>273096.78000000026</v>
      </c>
      <c r="BQ107" s="576">
        <v>604186.07999999996</v>
      </c>
      <c r="BR107" s="578">
        <f>'[67]Гл инж_Тех дир'!BB66</f>
        <v>0</v>
      </c>
      <c r="BS107" s="578">
        <f>'[67]Гл инж_Тех дир'!BC66</f>
        <v>0</v>
      </c>
      <c r="BT107" s="536"/>
      <c r="BU107" s="578">
        <v>3663829.12</v>
      </c>
      <c r="BV107" s="578"/>
      <c r="BW107" s="578"/>
      <c r="BX107" s="629"/>
      <c r="BY107" s="525">
        <v>3168578.63</v>
      </c>
      <c r="BZ107" s="525">
        <v>458373.14</v>
      </c>
      <c r="CA107" s="525">
        <v>36877.35</v>
      </c>
      <c r="CB107" s="522">
        <f t="shared" si="134"/>
        <v>3663829.12</v>
      </c>
      <c r="CC107" s="522">
        <f t="shared" si="176"/>
        <v>0</v>
      </c>
      <c r="CD107" s="578"/>
      <c r="CE107" s="578"/>
      <c r="CF107" s="578"/>
      <c r="CG107" s="578"/>
      <c r="CH107" s="578"/>
      <c r="CI107" s="578"/>
      <c r="CJ107" s="578"/>
      <c r="CK107" s="542" t="s">
        <v>79</v>
      </c>
      <c r="CL107" s="543" t="s">
        <v>1911</v>
      </c>
      <c r="CM107" s="528" t="s">
        <v>1907</v>
      </c>
      <c r="CN107" s="528" t="s">
        <v>1849</v>
      </c>
      <c r="CO107" s="528"/>
      <c r="CP107" s="544">
        <f t="shared" si="205"/>
        <v>2554931.0964641199</v>
      </c>
      <c r="CQ107" s="544">
        <f t="shared" si="206"/>
        <v>187668.0242800616</v>
      </c>
      <c r="CR107" s="544">
        <f t="shared" si="207"/>
        <v>26612.30925581872</v>
      </c>
      <c r="CS107" s="1688" t="s">
        <v>1826</v>
      </c>
      <c r="CT107" s="1689"/>
      <c r="CU107" s="1689"/>
      <c r="CV107" s="1689"/>
      <c r="CW107" s="1690"/>
      <c r="CX107" s="528"/>
      <c r="CY107" s="528"/>
      <c r="CZ107" s="528"/>
      <c r="DA107" s="528"/>
      <c r="DB107" s="579">
        <f>769498.31</f>
        <v>769498.31</v>
      </c>
      <c r="DC107" s="628" t="e">
        <f>P107-#REF!</f>
        <v>#REF!</v>
      </c>
      <c r="DD107" s="535"/>
      <c r="DE107" s="535"/>
      <c r="DF107" s="525">
        <f t="shared" si="211"/>
        <v>3168.57863</v>
      </c>
      <c r="DG107" s="525">
        <f t="shared" si="211"/>
        <v>458.37314000000003</v>
      </c>
      <c r="DH107" s="525">
        <f t="shared" si="211"/>
        <v>36.87735</v>
      </c>
      <c r="DI107" s="522">
        <f t="shared" si="209"/>
        <v>3663.8291200000003</v>
      </c>
      <c r="DJ107" s="536"/>
      <c r="DK107" s="536"/>
      <c r="DL107" s="536"/>
      <c r="DM107" s="536"/>
      <c r="DN107" s="536"/>
      <c r="DO107" s="536"/>
      <c r="DP107" s="536"/>
      <c r="DQ107" s="536"/>
      <c r="DR107" s="536"/>
      <c r="DS107" s="536"/>
    </row>
    <row r="108" spans="1:123" s="534" customFormat="1" ht="56.4">
      <c r="A108" s="537" t="s">
        <v>377</v>
      </c>
      <c r="B108" s="538" t="s">
        <v>378</v>
      </c>
      <c r="C108" s="576">
        <v>784057.37</v>
      </c>
      <c r="D108" s="576">
        <v>1101077.81</v>
      </c>
      <c r="E108" s="576">
        <v>1000000</v>
      </c>
      <c r="F108" s="576">
        <v>689844.92</v>
      </c>
      <c r="G108" s="577">
        <v>646595.4387642059</v>
      </c>
      <c r="H108" s="577">
        <v>0</v>
      </c>
      <c r="I108" s="576">
        <f t="shared" si="198"/>
        <v>609341.24</v>
      </c>
      <c r="J108" s="576">
        <v>286043.52000000002</v>
      </c>
      <c r="K108" s="576">
        <v>161648.85999999999</v>
      </c>
      <c r="L108" s="576">
        <v>161648.85999999999</v>
      </c>
      <c r="M108" s="576">
        <f t="shared" si="199"/>
        <v>447692.38</v>
      </c>
      <c r="N108" s="576">
        <v>446031.4</v>
      </c>
      <c r="O108" s="525">
        <f t="shared" si="200"/>
        <v>327348.12</v>
      </c>
      <c r="P108" s="522">
        <f>148.31+772070.19+1161.02</f>
        <v>773379.52</v>
      </c>
      <c r="Q108" s="576">
        <f t="shared" si="151"/>
        <v>164038.28000000003</v>
      </c>
      <c r="R108" s="576">
        <f t="shared" si="152"/>
        <v>26.920593787481067</v>
      </c>
      <c r="S108" s="576">
        <v>724190</v>
      </c>
      <c r="T108" s="576">
        <v>724190</v>
      </c>
      <c r="U108" s="522">
        <f t="shared" si="201"/>
        <v>625038.67000000004</v>
      </c>
      <c r="V108" s="522">
        <f t="shared" si="149"/>
        <v>-99151.329999999958</v>
      </c>
      <c r="W108" s="522">
        <f t="shared" si="153"/>
        <v>-13.691342051119165</v>
      </c>
      <c r="X108" s="522">
        <f t="shared" si="154"/>
        <v>-148340.84999999998</v>
      </c>
      <c r="Y108" s="522">
        <f t="shared" si="155"/>
        <v>-19.180860905134907</v>
      </c>
      <c r="Z108" s="524">
        <f t="shared" si="156"/>
        <v>896577.45</v>
      </c>
      <c r="AA108" s="522">
        <f t="shared" si="157"/>
        <v>172387.44999999995</v>
      </c>
      <c r="AB108" s="522">
        <f t="shared" si="158"/>
        <v>23.804174318894212</v>
      </c>
      <c r="AC108" s="522">
        <f t="shared" si="159"/>
        <v>271538.77999999991</v>
      </c>
      <c r="AD108" s="522">
        <f t="shared" si="160"/>
        <v>43.443516862724664</v>
      </c>
      <c r="AE108" s="522">
        <f t="shared" si="161"/>
        <v>123197.92999999993</v>
      </c>
      <c r="AF108" s="522">
        <f t="shared" si="162"/>
        <v>15.929815415851706</v>
      </c>
      <c r="AG108" s="522">
        <f t="shared" si="177"/>
        <v>1131900.8600000001</v>
      </c>
      <c r="AH108" s="522">
        <f t="shared" si="163"/>
        <v>506862.19000000006</v>
      </c>
      <c r="AI108" s="522">
        <f t="shared" si="164"/>
        <v>81.092933018048313</v>
      </c>
      <c r="AJ108" s="522">
        <f t="shared" si="165"/>
        <v>235323.41000000015</v>
      </c>
      <c r="AK108" s="522">
        <f t="shared" si="212"/>
        <v>26.246857981984732</v>
      </c>
      <c r="AL108" s="522">
        <f t="shared" si="202"/>
        <v>1131900.8600000001</v>
      </c>
      <c r="AM108" s="522">
        <f t="shared" si="192"/>
        <v>312519.34000000003</v>
      </c>
      <c r="AN108" s="522">
        <f t="shared" si="192"/>
        <v>486315.14</v>
      </c>
      <c r="AO108" s="522">
        <f t="shared" si="166"/>
        <v>173795.8</v>
      </c>
      <c r="AP108" s="522">
        <f t="shared" si="178"/>
        <v>55.611214333167339</v>
      </c>
      <c r="AQ108" s="578">
        <v>156259.67000000001</v>
      </c>
      <c r="AR108" s="578">
        <v>256767.9</v>
      </c>
      <c r="AS108" s="578">
        <v>156259.67000000001</v>
      </c>
      <c r="AT108" s="578">
        <v>229547.24000000002</v>
      </c>
      <c r="AU108" s="578">
        <f t="shared" si="208"/>
        <v>312519.33</v>
      </c>
      <c r="AV108" s="578">
        <f t="shared" si="208"/>
        <v>410262.31</v>
      </c>
      <c r="AW108" s="578">
        <f t="shared" si="167"/>
        <v>97742.979999999981</v>
      </c>
      <c r="AX108" s="578">
        <f t="shared" si="168"/>
        <v>31.275819002939755</v>
      </c>
      <c r="AY108" s="578">
        <f t="shared" si="210"/>
        <v>645585.72000000009</v>
      </c>
      <c r="AZ108" s="578">
        <f t="shared" si="169"/>
        <v>-235323.41000000009</v>
      </c>
      <c r="BA108" s="578">
        <f t="shared" si="170"/>
        <v>-36.451148578689143</v>
      </c>
      <c r="BB108" s="578">
        <v>156259.67000000001</v>
      </c>
      <c r="BC108" s="576">
        <f>'[67]Гл инж_Тех дир'!AT67</f>
        <v>205131.16</v>
      </c>
      <c r="BD108" s="576">
        <f t="shared" si="203"/>
        <v>272898.30999999994</v>
      </c>
      <c r="BE108" s="576">
        <f t="shared" si="171"/>
        <v>116638.63999999993</v>
      </c>
      <c r="BF108" s="576">
        <f t="shared" si="172"/>
        <v>67767.149999999936</v>
      </c>
      <c r="BG108" s="576">
        <f t="shared" si="150"/>
        <v>468779.01</v>
      </c>
      <c r="BH108" s="578">
        <f t="shared" si="150"/>
        <v>691446.3</v>
      </c>
      <c r="BI108" s="578">
        <v>759213.45</v>
      </c>
      <c r="BJ108" s="578">
        <f t="shared" si="173"/>
        <v>290434.43999999994</v>
      </c>
      <c r="BK108" s="578">
        <f t="shared" si="174"/>
        <v>67767.149999999907</v>
      </c>
      <c r="BL108" s="576">
        <v>156259.66</v>
      </c>
      <c r="BM108" s="578">
        <f>'[67]Гл инж_Тех дир'!AW67</f>
        <v>205131.15</v>
      </c>
      <c r="BN108" s="522">
        <f t="shared" si="204"/>
        <v>372687.41000000015</v>
      </c>
      <c r="BO108" s="578">
        <f t="shared" si="181"/>
        <v>216427.75000000015</v>
      </c>
      <c r="BP108" s="578">
        <f t="shared" si="175"/>
        <v>167556.26000000015</v>
      </c>
      <c r="BQ108" s="576">
        <v>156259.66</v>
      </c>
      <c r="BR108" s="578">
        <f>'[67]Гл инж_Тех дир'!BB67</f>
        <v>0</v>
      </c>
      <c r="BS108" s="578">
        <f>'[67]Гл инж_Тех дир'!BC67</f>
        <v>0</v>
      </c>
      <c r="BT108" s="536"/>
      <c r="BU108" s="578">
        <v>1131900.8600000001</v>
      </c>
      <c r="BV108" s="578"/>
      <c r="BW108" s="578"/>
      <c r="BX108" s="629"/>
      <c r="BY108" s="525">
        <v>966635.42</v>
      </c>
      <c r="BZ108" s="525">
        <v>155074.76999999999</v>
      </c>
      <c r="CA108" s="525">
        <v>10190.67</v>
      </c>
      <c r="CB108" s="522">
        <f t="shared" si="134"/>
        <v>1131900.8599999999</v>
      </c>
      <c r="CC108" s="522">
        <f t="shared" si="176"/>
        <v>0</v>
      </c>
      <c r="CD108" s="578"/>
      <c r="CE108" s="578"/>
      <c r="CF108" s="578"/>
      <c r="CG108" s="578"/>
      <c r="CH108" s="578"/>
      <c r="CI108" s="578"/>
      <c r="CJ108" s="578"/>
      <c r="CK108" s="542" t="s">
        <v>79</v>
      </c>
      <c r="CL108" s="543" t="s">
        <v>1911</v>
      </c>
      <c r="CM108" s="528" t="s">
        <v>1907</v>
      </c>
      <c r="CN108" s="528" t="s">
        <v>1849</v>
      </c>
      <c r="CO108" s="528"/>
      <c r="CP108" s="544">
        <f t="shared" si="205"/>
        <v>576673.45915713464</v>
      </c>
      <c r="CQ108" s="544">
        <f t="shared" si="206"/>
        <v>42358.546923063004</v>
      </c>
      <c r="CR108" s="544">
        <f t="shared" si="207"/>
        <v>6006.6639198024768</v>
      </c>
      <c r="CS108" s="1688" t="s">
        <v>1826</v>
      </c>
      <c r="CT108" s="1689"/>
      <c r="CU108" s="1689"/>
      <c r="CV108" s="1689"/>
      <c r="CW108" s="1690"/>
      <c r="CX108" s="528"/>
      <c r="CY108" s="528"/>
      <c r="CZ108" s="528"/>
      <c r="DA108" s="528"/>
      <c r="DB108" s="579">
        <f>256767.9</f>
        <v>256767.9</v>
      </c>
      <c r="DC108" s="628" t="e">
        <f>P108-#REF!</f>
        <v>#REF!</v>
      </c>
      <c r="DD108" s="535"/>
      <c r="DE108" s="535"/>
      <c r="DF108" s="525">
        <f t="shared" si="211"/>
        <v>966.63542000000007</v>
      </c>
      <c r="DG108" s="525">
        <f t="shared" si="211"/>
        <v>155.07477</v>
      </c>
      <c r="DH108" s="525">
        <f t="shared" si="211"/>
        <v>10.190670000000001</v>
      </c>
      <c r="DI108" s="522">
        <f t="shared" si="209"/>
        <v>1131.90086</v>
      </c>
      <c r="DJ108" s="536"/>
      <c r="DK108" s="536"/>
      <c r="DL108" s="536"/>
      <c r="DM108" s="536"/>
      <c r="DN108" s="536"/>
      <c r="DO108" s="536"/>
      <c r="DP108" s="536"/>
      <c r="DQ108" s="536"/>
      <c r="DR108" s="536"/>
      <c r="DS108" s="536"/>
    </row>
    <row r="109" spans="1:123" s="534" customFormat="1" ht="84.6">
      <c r="A109" s="537" t="s">
        <v>383</v>
      </c>
      <c r="B109" s="538" t="s">
        <v>384</v>
      </c>
      <c r="C109" s="576">
        <v>15169.11</v>
      </c>
      <c r="D109" s="576">
        <v>63607.18</v>
      </c>
      <c r="E109" s="576">
        <v>51000</v>
      </c>
      <c r="F109" s="576">
        <v>27290.71</v>
      </c>
      <c r="G109" s="577">
        <v>66672.978043463329</v>
      </c>
      <c r="H109" s="577">
        <v>0</v>
      </c>
      <c r="I109" s="576">
        <f t="shared" si="198"/>
        <v>38964.9</v>
      </c>
      <c r="J109" s="576">
        <v>14707.05</v>
      </c>
      <c r="K109" s="576">
        <v>8940</v>
      </c>
      <c r="L109" s="576">
        <v>15317.85</v>
      </c>
      <c r="M109" s="576">
        <f t="shared" si="199"/>
        <v>23647.05</v>
      </c>
      <c r="N109" s="576">
        <v>26197.3</v>
      </c>
      <c r="O109" s="525">
        <f t="shared" si="200"/>
        <v>11034.740000000002</v>
      </c>
      <c r="P109" s="522">
        <v>37232.04</v>
      </c>
      <c r="Q109" s="576">
        <f t="shared" si="151"/>
        <v>-1732.8600000000006</v>
      </c>
      <c r="R109" s="576">
        <f t="shared" si="152"/>
        <v>-4.4472332791820435</v>
      </c>
      <c r="S109" s="576">
        <v>30224.431249999994</v>
      </c>
      <c r="T109" s="576">
        <v>30224.431249999994</v>
      </c>
      <c r="U109" s="522">
        <f t="shared" si="201"/>
        <v>36711.15</v>
      </c>
      <c r="V109" s="522">
        <f t="shared" si="149"/>
        <v>6486.7187500000073</v>
      </c>
      <c r="W109" s="522">
        <f t="shared" si="153"/>
        <v>21.461838922113728</v>
      </c>
      <c r="X109" s="522">
        <f t="shared" si="154"/>
        <v>-520.88999999999942</v>
      </c>
      <c r="Y109" s="522">
        <f t="shared" si="155"/>
        <v>-1.3990369584905835</v>
      </c>
      <c r="Z109" s="524">
        <f t="shared" si="156"/>
        <v>38677.25</v>
      </c>
      <c r="AA109" s="522">
        <f t="shared" si="157"/>
        <v>8452.8187500000058</v>
      </c>
      <c r="AB109" s="522">
        <f t="shared" si="158"/>
        <v>27.966841394244611</v>
      </c>
      <c r="AC109" s="522">
        <f t="shared" si="159"/>
        <v>1966.0999999999985</v>
      </c>
      <c r="AD109" s="522">
        <f t="shared" si="160"/>
        <v>5.3555936003094331</v>
      </c>
      <c r="AE109" s="522">
        <f t="shared" si="161"/>
        <v>1445.2099999999991</v>
      </c>
      <c r="AF109" s="522">
        <f t="shared" si="162"/>
        <v>3.8816299080039585</v>
      </c>
      <c r="AG109" s="522">
        <f t="shared" si="177"/>
        <v>48458.97</v>
      </c>
      <c r="AH109" s="522">
        <f t="shared" si="163"/>
        <v>11747.82</v>
      </c>
      <c r="AI109" s="522">
        <f t="shared" si="164"/>
        <v>32.000686439950812</v>
      </c>
      <c r="AJ109" s="522">
        <f t="shared" si="165"/>
        <v>9781.7200000000012</v>
      </c>
      <c r="AK109" s="522">
        <f t="shared" si="212"/>
        <v>25.290629504424444</v>
      </c>
      <c r="AL109" s="522">
        <f t="shared" si="202"/>
        <v>48458.97</v>
      </c>
      <c r="AM109" s="522">
        <f t="shared" si="192"/>
        <v>10000</v>
      </c>
      <c r="AN109" s="522">
        <f t="shared" si="192"/>
        <v>11966.1</v>
      </c>
      <c r="AO109" s="522">
        <f t="shared" si="166"/>
        <v>1966.1000000000004</v>
      </c>
      <c r="AP109" s="522">
        <f t="shared" si="178"/>
        <v>19.661000000000001</v>
      </c>
      <c r="AQ109" s="578">
        <v>0</v>
      </c>
      <c r="AR109" s="578">
        <v>0</v>
      </c>
      <c r="AS109" s="578">
        <v>10000</v>
      </c>
      <c r="AT109" s="578">
        <v>11966.1</v>
      </c>
      <c r="AU109" s="578">
        <f t="shared" si="208"/>
        <v>26711.15</v>
      </c>
      <c r="AV109" s="578">
        <f t="shared" si="208"/>
        <v>26711.15</v>
      </c>
      <c r="AW109" s="578">
        <f t="shared" si="167"/>
        <v>0</v>
      </c>
      <c r="AX109" s="578">
        <f t="shared" si="168"/>
        <v>0</v>
      </c>
      <c r="AY109" s="578">
        <f t="shared" si="210"/>
        <v>36492.870000000003</v>
      </c>
      <c r="AZ109" s="578">
        <f t="shared" si="169"/>
        <v>-9781.7200000000012</v>
      </c>
      <c r="BA109" s="578">
        <f t="shared" si="170"/>
        <v>-26.804468927765896</v>
      </c>
      <c r="BB109" s="578">
        <v>22000</v>
      </c>
      <c r="BC109" s="576">
        <f>'[67]Гл инж_Тех дир'!AT74</f>
        <v>22000</v>
      </c>
      <c r="BD109" s="576">
        <f t="shared" si="203"/>
        <v>8237.2800000000007</v>
      </c>
      <c r="BE109" s="576">
        <f t="shared" si="171"/>
        <v>-13762.72</v>
      </c>
      <c r="BF109" s="576">
        <f t="shared" si="172"/>
        <v>-13762.72</v>
      </c>
      <c r="BG109" s="576">
        <f t="shared" si="150"/>
        <v>32000</v>
      </c>
      <c r="BH109" s="578">
        <f t="shared" si="150"/>
        <v>33966.1</v>
      </c>
      <c r="BI109" s="578">
        <v>20203.38</v>
      </c>
      <c r="BJ109" s="578">
        <f t="shared" si="173"/>
        <v>-11796.619999999999</v>
      </c>
      <c r="BK109" s="578">
        <f t="shared" si="174"/>
        <v>-13762.719999999998</v>
      </c>
      <c r="BL109" s="576">
        <v>4711.1499999999996</v>
      </c>
      <c r="BM109" s="578">
        <f>'[67]Гл инж_Тех дир'!AW74</f>
        <v>4711.1499999999996</v>
      </c>
      <c r="BN109" s="522">
        <f t="shared" si="204"/>
        <v>28255.59</v>
      </c>
      <c r="BO109" s="578">
        <f t="shared" si="181"/>
        <v>23544.440000000002</v>
      </c>
      <c r="BP109" s="578">
        <f t="shared" si="175"/>
        <v>23544.440000000002</v>
      </c>
      <c r="BQ109" s="576">
        <v>4711.1499999999996</v>
      </c>
      <c r="BR109" s="578">
        <f>'[67]Гл инж_Тех дир'!BB74</f>
        <v>0</v>
      </c>
      <c r="BS109" s="578">
        <f>'[67]Гл инж_Тех дир'!BC74</f>
        <v>0</v>
      </c>
      <c r="BT109" s="536"/>
      <c r="BU109" s="578">
        <v>48458.97</v>
      </c>
      <c r="BV109" s="578"/>
      <c r="BW109" s="578"/>
      <c r="BX109" s="629"/>
      <c r="BY109" s="525">
        <v>45417.33</v>
      </c>
      <c r="BZ109" s="525">
        <v>2657.26</v>
      </c>
      <c r="CA109" s="525">
        <v>384.38</v>
      </c>
      <c r="CB109" s="522">
        <f t="shared" si="134"/>
        <v>48458.97</v>
      </c>
      <c r="CC109" s="522">
        <f t="shared" si="176"/>
        <v>0</v>
      </c>
      <c r="CD109" s="578"/>
      <c r="CE109" s="578"/>
      <c r="CF109" s="578"/>
      <c r="CG109" s="578"/>
      <c r="CH109" s="578"/>
      <c r="CI109" s="578"/>
      <c r="CJ109" s="578"/>
      <c r="CK109" s="542" t="s">
        <v>79</v>
      </c>
      <c r="CL109" s="542" t="s">
        <v>1912</v>
      </c>
      <c r="CM109" s="528" t="s">
        <v>1907</v>
      </c>
      <c r="CN109" s="528"/>
      <c r="CO109" s="528"/>
      <c r="CP109" s="544">
        <f t="shared" si="205"/>
        <v>33870.457743256811</v>
      </c>
      <c r="CQ109" s="544">
        <f t="shared" si="206"/>
        <v>2487.8956207215219</v>
      </c>
      <c r="CR109" s="544">
        <f t="shared" si="207"/>
        <v>352.79663602166676</v>
      </c>
      <c r="CS109" s="1688" t="s">
        <v>1826</v>
      </c>
      <c r="CT109" s="1689"/>
      <c r="CU109" s="1689"/>
      <c r="CV109" s="1689"/>
      <c r="CW109" s="1690"/>
      <c r="CX109" s="528"/>
      <c r="CY109" s="528"/>
      <c r="CZ109" s="528"/>
      <c r="DA109" s="528"/>
      <c r="DB109" s="579"/>
      <c r="DC109" s="628" t="e">
        <f>P109-#REF!</f>
        <v>#REF!</v>
      </c>
      <c r="DD109" s="535"/>
      <c r="DE109" s="535"/>
      <c r="DF109" s="525">
        <f t="shared" si="211"/>
        <v>45.41733</v>
      </c>
      <c r="DG109" s="525">
        <f t="shared" si="211"/>
        <v>2.6572600000000004</v>
      </c>
      <c r="DH109" s="525">
        <f t="shared" si="211"/>
        <v>0.38438</v>
      </c>
      <c r="DI109" s="522">
        <f t="shared" si="209"/>
        <v>48.458970000000001</v>
      </c>
      <c r="DJ109" s="536"/>
      <c r="DK109" s="536"/>
      <c r="DL109" s="536"/>
      <c r="DM109" s="536"/>
      <c r="DN109" s="536"/>
      <c r="DO109" s="536"/>
      <c r="DP109" s="536"/>
      <c r="DQ109" s="536"/>
      <c r="DR109" s="536"/>
      <c r="DS109" s="536"/>
    </row>
    <row r="110" spans="1:123" s="534" customFormat="1">
      <c r="A110" s="537" t="s">
        <v>388</v>
      </c>
      <c r="B110" s="538" t="s">
        <v>389</v>
      </c>
      <c r="C110" s="576">
        <v>1293805.07</v>
      </c>
      <c r="D110" s="576">
        <v>844162.67</v>
      </c>
      <c r="E110" s="576">
        <v>1020000</v>
      </c>
      <c r="F110" s="576">
        <v>1135469.68</v>
      </c>
      <c r="G110" s="577">
        <v>891351.50623829931</v>
      </c>
      <c r="H110" s="577">
        <v>0</v>
      </c>
      <c r="I110" s="576">
        <f t="shared" si="198"/>
        <v>942743.02</v>
      </c>
      <c r="J110" s="576">
        <v>428491.51</v>
      </c>
      <c r="K110" s="576">
        <v>275930</v>
      </c>
      <c r="L110" s="576">
        <v>238321.51</v>
      </c>
      <c r="M110" s="576">
        <f t="shared" si="199"/>
        <v>704421.51</v>
      </c>
      <c r="N110" s="576">
        <v>762365.24</v>
      </c>
      <c r="O110" s="525">
        <f t="shared" si="200"/>
        <v>631029.24</v>
      </c>
      <c r="P110" s="522">
        <f>838.98+1392555.5</f>
        <v>1393394.48</v>
      </c>
      <c r="Q110" s="576">
        <f t="shared" si="151"/>
        <v>450651.45999999996</v>
      </c>
      <c r="R110" s="576">
        <f t="shared" si="152"/>
        <v>47.802152913314586</v>
      </c>
      <c r="S110" s="576">
        <v>940375.83908140578</v>
      </c>
      <c r="T110" s="576">
        <v>940375.83908140578</v>
      </c>
      <c r="U110" s="522">
        <f t="shared" si="201"/>
        <v>762365.24</v>
      </c>
      <c r="V110" s="522">
        <f t="shared" si="149"/>
        <v>-178010.59908140579</v>
      </c>
      <c r="W110" s="522">
        <f t="shared" si="153"/>
        <v>-18.929729123548427</v>
      </c>
      <c r="X110" s="522">
        <f t="shared" si="154"/>
        <v>-631029.24</v>
      </c>
      <c r="Y110" s="522">
        <f t="shared" si="155"/>
        <v>-45.287192468280765</v>
      </c>
      <c r="Z110" s="524">
        <f t="shared" si="156"/>
        <v>1343202.06</v>
      </c>
      <c r="AA110" s="522">
        <f t="shared" si="157"/>
        <v>402826.22091859428</v>
      </c>
      <c r="AB110" s="522">
        <f t="shared" si="158"/>
        <v>42.836725932058187</v>
      </c>
      <c r="AC110" s="522">
        <f t="shared" si="159"/>
        <v>580836.82000000007</v>
      </c>
      <c r="AD110" s="522">
        <f t="shared" si="160"/>
        <v>76.18878583708775</v>
      </c>
      <c r="AE110" s="522">
        <f t="shared" si="161"/>
        <v>-50192.419999999925</v>
      </c>
      <c r="AF110" s="522">
        <f t="shared" si="162"/>
        <v>-3.6021687124811876</v>
      </c>
      <c r="AG110" s="522">
        <f t="shared" si="177"/>
        <v>1968087.46</v>
      </c>
      <c r="AH110" s="522">
        <f t="shared" si="163"/>
        <v>1205722.22</v>
      </c>
      <c r="AI110" s="522">
        <f t="shared" si="164"/>
        <v>158.15545577602677</v>
      </c>
      <c r="AJ110" s="522">
        <f t="shared" si="165"/>
        <v>624885.39999999991</v>
      </c>
      <c r="AK110" s="522">
        <f t="shared" si="212"/>
        <v>46.522069806831581</v>
      </c>
      <c r="AL110" s="522">
        <f t="shared" si="202"/>
        <v>1968087.46</v>
      </c>
      <c r="AM110" s="522">
        <f t="shared" si="192"/>
        <v>240000</v>
      </c>
      <c r="AN110" s="522">
        <f t="shared" si="192"/>
        <v>352836.82</v>
      </c>
      <c r="AO110" s="522">
        <f t="shared" si="166"/>
        <v>112836.82</v>
      </c>
      <c r="AP110" s="522">
        <f t="shared" si="178"/>
        <v>47.015341666666671</v>
      </c>
      <c r="AQ110" s="578">
        <v>30000</v>
      </c>
      <c r="AR110" s="578">
        <v>58613.1</v>
      </c>
      <c r="AS110" s="578">
        <v>210000</v>
      </c>
      <c r="AT110" s="578">
        <v>294223.72000000003</v>
      </c>
      <c r="AU110" s="578">
        <f t="shared" si="208"/>
        <v>522365.24</v>
      </c>
      <c r="AV110" s="578">
        <f t="shared" si="208"/>
        <v>990365.24</v>
      </c>
      <c r="AW110" s="578">
        <f t="shared" si="167"/>
        <v>468000</v>
      </c>
      <c r="AX110" s="578">
        <f t="shared" si="168"/>
        <v>89.592485135496389</v>
      </c>
      <c r="AY110" s="578">
        <f t="shared" si="210"/>
        <v>1615250.64</v>
      </c>
      <c r="AZ110" s="578">
        <f t="shared" si="169"/>
        <v>-624885.39999999991</v>
      </c>
      <c r="BA110" s="578">
        <f t="shared" si="170"/>
        <v>-38.686590460041536</v>
      </c>
      <c r="BB110" s="578">
        <v>330000</v>
      </c>
      <c r="BC110" s="576">
        <f>'[67]Гл инж_Тех дир'!AT75</f>
        <v>702000</v>
      </c>
      <c r="BD110" s="576">
        <f t="shared" si="203"/>
        <v>702403.60999999987</v>
      </c>
      <c r="BE110" s="576">
        <f t="shared" si="171"/>
        <v>372403.60999999987</v>
      </c>
      <c r="BF110" s="576">
        <f t="shared" si="172"/>
        <v>403.60999999986961</v>
      </c>
      <c r="BG110" s="576">
        <f t="shared" si="150"/>
        <v>570000</v>
      </c>
      <c r="BH110" s="578">
        <f t="shared" si="150"/>
        <v>1054836.82</v>
      </c>
      <c r="BI110" s="578">
        <v>1055240.43</v>
      </c>
      <c r="BJ110" s="578">
        <f t="shared" si="173"/>
        <v>485240.42999999993</v>
      </c>
      <c r="BK110" s="578">
        <f t="shared" si="174"/>
        <v>403.60999999986961</v>
      </c>
      <c r="BL110" s="576">
        <v>192365.24</v>
      </c>
      <c r="BM110" s="578">
        <f>'[67]Гл инж_Тех дир'!AW75</f>
        <v>288365.24</v>
      </c>
      <c r="BN110" s="522">
        <f t="shared" si="204"/>
        <v>912847.03</v>
      </c>
      <c r="BO110" s="578">
        <f t="shared" si="181"/>
        <v>720481.79</v>
      </c>
      <c r="BP110" s="578">
        <f t="shared" si="175"/>
        <v>624481.79</v>
      </c>
      <c r="BQ110" s="576">
        <v>192365.24</v>
      </c>
      <c r="BR110" s="578">
        <f>'[67]Гл инж_Тех дир'!BB75</f>
        <v>0</v>
      </c>
      <c r="BS110" s="578">
        <f>'[67]Гл инж_Тех дир'!BC75</f>
        <v>0</v>
      </c>
      <c r="BT110" s="536"/>
      <c r="BU110" s="578">
        <v>1968087.46</v>
      </c>
      <c r="BV110" s="578"/>
      <c r="BW110" s="578"/>
      <c r="BX110" s="629"/>
      <c r="BY110" s="525">
        <v>1853566.8</v>
      </c>
      <c r="BZ110" s="525">
        <v>100728.17</v>
      </c>
      <c r="CA110" s="525">
        <v>13792.49</v>
      </c>
      <c r="CB110" s="522">
        <f t="shared" si="134"/>
        <v>1968087.46</v>
      </c>
      <c r="CC110" s="522">
        <f t="shared" si="176"/>
        <v>0</v>
      </c>
      <c r="CD110" s="578"/>
      <c r="CE110" s="578"/>
      <c r="CF110" s="578"/>
      <c r="CG110" s="578"/>
      <c r="CH110" s="578"/>
      <c r="CI110" s="578"/>
      <c r="CJ110" s="578"/>
      <c r="CK110" s="542" t="s">
        <v>79</v>
      </c>
      <c r="CL110" s="543" t="s">
        <v>1912</v>
      </c>
      <c r="CM110" s="528" t="s">
        <v>1907</v>
      </c>
      <c r="CN110" s="528" t="s">
        <v>1849</v>
      </c>
      <c r="CO110" s="528"/>
      <c r="CP110" s="544">
        <f t="shared" si="205"/>
        <v>703373.76100579347</v>
      </c>
      <c r="CQ110" s="544">
        <f t="shared" si="206"/>
        <v>51665.097442774531</v>
      </c>
      <c r="CR110" s="544">
        <f t="shared" si="207"/>
        <v>7326.3815514319376</v>
      </c>
      <c r="CS110" s="1688" t="s">
        <v>1826</v>
      </c>
      <c r="CT110" s="1689"/>
      <c r="CU110" s="1689"/>
      <c r="CV110" s="1689"/>
      <c r="CW110" s="1690"/>
      <c r="CX110" s="528"/>
      <c r="CY110" s="528"/>
      <c r="CZ110" s="528"/>
      <c r="DA110" s="528"/>
      <c r="DB110" s="579">
        <f>58613.1</f>
        <v>58613.1</v>
      </c>
      <c r="DC110" s="628" t="e">
        <f>P110-#REF!</f>
        <v>#REF!</v>
      </c>
      <c r="DD110" s="535"/>
      <c r="DE110" s="535"/>
      <c r="DF110" s="525">
        <f t="shared" si="211"/>
        <v>1853.5668000000001</v>
      </c>
      <c r="DG110" s="525">
        <f t="shared" si="211"/>
        <v>100.72816999999999</v>
      </c>
      <c r="DH110" s="525">
        <f t="shared" si="211"/>
        <v>13.792489999999999</v>
      </c>
      <c r="DI110" s="522">
        <f t="shared" si="209"/>
        <v>1968.08746</v>
      </c>
      <c r="DJ110" s="536"/>
      <c r="DK110" s="536"/>
      <c r="DL110" s="536"/>
      <c r="DM110" s="536"/>
      <c r="DN110" s="536"/>
      <c r="DO110" s="536"/>
      <c r="DP110" s="536"/>
      <c r="DQ110" s="536"/>
      <c r="DR110" s="536"/>
      <c r="DS110" s="536"/>
    </row>
    <row r="111" spans="1:123" s="534" customFormat="1" ht="56.4">
      <c r="A111" s="537" t="s">
        <v>393</v>
      </c>
      <c r="B111" s="538" t="s">
        <v>394</v>
      </c>
      <c r="C111" s="576">
        <v>63048.32</v>
      </c>
      <c r="D111" s="576">
        <v>351568.68</v>
      </c>
      <c r="E111" s="576">
        <v>160000</v>
      </c>
      <c r="F111" s="576">
        <v>0</v>
      </c>
      <c r="G111" s="577">
        <v>212860.56119745554</v>
      </c>
      <c r="H111" s="577">
        <v>0</v>
      </c>
      <c r="I111" s="576">
        <f t="shared" si="198"/>
        <v>218049.57</v>
      </c>
      <c r="J111" s="576">
        <v>109984.85</v>
      </c>
      <c r="K111" s="576">
        <v>48780</v>
      </c>
      <c r="L111" s="576">
        <v>59284.72</v>
      </c>
      <c r="M111" s="576">
        <f t="shared" si="199"/>
        <v>158764.85</v>
      </c>
      <c r="N111" s="576">
        <v>191049.66</v>
      </c>
      <c r="O111" s="525">
        <f t="shared" si="200"/>
        <v>42933.709999999992</v>
      </c>
      <c r="P111" s="522">
        <v>233983.37</v>
      </c>
      <c r="Q111" s="576">
        <f t="shared" si="151"/>
        <v>15933.799999999988</v>
      </c>
      <c r="R111" s="576">
        <f t="shared" si="152"/>
        <v>7.3074209685439797</v>
      </c>
      <c r="S111" s="576">
        <v>161510.74124999996</v>
      </c>
      <c r="T111" s="576">
        <v>161510.74124999996</v>
      </c>
      <c r="U111" s="522">
        <f t="shared" si="201"/>
        <v>243723.6</v>
      </c>
      <c r="V111" s="522">
        <f t="shared" si="149"/>
        <v>82212.858750000043</v>
      </c>
      <c r="W111" s="522">
        <f t="shared" si="153"/>
        <v>50.902409408637425</v>
      </c>
      <c r="X111" s="522">
        <f t="shared" si="154"/>
        <v>9740.2300000000105</v>
      </c>
      <c r="Y111" s="522">
        <f t="shared" si="155"/>
        <v>4.1627872955244669</v>
      </c>
      <c r="Z111" s="524">
        <f t="shared" si="156"/>
        <v>315103.02</v>
      </c>
      <c r="AA111" s="522">
        <f t="shared" si="157"/>
        <v>153592.27875000006</v>
      </c>
      <c r="AB111" s="522">
        <f t="shared" si="158"/>
        <v>95.097253322772474</v>
      </c>
      <c r="AC111" s="522">
        <f t="shared" si="159"/>
        <v>71379.420000000013</v>
      </c>
      <c r="AD111" s="522">
        <f t="shared" si="160"/>
        <v>29.28703662673621</v>
      </c>
      <c r="AE111" s="522">
        <f t="shared" si="161"/>
        <v>81119.650000000023</v>
      </c>
      <c r="AF111" s="522">
        <f t="shared" si="162"/>
        <v>34.668980962194041</v>
      </c>
      <c r="AG111" s="522">
        <f t="shared" si="177"/>
        <v>331741.40999999997</v>
      </c>
      <c r="AH111" s="522">
        <f t="shared" si="163"/>
        <v>88017.809999999969</v>
      </c>
      <c r="AI111" s="522">
        <f t="shared" si="164"/>
        <v>36.113782169638057</v>
      </c>
      <c r="AJ111" s="522">
        <f t="shared" si="165"/>
        <v>16638.389999999956</v>
      </c>
      <c r="AK111" s="522">
        <f t="shared" si="212"/>
        <v>5.2803016613423637</v>
      </c>
      <c r="AL111" s="522">
        <f t="shared" si="202"/>
        <v>331741.40999999997</v>
      </c>
      <c r="AM111" s="522">
        <f t="shared" si="192"/>
        <v>87000</v>
      </c>
      <c r="AN111" s="522">
        <f t="shared" si="192"/>
        <v>158379.42000000001</v>
      </c>
      <c r="AO111" s="522">
        <f t="shared" si="166"/>
        <v>71379.420000000013</v>
      </c>
      <c r="AP111" s="522">
        <f t="shared" si="178"/>
        <v>82.045310344827612</v>
      </c>
      <c r="AQ111" s="578">
        <v>22000</v>
      </c>
      <c r="AR111" s="578">
        <v>63145.7</v>
      </c>
      <c r="AS111" s="578">
        <v>65000</v>
      </c>
      <c r="AT111" s="578">
        <v>95233.720000000016</v>
      </c>
      <c r="AU111" s="578">
        <f t="shared" si="208"/>
        <v>156723.6</v>
      </c>
      <c r="AV111" s="578">
        <f t="shared" si="208"/>
        <v>156723.6</v>
      </c>
      <c r="AW111" s="578">
        <f t="shared" si="167"/>
        <v>0</v>
      </c>
      <c r="AX111" s="578">
        <f t="shared" si="168"/>
        <v>0</v>
      </c>
      <c r="AY111" s="578">
        <f t="shared" si="210"/>
        <v>173361.98999999996</v>
      </c>
      <c r="AZ111" s="578">
        <f t="shared" si="169"/>
        <v>-16638.389999999956</v>
      </c>
      <c r="BA111" s="578">
        <f t="shared" si="170"/>
        <v>-9.5974844312758307</v>
      </c>
      <c r="BB111" s="578">
        <v>91723.6</v>
      </c>
      <c r="BC111" s="576">
        <f>'[67]Гл инж_Тех дир'!AT76</f>
        <v>91723.6</v>
      </c>
      <c r="BD111" s="576">
        <f t="shared" si="203"/>
        <v>94522.389999999985</v>
      </c>
      <c r="BE111" s="576">
        <f t="shared" si="171"/>
        <v>2798.789999999979</v>
      </c>
      <c r="BF111" s="576">
        <f t="shared" si="172"/>
        <v>2798.789999999979</v>
      </c>
      <c r="BG111" s="576">
        <f t="shared" si="150"/>
        <v>178723.6</v>
      </c>
      <c r="BH111" s="578">
        <f t="shared" si="150"/>
        <v>250103.02000000002</v>
      </c>
      <c r="BI111" s="578">
        <f>252486.56+415.25</f>
        <v>252901.81</v>
      </c>
      <c r="BJ111" s="578">
        <f t="shared" si="173"/>
        <v>74178.209999999992</v>
      </c>
      <c r="BK111" s="578">
        <f t="shared" si="174"/>
        <v>2798.789999999979</v>
      </c>
      <c r="BL111" s="576">
        <v>65000</v>
      </c>
      <c r="BM111" s="578">
        <f>'[67]Гл инж_Тех дир'!AW76</f>
        <v>65000</v>
      </c>
      <c r="BN111" s="522">
        <f t="shared" si="204"/>
        <v>78839.599999999977</v>
      </c>
      <c r="BO111" s="578">
        <f t="shared" si="181"/>
        <v>13839.599999999977</v>
      </c>
      <c r="BP111" s="578">
        <f t="shared" si="175"/>
        <v>13839.599999999977</v>
      </c>
      <c r="BQ111" s="576">
        <v>65000</v>
      </c>
      <c r="BR111" s="578">
        <f>'[67]Гл инж_Тех дир'!BB76</f>
        <v>0</v>
      </c>
      <c r="BS111" s="578">
        <f>'[67]Гл инж_Тех дир'!BC76</f>
        <v>0</v>
      </c>
      <c r="BT111" s="536"/>
      <c r="BU111" s="578">
        <v>331326.15999999997</v>
      </c>
      <c r="BV111" s="578">
        <v>415.25</v>
      </c>
      <c r="BW111" s="578"/>
      <c r="BX111" s="629"/>
      <c r="BY111" s="525">
        <f>310672.84+415.25</f>
        <v>311088.09000000003</v>
      </c>
      <c r="BZ111" s="525">
        <v>17493.599999999999</v>
      </c>
      <c r="CA111" s="525">
        <v>3159.72</v>
      </c>
      <c r="CB111" s="522">
        <f t="shared" si="134"/>
        <v>331741.40999999997</v>
      </c>
      <c r="CC111" s="522">
        <f t="shared" si="176"/>
        <v>0</v>
      </c>
      <c r="CD111" s="578"/>
      <c r="CE111" s="578"/>
      <c r="CF111" s="578"/>
      <c r="CG111" s="578"/>
      <c r="CH111" s="578"/>
      <c r="CI111" s="578"/>
      <c r="CJ111" s="578"/>
      <c r="CK111" s="542" t="s">
        <v>79</v>
      </c>
      <c r="CL111" s="543" t="s">
        <v>1912</v>
      </c>
      <c r="CM111" s="528" t="s">
        <v>1907</v>
      </c>
      <c r="CN111" s="528" t="s">
        <v>1849</v>
      </c>
      <c r="CO111" s="528"/>
      <c r="CP111" s="544">
        <f t="shared" si="205"/>
        <v>224864.37757559831</v>
      </c>
      <c r="CQ111" s="544">
        <f t="shared" si="206"/>
        <v>16517.022133779083</v>
      </c>
      <c r="CR111" s="544">
        <f t="shared" si="207"/>
        <v>2342.2002906226121</v>
      </c>
      <c r="CS111" s="1688" t="s">
        <v>1826</v>
      </c>
      <c r="CT111" s="1689"/>
      <c r="CU111" s="1689"/>
      <c r="CV111" s="1689"/>
      <c r="CW111" s="1690"/>
      <c r="CX111" s="528"/>
      <c r="CY111" s="528"/>
      <c r="CZ111" s="528"/>
      <c r="DA111" s="528"/>
      <c r="DB111" s="579">
        <f>62730.45+415.25</f>
        <v>63145.7</v>
      </c>
      <c r="DC111" s="628" t="e">
        <f>P111-#REF!</f>
        <v>#REF!</v>
      </c>
      <c r="DD111" s="535"/>
      <c r="DE111" s="535"/>
      <c r="DF111" s="525">
        <f t="shared" si="211"/>
        <v>311.08809000000002</v>
      </c>
      <c r="DG111" s="525">
        <f t="shared" si="211"/>
        <v>17.493599999999997</v>
      </c>
      <c r="DH111" s="525">
        <f t="shared" si="211"/>
        <v>3.1597199999999996</v>
      </c>
      <c r="DI111" s="522">
        <f t="shared" si="209"/>
        <v>331.74140999999997</v>
      </c>
      <c r="DJ111" s="536"/>
      <c r="DK111" s="536"/>
      <c r="DL111" s="536"/>
      <c r="DM111" s="536"/>
      <c r="DN111" s="536"/>
      <c r="DO111" s="536"/>
      <c r="DP111" s="536"/>
      <c r="DQ111" s="536"/>
      <c r="DR111" s="536"/>
      <c r="DS111" s="536"/>
    </row>
    <row r="112" spans="1:123" s="534" customFormat="1" ht="56.25" customHeight="1">
      <c r="A112" s="537" t="s">
        <v>505</v>
      </c>
      <c r="B112" s="538" t="s">
        <v>506</v>
      </c>
      <c r="C112" s="576">
        <f>13180.52</f>
        <v>13180.52</v>
      </c>
      <c r="D112" s="576">
        <f>32594.72+77440.72</f>
        <v>110035.44</v>
      </c>
      <c r="E112" s="576">
        <f>0+18584.88</f>
        <v>18584.88</v>
      </c>
      <c r="F112" s="576">
        <v>8135.27</v>
      </c>
      <c r="G112" s="577">
        <v>0</v>
      </c>
      <c r="H112" s="577">
        <v>0</v>
      </c>
      <c r="I112" s="576">
        <f t="shared" si="198"/>
        <v>23394.03</v>
      </c>
      <c r="J112" s="576">
        <v>6187.7800000000007</v>
      </c>
      <c r="K112" s="576">
        <v>4190</v>
      </c>
      <c r="L112" s="576">
        <v>13016.25</v>
      </c>
      <c r="M112" s="576">
        <f t="shared" si="199"/>
        <v>10377.780000000001</v>
      </c>
      <c r="N112" s="576">
        <v>9525.06</v>
      </c>
      <c r="O112" s="525">
        <f t="shared" si="200"/>
        <v>11666.62</v>
      </c>
      <c r="P112" s="522">
        <v>21191.68</v>
      </c>
      <c r="Q112" s="576">
        <f t="shared" si="151"/>
        <v>-2202.3499999999985</v>
      </c>
      <c r="R112" s="576">
        <f t="shared" si="152"/>
        <v>-9.4141539529529581</v>
      </c>
      <c r="S112" s="576">
        <v>8914.2224999999999</v>
      </c>
      <c r="T112" s="576">
        <v>8914.2224999999999</v>
      </c>
      <c r="U112" s="522">
        <f t="shared" si="201"/>
        <v>13347.77</v>
      </c>
      <c r="V112" s="522">
        <f t="shared" si="149"/>
        <v>4433.5475000000006</v>
      </c>
      <c r="W112" s="522">
        <f t="shared" si="153"/>
        <v>49.735661186379417</v>
      </c>
      <c r="X112" s="522">
        <f t="shared" si="154"/>
        <v>-7843.91</v>
      </c>
      <c r="Y112" s="522">
        <f t="shared" si="155"/>
        <v>-37.014101760690984</v>
      </c>
      <c r="Z112" s="524">
        <f t="shared" si="156"/>
        <v>13123.380000000001</v>
      </c>
      <c r="AA112" s="522">
        <f t="shared" si="157"/>
        <v>4209.1575000000012</v>
      </c>
      <c r="AB112" s="522">
        <f t="shared" si="158"/>
        <v>47.218447823127605</v>
      </c>
      <c r="AC112" s="522">
        <f t="shared" si="159"/>
        <v>-224.38999999999942</v>
      </c>
      <c r="AD112" s="522">
        <f t="shared" si="160"/>
        <v>-1.6811047837953339</v>
      </c>
      <c r="AE112" s="522">
        <f t="shared" si="161"/>
        <v>-8068.2999999999993</v>
      </c>
      <c r="AF112" s="522">
        <f t="shared" si="162"/>
        <v>-38.072960709108472</v>
      </c>
      <c r="AG112" s="522">
        <f t="shared" si="177"/>
        <v>12212.93</v>
      </c>
      <c r="AH112" s="522">
        <f t="shared" si="163"/>
        <v>-1134.8400000000001</v>
      </c>
      <c r="AI112" s="522">
        <f t="shared" si="164"/>
        <v>-8.5020943573345988</v>
      </c>
      <c r="AJ112" s="522">
        <f t="shared" si="165"/>
        <v>-910.45000000000073</v>
      </c>
      <c r="AK112" s="522">
        <f t="shared" si="212"/>
        <v>-6.9376182050660731</v>
      </c>
      <c r="AL112" s="522">
        <f t="shared" si="202"/>
        <v>12212.93</v>
      </c>
      <c r="AM112" s="522">
        <f t="shared" si="192"/>
        <v>6580.91</v>
      </c>
      <c r="AN112" s="522">
        <f t="shared" si="192"/>
        <v>6439.53</v>
      </c>
      <c r="AO112" s="522">
        <f t="shared" si="166"/>
        <v>-141.38000000000011</v>
      </c>
      <c r="AP112" s="522">
        <f t="shared" si="178"/>
        <v>-2.1483351086703806</v>
      </c>
      <c r="AQ112" s="578">
        <v>2854.48</v>
      </c>
      <c r="AR112" s="578">
        <v>2930.77</v>
      </c>
      <c r="AS112" s="578">
        <v>3726.43</v>
      </c>
      <c r="AT112" s="578">
        <v>3508.7599999999998</v>
      </c>
      <c r="AU112" s="578">
        <f t="shared" si="208"/>
        <v>6766.8600000000006</v>
      </c>
      <c r="AV112" s="578">
        <f t="shared" si="208"/>
        <v>6683.85</v>
      </c>
      <c r="AW112" s="578">
        <f t="shared" si="167"/>
        <v>-83.010000000000218</v>
      </c>
      <c r="AX112" s="578">
        <f t="shared" si="168"/>
        <v>-1.2267137195095046</v>
      </c>
      <c r="AY112" s="578">
        <f t="shared" si="210"/>
        <v>5773.4000000000005</v>
      </c>
      <c r="AZ112" s="578">
        <f t="shared" si="169"/>
        <v>910.44999999999982</v>
      </c>
      <c r="BA112" s="578">
        <f t="shared" si="170"/>
        <v>15.76973707001072</v>
      </c>
      <c r="BB112" s="578">
        <v>2967.32</v>
      </c>
      <c r="BC112" s="576">
        <f>'[67]Дир_по экон'!AT22</f>
        <v>2782.7</v>
      </c>
      <c r="BD112" s="576">
        <f t="shared" si="203"/>
        <v>2819.7200000000003</v>
      </c>
      <c r="BE112" s="576">
        <f t="shared" si="171"/>
        <v>-147.59999999999991</v>
      </c>
      <c r="BF112" s="576">
        <f t="shared" si="172"/>
        <v>37.020000000000437</v>
      </c>
      <c r="BG112" s="576">
        <f t="shared" si="150"/>
        <v>9548.23</v>
      </c>
      <c r="BH112" s="578">
        <f t="shared" si="150"/>
        <v>9222.23</v>
      </c>
      <c r="BI112" s="578">
        <v>9259.25</v>
      </c>
      <c r="BJ112" s="578">
        <f t="shared" si="173"/>
        <v>-288.97999999999956</v>
      </c>
      <c r="BK112" s="578">
        <f t="shared" si="174"/>
        <v>37.020000000000437</v>
      </c>
      <c r="BL112" s="576">
        <v>3799.54</v>
      </c>
      <c r="BM112" s="578">
        <f>'[67]Дир_по экон'!AW22</f>
        <v>3901.15</v>
      </c>
      <c r="BN112" s="522">
        <f t="shared" si="204"/>
        <v>2953.6800000000003</v>
      </c>
      <c r="BO112" s="578">
        <f t="shared" si="181"/>
        <v>-845.85999999999967</v>
      </c>
      <c r="BP112" s="578">
        <f t="shared" si="175"/>
        <v>-947.4699999999998</v>
      </c>
      <c r="BQ112" s="576">
        <v>3799.54</v>
      </c>
      <c r="BR112" s="578">
        <f>'[67]Дир_по экон'!BB22</f>
        <v>0</v>
      </c>
      <c r="BS112" s="578">
        <f>'[67]Дир_по экон'!BC22</f>
        <v>0</v>
      </c>
      <c r="BT112" s="536"/>
      <c r="BU112" s="578">
        <v>12212.93</v>
      </c>
      <c r="BV112" s="578"/>
      <c r="BW112" s="578"/>
      <c r="BX112" s="629"/>
      <c r="BY112" s="525">
        <v>99.57</v>
      </c>
      <c r="BZ112" s="525">
        <v>3356.21</v>
      </c>
      <c r="CA112" s="525">
        <v>8757.15</v>
      </c>
      <c r="CB112" s="522">
        <f t="shared" si="134"/>
        <v>12212.93</v>
      </c>
      <c r="CC112" s="522">
        <f t="shared" si="176"/>
        <v>0</v>
      </c>
      <c r="CD112" s="578"/>
      <c r="CE112" s="578"/>
      <c r="CF112" s="578"/>
      <c r="CG112" s="578"/>
      <c r="CH112" s="578"/>
      <c r="CI112" s="578"/>
      <c r="CJ112" s="578"/>
      <c r="CK112" s="543" t="s">
        <v>77</v>
      </c>
      <c r="CL112" s="542" t="s">
        <v>1800</v>
      </c>
      <c r="CM112" s="528" t="s">
        <v>1907</v>
      </c>
      <c r="CN112" s="528"/>
      <c r="CO112" s="528"/>
      <c r="CP112" s="544">
        <f t="shared" si="205"/>
        <v>12314.925567619402</v>
      </c>
      <c r="CQ112" s="544">
        <f t="shared" si="206"/>
        <v>904.57145933587231</v>
      </c>
      <c r="CR112" s="544">
        <f t="shared" si="207"/>
        <v>128.27297304472683</v>
      </c>
      <c r="CS112" s="1688" t="s">
        <v>1826</v>
      </c>
      <c r="CT112" s="1689"/>
      <c r="CU112" s="1689"/>
      <c r="CV112" s="1689"/>
      <c r="CW112" s="1690"/>
      <c r="CX112" s="528"/>
      <c r="CY112" s="528"/>
      <c r="CZ112" s="528"/>
      <c r="DA112" s="528"/>
      <c r="DB112" s="579">
        <f>2930.77</f>
        <v>2930.77</v>
      </c>
      <c r="DC112" s="628" t="e">
        <f>P112-#REF!</f>
        <v>#REF!</v>
      </c>
      <c r="DD112" s="535">
        <f>9259.25</f>
        <v>9259.25</v>
      </c>
      <c r="DE112" s="535"/>
      <c r="DF112" s="525">
        <f t="shared" si="211"/>
        <v>9.9569999999999992E-2</v>
      </c>
      <c r="DG112" s="525">
        <f t="shared" si="211"/>
        <v>3.3562099999999999</v>
      </c>
      <c r="DH112" s="525">
        <f t="shared" si="211"/>
        <v>8.7571499999999993</v>
      </c>
      <c r="DI112" s="522">
        <f t="shared" si="209"/>
        <v>12.21293</v>
      </c>
      <c r="DJ112" s="536"/>
      <c r="DK112" s="536"/>
      <c r="DL112" s="536"/>
      <c r="DM112" s="536"/>
      <c r="DN112" s="536"/>
      <c r="DO112" s="536"/>
      <c r="DP112" s="536"/>
      <c r="DQ112" s="536"/>
      <c r="DR112" s="536"/>
      <c r="DS112" s="536"/>
    </row>
    <row r="113" spans="1:123" s="534" customFormat="1" ht="112.8">
      <c r="A113" s="537" t="s">
        <v>417</v>
      </c>
      <c r="B113" s="538" t="s">
        <v>418</v>
      </c>
      <c r="C113" s="576">
        <f>2162128.1+50167428.91+450770.29</f>
        <v>52780327.299999997</v>
      </c>
      <c r="D113" s="576">
        <f>1437716.66+11680742.84+2058169.22</f>
        <v>15176628.720000001</v>
      </c>
      <c r="E113" s="576">
        <f>4515366.74+0+0</f>
        <v>4515366.74</v>
      </c>
      <c r="F113" s="576">
        <v>5060788.84</v>
      </c>
      <c r="G113" s="577">
        <v>2261632.7195872986</v>
      </c>
      <c r="H113" s="577">
        <v>0</v>
      </c>
      <c r="I113" s="576">
        <f t="shared" si="198"/>
        <v>4279526.6100000003</v>
      </c>
      <c r="J113" s="576">
        <v>2103990.4900000002</v>
      </c>
      <c r="K113" s="576">
        <v>1000000</v>
      </c>
      <c r="L113" s="576">
        <v>1175536.1200000001</v>
      </c>
      <c r="M113" s="576">
        <f t="shared" si="199"/>
        <v>3103990.49</v>
      </c>
      <c r="N113" s="576">
        <v>3631926.33</v>
      </c>
      <c r="O113" s="525">
        <f t="shared" si="200"/>
        <v>1246347.42</v>
      </c>
      <c r="P113" s="522">
        <v>4878273.75</v>
      </c>
      <c r="Q113" s="576">
        <f t="shared" si="151"/>
        <v>598747.13999999966</v>
      </c>
      <c r="R113" s="576">
        <f t="shared" si="152"/>
        <v>13.99096663170414</v>
      </c>
      <c r="S113" s="576">
        <v>3488210.078178159</v>
      </c>
      <c r="T113" s="576">
        <v>3488210.078178159</v>
      </c>
      <c r="U113" s="522">
        <f t="shared" si="201"/>
        <v>4335081.1399999997</v>
      </c>
      <c r="V113" s="522">
        <f t="shared" si="149"/>
        <v>846871.0618218407</v>
      </c>
      <c r="W113" s="522">
        <f t="shared" si="153"/>
        <v>24.278098017082428</v>
      </c>
      <c r="X113" s="522">
        <f t="shared" si="154"/>
        <v>-543192.61000000034</v>
      </c>
      <c r="Y113" s="522">
        <f t="shared" si="155"/>
        <v>-11.134934975717599</v>
      </c>
      <c r="Z113" s="524">
        <f t="shared" si="156"/>
        <v>4335081.1400000006</v>
      </c>
      <c r="AA113" s="522">
        <f t="shared" si="157"/>
        <v>846871.06182184163</v>
      </c>
      <c r="AB113" s="522">
        <f t="shared" si="158"/>
        <v>24.278098017082456</v>
      </c>
      <c r="AC113" s="522">
        <f t="shared" si="159"/>
        <v>0</v>
      </c>
      <c r="AD113" s="522">
        <f t="shared" si="160"/>
        <v>0</v>
      </c>
      <c r="AE113" s="522">
        <f t="shared" si="161"/>
        <v>-543192.6099999994</v>
      </c>
      <c r="AF113" s="522">
        <f t="shared" si="162"/>
        <v>-11.134934975717584</v>
      </c>
      <c r="AG113" s="522">
        <f t="shared" si="177"/>
        <v>3810538.02</v>
      </c>
      <c r="AH113" s="522">
        <f t="shared" si="163"/>
        <v>-524543.11999999965</v>
      </c>
      <c r="AI113" s="522">
        <f t="shared" si="164"/>
        <v>-12.099960832567007</v>
      </c>
      <c r="AJ113" s="522">
        <f t="shared" si="165"/>
        <v>-524543.12000000058</v>
      </c>
      <c r="AK113" s="522">
        <f t="shared" si="212"/>
        <v>-12.099960832567035</v>
      </c>
      <c r="AL113" s="522">
        <f t="shared" si="202"/>
        <v>3810538.02</v>
      </c>
      <c r="AM113" s="522">
        <f t="shared" si="192"/>
        <v>2113439.77</v>
      </c>
      <c r="AN113" s="522">
        <f t="shared" si="192"/>
        <v>1719169.33</v>
      </c>
      <c r="AO113" s="522">
        <f t="shared" si="166"/>
        <v>-394270.43999999994</v>
      </c>
      <c r="AP113" s="522">
        <f t="shared" si="178"/>
        <v>-18.655390401780878</v>
      </c>
      <c r="AQ113" s="578">
        <v>861420</v>
      </c>
      <c r="AR113" s="578">
        <v>780813.44</v>
      </c>
      <c r="AS113" s="578">
        <v>1252019.77</v>
      </c>
      <c r="AT113" s="578">
        <v>938355.89000000013</v>
      </c>
      <c r="AU113" s="578">
        <f t="shared" si="208"/>
        <v>2221641.37</v>
      </c>
      <c r="AV113" s="578">
        <f t="shared" si="208"/>
        <v>2615911.81</v>
      </c>
      <c r="AW113" s="578">
        <f t="shared" si="167"/>
        <v>394270.43999999994</v>
      </c>
      <c r="AX113" s="578">
        <f t="shared" si="168"/>
        <v>17.746808522925534</v>
      </c>
      <c r="AY113" s="578">
        <f t="shared" si="210"/>
        <v>2091368.69</v>
      </c>
      <c r="AZ113" s="578">
        <f t="shared" si="169"/>
        <v>524543.12000000011</v>
      </c>
      <c r="BA113" s="578">
        <f t="shared" si="170"/>
        <v>25.081331785645133</v>
      </c>
      <c r="BB113" s="578">
        <v>1520573.4399999999</v>
      </c>
      <c r="BC113" s="576">
        <f>'[67]Гл инж_Тех дир'!AT92</f>
        <v>1520573.4399999999</v>
      </c>
      <c r="BD113" s="576">
        <f t="shared" si="203"/>
        <v>1287287.69</v>
      </c>
      <c r="BE113" s="576">
        <f t="shared" si="171"/>
        <v>-233285.75</v>
      </c>
      <c r="BF113" s="576">
        <f t="shared" si="172"/>
        <v>-233285.75</v>
      </c>
      <c r="BG113" s="576">
        <f t="shared" si="150"/>
        <v>3634013.21</v>
      </c>
      <c r="BH113" s="578">
        <f t="shared" si="150"/>
        <v>3239742.77</v>
      </c>
      <c r="BI113" s="578">
        <f>2991664.52+14792.5</f>
        <v>3006457.02</v>
      </c>
      <c r="BJ113" s="578">
        <f t="shared" si="173"/>
        <v>-627556.18999999994</v>
      </c>
      <c r="BK113" s="578">
        <f t="shared" si="174"/>
        <v>-233285.75</v>
      </c>
      <c r="BL113" s="576">
        <v>701067.93</v>
      </c>
      <c r="BM113" s="578">
        <f>'[67]Гл инж_Тех дир'!AW92</f>
        <v>1095338.3700000001</v>
      </c>
      <c r="BN113" s="522">
        <f t="shared" si="204"/>
        <v>804081</v>
      </c>
      <c r="BO113" s="578">
        <f t="shared" si="181"/>
        <v>103013.06999999995</v>
      </c>
      <c r="BP113" s="578">
        <f t="shared" si="175"/>
        <v>-291257.37000000011</v>
      </c>
      <c r="BQ113" s="576">
        <v>701067.93</v>
      </c>
      <c r="BR113" s="578">
        <f>'[67]Гл инж_Тех дир'!BB92</f>
        <v>0</v>
      </c>
      <c r="BS113" s="578">
        <f>'[67]Гл инж_Тех дир'!BC92</f>
        <v>0</v>
      </c>
      <c r="BT113" s="536"/>
      <c r="BU113" s="578">
        <v>3795645.52</v>
      </c>
      <c r="BV113" s="578">
        <v>14892.5</v>
      </c>
      <c r="BW113" s="578"/>
      <c r="BX113" s="629"/>
      <c r="BY113" s="576">
        <f>3795645.52+14892.5</f>
        <v>3810538.02</v>
      </c>
      <c r="BZ113" s="576"/>
      <c r="CA113" s="576"/>
      <c r="CB113" s="522">
        <f t="shared" si="134"/>
        <v>3810538.02</v>
      </c>
      <c r="CC113" s="578">
        <f t="shared" si="176"/>
        <v>0</v>
      </c>
      <c r="CD113" s="578"/>
      <c r="CE113" s="578"/>
      <c r="CF113" s="578"/>
      <c r="CG113" s="578"/>
      <c r="CH113" s="578"/>
      <c r="CI113" s="578"/>
      <c r="CJ113" s="578"/>
      <c r="CK113" s="542" t="s">
        <v>79</v>
      </c>
      <c r="CL113" s="543" t="s">
        <v>1913</v>
      </c>
      <c r="CM113" s="528" t="s">
        <v>1907</v>
      </c>
      <c r="CN113" s="528" t="s">
        <v>1849</v>
      </c>
      <c r="CO113" s="528" t="s">
        <v>1849</v>
      </c>
      <c r="CP113" s="579">
        <f>U113</f>
        <v>4335081.1399999997</v>
      </c>
      <c r="CQ113" s="579"/>
      <c r="CR113" s="579"/>
      <c r="CS113" s="1691"/>
      <c r="CT113" s="1692"/>
      <c r="CU113" s="1692"/>
      <c r="CV113" s="1692"/>
      <c r="CW113" s="1693"/>
      <c r="CX113" s="528"/>
      <c r="CY113" s="528"/>
      <c r="CZ113" s="528"/>
      <c r="DA113" s="528"/>
      <c r="DB113" s="579">
        <f>780813.44</f>
        <v>780813.44</v>
      </c>
      <c r="DC113" s="628" t="e">
        <f>P113-#REF!</f>
        <v>#REF!</v>
      </c>
      <c r="DD113" s="535">
        <f>2991664.52</f>
        <v>2991664.52</v>
      </c>
      <c r="DE113" s="535"/>
      <c r="DF113" s="576">
        <f t="shared" si="211"/>
        <v>3810.53802</v>
      </c>
      <c r="DG113" s="576">
        <f t="shared" si="211"/>
        <v>0</v>
      </c>
      <c r="DH113" s="576">
        <f t="shared" si="211"/>
        <v>0</v>
      </c>
      <c r="DI113" s="522">
        <f t="shared" si="209"/>
        <v>3810.53802</v>
      </c>
      <c r="DJ113" s="536"/>
      <c r="DK113" s="536"/>
      <c r="DL113" s="536"/>
      <c r="DM113" s="536"/>
      <c r="DN113" s="536"/>
      <c r="DO113" s="536"/>
      <c r="DP113" s="536"/>
      <c r="DQ113" s="536"/>
      <c r="DR113" s="536"/>
      <c r="DS113" s="536"/>
    </row>
    <row r="114" spans="1:123" s="534" customFormat="1" ht="118.5" customHeight="1">
      <c r="A114" s="537" t="s">
        <v>399</v>
      </c>
      <c r="B114" s="538" t="s">
        <v>400</v>
      </c>
      <c r="C114" s="576">
        <v>44312197.68</v>
      </c>
      <c r="D114" s="576">
        <v>139800672.00999999</v>
      </c>
      <c r="E114" s="576">
        <v>144416952.81999999</v>
      </c>
      <c r="F114" s="576">
        <v>67329749.379999995</v>
      </c>
      <c r="G114" s="631">
        <v>128449597.86507805</v>
      </c>
      <c r="H114" s="577">
        <v>0</v>
      </c>
      <c r="I114" s="576">
        <f t="shared" si="198"/>
        <v>123705854.38000001</v>
      </c>
      <c r="J114" s="576">
        <v>33480104.210000001</v>
      </c>
      <c r="K114" s="576">
        <v>50000000</v>
      </c>
      <c r="L114" s="576">
        <v>40225750.170000002</v>
      </c>
      <c r="M114" s="576">
        <f t="shared" si="199"/>
        <v>83480104.210000008</v>
      </c>
      <c r="N114" s="576">
        <v>59914266.93</v>
      </c>
      <c r="O114" s="525">
        <f t="shared" si="200"/>
        <v>39821601.080000006</v>
      </c>
      <c r="P114" s="522">
        <v>99735868.010000005</v>
      </c>
      <c r="Q114" s="576">
        <f t="shared" si="151"/>
        <v>-23969986.370000005</v>
      </c>
      <c r="R114" s="576">
        <f t="shared" si="152"/>
        <v>-19.376598213669766</v>
      </c>
      <c r="S114" s="576">
        <v>76119759.441249982</v>
      </c>
      <c r="T114" s="576">
        <v>76119759.441249982</v>
      </c>
      <c r="U114" s="522">
        <f t="shared" si="201"/>
        <v>98046903.359999999</v>
      </c>
      <c r="V114" s="522">
        <f t="shared" si="149"/>
        <v>21927143.918750018</v>
      </c>
      <c r="W114" s="522">
        <f t="shared" si="153"/>
        <v>28.8061129983912</v>
      </c>
      <c r="X114" s="522">
        <f t="shared" si="154"/>
        <v>-1688964.650000006</v>
      </c>
      <c r="Y114" s="522">
        <f t="shared" si="155"/>
        <v>-1.69343756032751</v>
      </c>
      <c r="Z114" s="524">
        <f t="shared" si="156"/>
        <v>78046903.359999999</v>
      </c>
      <c r="AA114" s="522">
        <f t="shared" si="157"/>
        <v>1927143.9187500179</v>
      </c>
      <c r="AB114" s="522">
        <f t="shared" si="158"/>
        <v>2.5317262336298114</v>
      </c>
      <c r="AC114" s="522">
        <f t="shared" si="159"/>
        <v>-20000000</v>
      </c>
      <c r="AD114" s="522">
        <f t="shared" si="160"/>
        <v>-20.398400474276841</v>
      </c>
      <c r="AE114" s="522">
        <f t="shared" si="161"/>
        <v>-21688964.650000006</v>
      </c>
      <c r="AF114" s="522">
        <f t="shared" si="162"/>
        <v>-21.746403859266934</v>
      </c>
      <c r="AG114" s="522">
        <f t="shared" si="177"/>
        <v>85221706.519999996</v>
      </c>
      <c r="AH114" s="522">
        <f t="shared" si="163"/>
        <v>-12825196.840000004</v>
      </c>
      <c r="AI114" s="522">
        <f t="shared" si="164"/>
        <v>-13.080675065187492</v>
      </c>
      <c r="AJ114" s="522">
        <f t="shared" si="165"/>
        <v>7174803.1599999964</v>
      </c>
      <c r="AK114" s="522">
        <f t="shared" si="212"/>
        <v>9.1929376453354195</v>
      </c>
      <c r="AL114" s="522">
        <f t="shared" si="202"/>
        <v>85221706.519999996</v>
      </c>
      <c r="AM114" s="522">
        <f t="shared" si="192"/>
        <v>44664746.450000003</v>
      </c>
      <c r="AN114" s="522">
        <f t="shared" si="192"/>
        <v>40779361.039999999</v>
      </c>
      <c r="AO114" s="522">
        <f t="shared" si="166"/>
        <v>-3885385.4100000039</v>
      </c>
      <c r="AP114" s="522">
        <f t="shared" si="178"/>
        <v>-8.6989980215145835</v>
      </c>
      <c r="AQ114" s="578">
        <v>2950000</v>
      </c>
      <c r="AR114" s="578">
        <v>15153756.199999999</v>
      </c>
      <c r="AS114" s="578">
        <v>41714746.450000003</v>
      </c>
      <c r="AT114" s="578">
        <v>25625604.84</v>
      </c>
      <c r="AU114" s="578">
        <f t="shared" si="208"/>
        <v>53382156.909999996</v>
      </c>
      <c r="AV114" s="578">
        <f t="shared" si="208"/>
        <v>37267542.32</v>
      </c>
      <c r="AW114" s="578">
        <f t="shared" si="167"/>
        <v>-16114614.589999996</v>
      </c>
      <c r="AX114" s="578">
        <f t="shared" si="168"/>
        <v>-30.187267661680551</v>
      </c>
      <c r="AY114" s="578">
        <f t="shared" si="210"/>
        <v>44442345.479999997</v>
      </c>
      <c r="AZ114" s="578">
        <f t="shared" si="169"/>
        <v>-7174803.1599999964</v>
      </c>
      <c r="BA114" s="578">
        <f t="shared" si="170"/>
        <v>-16.144069541128985</v>
      </c>
      <c r="BB114" s="578">
        <v>41594690.359999999</v>
      </c>
      <c r="BC114" s="576">
        <f>'[67]Гл инж_Тех дир'!AT93</f>
        <v>26594690.359999999</v>
      </c>
      <c r="BD114" s="576">
        <f t="shared" si="203"/>
        <v>27080820.220000006</v>
      </c>
      <c r="BE114" s="576">
        <f t="shared" si="171"/>
        <v>-14513870.139999993</v>
      </c>
      <c r="BF114" s="576">
        <f t="shared" si="172"/>
        <v>486129.86000000685</v>
      </c>
      <c r="BG114" s="576">
        <f t="shared" si="150"/>
        <v>86259436.810000002</v>
      </c>
      <c r="BH114" s="578">
        <f t="shared" si="150"/>
        <v>67374051.400000006</v>
      </c>
      <c r="BI114" s="578">
        <v>67860181.260000005</v>
      </c>
      <c r="BJ114" s="578">
        <f t="shared" si="173"/>
        <v>-18399255.549999997</v>
      </c>
      <c r="BK114" s="578">
        <f t="shared" si="174"/>
        <v>486129.8599999994</v>
      </c>
      <c r="BL114" s="576">
        <v>11787466.550000001</v>
      </c>
      <c r="BM114" s="578">
        <f>'[67]Гл инж_Тех дир'!AW93</f>
        <v>10672851.960000001</v>
      </c>
      <c r="BN114" s="522">
        <f t="shared" si="204"/>
        <v>17361525.25999999</v>
      </c>
      <c r="BO114" s="578">
        <f t="shared" si="181"/>
        <v>5574058.7099999897</v>
      </c>
      <c r="BP114" s="578">
        <f t="shared" si="175"/>
        <v>6688673.2999999896</v>
      </c>
      <c r="BQ114" s="576">
        <v>11787466.550000001</v>
      </c>
      <c r="BR114" s="578">
        <f>'[67]Гл инж_Тех дир'!BB93</f>
        <v>0</v>
      </c>
      <c r="BS114" s="578">
        <f>'[67]Гл инж_Тех дир'!BC93</f>
        <v>0</v>
      </c>
      <c r="BT114" s="536"/>
      <c r="BU114" s="578">
        <v>85221706.519999996</v>
      </c>
      <c r="BV114" s="578"/>
      <c r="BW114" s="578"/>
      <c r="BX114" s="629"/>
      <c r="BY114" s="576">
        <v>85221471.819999993</v>
      </c>
      <c r="BZ114" s="576">
        <v>150.04</v>
      </c>
      <c r="CA114" s="576">
        <v>84.66</v>
      </c>
      <c r="CB114" s="522">
        <f t="shared" si="134"/>
        <v>85221706.519999996</v>
      </c>
      <c r="CC114" s="578">
        <f t="shared" si="176"/>
        <v>0</v>
      </c>
      <c r="CD114" s="578"/>
      <c r="CE114" s="578"/>
      <c r="CF114" s="578"/>
      <c r="CG114" s="578"/>
      <c r="CH114" s="578"/>
      <c r="CI114" s="578"/>
      <c r="CJ114" s="578"/>
      <c r="CK114" s="542" t="s">
        <v>79</v>
      </c>
      <c r="CL114" s="543" t="s">
        <v>1913</v>
      </c>
      <c r="CM114" s="528" t="s">
        <v>1907</v>
      </c>
      <c r="CN114" s="528" t="s">
        <v>1849</v>
      </c>
      <c r="CO114" s="528" t="s">
        <v>1849</v>
      </c>
      <c r="CP114" s="579">
        <f>U114</f>
        <v>98046903.359999999</v>
      </c>
      <c r="CQ114" s="579"/>
      <c r="CR114" s="579"/>
      <c r="CS114" s="1691"/>
      <c r="CT114" s="1692"/>
      <c r="CU114" s="1692"/>
      <c r="CV114" s="1692"/>
      <c r="CW114" s="1693"/>
      <c r="CX114" s="528"/>
      <c r="CY114" s="528"/>
      <c r="CZ114" s="528"/>
      <c r="DA114" s="528"/>
      <c r="DB114" s="579">
        <f>15153756.2</f>
        <v>15153756.199999999</v>
      </c>
      <c r="DC114" s="628" t="e">
        <f>P114-#REF!</f>
        <v>#REF!</v>
      </c>
      <c r="DD114" s="535"/>
      <c r="DE114" s="535"/>
      <c r="DF114" s="576">
        <f t="shared" si="211"/>
        <v>85221.471819999992</v>
      </c>
      <c r="DG114" s="576">
        <f t="shared" si="211"/>
        <v>0.15003999999999998</v>
      </c>
      <c r="DH114" s="576">
        <f t="shared" si="211"/>
        <v>8.4659999999999999E-2</v>
      </c>
      <c r="DI114" s="522">
        <f t="shared" si="209"/>
        <v>85221.706519999992</v>
      </c>
      <c r="DJ114" s="536"/>
      <c r="DK114" s="536"/>
      <c r="DL114" s="536"/>
      <c r="DM114" s="536"/>
      <c r="DN114" s="536"/>
      <c r="DO114" s="536"/>
      <c r="DP114" s="536"/>
      <c r="DQ114" s="536"/>
      <c r="DR114" s="536"/>
      <c r="DS114" s="536"/>
    </row>
    <row r="115" spans="1:123" s="534" customFormat="1" ht="112.8">
      <c r="A115" s="537" t="s">
        <v>404</v>
      </c>
      <c r="B115" s="538" t="s">
        <v>405</v>
      </c>
      <c r="C115" s="576">
        <f>40323439.67+2643477.22+3602353.71</f>
        <v>46569270.600000001</v>
      </c>
      <c r="D115" s="576">
        <f>48606238.15+4369015.36+4758603.68</f>
        <v>57733857.189999998</v>
      </c>
      <c r="E115" s="576">
        <f>33390857.54+0</f>
        <v>33390857.539999999</v>
      </c>
      <c r="F115" s="576">
        <v>46373683.030000001</v>
      </c>
      <c r="G115" s="626">
        <v>41521930.4998485</v>
      </c>
      <c r="H115" s="577">
        <v>0</v>
      </c>
      <c r="I115" s="576">
        <f t="shared" si="198"/>
        <v>41521930.5</v>
      </c>
      <c r="J115" s="576">
        <v>19303952.43</v>
      </c>
      <c r="K115" s="576">
        <v>9179477.5700000003</v>
      </c>
      <c r="L115" s="576">
        <v>13038500.5</v>
      </c>
      <c r="M115" s="576">
        <f t="shared" si="199"/>
        <v>28483430</v>
      </c>
      <c r="N115" s="576">
        <v>30766665.809999999</v>
      </c>
      <c r="O115" s="525">
        <f t="shared" si="200"/>
        <v>13739846.52</v>
      </c>
      <c r="P115" s="522">
        <f>6372.22+44500140.11</f>
        <v>44506512.329999998</v>
      </c>
      <c r="Q115" s="576">
        <f t="shared" si="151"/>
        <v>2984581.8299999982</v>
      </c>
      <c r="R115" s="576">
        <f t="shared" si="152"/>
        <v>7.187964995991706</v>
      </c>
      <c r="S115" s="576">
        <v>51759940</v>
      </c>
      <c r="T115" s="576">
        <v>51759940</v>
      </c>
      <c r="U115" s="522">
        <f t="shared" si="201"/>
        <v>35520687.339999996</v>
      </c>
      <c r="V115" s="522">
        <f t="shared" si="149"/>
        <v>-16239252.660000004</v>
      </c>
      <c r="W115" s="522">
        <f t="shared" si="153"/>
        <v>-31.374172110709566</v>
      </c>
      <c r="X115" s="522">
        <f t="shared" si="154"/>
        <v>-8985824.9900000021</v>
      </c>
      <c r="Y115" s="522">
        <f t="shared" si="155"/>
        <v>-20.18991046382898</v>
      </c>
      <c r="Z115" s="524">
        <f t="shared" si="156"/>
        <v>35520687.340000004</v>
      </c>
      <c r="AA115" s="522">
        <f t="shared" si="157"/>
        <v>-16239252.659999996</v>
      </c>
      <c r="AB115" s="522">
        <f t="shared" si="158"/>
        <v>-31.374172110709551</v>
      </c>
      <c r="AC115" s="522">
        <f t="shared" si="159"/>
        <v>0</v>
      </c>
      <c r="AD115" s="522">
        <f t="shared" si="160"/>
        <v>0</v>
      </c>
      <c r="AE115" s="522">
        <f t="shared" si="161"/>
        <v>-8985824.9899999946</v>
      </c>
      <c r="AF115" s="522">
        <f t="shared" si="162"/>
        <v>-20.189910463828951</v>
      </c>
      <c r="AG115" s="522">
        <f t="shared" si="177"/>
        <v>42949097.960000001</v>
      </c>
      <c r="AH115" s="522">
        <f t="shared" si="163"/>
        <v>7428410.6200000048</v>
      </c>
      <c r="AI115" s="522">
        <f t="shared" si="164"/>
        <v>20.912913505575233</v>
      </c>
      <c r="AJ115" s="522">
        <f t="shared" si="165"/>
        <v>7428410.6199999973</v>
      </c>
      <c r="AK115" s="522">
        <f t="shared" si="212"/>
        <v>20.912913505575176</v>
      </c>
      <c r="AL115" s="522">
        <f t="shared" si="202"/>
        <v>42949097.960000001</v>
      </c>
      <c r="AM115" s="522">
        <f t="shared" si="192"/>
        <v>13666497.869999999</v>
      </c>
      <c r="AN115" s="522">
        <f t="shared" si="192"/>
        <v>20056184.010000002</v>
      </c>
      <c r="AO115" s="522">
        <f t="shared" si="166"/>
        <v>6389686.1400000025</v>
      </c>
      <c r="AP115" s="522">
        <f t="shared" si="178"/>
        <v>46.754378486578588</v>
      </c>
      <c r="AQ115" s="578">
        <v>3540000</v>
      </c>
      <c r="AR115" s="578">
        <v>9562630.8000000007</v>
      </c>
      <c r="AS115" s="578">
        <v>10126497.869999999</v>
      </c>
      <c r="AT115" s="578">
        <v>10493553.210000001</v>
      </c>
      <c r="AU115" s="578">
        <f t="shared" si="208"/>
        <v>21854189.469999999</v>
      </c>
      <c r="AV115" s="578">
        <f t="shared" si="208"/>
        <v>15464503.33</v>
      </c>
      <c r="AW115" s="578">
        <f t="shared" si="167"/>
        <v>-6389686.1399999987</v>
      </c>
      <c r="AX115" s="578">
        <f t="shared" si="168"/>
        <v>-29.237808836476603</v>
      </c>
      <c r="AY115" s="578">
        <f t="shared" si="210"/>
        <v>22892913.949999999</v>
      </c>
      <c r="AZ115" s="578">
        <f t="shared" si="169"/>
        <v>-7428410.6199999992</v>
      </c>
      <c r="BA115" s="578">
        <f t="shared" si="170"/>
        <v>-32.448515013092077</v>
      </c>
      <c r="BB115" s="578">
        <v>11355920.32</v>
      </c>
      <c r="BC115" s="576">
        <f>'[67]Гл инж_Тех дир'!AT94</f>
        <v>11355920.32</v>
      </c>
      <c r="BD115" s="576">
        <f t="shared" si="203"/>
        <v>12488963.149999999</v>
      </c>
      <c r="BE115" s="576">
        <f t="shared" si="171"/>
        <v>1133042.8299999982</v>
      </c>
      <c r="BF115" s="576">
        <f t="shared" si="172"/>
        <v>1133042.8299999982</v>
      </c>
      <c r="BG115" s="576">
        <f t="shared" si="150"/>
        <v>25022418.189999998</v>
      </c>
      <c r="BH115" s="578">
        <f t="shared" si="150"/>
        <v>31412104.330000002</v>
      </c>
      <c r="BI115" s="578">
        <v>32545147.16</v>
      </c>
      <c r="BJ115" s="578">
        <f t="shared" si="173"/>
        <v>7522728.9700000025</v>
      </c>
      <c r="BK115" s="578">
        <f t="shared" si="174"/>
        <v>1133042.8299999982</v>
      </c>
      <c r="BL115" s="576">
        <v>10498269.15</v>
      </c>
      <c r="BM115" s="578">
        <f>'[67]Гл инж_Тех дир'!AW94</f>
        <v>4108583.01</v>
      </c>
      <c r="BN115" s="522">
        <f t="shared" si="204"/>
        <v>10403950.800000001</v>
      </c>
      <c r="BO115" s="578">
        <f t="shared" si="181"/>
        <v>-94318.349999999627</v>
      </c>
      <c r="BP115" s="578">
        <f t="shared" si="175"/>
        <v>6295367.790000001</v>
      </c>
      <c r="BQ115" s="576">
        <v>10498269.15</v>
      </c>
      <c r="BR115" s="578">
        <f>'[67]Гл инж_Тех дир'!BB94</f>
        <v>0</v>
      </c>
      <c r="BS115" s="578">
        <f>'[67]Гл инж_Тех дир'!BC94</f>
        <v>0</v>
      </c>
      <c r="BT115" s="536"/>
      <c r="BU115" s="578">
        <v>42949097.960000001</v>
      </c>
      <c r="BV115" s="578"/>
      <c r="BW115" s="578"/>
      <c r="BX115" s="629"/>
      <c r="BY115" s="576">
        <v>42917599.18</v>
      </c>
      <c r="BZ115" s="576">
        <v>11839.81</v>
      </c>
      <c r="CA115" s="576">
        <v>19658.97</v>
      </c>
      <c r="CB115" s="522">
        <f t="shared" si="134"/>
        <v>42949097.960000001</v>
      </c>
      <c r="CC115" s="578">
        <f t="shared" si="176"/>
        <v>0</v>
      </c>
      <c r="CD115" s="578"/>
      <c r="CE115" s="578"/>
      <c r="CF115" s="578"/>
      <c r="CG115" s="578"/>
      <c r="CH115" s="578"/>
      <c r="CI115" s="578"/>
      <c r="CJ115" s="578"/>
      <c r="CK115" s="542" t="s">
        <v>79</v>
      </c>
      <c r="CL115" s="543" t="s">
        <v>1913</v>
      </c>
      <c r="CM115" s="528" t="s">
        <v>1907</v>
      </c>
      <c r="CN115" s="528" t="s">
        <v>1849</v>
      </c>
      <c r="CO115" s="528" t="s">
        <v>1849</v>
      </c>
      <c r="CP115" s="579">
        <f>U115</f>
        <v>35520687.339999996</v>
      </c>
      <c r="CQ115" s="579"/>
      <c r="CR115" s="579"/>
      <c r="CS115" s="1691"/>
      <c r="CT115" s="1692"/>
      <c r="CU115" s="1692"/>
      <c r="CV115" s="1692"/>
      <c r="CW115" s="1693"/>
      <c r="CX115" s="528"/>
      <c r="CY115" s="528"/>
      <c r="CZ115" s="528"/>
      <c r="DA115" s="528"/>
      <c r="DB115" s="579">
        <v>9562630.8000000007</v>
      </c>
      <c r="DC115" s="628" t="e">
        <f>P115-#REF!</f>
        <v>#REF!</v>
      </c>
      <c r="DD115" s="535"/>
      <c r="DE115" s="535"/>
      <c r="DF115" s="576">
        <f t="shared" si="211"/>
        <v>42917.599179999997</v>
      </c>
      <c r="DG115" s="576">
        <f t="shared" si="211"/>
        <v>11.83981</v>
      </c>
      <c r="DH115" s="576">
        <f t="shared" si="211"/>
        <v>19.65897</v>
      </c>
      <c r="DI115" s="522">
        <f t="shared" si="209"/>
        <v>42949.097959999999</v>
      </c>
      <c r="DJ115" s="536"/>
      <c r="DK115" s="536"/>
      <c r="DL115" s="536"/>
      <c r="DM115" s="536"/>
      <c r="DN115" s="536"/>
      <c r="DO115" s="536"/>
      <c r="DP115" s="536"/>
      <c r="DQ115" s="536"/>
      <c r="DR115" s="536"/>
      <c r="DS115" s="536"/>
    </row>
    <row r="116" spans="1:123" s="534" customFormat="1" ht="84.6">
      <c r="A116" s="537" t="s">
        <v>409</v>
      </c>
      <c r="B116" s="538" t="s">
        <v>410</v>
      </c>
      <c r="C116" s="576"/>
      <c r="D116" s="576"/>
      <c r="E116" s="576"/>
      <c r="F116" s="576"/>
      <c r="G116" s="632"/>
      <c r="H116" s="577">
        <v>0</v>
      </c>
      <c r="I116" s="576">
        <f t="shared" si="198"/>
        <v>126567.43</v>
      </c>
      <c r="J116" s="576">
        <v>25448.25</v>
      </c>
      <c r="K116" s="576">
        <v>40000</v>
      </c>
      <c r="L116" s="576">
        <v>61119.18</v>
      </c>
      <c r="M116" s="576">
        <f t="shared" si="199"/>
        <v>65448.25</v>
      </c>
      <c r="N116" s="576">
        <v>25448.25</v>
      </c>
      <c r="O116" s="525">
        <f t="shared" si="200"/>
        <v>17487.43</v>
      </c>
      <c r="P116" s="522">
        <v>42935.68</v>
      </c>
      <c r="Q116" s="576">
        <f t="shared" si="151"/>
        <v>-83631.75</v>
      </c>
      <c r="R116" s="576">
        <f t="shared" si="152"/>
        <v>-66.076833510801322</v>
      </c>
      <c r="S116" s="576">
        <v>0</v>
      </c>
      <c r="T116" s="576">
        <v>0</v>
      </c>
      <c r="U116" s="522">
        <f t="shared" si="201"/>
        <v>129953.76</v>
      </c>
      <c r="V116" s="522">
        <f t="shared" si="149"/>
        <v>129953.76</v>
      </c>
      <c r="W116" s="522">
        <v>0</v>
      </c>
      <c r="X116" s="522">
        <f t="shared" si="154"/>
        <v>87018.079999999987</v>
      </c>
      <c r="Y116" s="522">
        <f t="shared" si="155"/>
        <v>202.67078569618553</v>
      </c>
      <c r="Z116" s="524">
        <f t="shared" si="156"/>
        <v>129953.76</v>
      </c>
      <c r="AA116" s="522">
        <f t="shared" si="157"/>
        <v>129953.76</v>
      </c>
      <c r="AB116" s="522">
        <v>0</v>
      </c>
      <c r="AC116" s="522">
        <f t="shared" si="159"/>
        <v>0</v>
      </c>
      <c r="AD116" s="522">
        <f t="shared" si="160"/>
        <v>0</v>
      </c>
      <c r="AE116" s="522">
        <f t="shared" si="161"/>
        <v>87018.079999999987</v>
      </c>
      <c r="AF116" s="522">
        <f t="shared" si="162"/>
        <v>202.67078569618553</v>
      </c>
      <c r="AG116" s="522">
        <f t="shared" si="177"/>
        <v>25400</v>
      </c>
      <c r="AH116" s="522">
        <f t="shared" si="163"/>
        <v>-104553.76</v>
      </c>
      <c r="AI116" s="522">
        <f t="shared" si="164"/>
        <v>-80.454586308237637</v>
      </c>
      <c r="AJ116" s="522">
        <f t="shared" si="165"/>
        <v>-104553.76</v>
      </c>
      <c r="AK116" s="522">
        <f t="shared" si="212"/>
        <v>-80.454586308237637</v>
      </c>
      <c r="AL116" s="522">
        <f t="shared" si="202"/>
        <v>25400</v>
      </c>
      <c r="AM116" s="522">
        <f t="shared" si="192"/>
        <v>0</v>
      </c>
      <c r="AN116" s="522">
        <f t="shared" si="192"/>
        <v>0</v>
      </c>
      <c r="AO116" s="522">
        <f t="shared" si="166"/>
        <v>0</v>
      </c>
      <c r="AP116" s="522">
        <v>0</v>
      </c>
      <c r="AQ116" s="578">
        <v>0</v>
      </c>
      <c r="AR116" s="578">
        <v>0</v>
      </c>
      <c r="AS116" s="578">
        <v>0</v>
      </c>
      <c r="AT116" s="578">
        <v>0</v>
      </c>
      <c r="AU116" s="578">
        <f t="shared" si="208"/>
        <v>129953.76</v>
      </c>
      <c r="AV116" s="578">
        <f t="shared" si="208"/>
        <v>129953.76</v>
      </c>
      <c r="AW116" s="578">
        <f t="shared" si="167"/>
        <v>0</v>
      </c>
      <c r="AX116" s="578">
        <f t="shared" si="168"/>
        <v>0</v>
      </c>
      <c r="AY116" s="578">
        <f t="shared" si="210"/>
        <v>25400</v>
      </c>
      <c r="AZ116" s="578">
        <f t="shared" si="169"/>
        <v>104553.76</v>
      </c>
      <c r="BA116" s="578">
        <f t="shared" si="170"/>
        <v>411.62897637795277</v>
      </c>
      <c r="BB116" s="578">
        <v>129953.76</v>
      </c>
      <c r="BC116" s="576">
        <f>'[67]Гл инж_Тех дир'!AT95</f>
        <v>129953.76</v>
      </c>
      <c r="BD116" s="576">
        <f t="shared" si="203"/>
        <v>25400</v>
      </c>
      <c r="BE116" s="576">
        <f t="shared" si="171"/>
        <v>-104553.76</v>
      </c>
      <c r="BF116" s="576">
        <f t="shared" si="172"/>
        <v>-104553.76</v>
      </c>
      <c r="BG116" s="576">
        <f t="shared" si="150"/>
        <v>129953.76</v>
      </c>
      <c r="BH116" s="578">
        <f t="shared" si="150"/>
        <v>129953.76</v>
      </c>
      <c r="BI116" s="578">
        <v>25400</v>
      </c>
      <c r="BJ116" s="578">
        <f t="shared" si="173"/>
        <v>-104553.76</v>
      </c>
      <c r="BK116" s="578">
        <f t="shared" si="174"/>
        <v>-104553.76</v>
      </c>
      <c r="BL116" s="576">
        <v>0</v>
      </c>
      <c r="BM116" s="578">
        <f>'[67]Гл инж_Тех дир'!AW95</f>
        <v>0</v>
      </c>
      <c r="BN116" s="522">
        <f t="shared" si="204"/>
        <v>0</v>
      </c>
      <c r="BO116" s="578">
        <f t="shared" si="181"/>
        <v>0</v>
      </c>
      <c r="BP116" s="578">
        <f t="shared" si="175"/>
        <v>0</v>
      </c>
      <c r="BQ116" s="576">
        <v>0</v>
      </c>
      <c r="BR116" s="578">
        <f>'[67]Гл инж_Тех дир'!BB95</f>
        <v>0</v>
      </c>
      <c r="BS116" s="578">
        <f>'[67]Гл инж_Тех дир'!BC95</f>
        <v>0</v>
      </c>
      <c r="BT116" s="536"/>
      <c r="BU116" s="578"/>
      <c r="BV116" s="578">
        <v>25400</v>
      </c>
      <c r="BW116" s="578"/>
      <c r="BX116" s="629"/>
      <c r="BY116" s="576">
        <v>25400</v>
      </c>
      <c r="BZ116" s="576"/>
      <c r="CA116" s="576"/>
      <c r="CB116" s="522">
        <f t="shared" ref="CB116:CB179" si="213">SUM(BY116:CA116)</f>
        <v>25400</v>
      </c>
      <c r="CC116" s="578">
        <f t="shared" si="176"/>
        <v>0</v>
      </c>
      <c r="CD116" s="578"/>
      <c r="CE116" s="578"/>
      <c r="CF116" s="578"/>
      <c r="CG116" s="578"/>
      <c r="CH116" s="578"/>
      <c r="CI116" s="578"/>
      <c r="CJ116" s="578"/>
      <c r="CK116" s="542" t="s">
        <v>79</v>
      </c>
      <c r="CL116" s="543" t="s">
        <v>1913</v>
      </c>
      <c r="CM116" s="528" t="s">
        <v>1907</v>
      </c>
      <c r="CN116" s="528" t="s">
        <v>1849</v>
      </c>
      <c r="CO116" s="528" t="s">
        <v>1849</v>
      </c>
      <c r="CP116" s="579">
        <f>U116</f>
        <v>129953.76</v>
      </c>
      <c r="CQ116" s="579"/>
      <c r="CR116" s="579"/>
      <c r="CS116" s="1691"/>
      <c r="CT116" s="1692"/>
      <c r="CU116" s="1692"/>
      <c r="CV116" s="1692"/>
      <c r="CW116" s="1693"/>
      <c r="CX116" s="528"/>
      <c r="CY116" s="528"/>
      <c r="CZ116" s="528"/>
      <c r="DA116" s="528"/>
      <c r="DB116" s="579"/>
      <c r="DC116" s="628" t="e">
        <f>P116-#REF!</f>
        <v>#REF!</v>
      </c>
      <c r="DD116" s="535"/>
      <c r="DE116" s="535"/>
      <c r="DF116" s="576">
        <f t="shared" si="211"/>
        <v>25.4</v>
      </c>
      <c r="DG116" s="576">
        <f t="shared" si="211"/>
        <v>0</v>
      </c>
      <c r="DH116" s="576">
        <f t="shared" si="211"/>
        <v>0</v>
      </c>
      <c r="DI116" s="522">
        <f t="shared" si="209"/>
        <v>25.4</v>
      </c>
      <c r="DJ116" s="536"/>
      <c r="DK116" s="536"/>
      <c r="DL116" s="536"/>
      <c r="DM116" s="536"/>
      <c r="DN116" s="536"/>
      <c r="DO116" s="536"/>
      <c r="DP116" s="536"/>
      <c r="DQ116" s="536"/>
      <c r="DR116" s="536"/>
      <c r="DS116" s="536"/>
    </row>
    <row r="117" spans="1:123" s="534" customFormat="1" ht="94.5" customHeight="1">
      <c r="A117" s="537" t="s">
        <v>413</v>
      </c>
      <c r="B117" s="538" t="s">
        <v>414</v>
      </c>
      <c r="C117" s="576"/>
      <c r="D117" s="576"/>
      <c r="E117" s="576"/>
      <c r="F117" s="576"/>
      <c r="G117" s="627"/>
      <c r="H117" s="577">
        <v>0</v>
      </c>
      <c r="I117" s="576">
        <f t="shared" si="198"/>
        <v>2155194.2799999998</v>
      </c>
      <c r="J117" s="576">
        <v>1401309.13</v>
      </c>
      <c r="K117" s="576">
        <v>253885.15</v>
      </c>
      <c r="L117" s="576">
        <v>500000</v>
      </c>
      <c r="M117" s="576">
        <f t="shared" si="199"/>
        <v>1655194.2799999998</v>
      </c>
      <c r="N117" s="576">
        <v>1954619.34</v>
      </c>
      <c r="O117" s="525">
        <f t="shared" si="200"/>
        <v>1599138.2</v>
      </c>
      <c r="P117" s="522">
        <v>3553757.54</v>
      </c>
      <c r="Q117" s="576">
        <f t="shared" si="151"/>
        <v>1398563.2600000002</v>
      </c>
      <c r="R117" s="576">
        <f t="shared" si="152"/>
        <v>64.892676868091939</v>
      </c>
      <c r="S117" s="576">
        <v>0</v>
      </c>
      <c r="T117" s="576">
        <v>0</v>
      </c>
      <c r="U117" s="522">
        <f t="shared" si="201"/>
        <v>1265109.19</v>
      </c>
      <c r="V117" s="522">
        <f t="shared" si="149"/>
        <v>1265109.19</v>
      </c>
      <c r="W117" s="522">
        <v>0</v>
      </c>
      <c r="X117" s="522">
        <f t="shared" si="154"/>
        <v>-2288648.35</v>
      </c>
      <c r="Y117" s="522">
        <f t="shared" si="155"/>
        <v>-64.400801805966765</v>
      </c>
      <c r="Z117" s="524">
        <f t="shared" si="156"/>
        <v>1265109.19</v>
      </c>
      <c r="AA117" s="522">
        <f t="shared" si="157"/>
        <v>1265109.19</v>
      </c>
      <c r="AB117" s="522">
        <v>0</v>
      </c>
      <c r="AC117" s="522">
        <f t="shared" si="159"/>
        <v>0</v>
      </c>
      <c r="AD117" s="522">
        <f t="shared" si="160"/>
        <v>0</v>
      </c>
      <c r="AE117" s="522">
        <f t="shared" si="161"/>
        <v>-2288648.35</v>
      </c>
      <c r="AF117" s="522">
        <f t="shared" si="162"/>
        <v>-64.400801805966765</v>
      </c>
      <c r="AG117" s="522">
        <f t="shared" si="177"/>
        <v>2002871.97</v>
      </c>
      <c r="AH117" s="522">
        <f t="shared" si="163"/>
        <v>737762.78</v>
      </c>
      <c r="AI117" s="522">
        <f t="shared" si="164"/>
        <v>58.316134751973465</v>
      </c>
      <c r="AJ117" s="522">
        <f t="shared" si="165"/>
        <v>737762.78</v>
      </c>
      <c r="AK117" s="522">
        <f t="shared" si="212"/>
        <v>58.316134751973465</v>
      </c>
      <c r="AL117" s="522">
        <f t="shared" si="202"/>
        <v>2002871.97</v>
      </c>
      <c r="AM117" s="522">
        <f t="shared" si="192"/>
        <v>587436.4</v>
      </c>
      <c r="AN117" s="522">
        <f t="shared" si="192"/>
        <v>706704.51</v>
      </c>
      <c r="AO117" s="522">
        <f t="shared" si="166"/>
        <v>119268.10999999999</v>
      </c>
      <c r="AP117" s="522">
        <f t="shared" si="178"/>
        <v>20.303152817905044</v>
      </c>
      <c r="AQ117" s="578">
        <v>248600</v>
      </c>
      <c r="AR117" s="578">
        <v>306132.46000000002</v>
      </c>
      <c r="AS117" s="578">
        <v>338836.4</v>
      </c>
      <c r="AT117" s="578">
        <v>400572.05</v>
      </c>
      <c r="AU117" s="578">
        <f t="shared" si="208"/>
        <v>677672.79</v>
      </c>
      <c r="AV117" s="578">
        <f t="shared" si="208"/>
        <v>558404.68000000005</v>
      </c>
      <c r="AW117" s="578">
        <f t="shared" si="167"/>
        <v>-119268.10999999999</v>
      </c>
      <c r="AX117" s="578">
        <f t="shared" si="168"/>
        <v>-17.599660449698746</v>
      </c>
      <c r="AY117" s="578">
        <f t="shared" si="210"/>
        <v>1296167.46</v>
      </c>
      <c r="AZ117" s="578">
        <f t="shared" si="169"/>
        <v>-737762.77999999991</v>
      </c>
      <c r="BA117" s="578">
        <f t="shared" si="170"/>
        <v>-56.918785787138951</v>
      </c>
      <c r="BB117" s="578">
        <v>338836.4</v>
      </c>
      <c r="BC117" s="576">
        <f>'[67]Гл инж_Тех дир'!AT96</f>
        <v>338836.4</v>
      </c>
      <c r="BD117" s="576">
        <f t="shared" si="203"/>
        <v>656936.08000000007</v>
      </c>
      <c r="BE117" s="576">
        <f t="shared" si="171"/>
        <v>318099.68000000005</v>
      </c>
      <c r="BF117" s="576">
        <f t="shared" si="172"/>
        <v>318099.68000000005</v>
      </c>
      <c r="BG117" s="576">
        <f t="shared" si="150"/>
        <v>926272.8</v>
      </c>
      <c r="BH117" s="578">
        <f t="shared" si="150"/>
        <v>1045540.91</v>
      </c>
      <c r="BI117" s="578">
        <f>1345808.09+17832.5</f>
        <v>1363640.59</v>
      </c>
      <c r="BJ117" s="578">
        <f t="shared" si="173"/>
        <v>437367.79000000004</v>
      </c>
      <c r="BK117" s="578">
        <f t="shared" si="174"/>
        <v>318099.68000000005</v>
      </c>
      <c r="BL117" s="576">
        <v>338836.39</v>
      </c>
      <c r="BM117" s="578">
        <f>'[67]Гл инж_Тех дир'!AW96</f>
        <v>219568.28</v>
      </c>
      <c r="BN117" s="522">
        <f t="shared" si="204"/>
        <v>639231.37999999989</v>
      </c>
      <c r="BO117" s="578">
        <f t="shared" si="181"/>
        <v>300394.98999999987</v>
      </c>
      <c r="BP117" s="578">
        <f t="shared" si="175"/>
        <v>419663.09999999986</v>
      </c>
      <c r="BQ117" s="576">
        <v>338836.39</v>
      </c>
      <c r="BR117" s="578">
        <f>'[67]Гл инж_Тех дир'!BB96</f>
        <v>0</v>
      </c>
      <c r="BS117" s="578">
        <f>'[67]Гл инж_Тех дир'!BC96</f>
        <v>0</v>
      </c>
      <c r="BT117" s="536"/>
      <c r="BU117" s="578">
        <v>1984539.47</v>
      </c>
      <c r="BV117" s="578">
        <v>18332.5</v>
      </c>
      <c r="BW117" s="578"/>
      <c r="BX117" s="629"/>
      <c r="BY117" s="576">
        <f>1823531.73+18332.5</f>
        <v>1841864.23</v>
      </c>
      <c r="BZ117" s="576">
        <v>138510.54</v>
      </c>
      <c r="CA117" s="576">
        <v>22497.200000000001</v>
      </c>
      <c r="CB117" s="522">
        <f t="shared" si="213"/>
        <v>2002871.97</v>
      </c>
      <c r="CC117" s="578">
        <f t="shared" si="176"/>
        <v>0</v>
      </c>
      <c r="CD117" s="578"/>
      <c r="CE117" s="578"/>
      <c r="CF117" s="578"/>
      <c r="CG117" s="578"/>
      <c r="CH117" s="578"/>
      <c r="CI117" s="578"/>
      <c r="CJ117" s="578"/>
      <c r="CK117" s="542" t="s">
        <v>79</v>
      </c>
      <c r="CL117" s="543" t="s">
        <v>1913</v>
      </c>
      <c r="CM117" s="528" t="s">
        <v>1907</v>
      </c>
      <c r="CN117" s="528" t="s">
        <v>1849</v>
      </c>
      <c r="CO117" s="528" t="s">
        <v>1849</v>
      </c>
      <c r="CP117" s="579">
        <f>U117</f>
        <v>1265109.19</v>
      </c>
      <c r="CQ117" s="579"/>
      <c r="CR117" s="579"/>
      <c r="CS117" s="1691"/>
      <c r="CT117" s="1692"/>
      <c r="CU117" s="1692"/>
      <c r="CV117" s="1692"/>
      <c r="CW117" s="1693"/>
      <c r="CX117" s="528"/>
      <c r="CY117" s="528"/>
      <c r="CZ117" s="528"/>
      <c r="DA117" s="528"/>
      <c r="DB117" s="579">
        <f>306132.46</f>
        <v>306132.46000000002</v>
      </c>
      <c r="DC117" s="628" t="e">
        <f>P117-#REF!</f>
        <v>#REF!</v>
      </c>
      <c r="DD117" s="535"/>
      <c r="DE117" s="535"/>
      <c r="DF117" s="576">
        <f t="shared" si="211"/>
        <v>1841.8642299999999</v>
      </c>
      <c r="DG117" s="576">
        <f t="shared" si="211"/>
        <v>138.51054000000002</v>
      </c>
      <c r="DH117" s="576">
        <f t="shared" si="211"/>
        <v>22.497199999999999</v>
      </c>
      <c r="DI117" s="522">
        <f t="shared" si="209"/>
        <v>2002.8719699999999</v>
      </c>
      <c r="DJ117" s="536"/>
      <c r="DK117" s="536"/>
      <c r="DL117" s="536"/>
      <c r="DM117" s="536"/>
      <c r="DN117" s="536"/>
      <c r="DO117" s="536"/>
      <c r="DP117" s="536"/>
      <c r="DQ117" s="536"/>
      <c r="DR117" s="536"/>
      <c r="DS117" s="536"/>
    </row>
    <row r="118" spans="1:123" s="534" customFormat="1" ht="56.4">
      <c r="A118" s="537" t="s">
        <v>422</v>
      </c>
      <c r="B118" s="538" t="s">
        <v>423</v>
      </c>
      <c r="C118" s="576"/>
      <c r="D118" s="576"/>
      <c r="E118" s="576">
        <v>0</v>
      </c>
      <c r="F118" s="576">
        <v>300252.06</v>
      </c>
      <c r="G118" s="631">
        <v>12333748.384166593</v>
      </c>
      <c r="H118" s="577">
        <v>0</v>
      </c>
      <c r="I118" s="576">
        <f t="shared" si="198"/>
        <v>150068.89000000001</v>
      </c>
      <c r="J118" s="576">
        <v>111645.32</v>
      </c>
      <c r="K118" s="576">
        <v>17538.560000000001</v>
      </c>
      <c r="L118" s="576">
        <v>20885.009999999998</v>
      </c>
      <c r="M118" s="576">
        <f t="shared" si="199"/>
        <v>129183.88</v>
      </c>
      <c r="N118" s="576">
        <v>128408.03</v>
      </c>
      <c r="O118" s="525">
        <f t="shared" si="200"/>
        <v>266303.59999999998</v>
      </c>
      <c r="P118" s="522">
        <v>394711.63</v>
      </c>
      <c r="Q118" s="576">
        <f t="shared" si="151"/>
        <v>244642.74</v>
      </c>
      <c r="R118" s="576">
        <f t="shared" si="152"/>
        <v>163.02029021471401</v>
      </c>
      <c r="S118" s="576">
        <v>334280</v>
      </c>
      <c r="T118" s="576">
        <v>334280</v>
      </c>
      <c r="U118" s="522">
        <f t="shared" si="201"/>
        <v>166736.5</v>
      </c>
      <c r="V118" s="522">
        <f t="shared" si="149"/>
        <v>-167543.5</v>
      </c>
      <c r="W118" s="522">
        <f t="shared" si="153"/>
        <v>-50.120707191575924</v>
      </c>
      <c r="X118" s="522">
        <f t="shared" si="154"/>
        <v>-227975.13</v>
      </c>
      <c r="Y118" s="522">
        <f t="shared" si="155"/>
        <v>-57.757388602914993</v>
      </c>
      <c r="Z118" s="524">
        <f t="shared" si="156"/>
        <v>449721.74000000005</v>
      </c>
      <c r="AA118" s="522">
        <f t="shared" si="157"/>
        <v>115441.74000000005</v>
      </c>
      <c r="AB118" s="522">
        <f t="shared" si="158"/>
        <v>34.534444178532965</v>
      </c>
      <c r="AC118" s="522">
        <f t="shared" si="159"/>
        <v>282985.24000000005</v>
      </c>
      <c r="AD118" s="522">
        <f t="shared" si="160"/>
        <v>169.72003130688245</v>
      </c>
      <c r="AE118" s="522">
        <f t="shared" si="161"/>
        <v>55010.110000000044</v>
      </c>
      <c r="AF118" s="522">
        <f t="shared" si="162"/>
        <v>13.936784685062364</v>
      </c>
      <c r="AG118" s="522">
        <f t="shared" si="177"/>
        <v>11700155.110000001</v>
      </c>
      <c r="AH118" s="522">
        <f t="shared" si="163"/>
        <v>11533418.610000001</v>
      </c>
      <c r="AI118" s="522">
        <f t="shared" si="164"/>
        <v>6917.1528789437234</v>
      </c>
      <c r="AJ118" s="522">
        <f t="shared" si="165"/>
        <v>11250433.370000001</v>
      </c>
      <c r="AK118" s="522">
        <f t="shared" si="212"/>
        <v>2501.6432094210077</v>
      </c>
      <c r="AL118" s="522">
        <f t="shared" si="202"/>
        <v>11700155.110000001</v>
      </c>
      <c r="AM118" s="522">
        <f t="shared" si="192"/>
        <v>93145.46</v>
      </c>
      <c r="AN118" s="522">
        <f t="shared" si="192"/>
        <v>376130.70000000007</v>
      </c>
      <c r="AO118" s="522">
        <f t="shared" si="166"/>
        <v>282985.24000000005</v>
      </c>
      <c r="AP118" s="522">
        <f t="shared" si="178"/>
        <v>303.81001929670003</v>
      </c>
      <c r="AQ118" s="578">
        <f>0+31779.66</f>
        <v>31779.66</v>
      </c>
      <c r="AR118" s="578">
        <v>48847.53</v>
      </c>
      <c r="AS118" s="578">
        <v>61365.8</v>
      </c>
      <c r="AT118" s="578">
        <v>327283.17000000004</v>
      </c>
      <c r="AU118" s="578">
        <f t="shared" si="208"/>
        <v>73591.039999999994</v>
      </c>
      <c r="AV118" s="578">
        <f t="shared" si="208"/>
        <v>73591.039999999994</v>
      </c>
      <c r="AW118" s="578">
        <f t="shared" si="167"/>
        <v>0</v>
      </c>
      <c r="AX118" s="578">
        <f t="shared" si="168"/>
        <v>0</v>
      </c>
      <c r="AY118" s="578">
        <f t="shared" si="210"/>
        <v>11324024.410000002</v>
      </c>
      <c r="AZ118" s="578">
        <f t="shared" si="169"/>
        <v>-11250433.370000003</v>
      </c>
      <c r="BA118" s="578">
        <f t="shared" si="170"/>
        <v>-99.350133509646852</v>
      </c>
      <c r="BB118" s="578">
        <v>73591.039999999994</v>
      </c>
      <c r="BC118" s="576">
        <f>'[67]Гл инж_Тех дир'!AT97</f>
        <v>73591.039999999994</v>
      </c>
      <c r="BD118" s="576">
        <f t="shared" si="203"/>
        <v>9039567.1800000016</v>
      </c>
      <c r="BE118" s="576">
        <f t="shared" si="171"/>
        <v>8965976.1400000025</v>
      </c>
      <c r="BF118" s="576">
        <f t="shared" si="172"/>
        <v>8965976.1400000025</v>
      </c>
      <c r="BG118" s="576">
        <f t="shared" si="150"/>
        <v>166736.5</v>
      </c>
      <c r="BH118" s="578">
        <f t="shared" si="150"/>
        <v>449721.74000000005</v>
      </c>
      <c r="BI118" s="578">
        <v>9415697.8800000008</v>
      </c>
      <c r="BJ118" s="578">
        <f t="shared" si="173"/>
        <v>9248961.3800000008</v>
      </c>
      <c r="BK118" s="578">
        <f t="shared" si="174"/>
        <v>8965976.1400000006</v>
      </c>
      <c r="BL118" s="576">
        <v>0</v>
      </c>
      <c r="BM118" s="578">
        <f>'[67]Гл инж_Тех дир'!AW97</f>
        <v>0</v>
      </c>
      <c r="BN118" s="522">
        <f t="shared" si="204"/>
        <v>2284457.2300000004</v>
      </c>
      <c r="BO118" s="578">
        <f t="shared" si="181"/>
        <v>2284457.2300000004</v>
      </c>
      <c r="BP118" s="578">
        <f t="shared" si="175"/>
        <v>2284457.2300000004</v>
      </c>
      <c r="BQ118" s="576">
        <v>0</v>
      </c>
      <c r="BR118" s="578">
        <f>'[67]Гл инж_Тех дир'!BB97</f>
        <v>0</v>
      </c>
      <c r="BS118" s="578">
        <f>'[67]Гл инж_Тех дир'!BC97</f>
        <v>0</v>
      </c>
      <c r="BT118" s="536"/>
      <c r="BU118" s="578">
        <v>11156406.73</v>
      </c>
      <c r="BV118" s="578">
        <v>543748.38</v>
      </c>
      <c r="BW118" s="578"/>
      <c r="BX118" s="629"/>
      <c r="BY118" s="525">
        <f>11155244.79+543748.38</f>
        <v>11698993.17</v>
      </c>
      <c r="BZ118" s="525">
        <v>727.27</v>
      </c>
      <c r="CA118" s="525">
        <v>434.67</v>
      </c>
      <c r="CB118" s="522">
        <f t="shared" si="213"/>
        <v>11700155.109999999</v>
      </c>
      <c r="CC118" s="522">
        <f t="shared" si="176"/>
        <v>0</v>
      </c>
      <c r="CD118" s="578"/>
      <c r="CE118" s="578"/>
      <c r="CF118" s="578"/>
      <c r="CG118" s="578"/>
      <c r="CH118" s="578"/>
      <c r="CI118" s="578"/>
      <c r="CJ118" s="578"/>
      <c r="CK118" s="542" t="s">
        <v>79</v>
      </c>
      <c r="CL118" s="543" t="s">
        <v>1913</v>
      </c>
      <c r="CM118" s="528" t="s">
        <v>1907</v>
      </c>
      <c r="CN118" s="528"/>
      <c r="CO118" s="528"/>
      <c r="CP118" s="544">
        <f t="shared" ref="CP118:CP132" si="214">U118*$CU$7/100</f>
        <v>153834.50470793041</v>
      </c>
      <c r="CQ118" s="544">
        <f t="shared" ref="CQ118:CQ132" si="215">U118*$CU$8/100</f>
        <v>11299.646242747342</v>
      </c>
      <c r="CR118" s="544">
        <f t="shared" ref="CR118:CR132" si="216">U118*$CU$9/100</f>
        <v>1602.3490493222532</v>
      </c>
      <c r="CS118" s="1688" t="s">
        <v>1826</v>
      </c>
      <c r="CT118" s="1689"/>
      <c r="CU118" s="1689"/>
      <c r="CV118" s="1689"/>
      <c r="CW118" s="1690"/>
      <c r="CX118" s="528"/>
      <c r="CY118" s="528"/>
      <c r="CZ118" s="528"/>
      <c r="DA118" s="528"/>
      <c r="DB118" s="579">
        <f>48847.53</f>
        <v>48847.53</v>
      </c>
      <c r="DC118" s="628" t="e">
        <f>P118-#REF!</f>
        <v>#REF!</v>
      </c>
      <c r="DD118" s="535"/>
      <c r="DE118" s="535"/>
      <c r="DF118" s="525">
        <f t="shared" si="211"/>
        <v>11698.99317</v>
      </c>
      <c r="DG118" s="525">
        <f t="shared" si="211"/>
        <v>0.72726999999999997</v>
      </c>
      <c r="DH118" s="525">
        <f t="shared" si="211"/>
        <v>0.43467</v>
      </c>
      <c r="DI118" s="522">
        <f t="shared" si="209"/>
        <v>11700.15511</v>
      </c>
      <c r="DJ118" s="536"/>
      <c r="DK118" s="536"/>
      <c r="DL118" s="536"/>
      <c r="DM118" s="536"/>
      <c r="DN118" s="536"/>
      <c r="DO118" s="536"/>
      <c r="DP118" s="536"/>
      <c r="DQ118" s="536"/>
      <c r="DR118" s="536"/>
      <c r="DS118" s="536"/>
    </row>
    <row r="119" spans="1:123" s="534" customFormat="1" ht="63" customHeight="1">
      <c r="A119" s="537" t="s">
        <v>427</v>
      </c>
      <c r="B119" s="538" t="s">
        <v>428</v>
      </c>
      <c r="C119" s="576">
        <v>708860.1</v>
      </c>
      <c r="D119" s="576">
        <v>671898.87</v>
      </c>
      <c r="E119" s="525">
        <v>500000</v>
      </c>
      <c r="F119" s="525">
        <v>716410.52</v>
      </c>
      <c r="G119" s="596">
        <v>709464.75791660813</v>
      </c>
      <c r="H119" s="596">
        <v>0</v>
      </c>
      <c r="I119" s="525">
        <f t="shared" si="198"/>
        <v>863608.52</v>
      </c>
      <c r="J119" s="525">
        <v>411143.76</v>
      </c>
      <c r="K119" s="525">
        <v>271464.76</v>
      </c>
      <c r="L119" s="525">
        <v>181000</v>
      </c>
      <c r="M119" s="525">
        <f t="shared" si="199"/>
        <v>682608.52</v>
      </c>
      <c r="N119" s="525">
        <v>913462.07</v>
      </c>
      <c r="O119" s="525">
        <f t="shared" si="200"/>
        <v>608232.62</v>
      </c>
      <c r="P119" s="522">
        <f>70+1521624.69</f>
        <v>1521694.69</v>
      </c>
      <c r="Q119" s="525">
        <f t="shared" si="151"/>
        <v>658086.16999999993</v>
      </c>
      <c r="R119" s="525">
        <f t="shared" si="152"/>
        <v>76.20190801267222</v>
      </c>
      <c r="S119" s="525">
        <v>748485.3196020216</v>
      </c>
      <c r="T119" s="525">
        <v>748485.3196020216</v>
      </c>
      <c r="U119" s="522">
        <f t="shared" si="201"/>
        <v>1094000</v>
      </c>
      <c r="V119" s="522">
        <f t="shared" si="149"/>
        <v>345514.6803979784</v>
      </c>
      <c r="W119" s="522">
        <f t="shared" si="153"/>
        <v>46.161851321505225</v>
      </c>
      <c r="X119" s="522">
        <f t="shared" si="154"/>
        <v>-427694.68999999994</v>
      </c>
      <c r="Y119" s="522">
        <f t="shared" si="155"/>
        <v>-28.106471870516941</v>
      </c>
      <c r="Z119" s="524">
        <f t="shared" si="156"/>
        <v>1282126.72</v>
      </c>
      <c r="AA119" s="522">
        <f t="shared" si="157"/>
        <v>533641.40039797837</v>
      </c>
      <c r="AB119" s="522">
        <f t="shared" si="158"/>
        <v>71.296174610575093</v>
      </c>
      <c r="AC119" s="522">
        <f t="shared" si="159"/>
        <v>188126.71999999997</v>
      </c>
      <c r="AD119" s="522">
        <f t="shared" si="160"/>
        <v>17.196226691042042</v>
      </c>
      <c r="AE119" s="522">
        <f t="shared" si="161"/>
        <v>-239567.96999999997</v>
      </c>
      <c r="AF119" s="522">
        <f t="shared" si="162"/>
        <v>-15.743497797182954</v>
      </c>
      <c r="AG119" s="522">
        <f t="shared" si="177"/>
        <v>1465756.6700000002</v>
      </c>
      <c r="AH119" s="522">
        <f t="shared" si="163"/>
        <v>371756.67000000016</v>
      </c>
      <c r="AI119" s="522">
        <f t="shared" si="164"/>
        <v>33.981414076782471</v>
      </c>
      <c r="AJ119" s="522">
        <f t="shared" si="165"/>
        <v>183629.95000000019</v>
      </c>
      <c r="AK119" s="522">
        <f t="shared" si="212"/>
        <v>14.322293353343426</v>
      </c>
      <c r="AL119" s="522">
        <f t="shared" si="202"/>
        <v>1465756.6700000002</v>
      </c>
      <c r="AM119" s="522">
        <f t="shared" si="192"/>
        <v>692000</v>
      </c>
      <c r="AN119" s="522">
        <f t="shared" si="192"/>
        <v>880126.72</v>
      </c>
      <c r="AO119" s="522">
        <f t="shared" si="166"/>
        <v>188126.71999999997</v>
      </c>
      <c r="AP119" s="522">
        <f t="shared" si="178"/>
        <v>27.185942196531784</v>
      </c>
      <c r="AQ119" s="522">
        <v>74000</v>
      </c>
      <c r="AR119" s="522">
        <v>198631.2</v>
      </c>
      <c r="AS119" s="522">
        <v>618000</v>
      </c>
      <c r="AT119" s="522">
        <v>681495.52</v>
      </c>
      <c r="AU119" s="522">
        <f t="shared" si="208"/>
        <v>402000</v>
      </c>
      <c r="AV119" s="522">
        <f t="shared" si="208"/>
        <v>402000</v>
      </c>
      <c r="AW119" s="522">
        <f t="shared" si="167"/>
        <v>0</v>
      </c>
      <c r="AX119" s="522">
        <f t="shared" si="168"/>
        <v>0</v>
      </c>
      <c r="AY119" s="522">
        <f t="shared" si="210"/>
        <v>585629.95000000019</v>
      </c>
      <c r="AZ119" s="522">
        <f t="shared" si="169"/>
        <v>-183629.95000000019</v>
      </c>
      <c r="BA119" s="522">
        <f t="shared" si="170"/>
        <v>-31.35596975530369</v>
      </c>
      <c r="BB119" s="522">
        <v>301000</v>
      </c>
      <c r="BC119" s="525">
        <f>'[67]Дир_ по реал.услуг'!AT22</f>
        <v>301000</v>
      </c>
      <c r="BD119" s="525">
        <f t="shared" si="203"/>
        <v>226086.18000000017</v>
      </c>
      <c r="BE119" s="525">
        <f t="shared" si="171"/>
        <v>-74913.819999999832</v>
      </c>
      <c r="BF119" s="525">
        <f t="shared" si="172"/>
        <v>-74913.819999999832</v>
      </c>
      <c r="BG119" s="525">
        <f t="shared" si="150"/>
        <v>993000</v>
      </c>
      <c r="BH119" s="522">
        <f t="shared" si="150"/>
        <v>1181126.72</v>
      </c>
      <c r="BI119" s="522">
        <f>1106022.84+190.06</f>
        <v>1106212.9000000001</v>
      </c>
      <c r="BJ119" s="522">
        <f t="shared" si="173"/>
        <v>113212.90000000014</v>
      </c>
      <c r="BK119" s="522">
        <f t="shared" si="174"/>
        <v>-74913.819999999832</v>
      </c>
      <c r="BL119" s="525">
        <v>101000</v>
      </c>
      <c r="BM119" s="522">
        <f>'[67]Дир_ по реал.услуг'!AW22</f>
        <v>101000</v>
      </c>
      <c r="BN119" s="522">
        <f t="shared" si="204"/>
        <v>359543.77</v>
      </c>
      <c r="BO119" s="522">
        <f t="shared" si="181"/>
        <v>258543.77000000002</v>
      </c>
      <c r="BP119" s="522">
        <f t="shared" si="175"/>
        <v>258543.77000000002</v>
      </c>
      <c r="BQ119" s="525">
        <v>101000</v>
      </c>
      <c r="BR119" s="522">
        <f>'[67]Дир_ по реал.услуг'!BB22</f>
        <v>0</v>
      </c>
      <c r="BS119" s="522">
        <f>'[67]Дир_ по реал.услуг'!BC22</f>
        <v>0</v>
      </c>
      <c r="BT119" s="536"/>
      <c r="BU119" s="522">
        <v>1465566.61</v>
      </c>
      <c r="BV119" s="522">
        <v>190.06</v>
      </c>
      <c r="BW119" s="522"/>
      <c r="BX119" s="629"/>
      <c r="BY119" s="525">
        <f>1448968.26+190.06</f>
        <v>1449158.32</v>
      </c>
      <c r="BZ119" s="525">
        <v>15026.26</v>
      </c>
      <c r="CA119" s="525">
        <v>1572.09</v>
      </c>
      <c r="CB119" s="522">
        <f t="shared" si="213"/>
        <v>1465756.6700000002</v>
      </c>
      <c r="CC119" s="522">
        <f t="shared" si="176"/>
        <v>0</v>
      </c>
      <c r="CD119" s="522"/>
      <c r="CE119" s="522"/>
      <c r="CF119" s="522"/>
      <c r="CG119" s="522"/>
      <c r="CH119" s="522"/>
      <c r="CI119" s="522"/>
      <c r="CJ119" s="522"/>
      <c r="CK119" s="543" t="s">
        <v>78</v>
      </c>
      <c r="CL119" s="543" t="s">
        <v>1833</v>
      </c>
      <c r="CM119" s="528" t="s">
        <v>1907</v>
      </c>
      <c r="CN119" s="528"/>
      <c r="CO119" s="528"/>
      <c r="CP119" s="544">
        <f t="shared" si="214"/>
        <v>1009346.7726051337</v>
      </c>
      <c r="CQ119" s="544">
        <f t="shared" si="215"/>
        <v>74139.813355597551</v>
      </c>
      <c r="CR119" s="544">
        <f t="shared" si="216"/>
        <v>10513.414039268817</v>
      </c>
      <c r="CS119" s="1688" t="s">
        <v>1826</v>
      </c>
      <c r="CT119" s="1689"/>
      <c r="CU119" s="1689"/>
      <c r="CV119" s="1689"/>
      <c r="CW119" s="1690"/>
      <c r="CX119" s="528"/>
      <c r="CY119" s="528"/>
      <c r="CZ119" s="528"/>
      <c r="DA119" s="528"/>
      <c r="DB119" s="544">
        <f>198441.14+190.06</f>
        <v>198631.2</v>
      </c>
      <c r="DC119" s="628" t="e">
        <f>P119-#REF!</f>
        <v>#REF!</v>
      </c>
      <c r="DD119" s="535"/>
      <c r="DE119" s="535"/>
      <c r="DF119" s="525">
        <f t="shared" si="211"/>
        <v>1449.15832</v>
      </c>
      <c r="DG119" s="525">
        <f t="shared" si="211"/>
        <v>15.026260000000001</v>
      </c>
      <c r="DH119" s="525">
        <f t="shared" si="211"/>
        <v>1.57209</v>
      </c>
      <c r="DI119" s="522">
        <f t="shared" si="209"/>
        <v>1465.7566700000002</v>
      </c>
      <c r="DJ119" s="536"/>
      <c r="DK119" s="536"/>
      <c r="DL119" s="536"/>
      <c r="DM119" s="536"/>
      <c r="DN119" s="536"/>
      <c r="DO119" s="536"/>
      <c r="DP119" s="536"/>
      <c r="DQ119" s="536"/>
      <c r="DR119" s="536"/>
      <c r="DS119" s="536"/>
    </row>
    <row r="120" spans="1:123" s="534" customFormat="1" ht="87" customHeight="1">
      <c r="A120" s="537" t="s">
        <v>433</v>
      </c>
      <c r="B120" s="538" t="s">
        <v>434</v>
      </c>
      <c r="C120" s="576">
        <v>482570.91</v>
      </c>
      <c r="D120" s="576">
        <v>735246.11</v>
      </c>
      <c r="E120" s="525">
        <v>545000</v>
      </c>
      <c r="F120" s="525">
        <v>1232673.48</v>
      </c>
      <c r="G120" s="596">
        <v>776347.88549480343</v>
      </c>
      <c r="H120" s="596">
        <v>0</v>
      </c>
      <c r="I120" s="525">
        <f t="shared" si="198"/>
        <v>1421288.4100000001</v>
      </c>
      <c r="J120" s="525">
        <v>557288.41</v>
      </c>
      <c r="K120" s="525">
        <v>407500</v>
      </c>
      <c r="L120" s="525">
        <v>456500</v>
      </c>
      <c r="M120" s="525">
        <f t="shared" si="199"/>
        <v>964788.41</v>
      </c>
      <c r="N120" s="525">
        <v>907044.58</v>
      </c>
      <c r="O120" s="525">
        <f t="shared" si="200"/>
        <v>492367.35</v>
      </c>
      <c r="P120" s="522">
        <v>1399411.93</v>
      </c>
      <c r="Q120" s="525">
        <f t="shared" si="151"/>
        <v>-21876.480000000214</v>
      </c>
      <c r="R120" s="525">
        <f t="shared" si="152"/>
        <v>-1.5392006186837364</v>
      </c>
      <c r="S120" s="525">
        <v>819047.01919701754</v>
      </c>
      <c r="T120" s="525">
        <v>819047.01919701754</v>
      </c>
      <c r="U120" s="522">
        <f t="shared" si="201"/>
        <v>1187525.8399999999</v>
      </c>
      <c r="V120" s="522">
        <f t="shared" si="149"/>
        <v>368478.82080298231</v>
      </c>
      <c r="W120" s="522">
        <f t="shared" si="153"/>
        <v>44.988726186224795</v>
      </c>
      <c r="X120" s="522">
        <f t="shared" si="154"/>
        <v>-211886.09000000008</v>
      </c>
      <c r="Y120" s="522">
        <f t="shared" si="155"/>
        <v>-15.141080725244365</v>
      </c>
      <c r="Z120" s="524">
        <f t="shared" si="156"/>
        <v>1182012.94</v>
      </c>
      <c r="AA120" s="522">
        <f t="shared" si="157"/>
        <v>362965.92080298241</v>
      </c>
      <c r="AB120" s="522">
        <f t="shared" si="158"/>
        <v>44.315639065365161</v>
      </c>
      <c r="AC120" s="522">
        <f t="shared" si="159"/>
        <v>-5512.8999999999069</v>
      </c>
      <c r="AD120" s="522">
        <f t="shared" si="160"/>
        <v>-0.46423410879211247</v>
      </c>
      <c r="AE120" s="522">
        <f t="shared" si="161"/>
        <v>-217398.99</v>
      </c>
      <c r="AF120" s="522">
        <f t="shared" si="162"/>
        <v>-15.535024772870131</v>
      </c>
      <c r="AG120" s="522">
        <f t="shared" si="177"/>
        <v>1250866.08</v>
      </c>
      <c r="AH120" s="522">
        <f t="shared" si="163"/>
        <v>63340.240000000224</v>
      </c>
      <c r="AI120" s="522">
        <f t="shared" si="164"/>
        <v>5.3337988839047341</v>
      </c>
      <c r="AJ120" s="522">
        <f t="shared" si="165"/>
        <v>68853.14000000013</v>
      </c>
      <c r="AK120" s="522">
        <f t="shared" si="212"/>
        <v>5.8250749776055812</v>
      </c>
      <c r="AL120" s="522">
        <f t="shared" si="202"/>
        <v>1250866.08</v>
      </c>
      <c r="AM120" s="522">
        <f t="shared" si="192"/>
        <v>564025.84</v>
      </c>
      <c r="AN120" s="522">
        <f t="shared" si="192"/>
        <v>558512.93999999994</v>
      </c>
      <c r="AO120" s="522">
        <f t="shared" si="166"/>
        <v>-5512.9000000000233</v>
      </c>
      <c r="AP120" s="522">
        <f t="shared" si="178"/>
        <v>-0.97741975793167057</v>
      </c>
      <c r="AQ120" s="522">
        <v>82525.84</v>
      </c>
      <c r="AR120" s="522">
        <v>213939.42</v>
      </c>
      <c r="AS120" s="522">
        <v>481500</v>
      </c>
      <c r="AT120" s="522">
        <v>344573.5199999999</v>
      </c>
      <c r="AU120" s="522">
        <f t="shared" si="208"/>
        <v>623500</v>
      </c>
      <c r="AV120" s="522">
        <f t="shared" si="208"/>
        <v>623500</v>
      </c>
      <c r="AW120" s="522">
        <f t="shared" si="167"/>
        <v>0</v>
      </c>
      <c r="AX120" s="522">
        <f t="shared" si="168"/>
        <v>0</v>
      </c>
      <c r="AY120" s="522">
        <f t="shared" si="210"/>
        <v>692353.14000000013</v>
      </c>
      <c r="AZ120" s="522">
        <f t="shared" si="169"/>
        <v>-68853.14000000013</v>
      </c>
      <c r="BA120" s="522">
        <f t="shared" si="170"/>
        <v>-9.9448007125381253</v>
      </c>
      <c r="BB120" s="522">
        <v>425000</v>
      </c>
      <c r="BC120" s="525">
        <f>'[67]Дир_ по реал.услуг'!AT23</f>
        <v>425000</v>
      </c>
      <c r="BD120" s="525">
        <f t="shared" si="203"/>
        <v>217670.66000000003</v>
      </c>
      <c r="BE120" s="525">
        <f t="shared" si="171"/>
        <v>-207329.33999999997</v>
      </c>
      <c r="BF120" s="525">
        <f t="shared" si="172"/>
        <v>-207329.33999999997</v>
      </c>
      <c r="BG120" s="525">
        <f t="shared" si="150"/>
        <v>989025.84</v>
      </c>
      <c r="BH120" s="522">
        <f t="shared" si="150"/>
        <v>983512.94</v>
      </c>
      <c r="BI120" s="522">
        <v>776183.6</v>
      </c>
      <c r="BJ120" s="522">
        <f t="shared" si="173"/>
        <v>-212842.23999999999</v>
      </c>
      <c r="BK120" s="522">
        <f t="shared" si="174"/>
        <v>-207329.33999999997</v>
      </c>
      <c r="BL120" s="525">
        <v>198500</v>
      </c>
      <c r="BM120" s="522">
        <f>'[67]Дир_ по реал.услуг'!AW23</f>
        <v>198500</v>
      </c>
      <c r="BN120" s="522">
        <f t="shared" si="204"/>
        <v>474682.4800000001</v>
      </c>
      <c r="BO120" s="522">
        <f t="shared" si="181"/>
        <v>276182.4800000001</v>
      </c>
      <c r="BP120" s="522">
        <f t="shared" si="175"/>
        <v>276182.4800000001</v>
      </c>
      <c r="BQ120" s="525">
        <v>198500</v>
      </c>
      <c r="BR120" s="522">
        <f>'[67]Дир_ по реал.услуг'!BB23</f>
        <v>0</v>
      </c>
      <c r="BS120" s="522">
        <f>'[67]Дир_ по реал.услуг'!BC23</f>
        <v>0</v>
      </c>
      <c r="BT120" s="536"/>
      <c r="BU120" s="522">
        <v>1250866.08</v>
      </c>
      <c r="BV120" s="522"/>
      <c r="BW120" s="522"/>
      <c r="BX120" s="629"/>
      <c r="BY120" s="525">
        <v>1244223.82</v>
      </c>
      <c r="BZ120" s="525"/>
      <c r="CA120" s="525">
        <v>6642.26</v>
      </c>
      <c r="CB120" s="522">
        <f t="shared" si="213"/>
        <v>1250866.08</v>
      </c>
      <c r="CC120" s="522">
        <f t="shared" si="176"/>
        <v>0</v>
      </c>
      <c r="CD120" s="522"/>
      <c r="CE120" s="522"/>
      <c r="CF120" s="522"/>
      <c r="CG120" s="522"/>
      <c r="CH120" s="522"/>
      <c r="CI120" s="522"/>
      <c r="CJ120" s="522"/>
      <c r="CK120" s="543" t="s">
        <v>78</v>
      </c>
      <c r="CL120" s="543" t="s">
        <v>1833</v>
      </c>
      <c r="CM120" s="528" t="s">
        <v>1907</v>
      </c>
      <c r="CN120" s="528" t="s">
        <v>1849</v>
      </c>
      <c r="CO120" s="528"/>
      <c r="CP120" s="544">
        <f t="shared" si="214"/>
        <v>1095635.6252186473</v>
      </c>
      <c r="CQ120" s="544">
        <f t="shared" si="215"/>
        <v>80478.011090081534</v>
      </c>
      <c r="CR120" s="544">
        <f t="shared" si="216"/>
        <v>11412.203691271017</v>
      </c>
      <c r="CS120" s="1688" t="s">
        <v>1826</v>
      </c>
      <c r="CT120" s="1689"/>
      <c r="CU120" s="1689"/>
      <c r="CV120" s="1689"/>
      <c r="CW120" s="1690"/>
      <c r="CX120" s="528"/>
      <c r="CY120" s="528"/>
      <c r="CZ120" s="528"/>
      <c r="DA120" s="528"/>
      <c r="DB120" s="544">
        <f>213939.42</f>
        <v>213939.42</v>
      </c>
      <c r="DC120" s="628" t="e">
        <f>P120-#REF!</f>
        <v>#REF!</v>
      </c>
      <c r="DD120" s="535">
        <f>776183.6</f>
        <v>776183.6</v>
      </c>
      <c r="DE120" s="535"/>
      <c r="DF120" s="525">
        <f t="shared" si="211"/>
        <v>1244.2238200000002</v>
      </c>
      <c r="DG120" s="525">
        <f t="shared" si="211"/>
        <v>0</v>
      </c>
      <c r="DH120" s="525">
        <f t="shared" si="211"/>
        <v>6.6422600000000003</v>
      </c>
      <c r="DI120" s="522">
        <f t="shared" si="209"/>
        <v>1250.86608</v>
      </c>
      <c r="DJ120" s="536"/>
      <c r="DK120" s="536"/>
      <c r="DL120" s="536"/>
      <c r="DM120" s="536"/>
      <c r="DN120" s="536"/>
      <c r="DO120" s="536"/>
      <c r="DP120" s="536"/>
      <c r="DQ120" s="536"/>
      <c r="DR120" s="536"/>
      <c r="DS120" s="536"/>
    </row>
    <row r="121" spans="1:123" s="534" customFormat="1" ht="72" customHeight="1">
      <c r="A121" s="537" t="s">
        <v>438</v>
      </c>
      <c r="B121" s="538" t="s">
        <v>439</v>
      </c>
      <c r="C121" s="576">
        <v>9189370.2799999993</v>
      </c>
      <c r="D121" s="576">
        <v>0</v>
      </c>
      <c r="E121" s="525">
        <v>10902500</v>
      </c>
      <c r="F121" s="525">
        <v>10683600.17</v>
      </c>
      <c r="G121" s="596">
        <v>0</v>
      </c>
      <c r="H121" s="596">
        <v>0</v>
      </c>
      <c r="I121" s="525">
        <f t="shared" si="198"/>
        <v>12500851.33</v>
      </c>
      <c r="J121" s="525">
        <v>4814750.1300000008</v>
      </c>
      <c r="K121" s="525">
        <v>3843050.6</v>
      </c>
      <c r="L121" s="525">
        <v>3843050.6</v>
      </c>
      <c r="M121" s="525">
        <f t="shared" si="199"/>
        <v>8657800.7300000004</v>
      </c>
      <c r="N121" s="525">
        <v>7471760.8499999996</v>
      </c>
      <c r="O121" s="525">
        <f t="shared" si="200"/>
        <v>8647716.7200000007</v>
      </c>
      <c r="P121" s="522">
        <v>16119477.57</v>
      </c>
      <c r="Q121" s="525">
        <f t="shared" si="151"/>
        <v>3618626.24</v>
      </c>
      <c r="R121" s="525">
        <f t="shared" si="152"/>
        <v>28.947038441421114</v>
      </c>
      <c r="S121" s="525">
        <v>0</v>
      </c>
      <c r="T121" s="525">
        <v>0</v>
      </c>
      <c r="U121" s="522">
        <f t="shared" si="201"/>
        <v>10000000</v>
      </c>
      <c r="V121" s="522">
        <f t="shared" si="149"/>
        <v>10000000</v>
      </c>
      <c r="W121" s="522">
        <v>0</v>
      </c>
      <c r="X121" s="522">
        <f t="shared" si="154"/>
        <v>-6119477.5700000003</v>
      </c>
      <c r="Y121" s="522">
        <f t="shared" si="155"/>
        <v>-37.963250008728423</v>
      </c>
      <c r="Z121" s="524">
        <f t="shared" si="156"/>
        <v>10000000.109999999</v>
      </c>
      <c r="AA121" s="522">
        <f t="shared" si="157"/>
        <v>10000000.109999999</v>
      </c>
      <c r="AB121" s="522">
        <v>0</v>
      </c>
      <c r="AC121" s="522">
        <f t="shared" si="159"/>
        <v>0.10999999940395355</v>
      </c>
      <c r="AD121" s="522">
        <f t="shared" si="160"/>
        <v>1.1000000057492798E-6</v>
      </c>
      <c r="AE121" s="522">
        <f t="shared" si="161"/>
        <v>-6119477.4600000009</v>
      </c>
      <c r="AF121" s="522">
        <f t="shared" si="162"/>
        <v>-37.963249326324167</v>
      </c>
      <c r="AG121" s="522">
        <f t="shared" si="177"/>
        <v>11902544.73</v>
      </c>
      <c r="AH121" s="522">
        <f t="shared" si="163"/>
        <v>1902544.7300000004</v>
      </c>
      <c r="AI121" s="522">
        <f t="shared" si="164"/>
        <v>19.025447299999996</v>
      </c>
      <c r="AJ121" s="522">
        <f t="shared" si="165"/>
        <v>1902544.620000001</v>
      </c>
      <c r="AK121" s="522">
        <f t="shared" si="212"/>
        <v>19.025445990720115</v>
      </c>
      <c r="AL121" s="522">
        <f t="shared" si="202"/>
        <v>11902544.73</v>
      </c>
      <c r="AM121" s="522">
        <f t="shared" si="192"/>
        <v>5000000</v>
      </c>
      <c r="AN121" s="522">
        <f t="shared" si="192"/>
        <v>3945820.1100000003</v>
      </c>
      <c r="AO121" s="522">
        <f t="shared" si="166"/>
        <v>-1054179.8899999997</v>
      </c>
      <c r="AP121" s="522">
        <f t="shared" si="178"/>
        <v>-21.083597799999993</v>
      </c>
      <c r="AQ121" s="522">
        <v>2500000</v>
      </c>
      <c r="AR121" s="522">
        <v>1166381.49</v>
      </c>
      <c r="AS121" s="522">
        <v>2500000</v>
      </c>
      <c r="AT121" s="522">
        <v>2779438.62</v>
      </c>
      <c r="AU121" s="522">
        <f t="shared" si="208"/>
        <v>5000000</v>
      </c>
      <c r="AV121" s="522">
        <f t="shared" si="208"/>
        <v>6054180</v>
      </c>
      <c r="AW121" s="522">
        <f t="shared" si="167"/>
        <v>1054180</v>
      </c>
      <c r="AX121" s="522">
        <f t="shared" si="168"/>
        <v>21.083600000000004</v>
      </c>
      <c r="AY121" s="522">
        <f t="shared" si="210"/>
        <v>7956724.6200000001</v>
      </c>
      <c r="AZ121" s="522">
        <f t="shared" si="169"/>
        <v>-1902544.62</v>
      </c>
      <c r="BA121" s="522">
        <f t="shared" si="170"/>
        <v>-23.911153280556789</v>
      </c>
      <c r="BB121" s="522">
        <v>2500000</v>
      </c>
      <c r="BC121" s="525">
        <f>'[67]Дир_ по реал.услуг'!AT24</f>
        <v>3554180</v>
      </c>
      <c r="BD121" s="525">
        <f t="shared" si="203"/>
        <v>2402525.88</v>
      </c>
      <c r="BE121" s="525">
        <f t="shared" si="171"/>
        <v>-97474.120000000112</v>
      </c>
      <c r="BF121" s="525">
        <f t="shared" si="172"/>
        <v>-1151654.1200000001</v>
      </c>
      <c r="BG121" s="525">
        <f t="shared" si="150"/>
        <v>7500000</v>
      </c>
      <c r="BH121" s="522">
        <f t="shared" si="150"/>
        <v>7500000.1100000003</v>
      </c>
      <c r="BI121" s="522">
        <v>6348345.9900000002</v>
      </c>
      <c r="BJ121" s="522">
        <f t="shared" si="173"/>
        <v>-1151654.0099999998</v>
      </c>
      <c r="BK121" s="522">
        <f t="shared" si="174"/>
        <v>-1151654.1200000001</v>
      </c>
      <c r="BL121" s="525">
        <v>2500000</v>
      </c>
      <c r="BM121" s="522">
        <f>'[67]Дир_ по реал.услуг'!AW24</f>
        <v>2500000</v>
      </c>
      <c r="BN121" s="522">
        <f t="shared" si="204"/>
        <v>5554198.7400000002</v>
      </c>
      <c r="BO121" s="522">
        <f t="shared" si="181"/>
        <v>3054198.74</v>
      </c>
      <c r="BP121" s="522">
        <f t="shared" si="175"/>
        <v>3054198.74</v>
      </c>
      <c r="BQ121" s="525">
        <v>2500000</v>
      </c>
      <c r="BR121" s="522">
        <f>'[67]Дир_ по реал.услуг'!BB24</f>
        <v>0</v>
      </c>
      <c r="BS121" s="522">
        <f>'[67]Дир_ по реал.услуг'!BC24</f>
        <v>0</v>
      </c>
      <c r="BT121" s="536"/>
      <c r="BU121" s="522">
        <v>11902544.73</v>
      </c>
      <c r="BV121" s="522"/>
      <c r="BW121" s="522"/>
      <c r="BX121" s="629"/>
      <c r="BY121" s="525">
        <v>11896866.77</v>
      </c>
      <c r="BZ121" s="525"/>
      <c r="CA121" s="525">
        <v>5677.96</v>
      </c>
      <c r="CB121" s="522">
        <f t="shared" si="213"/>
        <v>11902544.73</v>
      </c>
      <c r="CC121" s="522">
        <f t="shared" si="176"/>
        <v>0</v>
      </c>
      <c r="CD121" s="522"/>
      <c r="CE121" s="522"/>
      <c r="CF121" s="522"/>
      <c r="CG121" s="522"/>
      <c r="CH121" s="522"/>
      <c r="CI121" s="522"/>
      <c r="CJ121" s="522"/>
      <c r="CK121" s="543" t="s">
        <v>78</v>
      </c>
      <c r="CL121" s="542" t="s">
        <v>1833</v>
      </c>
      <c r="CM121" s="528" t="s">
        <v>1907</v>
      </c>
      <c r="CN121" s="528" t="s">
        <v>1849</v>
      </c>
      <c r="CO121" s="528" t="s">
        <v>1849</v>
      </c>
      <c r="CP121" s="544">
        <f t="shared" si="214"/>
        <v>9226204.5027891565</v>
      </c>
      <c r="CQ121" s="544">
        <f t="shared" si="215"/>
        <v>677694.82043507812</v>
      </c>
      <c r="CR121" s="544">
        <f t="shared" si="216"/>
        <v>96100.676775766144</v>
      </c>
      <c r="CS121" s="1688" t="s">
        <v>1826</v>
      </c>
      <c r="CT121" s="1689"/>
      <c r="CU121" s="1689"/>
      <c r="CV121" s="1689"/>
      <c r="CW121" s="1690"/>
      <c r="CX121" s="528"/>
      <c r="CY121" s="528"/>
      <c r="CZ121" s="528"/>
      <c r="DA121" s="528"/>
      <c r="DB121" s="544">
        <f>1166381.49</f>
        <v>1166381.49</v>
      </c>
      <c r="DC121" s="628" t="e">
        <f>P121-#REF!</f>
        <v>#REF!</v>
      </c>
      <c r="DD121" s="535"/>
      <c r="DE121" s="535"/>
      <c r="DF121" s="525">
        <f t="shared" si="211"/>
        <v>11896.866769999999</v>
      </c>
      <c r="DG121" s="525">
        <f t="shared" si="211"/>
        <v>0</v>
      </c>
      <c r="DH121" s="525">
        <f t="shared" si="211"/>
        <v>5.6779599999999997</v>
      </c>
      <c r="DI121" s="522">
        <f t="shared" si="209"/>
        <v>11902.54473</v>
      </c>
      <c r="DJ121" s="536"/>
      <c r="DK121" s="536"/>
      <c r="DL121" s="536"/>
      <c r="DM121" s="536"/>
      <c r="DN121" s="536"/>
      <c r="DO121" s="536"/>
      <c r="DP121" s="536"/>
      <c r="DQ121" s="536"/>
      <c r="DR121" s="536"/>
      <c r="DS121" s="536"/>
    </row>
    <row r="122" spans="1:123" s="534" customFormat="1" ht="75.75" customHeight="1">
      <c r="A122" s="537" t="s">
        <v>443</v>
      </c>
      <c r="B122" s="538" t="s">
        <v>444</v>
      </c>
      <c r="C122" s="576">
        <v>1393178.66</v>
      </c>
      <c r="D122" s="576">
        <v>3436098.75</v>
      </c>
      <c r="E122" s="525">
        <v>1400000</v>
      </c>
      <c r="F122" s="525">
        <v>1530834.39</v>
      </c>
      <c r="G122" s="596">
        <v>1236657.2868874159</v>
      </c>
      <c r="H122" s="596">
        <v>0</v>
      </c>
      <c r="I122" s="525">
        <f t="shared" si="198"/>
        <v>3343388.1999999997</v>
      </c>
      <c r="J122" s="525">
        <v>810568.37999999989</v>
      </c>
      <c r="K122" s="525">
        <v>1266409.9099999999</v>
      </c>
      <c r="L122" s="525">
        <v>1266409.9099999999</v>
      </c>
      <c r="M122" s="525">
        <f t="shared" si="199"/>
        <v>2076978.2899999998</v>
      </c>
      <c r="N122" s="525">
        <v>1704263.48</v>
      </c>
      <c r="O122" s="525">
        <f t="shared" si="200"/>
        <v>1441329.2799999998</v>
      </c>
      <c r="P122" s="522">
        <v>3145592.76</v>
      </c>
      <c r="Q122" s="525">
        <f t="shared" si="151"/>
        <v>-197795.43999999994</v>
      </c>
      <c r="R122" s="525">
        <f t="shared" si="152"/>
        <v>-5.9160177690403941</v>
      </c>
      <c r="S122" s="525">
        <v>1546061.8824999996</v>
      </c>
      <c r="T122" s="525">
        <v>1546061.8824999996</v>
      </c>
      <c r="U122" s="522">
        <f t="shared" si="201"/>
        <v>2971000</v>
      </c>
      <c r="V122" s="522">
        <f t="shared" si="149"/>
        <v>1424938.1175000004</v>
      </c>
      <c r="W122" s="522">
        <f t="shared" si="153"/>
        <v>92.165658673109476</v>
      </c>
      <c r="X122" s="522">
        <f t="shared" si="154"/>
        <v>-174592.75999999978</v>
      </c>
      <c r="Y122" s="522">
        <f t="shared" si="155"/>
        <v>-5.5503929885698255</v>
      </c>
      <c r="Z122" s="524">
        <f t="shared" si="156"/>
        <v>2970988.5700000003</v>
      </c>
      <c r="AA122" s="522">
        <f t="shared" si="157"/>
        <v>1424926.6875000007</v>
      </c>
      <c r="AB122" s="522">
        <f t="shared" si="158"/>
        <v>92.164919375405475</v>
      </c>
      <c r="AC122" s="522">
        <f t="shared" si="159"/>
        <v>-11.429999999701977</v>
      </c>
      <c r="AD122" s="522">
        <f t="shared" si="160"/>
        <v>-3.8471894984581922E-4</v>
      </c>
      <c r="AE122" s="522">
        <f t="shared" si="161"/>
        <v>-174604.18999999948</v>
      </c>
      <c r="AF122" s="522">
        <f t="shared" si="162"/>
        <v>-5.5507563541060279</v>
      </c>
      <c r="AG122" s="522">
        <f t="shared" si="177"/>
        <v>3046460.49</v>
      </c>
      <c r="AH122" s="522">
        <f t="shared" si="163"/>
        <v>75460.490000000224</v>
      </c>
      <c r="AI122" s="522">
        <f t="shared" si="164"/>
        <v>2.5399020531807537</v>
      </c>
      <c r="AJ122" s="522">
        <f t="shared" si="165"/>
        <v>75471.919999999925</v>
      </c>
      <c r="AK122" s="522">
        <f t="shared" si="212"/>
        <v>2.5402965451327901</v>
      </c>
      <c r="AL122" s="522">
        <f t="shared" si="202"/>
        <v>3046460.49</v>
      </c>
      <c r="AM122" s="522">
        <f t="shared" si="192"/>
        <v>1485000</v>
      </c>
      <c r="AN122" s="522">
        <f t="shared" si="192"/>
        <v>1711985.57</v>
      </c>
      <c r="AO122" s="522">
        <f t="shared" si="166"/>
        <v>226985.57000000007</v>
      </c>
      <c r="AP122" s="522">
        <f t="shared" si="178"/>
        <v>15.285223569023572</v>
      </c>
      <c r="AQ122" s="522">
        <v>742000</v>
      </c>
      <c r="AR122" s="522">
        <v>938170.72</v>
      </c>
      <c r="AS122" s="522">
        <v>743000</v>
      </c>
      <c r="AT122" s="522">
        <v>773814.85000000009</v>
      </c>
      <c r="AU122" s="522">
        <f t="shared" si="208"/>
        <v>1486000</v>
      </c>
      <c r="AV122" s="522">
        <f t="shared" si="208"/>
        <v>1259003</v>
      </c>
      <c r="AW122" s="522">
        <f t="shared" si="167"/>
        <v>-226997</v>
      </c>
      <c r="AX122" s="522">
        <f t="shared" si="168"/>
        <v>-15.275706594885591</v>
      </c>
      <c r="AY122" s="522">
        <f t="shared" si="210"/>
        <v>1334474.9200000002</v>
      </c>
      <c r="AZ122" s="522">
        <f t="shared" si="169"/>
        <v>-75471.920000000158</v>
      </c>
      <c r="BA122" s="522">
        <f t="shared" si="170"/>
        <v>-5.655551773127371</v>
      </c>
      <c r="BB122" s="522">
        <v>743000</v>
      </c>
      <c r="BC122" s="525">
        <f>'[67]Дир_ по реал.услуг'!AT25</f>
        <v>516003</v>
      </c>
      <c r="BD122" s="525">
        <f t="shared" si="203"/>
        <v>607394.6100000001</v>
      </c>
      <c r="BE122" s="525">
        <f t="shared" si="171"/>
        <v>-135605.3899999999</v>
      </c>
      <c r="BF122" s="525">
        <f t="shared" si="172"/>
        <v>91391.610000000102</v>
      </c>
      <c r="BG122" s="525">
        <f t="shared" si="150"/>
        <v>2228000</v>
      </c>
      <c r="BH122" s="522">
        <f t="shared" si="150"/>
        <v>2227988.5700000003</v>
      </c>
      <c r="BI122" s="522">
        <v>2319380.1800000002</v>
      </c>
      <c r="BJ122" s="522">
        <f t="shared" si="173"/>
        <v>91380.180000000168</v>
      </c>
      <c r="BK122" s="522">
        <f t="shared" si="174"/>
        <v>91391.60999999987</v>
      </c>
      <c r="BL122" s="525">
        <v>743000</v>
      </c>
      <c r="BM122" s="522">
        <f>'[67]Дир_ по реал.услуг'!AW25</f>
        <v>743000</v>
      </c>
      <c r="BN122" s="522">
        <f t="shared" si="204"/>
        <v>727080.31</v>
      </c>
      <c r="BO122" s="522">
        <f t="shared" si="181"/>
        <v>-15919.689999999944</v>
      </c>
      <c r="BP122" s="522">
        <f t="shared" si="175"/>
        <v>-15919.689999999944</v>
      </c>
      <c r="BQ122" s="525">
        <v>743000</v>
      </c>
      <c r="BR122" s="522">
        <f>'[67]Дир_ по реал.услуг'!BB25</f>
        <v>0</v>
      </c>
      <c r="BS122" s="522">
        <f>'[67]Дир_ по реал.услуг'!BC25</f>
        <v>0</v>
      </c>
      <c r="BT122" s="536"/>
      <c r="BU122" s="522">
        <v>3046460.49</v>
      </c>
      <c r="BV122" s="522"/>
      <c r="BW122" s="522"/>
      <c r="BX122" s="629"/>
      <c r="BY122" s="525">
        <v>3006006.01</v>
      </c>
      <c r="BZ122" s="525">
        <v>6177.75</v>
      </c>
      <c r="CA122" s="525">
        <v>34276.730000000003</v>
      </c>
      <c r="CB122" s="522">
        <f t="shared" si="213"/>
        <v>3046460.4899999998</v>
      </c>
      <c r="CC122" s="522">
        <f t="shared" si="176"/>
        <v>0</v>
      </c>
      <c r="CD122" s="522"/>
      <c r="CE122" s="522"/>
      <c r="CF122" s="522"/>
      <c r="CG122" s="522"/>
      <c r="CH122" s="522"/>
      <c r="CI122" s="522"/>
      <c r="CJ122" s="522"/>
      <c r="CK122" s="543" t="s">
        <v>78</v>
      </c>
      <c r="CL122" s="542" t="s">
        <v>1833</v>
      </c>
      <c r="CM122" s="528" t="s">
        <v>1907</v>
      </c>
      <c r="CN122" s="528" t="s">
        <v>1849</v>
      </c>
      <c r="CO122" s="528"/>
      <c r="CP122" s="544">
        <f t="shared" si="214"/>
        <v>2741105.3577786582</v>
      </c>
      <c r="CQ122" s="544">
        <f t="shared" si="215"/>
        <v>201343.13115126174</v>
      </c>
      <c r="CR122" s="544">
        <f t="shared" si="216"/>
        <v>28551.51107008012</v>
      </c>
      <c r="CS122" s="1688" t="s">
        <v>1826</v>
      </c>
      <c r="CT122" s="1689"/>
      <c r="CU122" s="1689"/>
      <c r="CV122" s="1689"/>
      <c r="CW122" s="1690"/>
      <c r="CX122" s="528"/>
      <c r="CY122" s="528"/>
      <c r="CZ122" s="528"/>
      <c r="DA122" s="528"/>
      <c r="DB122" s="544">
        <f>938170.72</f>
        <v>938170.72</v>
      </c>
      <c r="DC122" s="628" t="e">
        <f>P122-#REF!</f>
        <v>#REF!</v>
      </c>
      <c r="DD122" s="535"/>
      <c r="DE122" s="535"/>
      <c r="DF122" s="525">
        <f t="shared" si="211"/>
        <v>3006.0060099999996</v>
      </c>
      <c r="DG122" s="525">
        <f t="shared" si="211"/>
        <v>6.1777499999999996</v>
      </c>
      <c r="DH122" s="525">
        <f t="shared" si="211"/>
        <v>34.276730000000001</v>
      </c>
      <c r="DI122" s="522">
        <f t="shared" si="209"/>
        <v>3046.4604899999999</v>
      </c>
      <c r="DJ122" s="536"/>
      <c r="DK122" s="536"/>
      <c r="DL122" s="536"/>
      <c r="DM122" s="536"/>
      <c r="DN122" s="536"/>
      <c r="DO122" s="536"/>
      <c r="DP122" s="536"/>
      <c r="DQ122" s="536"/>
      <c r="DR122" s="536"/>
      <c r="DS122" s="536"/>
    </row>
    <row r="123" spans="1:123" s="534" customFormat="1" ht="80.25" customHeight="1">
      <c r="A123" s="537" t="s">
        <v>448</v>
      </c>
      <c r="B123" s="538" t="s">
        <v>449</v>
      </c>
      <c r="C123" s="576">
        <v>2874725.72</v>
      </c>
      <c r="D123" s="576">
        <v>3475508.53</v>
      </c>
      <c r="E123" s="576">
        <v>9670508.5299999993</v>
      </c>
      <c r="F123" s="576">
        <v>6367852.2800000003</v>
      </c>
      <c r="G123" s="577">
        <v>3669807.0547562265</v>
      </c>
      <c r="H123" s="577">
        <v>0</v>
      </c>
      <c r="I123" s="576">
        <f t="shared" si="198"/>
        <v>6172189.1799999997</v>
      </c>
      <c r="J123" s="576">
        <v>2781046.28</v>
      </c>
      <c r="K123" s="576">
        <v>1695571.45</v>
      </c>
      <c r="L123" s="576">
        <v>1695571.45</v>
      </c>
      <c r="M123" s="576">
        <f t="shared" si="199"/>
        <v>4476617.7299999995</v>
      </c>
      <c r="N123" s="576">
        <v>4439806.97</v>
      </c>
      <c r="O123" s="525">
        <f t="shared" si="200"/>
        <v>3409012.91</v>
      </c>
      <c r="P123" s="522">
        <v>7848819.8799999999</v>
      </c>
      <c r="Q123" s="576">
        <f t="shared" si="151"/>
        <v>1676630.7000000002</v>
      </c>
      <c r="R123" s="576">
        <f t="shared" si="152"/>
        <v>27.164279173957539</v>
      </c>
      <c r="S123" s="576">
        <v>3871646.4427678189</v>
      </c>
      <c r="T123" s="576">
        <v>3871646.4427678189</v>
      </c>
      <c r="U123" s="522">
        <f t="shared" si="201"/>
        <v>5000000</v>
      </c>
      <c r="V123" s="522">
        <f t="shared" si="149"/>
        <v>1128353.5572321811</v>
      </c>
      <c r="W123" s="522">
        <f t="shared" si="153"/>
        <v>29.144023709601129</v>
      </c>
      <c r="X123" s="522">
        <f t="shared" si="154"/>
        <v>-2848819.88</v>
      </c>
      <c r="Y123" s="522">
        <f t="shared" si="155"/>
        <v>-36.296155645758041</v>
      </c>
      <c r="Z123" s="524">
        <f t="shared" si="156"/>
        <v>5847479.1799999997</v>
      </c>
      <c r="AA123" s="522">
        <f t="shared" si="157"/>
        <v>1975832.7372321808</v>
      </c>
      <c r="AB123" s="522">
        <f t="shared" si="158"/>
        <v>51.033397972663749</v>
      </c>
      <c r="AC123" s="522">
        <f t="shared" si="159"/>
        <v>847479.1799999997</v>
      </c>
      <c r="AD123" s="522">
        <f t="shared" si="160"/>
        <v>16.949583599999983</v>
      </c>
      <c r="AE123" s="522">
        <f t="shared" si="161"/>
        <v>-2001340.7000000002</v>
      </c>
      <c r="AF123" s="522">
        <f t="shared" si="162"/>
        <v>-25.49861929052193</v>
      </c>
      <c r="AG123" s="522">
        <f t="shared" si="177"/>
        <v>9150545.2799999993</v>
      </c>
      <c r="AH123" s="522">
        <f t="shared" si="163"/>
        <v>4150545.2799999993</v>
      </c>
      <c r="AI123" s="522">
        <f t="shared" si="164"/>
        <v>83.010905600000001</v>
      </c>
      <c r="AJ123" s="522">
        <f t="shared" si="165"/>
        <v>3303066.0999999996</v>
      </c>
      <c r="AK123" s="522">
        <f t="shared" si="212"/>
        <v>56.487009159389601</v>
      </c>
      <c r="AL123" s="522">
        <f t="shared" si="202"/>
        <v>9150545.2799999993</v>
      </c>
      <c r="AM123" s="522">
        <f t="shared" si="192"/>
        <v>2500000</v>
      </c>
      <c r="AN123" s="522">
        <f t="shared" si="192"/>
        <v>1748720.55</v>
      </c>
      <c r="AO123" s="522">
        <f t="shared" si="166"/>
        <v>-751279.45</v>
      </c>
      <c r="AP123" s="522">
        <f t="shared" si="178"/>
        <v>-30.051178000000007</v>
      </c>
      <c r="AQ123" s="578">
        <v>1250000</v>
      </c>
      <c r="AR123" s="578">
        <v>984279.71</v>
      </c>
      <c r="AS123" s="578">
        <v>1250000</v>
      </c>
      <c r="AT123" s="578">
        <v>764440.84000000008</v>
      </c>
      <c r="AU123" s="578">
        <f t="shared" si="208"/>
        <v>2500000</v>
      </c>
      <c r="AV123" s="578">
        <f t="shared" si="208"/>
        <v>4098758.63</v>
      </c>
      <c r="AW123" s="578">
        <f t="shared" si="167"/>
        <v>1598758.63</v>
      </c>
      <c r="AX123" s="578">
        <f t="shared" si="168"/>
        <v>63.950345200000015</v>
      </c>
      <c r="AY123" s="578">
        <f t="shared" si="210"/>
        <v>7401824.7299999995</v>
      </c>
      <c r="AZ123" s="578">
        <f t="shared" si="169"/>
        <v>-3303066.0999999996</v>
      </c>
      <c r="BA123" s="578">
        <f t="shared" si="170"/>
        <v>-44.625024510678998</v>
      </c>
      <c r="BB123" s="578">
        <v>1250000</v>
      </c>
      <c r="BC123" s="525">
        <f>'[67]Дир_ по реал.услуг'!AT26</f>
        <v>2001301</v>
      </c>
      <c r="BD123" s="525">
        <f t="shared" si="203"/>
        <v>1887549.16</v>
      </c>
      <c r="BE123" s="525">
        <f t="shared" si="171"/>
        <v>637549.15999999992</v>
      </c>
      <c r="BF123" s="525">
        <f t="shared" si="172"/>
        <v>-113751.84000000008</v>
      </c>
      <c r="BG123" s="525">
        <f t="shared" si="150"/>
        <v>3750000</v>
      </c>
      <c r="BH123" s="522">
        <f t="shared" si="150"/>
        <v>3750021.55</v>
      </c>
      <c r="BI123" s="522">
        <v>3636269.71</v>
      </c>
      <c r="BJ123" s="522">
        <f t="shared" si="173"/>
        <v>-113730.29000000004</v>
      </c>
      <c r="BK123" s="522">
        <f t="shared" si="174"/>
        <v>-113751.83999999985</v>
      </c>
      <c r="BL123" s="525">
        <v>1250000</v>
      </c>
      <c r="BM123" s="522">
        <f>'[67]Дир_ по реал.услуг'!AW26</f>
        <v>2097457.63</v>
      </c>
      <c r="BN123" s="522">
        <f t="shared" si="204"/>
        <v>5514275.5699999994</v>
      </c>
      <c r="BO123" s="522">
        <f t="shared" si="181"/>
        <v>4264275.5699999994</v>
      </c>
      <c r="BP123" s="522">
        <f t="shared" si="175"/>
        <v>3416817.9399999995</v>
      </c>
      <c r="BQ123" s="525">
        <v>1250000</v>
      </c>
      <c r="BR123" s="522">
        <f>'[67]Дир_ по реал.услуг'!BB26</f>
        <v>0</v>
      </c>
      <c r="BS123" s="522">
        <f>'[67]Дир_ по реал.услуг'!BC26</f>
        <v>0</v>
      </c>
      <c r="BT123" s="536"/>
      <c r="BU123" s="522">
        <v>9150545.2799999993</v>
      </c>
      <c r="BV123" s="522"/>
      <c r="BW123" s="522"/>
      <c r="BX123" s="629"/>
      <c r="BY123" s="525">
        <v>9073121.5500000007</v>
      </c>
      <c r="BZ123" s="525"/>
      <c r="CA123" s="525">
        <v>77423.73</v>
      </c>
      <c r="CB123" s="522">
        <f t="shared" si="213"/>
        <v>9150545.2800000012</v>
      </c>
      <c r="CC123" s="522">
        <f t="shared" si="176"/>
        <v>0</v>
      </c>
      <c r="CD123" s="522"/>
      <c r="CE123" s="522"/>
      <c r="CF123" s="522"/>
      <c r="CG123" s="522"/>
      <c r="CH123" s="522"/>
      <c r="CI123" s="522"/>
      <c r="CJ123" s="522"/>
      <c r="CK123" s="543" t="s">
        <v>78</v>
      </c>
      <c r="CL123" s="542" t="s">
        <v>1833</v>
      </c>
      <c r="CM123" s="528" t="s">
        <v>1907</v>
      </c>
      <c r="CN123" s="528" t="s">
        <v>1849</v>
      </c>
      <c r="CO123" s="528" t="s">
        <v>1849</v>
      </c>
      <c r="CP123" s="544">
        <f t="shared" si="214"/>
        <v>4613102.2513945783</v>
      </c>
      <c r="CQ123" s="544">
        <f t="shared" si="215"/>
        <v>338847.41021753906</v>
      </c>
      <c r="CR123" s="544">
        <f t="shared" si="216"/>
        <v>48050.338387883072</v>
      </c>
      <c r="CS123" s="1688" t="s">
        <v>1826</v>
      </c>
      <c r="CT123" s="1689"/>
      <c r="CU123" s="1689"/>
      <c r="CV123" s="1689"/>
      <c r="CW123" s="1690"/>
      <c r="CX123" s="528"/>
      <c r="CY123" s="528"/>
      <c r="CZ123" s="528"/>
      <c r="DA123" s="528"/>
      <c r="DB123" s="579">
        <f>984279.71</f>
        <v>984279.71</v>
      </c>
      <c r="DC123" s="628" t="e">
        <f>P123-#REF!</f>
        <v>#REF!</v>
      </c>
      <c r="DD123" s="535"/>
      <c r="DE123" s="535"/>
      <c r="DF123" s="525">
        <f t="shared" si="211"/>
        <v>9073.1215499999998</v>
      </c>
      <c r="DG123" s="525">
        <f t="shared" si="211"/>
        <v>0</v>
      </c>
      <c r="DH123" s="525">
        <f t="shared" si="211"/>
        <v>77.423729999999992</v>
      </c>
      <c r="DI123" s="522">
        <f t="shared" si="209"/>
        <v>9150.5452800000021</v>
      </c>
      <c r="DJ123" s="536"/>
      <c r="DK123" s="536"/>
      <c r="DL123" s="536"/>
      <c r="DM123" s="536"/>
      <c r="DN123" s="536"/>
      <c r="DO123" s="536"/>
      <c r="DP123" s="536"/>
      <c r="DQ123" s="536"/>
      <c r="DR123" s="536"/>
      <c r="DS123" s="536"/>
    </row>
    <row r="124" spans="1:123" s="534" customFormat="1" ht="80.25" customHeight="1">
      <c r="A124" s="537" t="s">
        <v>510</v>
      </c>
      <c r="B124" s="538" t="s">
        <v>511</v>
      </c>
      <c r="C124" s="576"/>
      <c r="D124" s="576">
        <v>0</v>
      </c>
      <c r="E124" s="525">
        <v>700000</v>
      </c>
      <c r="F124" s="525">
        <v>0</v>
      </c>
      <c r="G124" s="596">
        <v>0</v>
      </c>
      <c r="H124" s="596">
        <v>0</v>
      </c>
      <c r="I124" s="525">
        <f t="shared" si="198"/>
        <v>0</v>
      </c>
      <c r="J124" s="525">
        <v>0</v>
      </c>
      <c r="K124" s="525">
        <v>0</v>
      </c>
      <c r="L124" s="525">
        <v>0</v>
      </c>
      <c r="M124" s="525">
        <f t="shared" si="199"/>
        <v>0</v>
      </c>
      <c r="N124" s="525"/>
      <c r="O124" s="525">
        <f t="shared" si="200"/>
        <v>7458.31</v>
      </c>
      <c r="P124" s="522">
        <f>5938.31+1520</f>
        <v>7458.31</v>
      </c>
      <c r="Q124" s="525">
        <f t="shared" si="151"/>
        <v>7458.31</v>
      </c>
      <c r="R124" s="525">
        <v>0</v>
      </c>
      <c r="S124" s="525">
        <v>0</v>
      </c>
      <c r="T124" s="525">
        <v>0</v>
      </c>
      <c r="U124" s="522">
        <f t="shared" si="201"/>
        <v>1591812.54</v>
      </c>
      <c r="V124" s="522">
        <f t="shared" si="149"/>
        <v>1591812.54</v>
      </c>
      <c r="W124" s="522">
        <v>0</v>
      </c>
      <c r="X124" s="522">
        <f t="shared" si="154"/>
        <v>1584354.23</v>
      </c>
      <c r="Y124" s="522">
        <f t="shared" si="155"/>
        <v>21242.804737266219</v>
      </c>
      <c r="Z124" s="524">
        <f t="shared" si="156"/>
        <v>1604354.9100000001</v>
      </c>
      <c r="AA124" s="522">
        <f t="shared" si="157"/>
        <v>1604354.9100000001</v>
      </c>
      <c r="AB124" s="522">
        <v>0</v>
      </c>
      <c r="AC124" s="522">
        <f t="shared" si="159"/>
        <v>12542.370000000112</v>
      </c>
      <c r="AD124" s="522">
        <f t="shared" si="160"/>
        <v>0.78793009131589997</v>
      </c>
      <c r="AE124" s="522">
        <f t="shared" si="161"/>
        <v>1596896.6</v>
      </c>
      <c r="AF124" s="522">
        <f t="shared" si="162"/>
        <v>21410.971118121935</v>
      </c>
      <c r="AG124" s="522">
        <f t="shared" si="177"/>
        <v>4101233.2300000004</v>
      </c>
      <c r="AH124" s="522">
        <f t="shared" si="163"/>
        <v>2509420.6900000004</v>
      </c>
      <c r="AI124" s="522">
        <f t="shared" si="164"/>
        <v>157.64549071839832</v>
      </c>
      <c r="AJ124" s="522">
        <f t="shared" si="165"/>
        <v>2496878.3200000003</v>
      </c>
      <c r="AK124" s="522">
        <f t="shared" si="212"/>
        <v>155.63129482366219</v>
      </c>
      <c r="AL124" s="522">
        <f t="shared" si="202"/>
        <v>4101233.23</v>
      </c>
      <c r="AM124" s="522">
        <f t="shared" si="192"/>
        <v>0</v>
      </c>
      <c r="AN124" s="522">
        <f t="shared" si="192"/>
        <v>12542.37</v>
      </c>
      <c r="AO124" s="522">
        <f t="shared" si="166"/>
        <v>12542.37</v>
      </c>
      <c r="AP124" s="522">
        <v>0</v>
      </c>
      <c r="AQ124" s="522"/>
      <c r="AR124" s="522">
        <v>0</v>
      </c>
      <c r="AS124" s="522"/>
      <c r="AT124" s="522">
        <v>12542.37</v>
      </c>
      <c r="AU124" s="522">
        <f t="shared" si="208"/>
        <v>1591812.54</v>
      </c>
      <c r="AV124" s="522">
        <f t="shared" si="208"/>
        <v>1591812.54</v>
      </c>
      <c r="AW124" s="522">
        <f t="shared" si="167"/>
        <v>0</v>
      </c>
      <c r="AX124" s="522">
        <f t="shared" si="168"/>
        <v>0</v>
      </c>
      <c r="AY124" s="522">
        <f t="shared" si="210"/>
        <v>4088690.8600000003</v>
      </c>
      <c r="AZ124" s="522">
        <f t="shared" si="169"/>
        <v>-2496878.3200000003</v>
      </c>
      <c r="BA124" s="522">
        <f t="shared" si="170"/>
        <v>-61.067916491979538</v>
      </c>
      <c r="BB124" s="522"/>
      <c r="BC124" s="525">
        <f>'[67]Дир_ по реал.услуг'!AT27</f>
        <v>0</v>
      </c>
      <c r="BD124" s="525">
        <f t="shared" si="203"/>
        <v>758758.22</v>
      </c>
      <c r="BE124" s="525">
        <f t="shared" si="171"/>
        <v>758758.22</v>
      </c>
      <c r="BF124" s="525">
        <f t="shared" si="172"/>
        <v>758758.22</v>
      </c>
      <c r="BG124" s="525">
        <f t="shared" si="150"/>
        <v>0</v>
      </c>
      <c r="BH124" s="522">
        <f t="shared" si="150"/>
        <v>12542.37</v>
      </c>
      <c r="BI124" s="522">
        <v>771300.59</v>
      </c>
      <c r="BJ124" s="522">
        <f t="shared" si="173"/>
        <v>771300.59</v>
      </c>
      <c r="BK124" s="522">
        <f t="shared" si="174"/>
        <v>758758.22</v>
      </c>
      <c r="BL124" s="525">
        <v>1591812.54</v>
      </c>
      <c r="BM124" s="522">
        <f>'[67]Дир_ по реал.услуг'!AW27</f>
        <v>1591812.54</v>
      </c>
      <c r="BN124" s="522">
        <f t="shared" si="204"/>
        <v>3329932.64</v>
      </c>
      <c r="BO124" s="522">
        <f t="shared" si="181"/>
        <v>1738120.1</v>
      </c>
      <c r="BP124" s="522">
        <f t="shared" si="175"/>
        <v>1738120.1</v>
      </c>
      <c r="BQ124" s="525">
        <v>1591812.54</v>
      </c>
      <c r="BR124" s="522">
        <f>'[67]Дир_ по реал.услуг'!BB27</f>
        <v>0</v>
      </c>
      <c r="BS124" s="522">
        <f>'[67]Дир_ по реал.услуг'!BC27</f>
        <v>0</v>
      </c>
      <c r="BT124" s="536"/>
      <c r="BU124" s="522">
        <v>4101233.23</v>
      </c>
      <c r="BV124" s="522"/>
      <c r="BW124" s="522"/>
      <c r="BX124" s="629"/>
      <c r="BY124" s="525">
        <v>4101233.23</v>
      </c>
      <c r="BZ124" s="525"/>
      <c r="CA124" s="525"/>
      <c r="CB124" s="522">
        <f t="shared" si="213"/>
        <v>4101233.23</v>
      </c>
      <c r="CC124" s="522">
        <f t="shared" si="176"/>
        <v>0</v>
      </c>
      <c r="CD124" s="522"/>
      <c r="CE124" s="522"/>
      <c r="CF124" s="522"/>
      <c r="CG124" s="522"/>
      <c r="CH124" s="522"/>
      <c r="CI124" s="522"/>
      <c r="CJ124" s="522"/>
      <c r="CK124" s="543" t="s">
        <v>78</v>
      </c>
      <c r="CL124" s="543" t="s">
        <v>1833</v>
      </c>
      <c r="CM124" s="528" t="s">
        <v>1907</v>
      </c>
      <c r="CN124" s="528"/>
      <c r="CO124" s="528"/>
      <c r="CP124" s="544">
        <f t="shared" si="214"/>
        <v>1468638.8024144245</v>
      </c>
      <c r="CQ124" s="544">
        <f t="shared" si="215"/>
        <v>107876.31134616057</v>
      </c>
      <c r="CR124" s="544">
        <f t="shared" si="216"/>
        <v>15297.426239415132</v>
      </c>
      <c r="CS124" s="1688" t="s">
        <v>1826</v>
      </c>
      <c r="CT124" s="1689"/>
      <c r="CU124" s="1689"/>
      <c r="CV124" s="1689"/>
      <c r="CW124" s="1690"/>
      <c r="CX124" s="528"/>
      <c r="CY124" s="528"/>
      <c r="CZ124" s="528"/>
      <c r="DA124" s="528"/>
      <c r="DB124" s="544"/>
      <c r="DC124" s="628" t="e">
        <f>P124-#REF!</f>
        <v>#REF!</v>
      </c>
      <c r="DD124" s="535"/>
      <c r="DE124" s="535"/>
      <c r="DF124" s="525">
        <f t="shared" si="211"/>
        <v>4101.2332299999998</v>
      </c>
      <c r="DG124" s="525">
        <f t="shared" si="211"/>
        <v>0</v>
      </c>
      <c r="DH124" s="525">
        <f t="shared" si="211"/>
        <v>0</v>
      </c>
      <c r="DI124" s="522">
        <f t="shared" si="209"/>
        <v>4101.2332299999998</v>
      </c>
      <c r="DJ124" s="536"/>
      <c r="DK124" s="536"/>
      <c r="DL124" s="536"/>
      <c r="DM124" s="536"/>
      <c r="DN124" s="536"/>
      <c r="DO124" s="536"/>
      <c r="DP124" s="536"/>
      <c r="DQ124" s="536"/>
      <c r="DR124" s="536"/>
      <c r="DS124" s="536"/>
    </row>
    <row r="125" spans="1:123" s="534" customFormat="1" ht="68.25" customHeight="1">
      <c r="A125" s="537" t="s">
        <v>454</v>
      </c>
      <c r="B125" s="538" t="s">
        <v>455</v>
      </c>
      <c r="C125" s="576">
        <v>6000</v>
      </c>
      <c r="D125" s="576">
        <v>1756803.64</v>
      </c>
      <c r="E125" s="525">
        <v>5656920</v>
      </c>
      <c r="F125" s="525">
        <v>388240.18</v>
      </c>
      <c r="G125" s="596">
        <v>424864.00021061365</v>
      </c>
      <c r="H125" s="596">
        <v>0</v>
      </c>
      <c r="I125" s="525">
        <f t="shared" si="198"/>
        <v>1081112.77</v>
      </c>
      <c r="J125" s="525">
        <v>212993.79</v>
      </c>
      <c r="K125" s="525">
        <v>547388</v>
      </c>
      <c r="L125" s="525">
        <v>320730.98</v>
      </c>
      <c r="M125" s="525">
        <f t="shared" si="199"/>
        <v>760381.79</v>
      </c>
      <c r="N125" s="525">
        <v>271220.99</v>
      </c>
      <c r="O125" s="525">
        <f t="shared" si="200"/>
        <v>178395.04000000004</v>
      </c>
      <c r="P125" s="522">
        <v>449616.03</v>
      </c>
      <c r="Q125" s="525">
        <f t="shared" si="151"/>
        <v>-631496.74</v>
      </c>
      <c r="R125" s="525">
        <f t="shared" si="152"/>
        <v>-58.411736270583503</v>
      </c>
      <c r="S125" s="525">
        <v>443794.45374999999</v>
      </c>
      <c r="T125" s="525">
        <v>443794.45374999999</v>
      </c>
      <c r="U125" s="522">
        <f t="shared" si="201"/>
        <v>380071.01</v>
      </c>
      <c r="V125" s="522">
        <f t="shared" si="149"/>
        <v>-63723.443749999977</v>
      </c>
      <c r="W125" s="522">
        <f t="shared" si="153"/>
        <v>-14.358774250454459</v>
      </c>
      <c r="X125" s="522">
        <f t="shared" si="154"/>
        <v>-69545.020000000019</v>
      </c>
      <c r="Y125" s="522">
        <f t="shared" si="155"/>
        <v>-15.467646916414438</v>
      </c>
      <c r="Z125" s="524">
        <f t="shared" si="156"/>
        <v>380071.01</v>
      </c>
      <c r="AA125" s="522">
        <f t="shared" si="157"/>
        <v>-63723.443749999977</v>
      </c>
      <c r="AB125" s="522">
        <f t="shared" si="158"/>
        <v>-14.358774250454459</v>
      </c>
      <c r="AC125" s="522">
        <f t="shared" si="159"/>
        <v>0</v>
      </c>
      <c r="AD125" s="522">
        <f t="shared" si="160"/>
        <v>0</v>
      </c>
      <c r="AE125" s="522">
        <f t="shared" si="161"/>
        <v>-69545.020000000019</v>
      </c>
      <c r="AF125" s="522">
        <f t="shared" si="162"/>
        <v>-15.467646916414438</v>
      </c>
      <c r="AG125" s="522">
        <f t="shared" si="177"/>
        <v>546883.31999999995</v>
      </c>
      <c r="AH125" s="522">
        <f t="shared" si="163"/>
        <v>166812.30999999994</v>
      </c>
      <c r="AI125" s="522">
        <f t="shared" si="164"/>
        <v>43.889774702890378</v>
      </c>
      <c r="AJ125" s="522">
        <f t="shared" si="165"/>
        <v>166812.30999999994</v>
      </c>
      <c r="AK125" s="522">
        <f t="shared" si="212"/>
        <v>43.889774702890378</v>
      </c>
      <c r="AL125" s="522">
        <f t="shared" si="202"/>
        <v>546883.31999999995</v>
      </c>
      <c r="AM125" s="522">
        <f t="shared" si="192"/>
        <v>260726.97</v>
      </c>
      <c r="AN125" s="522">
        <f t="shared" si="192"/>
        <v>240601.5</v>
      </c>
      <c r="AO125" s="522">
        <f t="shared" si="166"/>
        <v>-20125.47</v>
      </c>
      <c r="AP125" s="522">
        <f t="shared" si="178"/>
        <v>-7.7189828117896582</v>
      </c>
      <c r="AQ125" s="522">
        <v>0</v>
      </c>
      <c r="AR125" s="522">
        <v>30063.65</v>
      </c>
      <c r="AS125" s="522">
        <v>260726.97</v>
      </c>
      <c r="AT125" s="522">
        <v>210537.85</v>
      </c>
      <c r="AU125" s="522">
        <f t="shared" si="208"/>
        <v>119344.04000000001</v>
      </c>
      <c r="AV125" s="522">
        <f t="shared" si="208"/>
        <v>139469.51</v>
      </c>
      <c r="AW125" s="522">
        <f t="shared" si="167"/>
        <v>20125.47</v>
      </c>
      <c r="AX125" s="522">
        <f t="shared" si="168"/>
        <v>16.863405998322165</v>
      </c>
      <c r="AY125" s="522">
        <f t="shared" si="210"/>
        <v>306281.81999999995</v>
      </c>
      <c r="AZ125" s="522">
        <f t="shared" si="169"/>
        <v>-166812.30999999994</v>
      </c>
      <c r="BA125" s="522">
        <f t="shared" si="170"/>
        <v>-54.463666828151922</v>
      </c>
      <c r="BB125" s="522">
        <v>47917.43</v>
      </c>
      <c r="BC125" s="525">
        <f>'[67]Гл инж_Тех дир'!AT116</f>
        <v>68042.899999999994</v>
      </c>
      <c r="BD125" s="525">
        <f t="shared" si="203"/>
        <v>85804.390000000014</v>
      </c>
      <c r="BE125" s="525">
        <f t="shared" si="171"/>
        <v>37886.960000000014</v>
      </c>
      <c r="BF125" s="525">
        <f t="shared" si="172"/>
        <v>17761.49000000002</v>
      </c>
      <c r="BG125" s="525">
        <f t="shared" si="150"/>
        <v>308644.40000000002</v>
      </c>
      <c r="BH125" s="522">
        <f t="shared" si="150"/>
        <v>308644.40000000002</v>
      </c>
      <c r="BI125" s="522">
        <v>326405.89</v>
      </c>
      <c r="BJ125" s="522">
        <f t="shared" si="173"/>
        <v>17761.489999999991</v>
      </c>
      <c r="BK125" s="522">
        <f t="shared" si="174"/>
        <v>17761.489999999991</v>
      </c>
      <c r="BL125" s="525">
        <v>71426.61</v>
      </c>
      <c r="BM125" s="522">
        <f>'[67]Гл инж_Тех дир'!AW116</f>
        <v>71426.61</v>
      </c>
      <c r="BN125" s="522">
        <f t="shared" si="204"/>
        <v>220477.42999999993</v>
      </c>
      <c r="BO125" s="522">
        <f t="shared" si="181"/>
        <v>149050.81999999995</v>
      </c>
      <c r="BP125" s="522">
        <f t="shared" si="175"/>
        <v>149050.81999999995</v>
      </c>
      <c r="BQ125" s="525">
        <v>71426.61</v>
      </c>
      <c r="BR125" s="522">
        <f>'[67]Гл инж_Тех дир'!BB116</f>
        <v>0</v>
      </c>
      <c r="BS125" s="522">
        <f>'[67]Гл инж_Тех дир'!BC116</f>
        <v>0</v>
      </c>
      <c r="BT125" s="536"/>
      <c r="BU125" s="522">
        <v>546883.31999999995</v>
      </c>
      <c r="BV125" s="522"/>
      <c r="BW125" s="522"/>
      <c r="BX125" s="629"/>
      <c r="BY125" s="525">
        <v>480916.89</v>
      </c>
      <c r="BZ125" s="525">
        <v>60939.62</v>
      </c>
      <c r="CA125" s="525">
        <v>5026.8100000000004</v>
      </c>
      <c r="CB125" s="522">
        <f t="shared" si="213"/>
        <v>546883.32000000007</v>
      </c>
      <c r="CC125" s="522">
        <f t="shared" si="176"/>
        <v>0</v>
      </c>
      <c r="CD125" s="522"/>
      <c r="CE125" s="522"/>
      <c r="CF125" s="522"/>
      <c r="CG125" s="522"/>
      <c r="CH125" s="522"/>
      <c r="CI125" s="522"/>
      <c r="CJ125" s="522"/>
      <c r="CK125" s="542" t="s">
        <v>79</v>
      </c>
      <c r="CL125" s="543" t="s">
        <v>1914</v>
      </c>
      <c r="CM125" s="528" t="s">
        <v>1907</v>
      </c>
      <c r="CN125" s="528"/>
      <c r="CO125" s="528"/>
      <c r="CP125" s="544">
        <f t="shared" si="214"/>
        <v>350661.28638416226</v>
      </c>
      <c r="CQ125" s="544">
        <f t="shared" si="215"/>
        <v>25757.215487452879</v>
      </c>
      <c r="CR125" s="544">
        <f t="shared" si="216"/>
        <v>3652.5081283848981</v>
      </c>
      <c r="CS125" s="1688" t="s">
        <v>1826</v>
      </c>
      <c r="CT125" s="1689"/>
      <c r="CU125" s="1689"/>
      <c r="CV125" s="1689"/>
      <c r="CW125" s="1690"/>
      <c r="CX125" s="528"/>
      <c r="CY125" s="528"/>
      <c r="CZ125" s="528"/>
      <c r="DA125" s="528"/>
      <c r="DB125" s="544">
        <f>30063.65</f>
        <v>30063.65</v>
      </c>
      <c r="DC125" s="628" t="e">
        <f>P125-#REF!</f>
        <v>#REF!</v>
      </c>
      <c r="DD125" s="535"/>
      <c r="DE125" s="535"/>
      <c r="DF125" s="525">
        <f t="shared" si="211"/>
        <v>480.91689000000002</v>
      </c>
      <c r="DG125" s="525">
        <f t="shared" si="211"/>
        <v>60.939620000000005</v>
      </c>
      <c r="DH125" s="525">
        <f t="shared" si="211"/>
        <v>5.0268100000000002</v>
      </c>
      <c r="DI125" s="522">
        <f t="shared" si="209"/>
        <v>546.88332000000003</v>
      </c>
      <c r="DJ125" s="536"/>
      <c r="DK125" s="536"/>
      <c r="DL125" s="536"/>
      <c r="DM125" s="536"/>
      <c r="DN125" s="536"/>
      <c r="DO125" s="536"/>
      <c r="DP125" s="536"/>
      <c r="DQ125" s="536"/>
      <c r="DR125" s="536"/>
      <c r="DS125" s="536"/>
    </row>
    <row r="126" spans="1:123" s="534" customFormat="1" ht="83.25" customHeight="1">
      <c r="A126" s="537" t="s">
        <v>459</v>
      </c>
      <c r="B126" s="538" t="s">
        <v>460</v>
      </c>
      <c r="C126" s="576">
        <v>372650.02</v>
      </c>
      <c r="D126" s="576">
        <v>182921.5</v>
      </c>
      <c r="E126" s="525">
        <v>952440</v>
      </c>
      <c r="F126" s="525">
        <v>799519.66</v>
      </c>
      <c r="G126" s="596">
        <v>618838.19145849091</v>
      </c>
      <c r="H126" s="596">
        <v>0</v>
      </c>
      <c r="I126" s="525">
        <f t="shared" si="198"/>
        <v>445147.43</v>
      </c>
      <c r="J126" s="525">
        <v>195800.84</v>
      </c>
      <c r="K126" s="525">
        <v>172134.03</v>
      </c>
      <c r="L126" s="525">
        <v>77212.56</v>
      </c>
      <c r="M126" s="525">
        <f t="shared" si="199"/>
        <v>367934.87</v>
      </c>
      <c r="N126" s="525">
        <v>348151.92</v>
      </c>
      <c r="O126" s="525">
        <f t="shared" si="200"/>
        <v>143280.37</v>
      </c>
      <c r="P126" s="522">
        <f>22883+468549.29</f>
        <v>491432.29</v>
      </c>
      <c r="Q126" s="525">
        <f t="shared" si="151"/>
        <v>46284.859999999986</v>
      </c>
      <c r="R126" s="525">
        <f t="shared" si="152"/>
        <v>10.397647359213096</v>
      </c>
      <c r="S126" s="525">
        <v>652874.29198870785</v>
      </c>
      <c r="T126" s="525">
        <v>652874.29198870785</v>
      </c>
      <c r="U126" s="522">
        <f t="shared" si="201"/>
        <v>487876.89</v>
      </c>
      <c r="V126" s="522">
        <f t="shared" si="149"/>
        <v>-164997.40198870783</v>
      </c>
      <c r="W126" s="522">
        <f t="shared" si="153"/>
        <v>-25.27246117872285</v>
      </c>
      <c r="X126" s="522">
        <f t="shared" si="154"/>
        <v>-3555.3999999999651</v>
      </c>
      <c r="Y126" s="522">
        <f t="shared" si="155"/>
        <v>-0.72347708368938868</v>
      </c>
      <c r="Z126" s="524">
        <f t="shared" si="156"/>
        <v>492363.99</v>
      </c>
      <c r="AA126" s="522">
        <f t="shared" si="157"/>
        <v>-160510.30198870786</v>
      </c>
      <c r="AB126" s="522">
        <f t="shared" si="158"/>
        <v>-24.585177262805146</v>
      </c>
      <c r="AC126" s="522">
        <f t="shared" si="159"/>
        <v>4487.0999999999767</v>
      </c>
      <c r="AD126" s="522">
        <f t="shared" si="160"/>
        <v>0.91971972683518288</v>
      </c>
      <c r="AE126" s="522">
        <f t="shared" si="161"/>
        <v>931.70000000001164</v>
      </c>
      <c r="AF126" s="522">
        <f t="shared" si="162"/>
        <v>0.18958868168796528</v>
      </c>
      <c r="AG126" s="522">
        <f t="shared" si="177"/>
        <v>720521.56</v>
      </c>
      <c r="AH126" s="522">
        <f t="shared" si="163"/>
        <v>232644.67000000004</v>
      </c>
      <c r="AI126" s="522">
        <f t="shared" si="164"/>
        <v>47.685117858318733</v>
      </c>
      <c r="AJ126" s="522">
        <f t="shared" si="165"/>
        <v>228157.57000000007</v>
      </c>
      <c r="AK126" s="522">
        <f t="shared" si="212"/>
        <v>46.339207300680158</v>
      </c>
      <c r="AL126" s="522">
        <f t="shared" si="202"/>
        <v>720521.56</v>
      </c>
      <c r="AM126" s="522">
        <f t="shared" si="192"/>
        <v>487876.89</v>
      </c>
      <c r="AN126" s="522">
        <f t="shared" si="192"/>
        <v>492363.99</v>
      </c>
      <c r="AO126" s="522">
        <f t="shared" si="166"/>
        <v>4487.0999999999767</v>
      </c>
      <c r="AP126" s="522">
        <f t="shared" si="178"/>
        <v>0.91971972683518288</v>
      </c>
      <c r="AQ126" s="522">
        <v>25752.78</v>
      </c>
      <c r="AR126" s="522">
        <v>70474.240000000005</v>
      </c>
      <c r="AS126" s="522">
        <v>462124.11</v>
      </c>
      <c r="AT126" s="522">
        <v>421889.75</v>
      </c>
      <c r="AU126" s="522">
        <f t="shared" si="208"/>
        <v>0</v>
      </c>
      <c r="AV126" s="522">
        <f t="shared" si="208"/>
        <v>0</v>
      </c>
      <c r="AW126" s="522">
        <f t="shared" si="167"/>
        <v>0</v>
      </c>
      <c r="AX126" s="522">
        <v>0</v>
      </c>
      <c r="AY126" s="522">
        <f t="shared" si="210"/>
        <v>228157.57000000007</v>
      </c>
      <c r="AZ126" s="522">
        <f t="shared" si="169"/>
        <v>-228157.57000000007</v>
      </c>
      <c r="BA126" s="522">
        <v>0</v>
      </c>
      <c r="BB126" s="522">
        <v>0</v>
      </c>
      <c r="BC126" s="525">
        <f>'[67]Гл инж_Тех дир'!AT48</f>
        <v>0</v>
      </c>
      <c r="BD126" s="525">
        <f t="shared" si="203"/>
        <v>118064.62</v>
      </c>
      <c r="BE126" s="525">
        <f t="shared" si="171"/>
        <v>118064.62</v>
      </c>
      <c r="BF126" s="525">
        <f t="shared" si="172"/>
        <v>118064.62</v>
      </c>
      <c r="BG126" s="525">
        <f t="shared" si="150"/>
        <v>487876.89</v>
      </c>
      <c r="BH126" s="522">
        <f t="shared" si="150"/>
        <v>492363.99</v>
      </c>
      <c r="BI126" s="522">
        <f>579950.1+30478.51</f>
        <v>610428.61</v>
      </c>
      <c r="BJ126" s="522">
        <f t="shared" si="173"/>
        <v>122551.71999999997</v>
      </c>
      <c r="BK126" s="522">
        <f t="shared" si="174"/>
        <v>118064.62</v>
      </c>
      <c r="BL126" s="525">
        <v>0</v>
      </c>
      <c r="BM126" s="522">
        <f>'[67]Гл инж_Тех дир'!AW48</f>
        <v>0</v>
      </c>
      <c r="BN126" s="522">
        <f t="shared" si="204"/>
        <v>110092.95000000007</v>
      </c>
      <c r="BO126" s="522">
        <f t="shared" si="181"/>
        <v>110092.95000000007</v>
      </c>
      <c r="BP126" s="522">
        <f t="shared" si="175"/>
        <v>110092.95000000007</v>
      </c>
      <c r="BQ126" s="525">
        <v>0</v>
      </c>
      <c r="BR126" s="522">
        <f>'[67]Гл инж_Тех дир'!BB48</f>
        <v>0</v>
      </c>
      <c r="BS126" s="522">
        <f>'[67]Гл инж_Тех дир'!BC48</f>
        <v>0</v>
      </c>
      <c r="BT126" s="536"/>
      <c r="BU126" s="522">
        <v>690043.05</v>
      </c>
      <c r="BV126" s="522">
        <v>30478.51</v>
      </c>
      <c r="BW126" s="522"/>
      <c r="BX126" s="629"/>
      <c r="BY126" s="525">
        <f>624227.32+30478.51</f>
        <v>654705.82999999996</v>
      </c>
      <c r="BZ126" s="525">
        <v>58595.21</v>
      </c>
      <c r="CA126" s="525">
        <v>7220.52</v>
      </c>
      <c r="CB126" s="522">
        <f t="shared" si="213"/>
        <v>720521.55999999994</v>
      </c>
      <c r="CC126" s="522">
        <f t="shared" si="176"/>
        <v>0</v>
      </c>
      <c r="CD126" s="522"/>
      <c r="CE126" s="522"/>
      <c r="CF126" s="522"/>
      <c r="CG126" s="522"/>
      <c r="CH126" s="522"/>
      <c r="CI126" s="522"/>
      <c r="CJ126" s="522"/>
      <c r="CK126" s="542" t="s">
        <v>79</v>
      </c>
      <c r="CL126" s="543" t="s">
        <v>1903</v>
      </c>
      <c r="CM126" s="528" t="s">
        <v>1907</v>
      </c>
      <c r="CN126" s="528" t="s">
        <v>1849</v>
      </c>
      <c r="CO126" s="528"/>
      <c r="CP126" s="544">
        <f t="shared" si="214"/>
        <v>450125.19593247696</v>
      </c>
      <c r="CQ126" s="544">
        <f t="shared" si="215"/>
        <v>33063.164136297441</v>
      </c>
      <c r="CR126" s="544">
        <f t="shared" si="216"/>
        <v>4688.5299312256011</v>
      </c>
      <c r="CS126" s="1688" t="s">
        <v>1826</v>
      </c>
      <c r="CT126" s="1689"/>
      <c r="CU126" s="1689"/>
      <c r="CV126" s="1689"/>
      <c r="CW126" s="1690"/>
      <c r="CX126" s="528"/>
      <c r="CY126" s="528"/>
      <c r="CZ126" s="528"/>
      <c r="DA126" s="528"/>
      <c r="DB126" s="544">
        <f>69791.74+682.5</f>
        <v>70474.240000000005</v>
      </c>
      <c r="DC126" s="628" t="e">
        <f>P126-#REF!</f>
        <v>#REF!</v>
      </c>
      <c r="DD126" s="535"/>
      <c r="DE126" s="535"/>
      <c r="DF126" s="525">
        <f t="shared" si="211"/>
        <v>654.70582999999999</v>
      </c>
      <c r="DG126" s="525">
        <f t="shared" si="211"/>
        <v>58.595210000000002</v>
      </c>
      <c r="DH126" s="525">
        <f t="shared" si="211"/>
        <v>7.2205200000000005</v>
      </c>
      <c r="DI126" s="522">
        <f t="shared" si="209"/>
        <v>720.52155999999991</v>
      </c>
      <c r="DJ126" s="536"/>
      <c r="DK126" s="536"/>
      <c r="DL126" s="536"/>
      <c r="DM126" s="536"/>
      <c r="DN126" s="536"/>
      <c r="DO126" s="536"/>
      <c r="DP126" s="536"/>
      <c r="DQ126" s="536"/>
      <c r="DR126" s="536"/>
      <c r="DS126" s="536"/>
    </row>
    <row r="127" spans="1:123" s="534" customFormat="1" ht="57" customHeight="1">
      <c r="A127" s="537" t="s">
        <v>464</v>
      </c>
      <c r="B127" s="538" t="s">
        <v>465</v>
      </c>
      <c r="C127" s="576">
        <v>136052.29999999999</v>
      </c>
      <c r="D127" s="576">
        <v>380094.71999999997</v>
      </c>
      <c r="E127" s="576">
        <v>225000</v>
      </c>
      <c r="F127" s="576">
        <v>513121.91</v>
      </c>
      <c r="G127" s="577">
        <v>314962.35797288368</v>
      </c>
      <c r="H127" s="577">
        <v>0</v>
      </c>
      <c r="I127" s="576">
        <f t="shared" si="198"/>
        <v>492319.98000000004</v>
      </c>
      <c r="J127" s="576">
        <v>317140.78000000003</v>
      </c>
      <c r="K127" s="576">
        <v>159495.89000000001</v>
      </c>
      <c r="L127" s="576">
        <v>15683.31</v>
      </c>
      <c r="M127" s="576">
        <f t="shared" si="199"/>
        <v>476636.67000000004</v>
      </c>
      <c r="N127" s="576">
        <v>464987.15</v>
      </c>
      <c r="O127" s="525">
        <f t="shared" si="200"/>
        <v>258380.70999999996</v>
      </c>
      <c r="P127" s="522">
        <f>708967.86+14400</f>
        <v>723367.86</v>
      </c>
      <c r="Q127" s="576">
        <f t="shared" si="151"/>
        <v>231047.87999999995</v>
      </c>
      <c r="R127" s="576">
        <f t="shared" si="152"/>
        <v>46.930429270816887</v>
      </c>
      <c r="S127" s="576">
        <v>332285.28766139224</v>
      </c>
      <c r="T127" s="576">
        <v>332285.28766139224</v>
      </c>
      <c r="U127" s="522">
        <f t="shared" si="201"/>
        <v>332285.3</v>
      </c>
      <c r="V127" s="522">
        <f t="shared" si="149"/>
        <v>1.2338607746642083E-2</v>
      </c>
      <c r="W127" s="522">
        <f t="shared" si="153"/>
        <v>3.7132573282860903E-6</v>
      </c>
      <c r="X127" s="522">
        <f t="shared" si="154"/>
        <v>-391082.56</v>
      </c>
      <c r="Y127" s="522">
        <f t="shared" si="155"/>
        <v>-54.064132736005163</v>
      </c>
      <c r="Z127" s="524">
        <f t="shared" si="156"/>
        <v>501952</v>
      </c>
      <c r="AA127" s="522">
        <f t="shared" si="157"/>
        <v>169666.71233860776</v>
      </c>
      <c r="AB127" s="522">
        <f t="shared" si="158"/>
        <v>51.060555082866841</v>
      </c>
      <c r="AC127" s="522">
        <f t="shared" si="159"/>
        <v>169666.7</v>
      </c>
      <c r="AD127" s="522">
        <f t="shared" si="160"/>
        <v>51.060549473599934</v>
      </c>
      <c r="AE127" s="522">
        <f t="shared" si="161"/>
        <v>-221415.86</v>
      </c>
      <c r="AF127" s="522">
        <f t="shared" si="162"/>
        <v>-30.609026505545884</v>
      </c>
      <c r="AG127" s="522">
        <f t="shared" si="177"/>
        <v>641733.46</v>
      </c>
      <c r="AH127" s="522">
        <f t="shared" si="163"/>
        <v>309448.15999999997</v>
      </c>
      <c r="AI127" s="522">
        <f t="shared" si="164"/>
        <v>93.127249384790701</v>
      </c>
      <c r="AJ127" s="522">
        <f t="shared" si="165"/>
        <v>139781.45999999996</v>
      </c>
      <c r="AK127" s="522">
        <f t="shared" si="212"/>
        <v>27.847575066938674</v>
      </c>
      <c r="AL127" s="522">
        <f t="shared" si="202"/>
        <v>641733.46</v>
      </c>
      <c r="AM127" s="522">
        <f t="shared" si="192"/>
        <v>166142.65</v>
      </c>
      <c r="AN127" s="522">
        <f t="shared" si="192"/>
        <v>335809.35</v>
      </c>
      <c r="AO127" s="522">
        <f t="shared" si="166"/>
        <v>169666.69999999998</v>
      </c>
      <c r="AP127" s="522">
        <f t="shared" si="178"/>
        <v>102.1210989471999</v>
      </c>
      <c r="AQ127" s="578">
        <v>0</v>
      </c>
      <c r="AR127" s="578">
        <v>15431.36</v>
      </c>
      <c r="AS127" s="578">
        <v>166142.65</v>
      </c>
      <c r="AT127" s="578">
        <v>320377.99</v>
      </c>
      <c r="AU127" s="578">
        <f t="shared" si="208"/>
        <v>166142.65</v>
      </c>
      <c r="AV127" s="578">
        <f t="shared" si="208"/>
        <v>166142.65</v>
      </c>
      <c r="AW127" s="578">
        <f t="shared" si="167"/>
        <v>0</v>
      </c>
      <c r="AX127" s="578">
        <f t="shared" si="168"/>
        <v>0</v>
      </c>
      <c r="AY127" s="578">
        <f t="shared" si="210"/>
        <v>305924.11</v>
      </c>
      <c r="AZ127" s="578">
        <f t="shared" si="169"/>
        <v>-139781.46</v>
      </c>
      <c r="BA127" s="578">
        <f t="shared" si="170"/>
        <v>-45.691547488689267</v>
      </c>
      <c r="BB127" s="578">
        <v>166142.65</v>
      </c>
      <c r="BC127" s="525">
        <f>'[67]Гл инж_Тех дир'!AT49</f>
        <v>166142.65</v>
      </c>
      <c r="BD127" s="525">
        <f t="shared" si="203"/>
        <v>272637.77</v>
      </c>
      <c r="BE127" s="525">
        <f t="shared" si="171"/>
        <v>106495.12000000002</v>
      </c>
      <c r="BF127" s="525">
        <f t="shared" si="172"/>
        <v>106495.12000000002</v>
      </c>
      <c r="BG127" s="525">
        <f t="shared" si="150"/>
        <v>332285.3</v>
      </c>
      <c r="BH127" s="522">
        <f t="shared" si="150"/>
        <v>501952</v>
      </c>
      <c r="BI127" s="522">
        <v>608447.12</v>
      </c>
      <c r="BJ127" s="522">
        <f t="shared" si="173"/>
        <v>276161.82</v>
      </c>
      <c r="BK127" s="522">
        <f t="shared" si="174"/>
        <v>106495.12</v>
      </c>
      <c r="BL127" s="525">
        <v>0</v>
      </c>
      <c r="BM127" s="522">
        <f>'[67]Гл инж_Тех дир'!AW49</f>
        <v>0</v>
      </c>
      <c r="BN127" s="522">
        <f t="shared" si="204"/>
        <v>33286.339999999967</v>
      </c>
      <c r="BO127" s="522">
        <f t="shared" si="181"/>
        <v>33286.339999999967</v>
      </c>
      <c r="BP127" s="522">
        <f t="shared" si="175"/>
        <v>33286.339999999967</v>
      </c>
      <c r="BQ127" s="525">
        <v>0</v>
      </c>
      <c r="BR127" s="522">
        <f>'[67]Гл инж_Тех дир'!BB49</f>
        <v>0</v>
      </c>
      <c r="BS127" s="522">
        <f>'[67]Гл инж_Тех дир'!BC49</f>
        <v>0</v>
      </c>
      <c r="BT127" s="536"/>
      <c r="BU127" s="522">
        <f>618893.46+22840</f>
        <v>641733.46</v>
      </c>
      <c r="BV127" s="522"/>
      <c r="BW127" s="522"/>
      <c r="BX127" s="629"/>
      <c r="BY127" s="525">
        <f>563555.95+22013.18</f>
        <v>585569.13</v>
      </c>
      <c r="BZ127" s="525">
        <f>48032.51+630.46</f>
        <v>48662.97</v>
      </c>
      <c r="CA127" s="525">
        <f>7305+196.36</f>
        <v>7501.36</v>
      </c>
      <c r="CB127" s="522">
        <f t="shared" si="213"/>
        <v>641733.46</v>
      </c>
      <c r="CC127" s="522">
        <f t="shared" si="176"/>
        <v>0</v>
      </c>
      <c r="CD127" s="522"/>
      <c r="CE127" s="522"/>
      <c r="CF127" s="522"/>
      <c r="CG127" s="522"/>
      <c r="CH127" s="522"/>
      <c r="CI127" s="522"/>
      <c r="CJ127" s="522"/>
      <c r="CK127" s="542" t="s">
        <v>79</v>
      </c>
      <c r="CL127" s="543" t="s">
        <v>1903</v>
      </c>
      <c r="CM127" s="528" t="s">
        <v>1907</v>
      </c>
      <c r="CN127" s="528" t="s">
        <v>1849</v>
      </c>
      <c r="CO127" s="528"/>
      <c r="CP127" s="544">
        <f t="shared" si="214"/>
        <v>306573.21310706454</v>
      </c>
      <c r="CQ127" s="544">
        <f t="shared" si="215"/>
        <v>22518.802671671609</v>
      </c>
      <c r="CR127" s="544">
        <f t="shared" si="216"/>
        <v>3193.2842212638484</v>
      </c>
      <c r="CS127" s="1688" t="s">
        <v>1826</v>
      </c>
      <c r="CT127" s="1689"/>
      <c r="CU127" s="1689"/>
      <c r="CV127" s="1689"/>
      <c r="CW127" s="1690"/>
      <c r="CX127" s="528"/>
      <c r="CY127" s="528"/>
      <c r="CZ127" s="528"/>
      <c r="DA127" s="528"/>
      <c r="DB127" s="579">
        <f>15431.36</f>
        <v>15431.36</v>
      </c>
      <c r="DC127" s="628" t="e">
        <f>P127-#REF!</f>
        <v>#REF!</v>
      </c>
      <c r="DD127" s="535"/>
      <c r="DE127" s="535"/>
      <c r="DF127" s="525">
        <f t="shared" si="211"/>
        <v>585.56912999999997</v>
      </c>
      <c r="DG127" s="525">
        <f t="shared" si="211"/>
        <v>48.662970000000001</v>
      </c>
      <c r="DH127" s="525">
        <f t="shared" si="211"/>
        <v>7.50136</v>
      </c>
      <c r="DI127" s="522">
        <f t="shared" si="209"/>
        <v>641.73345999999992</v>
      </c>
      <c r="DJ127" s="536"/>
      <c r="DK127" s="536"/>
      <c r="DL127" s="536"/>
      <c r="DM127" s="536"/>
      <c r="DN127" s="536"/>
      <c r="DO127" s="536"/>
      <c r="DP127" s="536"/>
      <c r="DQ127" s="536"/>
      <c r="DR127" s="536"/>
      <c r="DS127" s="536"/>
    </row>
    <row r="128" spans="1:123" s="534" customFormat="1" ht="123.75" customHeight="1">
      <c r="A128" s="537" t="s">
        <v>469</v>
      </c>
      <c r="B128" s="538" t="s">
        <v>1915</v>
      </c>
      <c r="C128" s="576">
        <v>3438874.46</v>
      </c>
      <c r="D128" s="576">
        <v>4218507.75</v>
      </c>
      <c r="E128" s="576">
        <v>3970000</v>
      </c>
      <c r="F128" s="576">
        <v>4589667.53</v>
      </c>
      <c r="G128" s="577">
        <v>3682575.4984586476</v>
      </c>
      <c r="H128" s="577">
        <v>0</v>
      </c>
      <c r="I128" s="576">
        <f t="shared" si="198"/>
        <v>3773627.1600000006</v>
      </c>
      <c r="J128" s="576">
        <v>1947153.3000000003</v>
      </c>
      <c r="K128" s="576">
        <v>913236.93</v>
      </c>
      <c r="L128" s="576">
        <v>913236.93</v>
      </c>
      <c r="M128" s="576">
        <f t="shared" si="199"/>
        <v>2860390.2300000004</v>
      </c>
      <c r="N128" s="576">
        <v>3054669.18</v>
      </c>
      <c r="O128" s="525">
        <f t="shared" si="200"/>
        <v>1171672.19</v>
      </c>
      <c r="P128" s="522">
        <f>81511.98+4130597.84+14231.55</f>
        <v>4226341.37</v>
      </c>
      <c r="Q128" s="576">
        <f t="shared" si="151"/>
        <v>452714.2099999995</v>
      </c>
      <c r="R128" s="576">
        <f t="shared" si="152"/>
        <v>11.996792232118651</v>
      </c>
      <c r="S128" s="576">
        <v>3885117.1508738729</v>
      </c>
      <c r="T128" s="576">
        <v>3885117.1508738729</v>
      </c>
      <c r="U128" s="522">
        <f t="shared" si="201"/>
        <v>3885117.16</v>
      </c>
      <c r="V128" s="522">
        <f t="shared" si="149"/>
        <v>9.1261272318661213E-3</v>
      </c>
      <c r="W128" s="522">
        <f t="shared" si="153"/>
        <v>2.3489967304612946E-7</v>
      </c>
      <c r="X128" s="522">
        <f t="shared" si="154"/>
        <v>-341224.20999999996</v>
      </c>
      <c r="Y128" s="522">
        <f t="shared" si="155"/>
        <v>-8.0737493762838284</v>
      </c>
      <c r="Z128" s="524">
        <f t="shared" si="156"/>
        <v>4340382.3699999992</v>
      </c>
      <c r="AA128" s="522">
        <f t="shared" si="157"/>
        <v>455265.21912612626</v>
      </c>
      <c r="AB128" s="522">
        <f t="shared" si="158"/>
        <v>11.71818510089777</v>
      </c>
      <c r="AC128" s="522">
        <f t="shared" si="159"/>
        <v>455265.20999999903</v>
      </c>
      <c r="AD128" s="522">
        <f t="shared" si="160"/>
        <v>11.718184838472141</v>
      </c>
      <c r="AE128" s="522">
        <f t="shared" si="161"/>
        <v>114040.99999999907</v>
      </c>
      <c r="AF128" s="522">
        <f t="shared" si="162"/>
        <v>2.6983385868803822</v>
      </c>
      <c r="AG128" s="522">
        <f t="shared" si="177"/>
        <v>4708827.79</v>
      </c>
      <c r="AH128" s="522">
        <f t="shared" si="163"/>
        <v>823710.62999999989</v>
      </c>
      <c r="AI128" s="522">
        <f t="shared" si="164"/>
        <v>21.201693438763641</v>
      </c>
      <c r="AJ128" s="522">
        <f t="shared" si="165"/>
        <v>368445.42000000086</v>
      </c>
      <c r="AK128" s="522">
        <f t="shared" si="212"/>
        <v>8.4887779138223891</v>
      </c>
      <c r="AL128" s="522">
        <f t="shared" si="202"/>
        <v>4708827.79</v>
      </c>
      <c r="AM128" s="522">
        <f t="shared" si="192"/>
        <v>1541705.72</v>
      </c>
      <c r="AN128" s="522">
        <f t="shared" si="192"/>
        <v>1996970.9299999997</v>
      </c>
      <c r="AO128" s="522">
        <f t="shared" si="166"/>
        <v>455265.20999999973</v>
      </c>
      <c r="AP128" s="522">
        <f t="shared" si="178"/>
        <v>29.529968274360414</v>
      </c>
      <c r="AQ128" s="578">
        <v>370000</v>
      </c>
      <c r="AR128" s="578">
        <v>753388.79999999993</v>
      </c>
      <c r="AS128" s="578">
        <v>1171705.72</v>
      </c>
      <c r="AT128" s="578">
        <v>1243582.1299999999</v>
      </c>
      <c r="AU128" s="578">
        <f t="shared" si="208"/>
        <v>2343411.44</v>
      </c>
      <c r="AV128" s="578">
        <f t="shared" si="208"/>
        <v>2343411.44</v>
      </c>
      <c r="AW128" s="578">
        <f t="shared" si="167"/>
        <v>0</v>
      </c>
      <c r="AX128" s="578">
        <f t="shared" si="168"/>
        <v>0</v>
      </c>
      <c r="AY128" s="578">
        <f t="shared" si="210"/>
        <v>2711856.8600000003</v>
      </c>
      <c r="AZ128" s="578">
        <f t="shared" si="169"/>
        <v>-368445.42000000039</v>
      </c>
      <c r="BA128" s="578">
        <f t="shared" si="170"/>
        <v>-13.586462671927322</v>
      </c>
      <c r="BB128" s="578">
        <v>1171705.72</v>
      </c>
      <c r="BC128" s="525">
        <f>'[67]Гл инж_Тех дир'!AT50</f>
        <v>1171705.72</v>
      </c>
      <c r="BD128" s="525">
        <f t="shared" si="203"/>
        <v>1358022.7000000007</v>
      </c>
      <c r="BE128" s="525">
        <f t="shared" si="171"/>
        <v>186316.98000000068</v>
      </c>
      <c r="BF128" s="525">
        <f t="shared" si="172"/>
        <v>186316.98000000068</v>
      </c>
      <c r="BG128" s="525">
        <f t="shared" si="150"/>
        <v>2713411.44</v>
      </c>
      <c r="BH128" s="522">
        <f t="shared" si="150"/>
        <v>3168676.6499999994</v>
      </c>
      <c r="BI128" s="522">
        <f>3311862.56+1175.83+41955.24</f>
        <v>3354993.6300000004</v>
      </c>
      <c r="BJ128" s="522">
        <f t="shared" si="173"/>
        <v>641582.19000000041</v>
      </c>
      <c r="BK128" s="522">
        <f t="shared" si="174"/>
        <v>186316.98000000091</v>
      </c>
      <c r="BL128" s="525">
        <v>1171705.72</v>
      </c>
      <c r="BM128" s="522">
        <f>'[67]Гл инж_Тех дир'!AW50</f>
        <v>1171705.72</v>
      </c>
      <c r="BN128" s="522">
        <f t="shared" si="204"/>
        <v>1353834.1599999997</v>
      </c>
      <c r="BO128" s="522">
        <f t="shared" si="181"/>
        <v>182128.43999999971</v>
      </c>
      <c r="BP128" s="522">
        <f t="shared" si="175"/>
        <v>182128.43999999971</v>
      </c>
      <c r="BQ128" s="525">
        <v>1171705.72</v>
      </c>
      <c r="BR128" s="522">
        <f>'[67]Гл инж_Тех дир'!BB50</f>
        <v>0</v>
      </c>
      <c r="BS128" s="522">
        <f>'[67]Гл инж_Тех дир'!BC50</f>
        <v>0</v>
      </c>
      <c r="BT128" s="536"/>
      <c r="BU128" s="522">
        <f>4642345.07+1175.83</f>
        <v>4643520.9000000004</v>
      </c>
      <c r="BV128" s="522">
        <v>65306.89</v>
      </c>
      <c r="BW128" s="522"/>
      <c r="BX128" s="629"/>
      <c r="BY128" s="525">
        <f>4292188.12+1137.99+65306.89</f>
        <v>4358633</v>
      </c>
      <c r="BZ128" s="525">
        <f>301208.38+28.87</f>
        <v>301237.25</v>
      </c>
      <c r="CA128" s="525">
        <f>48948.57+8.97</f>
        <v>48957.54</v>
      </c>
      <c r="CB128" s="522">
        <f t="shared" si="213"/>
        <v>4708827.79</v>
      </c>
      <c r="CC128" s="522">
        <f t="shared" si="176"/>
        <v>0</v>
      </c>
      <c r="CD128" s="522"/>
      <c r="CE128" s="522"/>
      <c r="CF128" s="522"/>
      <c r="CG128" s="522"/>
      <c r="CH128" s="522"/>
      <c r="CI128" s="522"/>
      <c r="CJ128" s="522"/>
      <c r="CK128" s="542" t="s">
        <v>79</v>
      </c>
      <c r="CL128" s="543" t="s">
        <v>1916</v>
      </c>
      <c r="CM128" s="528" t="s">
        <v>1907</v>
      </c>
      <c r="CN128" s="528" t="s">
        <v>1849</v>
      </c>
      <c r="CO128" s="528"/>
      <c r="CP128" s="544">
        <f t="shared" si="214"/>
        <v>3584488.5435455418</v>
      </c>
      <c r="CQ128" s="544">
        <f t="shared" si="215"/>
        <v>263292.3776115441</v>
      </c>
      <c r="CR128" s="544">
        <f t="shared" si="216"/>
        <v>37336.238842914252</v>
      </c>
      <c r="CS128" s="1688" t="s">
        <v>1826</v>
      </c>
      <c r="CT128" s="1689"/>
      <c r="CU128" s="1689"/>
      <c r="CV128" s="1689"/>
      <c r="CW128" s="1690"/>
      <c r="CX128" s="528"/>
      <c r="CY128" s="528"/>
      <c r="CZ128" s="528"/>
      <c r="DA128" s="528"/>
      <c r="DB128" s="579">
        <f>741685.2+1175.83+10527.77</f>
        <v>753388.79999999993</v>
      </c>
      <c r="DC128" s="628" t="e">
        <f>P128-#REF!</f>
        <v>#REF!</v>
      </c>
      <c r="DD128" s="535"/>
      <c r="DE128" s="535"/>
      <c r="DF128" s="525">
        <f t="shared" si="211"/>
        <v>4358.6329999999998</v>
      </c>
      <c r="DG128" s="525">
        <f t="shared" si="211"/>
        <v>301.23725000000002</v>
      </c>
      <c r="DH128" s="525">
        <f t="shared" si="211"/>
        <v>48.957540000000002</v>
      </c>
      <c r="DI128" s="522">
        <f t="shared" si="209"/>
        <v>4708.8277900000003</v>
      </c>
      <c r="DJ128" s="536"/>
      <c r="DK128" s="536"/>
      <c r="DL128" s="536"/>
      <c r="DM128" s="536"/>
      <c r="DN128" s="536"/>
      <c r="DO128" s="536"/>
      <c r="DP128" s="536"/>
      <c r="DQ128" s="536"/>
      <c r="DR128" s="536"/>
      <c r="DS128" s="536"/>
    </row>
    <row r="129" spans="1:123" s="534" customFormat="1" ht="30" customHeight="1">
      <c r="A129" s="537" t="s">
        <v>474</v>
      </c>
      <c r="B129" s="538" t="s">
        <v>475</v>
      </c>
      <c r="C129" s="576">
        <v>4041809.15</v>
      </c>
      <c r="D129" s="576">
        <v>2291892.83</v>
      </c>
      <c r="E129" s="576">
        <v>4010675.11</v>
      </c>
      <c r="F129" s="576">
        <v>5246034.5199999996</v>
      </c>
      <c r="G129" s="577">
        <v>4218986.6027946016</v>
      </c>
      <c r="H129" s="577">
        <v>0</v>
      </c>
      <c r="I129" s="576">
        <f t="shared" si="198"/>
        <v>4556256.42</v>
      </c>
      <c r="J129" s="576">
        <v>2283804.62</v>
      </c>
      <c r="K129" s="576">
        <v>951972.99</v>
      </c>
      <c r="L129" s="576">
        <v>1320478.81</v>
      </c>
      <c r="M129" s="576">
        <f t="shared" si="199"/>
        <v>3235777.6100000003</v>
      </c>
      <c r="N129" s="576">
        <v>2871608.31</v>
      </c>
      <c r="O129" s="525">
        <f t="shared" si="200"/>
        <v>1277367.1299999999</v>
      </c>
      <c r="P129" s="522">
        <v>4148975.44</v>
      </c>
      <c r="Q129" s="576">
        <f t="shared" si="151"/>
        <v>-407280.98</v>
      </c>
      <c r="R129" s="576">
        <f t="shared" si="152"/>
        <v>-8.9389389546253852</v>
      </c>
      <c r="S129" s="576">
        <v>4451030.8659483045</v>
      </c>
      <c r="T129" s="576">
        <v>4451030.8659483045</v>
      </c>
      <c r="U129" s="522">
        <f t="shared" si="201"/>
        <v>3984080.44</v>
      </c>
      <c r="V129" s="522">
        <f t="shared" si="149"/>
        <v>-466950.42594830459</v>
      </c>
      <c r="W129" s="522">
        <f t="shared" si="153"/>
        <v>-10.490837740996412</v>
      </c>
      <c r="X129" s="522">
        <f t="shared" si="154"/>
        <v>-164895</v>
      </c>
      <c r="Y129" s="522">
        <f t="shared" si="155"/>
        <v>-3.9743546903232527</v>
      </c>
      <c r="Z129" s="524">
        <f t="shared" si="156"/>
        <v>3990196.51</v>
      </c>
      <c r="AA129" s="522">
        <f t="shared" si="157"/>
        <v>-460834.35594830476</v>
      </c>
      <c r="AB129" s="522">
        <f t="shared" si="158"/>
        <v>-10.353429796989801</v>
      </c>
      <c r="AC129" s="522">
        <f t="shared" si="159"/>
        <v>6116.0699999998324</v>
      </c>
      <c r="AD129" s="522">
        <f t="shared" si="160"/>
        <v>0.15351271371417852</v>
      </c>
      <c r="AE129" s="522">
        <f t="shared" si="161"/>
        <v>-158778.93000000017</v>
      </c>
      <c r="AF129" s="522">
        <f t="shared" si="162"/>
        <v>-3.8269431163468113</v>
      </c>
      <c r="AG129" s="522">
        <f t="shared" si="177"/>
        <v>4087203.8299999996</v>
      </c>
      <c r="AH129" s="522">
        <f t="shared" si="163"/>
        <v>103123.38999999966</v>
      </c>
      <c r="AI129" s="522">
        <f t="shared" si="164"/>
        <v>2.5883862425227591</v>
      </c>
      <c r="AJ129" s="522">
        <f t="shared" si="165"/>
        <v>97007.319999999832</v>
      </c>
      <c r="AK129" s="522">
        <f t="shared" si="212"/>
        <v>2.4311414176441133</v>
      </c>
      <c r="AL129" s="522">
        <f t="shared" si="202"/>
        <v>4087203.8299999996</v>
      </c>
      <c r="AM129" s="522">
        <f t="shared" si="192"/>
        <v>2012040.22</v>
      </c>
      <c r="AN129" s="522">
        <f t="shared" si="192"/>
        <v>2018156.33</v>
      </c>
      <c r="AO129" s="522">
        <f t="shared" si="166"/>
        <v>6116.1100000001024</v>
      </c>
      <c r="AP129" s="522">
        <f t="shared" si="178"/>
        <v>0.30397553384892717</v>
      </c>
      <c r="AQ129" s="578">
        <v>1006020.11</v>
      </c>
      <c r="AR129" s="578">
        <v>1105241.8600000001</v>
      </c>
      <c r="AS129" s="578">
        <v>1006020.11</v>
      </c>
      <c r="AT129" s="578">
        <v>912914.47</v>
      </c>
      <c r="AU129" s="578">
        <f t="shared" si="208"/>
        <v>1972040.22</v>
      </c>
      <c r="AV129" s="578">
        <f t="shared" si="208"/>
        <v>1972040.18</v>
      </c>
      <c r="AW129" s="578">
        <f t="shared" si="167"/>
        <v>-4.0000000037252903E-2</v>
      </c>
      <c r="AX129" s="578">
        <f t="shared" si="168"/>
        <v>-2.0283561923406523E-6</v>
      </c>
      <c r="AY129" s="578">
        <f t="shared" si="210"/>
        <v>2069047.4999999995</v>
      </c>
      <c r="AZ129" s="578">
        <f t="shared" si="169"/>
        <v>-97007.3199999996</v>
      </c>
      <c r="BA129" s="578">
        <f t="shared" si="170"/>
        <v>-4.6885013514672664</v>
      </c>
      <c r="BB129" s="578">
        <v>1006020.11</v>
      </c>
      <c r="BC129" s="525">
        <f>'[67]Гл инж_Тех дир'!AT51</f>
        <v>1006020.08</v>
      </c>
      <c r="BD129" s="525">
        <f t="shared" si="203"/>
        <v>755376.7799999998</v>
      </c>
      <c r="BE129" s="525">
        <f t="shared" si="171"/>
        <v>-250643.33000000019</v>
      </c>
      <c r="BF129" s="525">
        <f t="shared" si="172"/>
        <v>-250643.30000000016</v>
      </c>
      <c r="BG129" s="525">
        <f t="shared" si="150"/>
        <v>3018060.33</v>
      </c>
      <c r="BH129" s="522">
        <f t="shared" si="150"/>
        <v>3024176.41</v>
      </c>
      <c r="BI129" s="522">
        <f>2771197.61+2335.5</f>
        <v>2773533.11</v>
      </c>
      <c r="BJ129" s="522">
        <f t="shared" si="173"/>
        <v>-244527.2200000002</v>
      </c>
      <c r="BK129" s="522">
        <f t="shared" si="174"/>
        <v>-250643.30000000028</v>
      </c>
      <c r="BL129" s="525">
        <f>1006020.11-40000</f>
        <v>966020.11</v>
      </c>
      <c r="BM129" s="522">
        <f>'[67]Гл инж_Тех дир'!AW51</f>
        <v>966020.1</v>
      </c>
      <c r="BN129" s="522">
        <f t="shared" si="204"/>
        <v>1313670.7199999997</v>
      </c>
      <c r="BO129" s="522">
        <f t="shared" si="181"/>
        <v>347650.60999999975</v>
      </c>
      <c r="BP129" s="522">
        <f t="shared" si="175"/>
        <v>347650.61999999976</v>
      </c>
      <c r="BQ129" s="525">
        <f>1006020.11-40000</f>
        <v>966020.11</v>
      </c>
      <c r="BR129" s="522">
        <f>'[67]Гл инж_Тех дир'!BB51</f>
        <v>0</v>
      </c>
      <c r="BS129" s="522">
        <f>'[67]Гл инж_Тех дир'!BC51</f>
        <v>0</v>
      </c>
      <c r="BT129" s="536"/>
      <c r="BU129" s="522">
        <f>4073081.36+1811.76</f>
        <v>4074893.1199999996</v>
      </c>
      <c r="BV129" s="522">
        <v>12310.71</v>
      </c>
      <c r="BW129" s="522"/>
      <c r="BX129" s="629"/>
      <c r="BY129" s="525">
        <f>3794770.76+1807.99+12310.71</f>
        <v>3808889.46</v>
      </c>
      <c r="BZ129" s="525">
        <f>235270.74+3.04</f>
        <v>235273.78</v>
      </c>
      <c r="CA129" s="525">
        <f>43039.86+0.73</f>
        <v>43040.590000000004</v>
      </c>
      <c r="CB129" s="522">
        <f t="shared" si="213"/>
        <v>4087203.8299999996</v>
      </c>
      <c r="CC129" s="522">
        <f t="shared" si="176"/>
        <v>0</v>
      </c>
      <c r="CD129" s="522"/>
      <c r="CE129" s="522"/>
      <c r="CF129" s="522"/>
      <c r="CG129" s="522"/>
      <c r="CH129" s="522"/>
      <c r="CI129" s="522"/>
      <c r="CJ129" s="522"/>
      <c r="CK129" s="542" t="s">
        <v>79</v>
      </c>
      <c r="CL129" s="543" t="s">
        <v>1903</v>
      </c>
      <c r="CM129" s="528" t="s">
        <v>1907</v>
      </c>
      <c r="CN129" s="528" t="s">
        <v>1849</v>
      </c>
      <c r="CO129" s="528"/>
      <c r="CP129" s="544">
        <f t="shared" si="214"/>
        <v>3675794.0895002205</v>
      </c>
      <c r="CQ129" s="544">
        <f t="shared" si="215"/>
        <v>269999.06783847068</v>
      </c>
      <c r="CR129" s="544">
        <f t="shared" si="216"/>
        <v>38287.282661309218</v>
      </c>
      <c r="CS129" s="1688" t="s">
        <v>1826</v>
      </c>
      <c r="CT129" s="1689"/>
      <c r="CU129" s="1689"/>
      <c r="CV129" s="1689"/>
      <c r="CW129" s="1690"/>
      <c r="CX129" s="528"/>
      <c r="CY129" s="528"/>
      <c r="CZ129" s="528"/>
      <c r="DA129" s="528"/>
      <c r="DB129" s="579">
        <f>1103483.83+979.53+778.5</f>
        <v>1105241.8600000001</v>
      </c>
      <c r="DC129" s="628" t="e">
        <f>P129-#REF!</f>
        <v>#REF!</v>
      </c>
      <c r="DD129" s="535"/>
      <c r="DE129" s="535"/>
      <c r="DF129" s="525">
        <f t="shared" si="211"/>
        <v>3808.8894599999999</v>
      </c>
      <c r="DG129" s="525">
        <f t="shared" si="211"/>
        <v>235.27377999999999</v>
      </c>
      <c r="DH129" s="525">
        <f t="shared" si="211"/>
        <v>43.040590000000002</v>
      </c>
      <c r="DI129" s="522">
        <f t="shared" si="209"/>
        <v>4087.2038299999995</v>
      </c>
      <c r="DJ129" s="536"/>
      <c r="DK129" s="536"/>
      <c r="DL129" s="536"/>
      <c r="DM129" s="536"/>
      <c r="DN129" s="536"/>
      <c r="DO129" s="536"/>
      <c r="DP129" s="536"/>
      <c r="DQ129" s="536"/>
      <c r="DR129" s="536"/>
      <c r="DS129" s="536"/>
    </row>
    <row r="130" spans="1:123" s="534" customFormat="1" ht="39" customHeight="1">
      <c r="A130" s="537" t="s">
        <v>479</v>
      </c>
      <c r="B130" s="538" t="s">
        <v>480</v>
      </c>
      <c r="C130" s="576">
        <v>334540.37</v>
      </c>
      <c r="D130" s="576">
        <v>131836.84</v>
      </c>
      <c r="E130" s="525">
        <v>661400</v>
      </c>
      <c r="F130" s="525">
        <v>405868.68</v>
      </c>
      <c r="G130" s="596">
        <v>429885.63275904622</v>
      </c>
      <c r="H130" s="596">
        <v>0</v>
      </c>
      <c r="I130" s="525">
        <f t="shared" si="198"/>
        <v>230017.08000000002</v>
      </c>
      <c r="J130" s="525">
        <v>42799.25</v>
      </c>
      <c r="K130" s="525">
        <v>94777.45</v>
      </c>
      <c r="L130" s="525">
        <v>92440.38</v>
      </c>
      <c r="M130" s="525">
        <f t="shared" si="199"/>
        <v>137576.70000000001</v>
      </c>
      <c r="N130" s="525">
        <v>69656.61</v>
      </c>
      <c r="O130" s="525">
        <f t="shared" si="200"/>
        <v>25162.89</v>
      </c>
      <c r="P130" s="522">
        <v>94819.5</v>
      </c>
      <c r="Q130" s="525">
        <f t="shared" si="151"/>
        <v>-135197.58000000002</v>
      </c>
      <c r="R130" s="525">
        <f t="shared" si="152"/>
        <v>-58.777191676374649</v>
      </c>
      <c r="S130" s="525">
        <v>62340</v>
      </c>
      <c r="T130" s="525">
        <v>62340</v>
      </c>
      <c r="U130" s="522">
        <f t="shared" si="201"/>
        <v>94450.28</v>
      </c>
      <c r="V130" s="522">
        <f t="shared" si="149"/>
        <v>32110.28</v>
      </c>
      <c r="W130" s="522">
        <f t="shared" si="153"/>
        <v>51.508309271735641</v>
      </c>
      <c r="X130" s="522">
        <f t="shared" si="154"/>
        <v>-369.22000000000116</v>
      </c>
      <c r="Y130" s="522">
        <f t="shared" si="155"/>
        <v>-0.38939247728578152</v>
      </c>
      <c r="Z130" s="524">
        <f t="shared" si="156"/>
        <v>98223.84</v>
      </c>
      <c r="AA130" s="522">
        <f t="shared" si="157"/>
        <v>35883.839999999997</v>
      </c>
      <c r="AB130" s="522">
        <f t="shared" si="158"/>
        <v>57.561501443695846</v>
      </c>
      <c r="AC130" s="522">
        <f t="shared" si="159"/>
        <v>3773.5599999999977</v>
      </c>
      <c r="AD130" s="522">
        <f t="shared" si="160"/>
        <v>3.9952872558980204</v>
      </c>
      <c r="AE130" s="522">
        <f t="shared" si="161"/>
        <v>3404.3399999999965</v>
      </c>
      <c r="AF130" s="522">
        <f t="shared" si="162"/>
        <v>3.5903374305918021</v>
      </c>
      <c r="AG130" s="522">
        <f t="shared" si="177"/>
        <v>106626.89</v>
      </c>
      <c r="AH130" s="522">
        <f t="shared" si="163"/>
        <v>12176.61</v>
      </c>
      <c r="AI130" s="522">
        <f t="shared" si="164"/>
        <v>12.892084597314053</v>
      </c>
      <c r="AJ130" s="522">
        <f t="shared" si="165"/>
        <v>8403.0500000000029</v>
      </c>
      <c r="AK130" s="522">
        <f t="shared" si="212"/>
        <v>8.5550004968244053</v>
      </c>
      <c r="AL130" s="522">
        <f t="shared" si="202"/>
        <v>106626.89</v>
      </c>
      <c r="AM130" s="522">
        <f t="shared" si="192"/>
        <v>47225.14</v>
      </c>
      <c r="AN130" s="522">
        <f t="shared" si="192"/>
        <v>50998.7</v>
      </c>
      <c r="AO130" s="522">
        <f t="shared" si="166"/>
        <v>3773.5599999999977</v>
      </c>
      <c r="AP130" s="522">
        <f t="shared" si="178"/>
        <v>7.9905745117960407</v>
      </c>
      <c r="AQ130" s="522">
        <v>23612.57</v>
      </c>
      <c r="AR130" s="522">
        <v>25439.57</v>
      </c>
      <c r="AS130" s="522">
        <v>23612.57</v>
      </c>
      <c r="AT130" s="522">
        <v>25559.129999999997</v>
      </c>
      <c r="AU130" s="522">
        <f t="shared" si="208"/>
        <v>47225.14</v>
      </c>
      <c r="AV130" s="522">
        <f t="shared" si="208"/>
        <v>47225.14</v>
      </c>
      <c r="AW130" s="522">
        <f t="shared" si="167"/>
        <v>0</v>
      </c>
      <c r="AX130" s="522">
        <f t="shared" si="168"/>
        <v>0</v>
      </c>
      <c r="AY130" s="522">
        <f t="shared" si="210"/>
        <v>55628.19</v>
      </c>
      <c r="AZ130" s="522">
        <f t="shared" si="169"/>
        <v>-8403.0500000000029</v>
      </c>
      <c r="BA130" s="522">
        <f t="shared" si="170"/>
        <v>-15.105740452817187</v>
      </c>
      <c r="BB130" s="522">
        <v>23612.57</v>
      </c>
      <c r="BC130" s="525">
        <f>'[67]Гл инж_Тех дир'!AT52</f>
        <v>23612.57</v>
      </c>
      <c r="BD130" s="525">
        <f t="shared" si="203"/>
        <v>28090.190000000002</v>
      </c>
      <c r="BE130" s="525">
        <f t="shared" si="171"/>
        <v>4477.6200000000026</v>
      </c>
      <c r="BF130" s="525">
        <f t="shared" si="172"/>
        <v>4477.6200000000026</v>
      </c>
      <c r="BG130" s="525">
        <f t="shared" si="150"/>
        <v>70837.709999999992</v>
      </c>
      <c r="BH130" s="522">
        <f t="shared" si="150"/>
        <v>74611.26999999999</v>
      </c>
      <c r="BI130" s="522">
        <f>78666.89+422</f>
        <v>79088.89</v>
      </c>
      <c r="BJ130" s="522">
        <f t="shared" si="173"/>
        <v>8251.1800000000076</v>
      </c>
      <c r="BK130" s="522">
        <f t="shared" si="174"/>
        <v>4477.6200000000099</v>
      </c>
      <c r="BL130" s="525">
        <v>23612.57</v>
      </c>
      <c r="BM130" s="522">
        <f>'[67]Гл инж_Тех дир'!AW52</f>
        <v>23612.57</v>
      </c>
      <c r="BN130" s="522">
        <f t="shared" si="204"/>
        <v>27538</v>
      </c>
      <c r="BO130" s="522">
        <f t="shared" si="181"/>
        <v>3925.4300000000003</v>
      </c>
      <c r="BP130" s="522">
        <f t="shared" si="175"/>
        <v>3925.4300000000003</v>
      </c>
      <c r="BQ130" s="525">
        <v>23612.57</v>
      </c>
      <c r="BR130" s="522">
        <f>'[67]Гл инж_Тех дир'!BB52</f>
        <v>0</v>
      </c>
      <c r="BS130" s="522">
        <f>'[67]Гл инж_Тех дир'!BC52</f>
        <v>0</v>
      </c>
      <c r="BT130" s="536"/>
      <c r="BU130" s="522">
        <v>105826.89</v>
      </c>
      <c r="BV130" s="522">
        <v>800</v>
      </c>
      <c r="BW130" s="522"/>
      <c r="BX130" s="629"/>
      <c r="BY130" s="525">
        <f>98638.8+800</f>
        <v>99438.8</v>
      </c>
      <c r="BZ130" s="525">
        <v>6034.71</v>
      </c>
      <c r="CA130" s="525">
        <v>1153.3800000000001</v>
      </c>
      <c r="CB130" s="522">
        <f t="shared" si="213"/>
        <v>106626.89000000001</v>
      </c>
      <c r="CC130" s="522">
        <f t="shared" si="176"/>
        <v>0</v>
      </c>
      <c r="CD130" s="522"/>
      <c r="CE130" s="522"/>
      <c r="CF130" s="522"/>
      <c r="CG130" s="522"/>
      <c r="CH130" s="522"/>
      <c r="CI130" s="522"/>
      <c r="CJ130" s="522"/>
      <c r="CK130" s="542" t="s">
        <v>79</v>
      </c>
      <c r="CL130" s="543" t="s">
        <v>1903</v>
      </c>
      <c r="CM130" s="528" t="s">
        <v>1907</v>
      </c>
      <c r="CN130" s="528" t="s">
        <v>1849</v>
      </c>
      <c r="CO130" s="528"/>
      <c r="CP130" s="544">
        <f t="shared" si="214"/>
        <v>87141.75986256967</v>
      </c>
      <c r="CQ130" s="544">
        <f t="shared" si="215"/>
        <v>6400.8465544642859</v>
      </c>
      <c r="CR130" s="544">
        <f t="shared" si="216"/>
        <v>907.67358296606096</v>
      </c>
      <c r="CS130" s="1688" t="s">
        <v>1826</v>
      </c>
      <c r="CT130" s="1689"/>
      <c r="CU130" s="1689"/>
      <c r="CV130" s="1689"/>
      <c r="CW130" s="1690"/>
      <c r="CX130" s="528"/>
      <c r="CY130" s="528"/>
      <c r="CZ130" s="528"/>
      <c r="DA130" s="528"/>
      <c r="DB130" s="544">
        <f>25152.57+287</f>
        <v>25439.57</v>
      </c>
      <c r="DC130" s="628" t="e">
        <f>P130-#REF!</f>
        <v>#REF!</v>
      </c>
      <c r="DD130" s="535"/>
      <c r="DE130" s="535"/>
      <c r="DF130" s="525">
        <f t="shared" si="211"/>
        <v>99.438800000000001</v>
      </c>
      <c r="DG130" s="525">
        <f t="shared" si="211"/>
        <v>6.0347100000000005</v>
      </c>
      <c r="DH130" s="525">
        <f t="shared" si="211"/>
        <v>1.1533800000000001</v>
      </c>
      <c r="DI130" s="522">
        <f t="shared" si="209"/>
        <v>106.62689000000002</v>
      </c>
      <c r="DJ130" s="536"/>
      <c r="DK130" s="536"/>
      <c r="DL130" s="536"/>
      <c r="DM130" s="536"/>
      <c r="DN130" s="536"/>
      <c r="DO130" s="536"/>
      <c r="DP130" s="536"/>
      <c r="DQ130" s="536"/>
      <c r="DR130" s="536"/>
      <c r="DS130" s="536"/>
    </row>
    <row r="131" spans="1:123" s="534" customFormat="1" ht="96.75" customHeight="1">
      <c r="A131" s="537" t="s">
        <v>484</v>
      </c>
      <c r="B131" s="538" t="s">
        <v>1917</v>
      </c>
      <c r="C131" s="576">
        <v>2184223.71</v>
      </c>
      <c r="D131" s="576">
        <v>7436875.0999999996</v>
      </c>
      <c r="E131" s="576">
        <v>4050469.58</v>
      </c>
      <c r="F131" s="576">
        <v>1963952.48</v>
      </c>
      <c r="G131" s="577">
        <v>1778674.8491212984</v>
      </c>
      <c r="H131" s="577">
        <v>0</v>
      </c>
      <c r="I131" s="576">
        <f t="shared" si="198"/>
        <v>6710109.9499999993</v>
      </c>
      <c r="J131" s="576">
        <v>2132637.0099999998</v>
      </c>
      <c r="K131" s="576">
        <v>2141208.66</v>
      </c>
      <c r="L131" s="576">
        <v>2436264.2799999998</v>
      </c>
      <c r="M131" s="576">
        <f t="shared" si="199"/>
        <v>4273845.67</v>
      </c>
      <c r="N131" s="576">
        <v>3268991.49</v>
      </c>
      <c r="O131" s="525">
        <f t="shared" si="200"/>
        <v>1710631.3599999994</v>
      </c>
      <c r="P131" s="522">
        <v>4979622.8499999996</v>
      </c>
      <c r="Q131" s="576">
        <f t="shared" si="151"/>
        <v>-1730487.0999999996</v>
      </c>
      <c r="R131" s="576">
        <f t="shared" si="152"/>
        <v>-25.789251039023583</v>
      </c>
      <c r="S131" s="576">
        <v>2223837.6649999996</v>
      </c>
      <c r="T131" s="576">
        <v>2223837.6649999996</v>
      </c>
      <c r="U131" s="522">
        <f t="shared" si="201"/>
        <v>2223837.6800000002</v>
      </c>
      <c r="V131" s="522">
        <f t="shared" si="149"/>
        <v>1.5000000596046448E-2</v>
      </c>
      <c r="W131" s="522">
        <f t="shared" si="153"/>
        <v>6.7450969254423399E-7</v>
      </c>
      <c r="X131" s="522">
        <f t="shared" si="154"/>
        <v>-2755785.1699999995</v>
      </c>
      <c r="Y131" s="522">
        <f t="shared" si="155"/>
        <v>-55.341242760985395</v>
      </c>
      <c r="Z131" s="524">
        <f t="shared" si="156"/>
        <v>8749217.3499999996</v>
      </c>
      <c r="AA131" s="522">
        <f t="shared" si="157"/>
        <v>6525379.6850000005</v>
      </c>
      <c r="AB131" s="522">
        <f t="shared" si="158"/>
        <v>293.42877799490827</v>
      </c>
      <c r="AC131" s="522">
        <f t="shared" si="159"/>
        <v>6525379.6699999999</v>
      </c>
      <c r="AD131" s="522">
        <f t="shared" si="160"/>
        <v>293.42877534119299</v>
      </c>
      <c r="AE131" s="522">
        <f t="shared" si="161"/>
        <v>3769594.5</v>
      </c>
      <c r="AF131" s="522">
        <f t="shared" si="162"/>
        <v>75.700401688051556</v>
      </c>
      <c r="AG131" s="522">
        <f t="shared" si="177"/>
        <v>6487305.54</v>
      </c>
      <c r="AH131" s="522">
        <f t="shared" si="163"/>
        <v>4263467.8599999994</v>
      </c>
      <c r="AI131" s="522">
        <f t="shared" si="164"/>
        <v>191.71668410618889</v>
      </c>
      <c r="AJ131" s="522">
        <f t="shared" si="165"/>
        <v>-2261911.8099999996</v>
      </c>
      <c r="AK131" s="522">
        <f t="shared" si="212"/>
        <v>-25.852733101892824</v>
      </c>
      <c r="AL131" s="522">
        <f t="shared" si="202"/>
        <v>6487305.54</v>
      </c>
      <c r="AM131" s="522">
        <f t="shared" si="192"/>
        <v>1111918.8400000001</v>
      </c>
      <c r="AN131" s="522">
        <f t="shared" si="192"/>
        <v>3195949.57</v>
      </c>
      <c r="AO131" s="522">
        <f t="shared" si="166"/>
        <v>2084030.7299999997</v>
      </c>
      <c r="AP131" s="522">
        <f t="shared" si="178"/>
        <v>187.42651487045578</v>
      </c>
      <c r="AQ131" s="578">
        <v>555959.42000000004</v>
      </c>
      <c r="AR131" s="578">
        <v>1664516.57</v>
      </c>
      <c r="AS131" s="578">
        <v>555959.42000000004</v>
      </c>
      <c r="AT131" s="578">
        <v>1531432.9999999998</v>
      </c>
      <c r="AU131" s="578">
        <f t="shared" si="208"/>
        <v>1111918.8400000001</v>
      </c>
      <c r="AV131" s="578">
        <f t="shared" si="208"/>
        <v>5553267.7800000003</v>
      </c>
      <c r="AW131" s="578">
        <f t="shared" si="167"/>
        <v>4441348.9400000004</v>
      </c>
      <c r="AX131" s="578">
        <f t="shared" si="168"/>
        <v>399.43103581193026</v>
      </c>
      <c r="AY131" s="578">
        <f t="shared" si="210"/>
        <v>3291355.97</v>
      </c>
      <c r="AZ131" s="578">
        <f t="shared" si="169"/>
        <v>2261911.81</v>
      </c>
      <c r="BA131" s="578">
        <f t="shared" si="170"/>
        <v>68.72279481820982</v>
      </c>
      <c r="BB131" s="578">
        <v>555959.42000000004</v>
      </c>
      <c r="BC131" s="525">
        <f>'[67]Гл инж_Тех дир'!AT53</f>
        <v>2776633.89</v>
      </c>
      <c r="BD131" s="525">
        <f t="shared" si="203"/>
        <v>1515592.5900000003</v>
      </c>
      <c r="BE131" s="525">
        <f t="shared" si="171"/>
        <v>959633.17000000027</v>
      </c>
      <c r="BF131" s="525">
        <f t="shared" si="172"/>
        <v>-1261041.2999999998</v>
      </c>
      <c r="BG131" s="525">
        <f t="shared" si="150"/>
        <v>1667878.2600000002</v>
      </c>
      <c r="BH131" s="522">
        <f t="shared" si="150"/>
        <v>5972583.46</v>
      </c>
      <c r="BI131" s="522">
        <v>4711542.16</v>
      </c>
      <c r="BJ131" s="522">
        <f t="shared" si="173"/>
        <v>3043663.9</v>
      </c>
      <c r="BK131" s="522">
        <f t="shared" si="174"/>
        <v>-1261041.2999999998</v>
      </c>
      <c r="BL131" s="525">
        <v>555959.42000000004</v>
      </c>
      <c r="BM131" s="522">
        <f>'[67]Гл инж_Тех дир'!AW53</f>
        <v>2776633.89</v>
      </c>
      <c r="BN131" s="522">
        <f t="shared" si="204"/>
        <v>1775763.38</v>
      </c>
      <c r="BO131" s="522">
        <f t="shared" si="181"/>
        <v>1219803.96</v>
      </c>
      <c r="BP131" s="522">
        <f t="shared" si="175"/>
        <v>-1000870.5100000002</v>
      </c>
      <c r="BQ131" s="525">
        <v>555959.42000000004</v>
      </c>
      <c r="BR131" s="522">
        <f>'[67]Гл инж_Тех дир'!BB53</f>
        <v>0</v>
      </c>
      <c r="BS131" s="522">
        <f>'[67]Гл инж_Тех дир'!BC53</f>
        <v>0</v>
      </c>
      <c r="BT131" s="536"/>
      <c r="BU131" s="522">
        <v>6487305.54</v>
      </c>
      <c r="BV131" s="522"/>
      <c r="BW131" s="522"/>
      <c r="BX131" s="629"/>
      <c r="BY131" s="525">
        <v>6487305.54</v>
      </c>
      <c r="BZ131" s="525"/>
      <c r="CA131" s="525"/>
      <c r="CB131" s="522">
        <f t="shared" si="213"/>
        <v>6487305.54</v>
      </c>
      <c r="CC131" s="522">
        <f t="shared" si="176"/>
        <v>0</v>
      </c>
      <c r="CD131" s="522"/>
      <c r="CE131" s="522"/>
      <c r="CF131" s="522"/>
      <c r="CG131" s="522"/>
      <c r="CH131" s="522"/>
      <c r="CI131" s="522"/>
      <c r="CJ131" s="522"/>
      <c r="CK131" s="542" t="s">
        <v>79</v>
      </c>
      <c r="CL131" s="543" t="s">
        <v>1903</v>
      </c>
      <c r="CM131" s="528" t="s">
        <v>1907</v>
      </c>
      <c r="CN131" s="528" t="s">
        <v>1849</v>
      </c>
      <c r="CO131" s="528"/>
      <c r="CP131" s="544">
        <f t="shared" si="214"/>
        <v>2051758.1216688191</v>
      </c>
      <c r="CQ131" s="544">
        <f t="shared" si="215"/>
        <v>150708.32772243611</v>
      </c>
      <c r="CR131" s="544">
        <f t="shared" si="216"/>
        <v>21371.230608744969</v>
      </c>
      <c r="CS131" s="1688" t="s">
        <v>1826</v>
      </c>
      <c r="CT131" s="1689"/>
      <c r="CU131" s="1689"/>
      <c r="CV131" s="1689"/>
      <c r="CW131" s="1690"/>
      <c r="CX131" s="528"/>
      <c r="CY131" s="528"/>
      <c r="CZ131" s="528"/>
      <c r="DA131" s="528"/>
      <c r="DB131" s="579">
        <f>1664516.57</f>
        <v>1664516.57</v>
      </c>
      <c r="DC131" s="628" t="e">
        <f>P131-#REF!</f>
        <v>#REF!</v>
      </c>
      <c r="DD131" s="535"/>
      <c r="DE131" s="535"/>
      <c r="DF131" s="525">
        <f t="shared" si="211"/>
        <v>6487.3055400000003</v>
      </c>
      <c r="DG131" s="525">
        <f t="shared" si="211"/>
        <v>0</v>
      </c>
      <c r="DH131" s="525">
        <f t="shared" si="211"/>
        <v>0</v>
      </c>
      <c r="DI131" s="522">
        <f t="shared" si="209"/>
        <v>6487.3055400000003</v>
      </c>
      <c r="DJ131" s="536"/>
      <c r="DK131" s="536"/>
      <c r="DL131" s="536"/>
      <c r="DM131" s="536"/>
      <c r="DN131" s="536"/>
      <c r="DO131" s="536"/>
      <c r="DP131" s="536"/>
      <c r="DQ131" s="536"/>
      <c r="DR131" s="536"/>
      <c r="DS131" s="536"/>
    </row>
    <row r="132" spans="1:123" s="534" customFormat="1" ht="37.5" customHeight="1">
      <c r="A132" s="537" t="s">
        <v>489</v>
      </c>
      <c r="B132" s="538" t="s">
        <v>490</v>
      </c>
      <c r="C132" s="576">
        <v>100703.02</v>
      </c>
      <c r="D132" s="576">
        <v>21371.919999999998</v>
      </c>
      <c r="E132" s="576">
        <v>125080</v>
      </c>
      <c r="F132" s="576">
        <v>120404.18</v>
      </c>
      <c r="G132" s="577">
        <v>105696.77572446184</v>
      </c>
      <c r="H132" s="577">
        <v>0</v>
      </c>
      <c r="I132" s="576">
        <f t="shared" si="198"/>
        <v>127801.01999999999</v>
      </c>
      <c r="J132" s="576">
        <v>57787.24</v>
      </c>
      <c r="K132" s="576">
        <v>40708</v>
      </c>
      <c r="L132" s="576">
        <v>29305.78</v>
      </c>
      <c r="M132" s="576">
        <f t="shared" si="199"/>
        <v>98495.239999999991</v>
      </c>
      <c r="N132" s="576">
        <v>138227.16</v>
      </c>
      <c r="O132" s="525">
        <f t="shared" si="200"/>
        <v>87914.15</v>
      </c>
      <c r="P132" s="522">
        <f>2440+223701.31</f>
        <v>226141.31</v>
      </c>
      <c r="Q132" s="576">
        <f t="shared" si="151"/>
        <v>98340.290000000008</v>
      </c>
      <c r="R132" s="576">
        <f t="shared" si="152"/>
        <v>76.947969585845271</v>
      </c>
      <c r="S132" s="576">
        <v>111510.09838930724</v>
      </c>
      <c r="T132" s="576">
        <v>111510.09838930724</v>
      </c>
      <c r="U132" s="522">
        <f t="shared" si="201"/>
        <v>134318.87</v>
      </c>
      <c r="V132" s="522">
        <f t="shared" si="149"/>
        <v>22808.771610692755</v>
      </c>
      <c r="W132" s="522">
        <f t="shared" si="153"/>
        <v>20.454444880016268</v>
      </c>
      <c r="X132" s="522">
        <f t="shared" si="154"/>
        <v>-91822.44</v>
      </c>
      <c r="Y132" s="522">
        <f t="shared" si="155"/>
        <v>-40.604009944047817</v>
      </c>
      <c r="Z132" s="524">
        <f t="shared" si="156"/>
        <v>134318.87</v>
      </c>
      <c r="AA132" s="522">
        <f t="shared" si="157"/>
        <v>22808.771610692755</v>
      </c>
      <c r="AB132" s="522">
        <f t="shared" si="158"/>
        <v>20.454444880016268</v>
      </c>
      <c r="AC132" s="522">
        <f t="shared" si="159"/>
        <v>0</v>
      </c>
      <c r="AD132" s="522">
        <f t="shared" si="160"/>
        <v>0</v>
      </c>
      <c r="AE132" s="522">
        <f t="shared" si="161"/>
        <v>-91822.44</v>
      </c>
      <c r="AF132" s="522">
        <f t="shared" si="162"/>
        <v>-40.604009944047817</v>
      </c>
      <c r="AG132" s="522">
        <f t="shared" si="177"/>
        <v>135989.1</v>
      </c>
      <c r="AH132" s="522">
        <f t="shared" si="163"/>
        <v>1670.2300000000105</v>
      </c>
      <c r="AI132" s="522">
        <f t="shared" si="164"/>
        <v>1.2434812770536325</v>
      </c>
      <c r="AJ132" s="522">
        <f t="shared" si="165"/>
        <v>1670.2300000000105</v>
      </c>
      <c r="AK132" s="522">
        <f t="shared" si="212"/>
        <v>1.2434812770536325</v>
      </c>
      <c r="AL132" s="522">
        <f t="shared" si="202"/>
        <v>135989.1</v>
      </c>
      <c r="AM132" s="522">
        <f t="shared" si="192"/>
        <v>50180</v>
      </c>
      <c r="AN132" s="522">
        <f t="shared" si="192"/>
        <v>44022.52</v>
      </c>
      <c r="AO132" s="522">
        <f t="shared" si="166"/>
        <v>-6157.4800000000032</v>
      </c>
      <c r="AP132" s="522">
        <f t="shared" si="178"/>
        <v>-12.270785173375856</v>
      </c>
      <c r="AQ132" s="578">
        <v>0</v>
      </c>
      <c r="AR132" s="578">
        <v>0</v>
      </c>
      <c r="AS132" s="578">
        <v>50180</v>
      </c>
      <c r="AT132" s="578">
        <v>44022.52</v>
      </c>
      <c r="AU132" s="578">
        <f t="shared" si="208"/>
        <v>84138.87</v>
      </c>
      <c r="AV132" s="578">
        <f t="shared" si="208"/>
        <v>90296.35</v>
      </c>
      <c r="AW132" s="578">
        <f t="shared" si="167"/>
        <v>6157.4800000000105</v>
      </c>
      <c r="AX132" s="578">
        <f t="shared" si="168"/>
        <v>7.3182347231428366</v>
      </c>
      <c r="AY132" s="578">
        <f t="shared" si="210"/>
        <v>91966.580000000016</v>
      </c>
      <c r="AZ132" s="578">
        <f t="shared" si="169"/>
        <v>-1670.2300000000105</v>
      </c>
      <c r="BA132" s="578">
        <f t="shared" si="170"/>
        <v>-1.8161271192209227</v>
      </c>
      <c r="BB132" s="578">
        <v>54755</v>
      </c>
      <c r="BC132" s="576">
        <f>'[67]Гл инж_Тех дир'!AT8</f>
        <v>58612.480000000003</v>
      </c>
      <c r="BD132" s="576">
        <f t="shared" si="203"/>
        <v>31772.80000000001</v>
      </c>
      <c r="BE132" s="576">
        <f t="shared" si="171"/>
        <v>-22982.19999999999</v>
      </c>
      <c r="BF132" s="576">
        <f t="shared" si="172"/>
        <v>-26839.679999999993</v>
      </c>
      <c r="BG132" s="576">
        <f t="shared" si="150"/>
        <v>104935</v>
      </c>
      <c r="BH132" s="578">
        <f t="shared" si="150"/>
        <v>102635</v>
      </c>
      <c r="BI132" s="578">
        <v>75795.320000000007</v>
      </c>
      <c r="BJ132" s="578">
        <f t="shared" si="173"/>
        <v>-29139.679999999993</v>
      </c>
      <c r="BK132" s="578">
        <f t="shared" si="174"/>
        <v>-26839.679999999993</v>
      </c>
      <c r="BL132" s="576">
        <v>29383.87</v>
      </c>
      <c r="BM132" s="578">
        <f>'[67]Гл инж_Тех дир'!AW8</f>
        <v>31683.87</v>
      </c>
      <c r="BN132" s="522">
        <f t="shared" si="204"/>
        <v>60193.78</v>
      </c>
      <c r="BO132" s="578">
        <f t="shared" si="181"/>
        <v>30809.91</v>
      </c>
      <c r="BP132" s="578">
        <f t="shared" si="175"/>
        <v>28509.91</v>
      </c>
      <c r="BQ132" s="576">
        <v>29383.87</v>
      </c>
      <c r="BR132" s="578">
        <f>'[67]Гл инж_Тех дир'!BB8</f>
        <v>0</v>
      </c>
      <c r="BS132" s="578">
        <f>'[67]Гл инж_Тех дир'!BC8</f>
        <v>0</v>
      </c>
      <c r="BT132" s="536"/>
      <c r="BU132" s="578">
        <v>135989.1</v>
      </c>
      <c r="BV132" s="578"/>
      <c r="BW132" s="578"/>
      <c r="BX132" s="629"/>
      <c r="BY132" s="525">
        <v>122401.62</v>
      </c>
      <c r="BZ132" s="525">
        <v>12122.56</v>
      </c>
      <c r="CA132" s="525">
        <v>1464.92</v>
      </c>
      <c r="CB132" s="522">
        <f t="shared" si="213"/>
        <v>135989.1</v>
      </c>
      <c r="CC132" s="522">
        <f t="shared" si="176"/>
        <v>0</v>
      </c>
      <c r="CD132" s="578"/>
      <c r="CE132" s="578"/>
      <c r="CF132" s="578"/>
      <c r="CG132" s="578"/>
      <c r="CH132" s="578"/>
      <c r="CI132" s="578"/>
      <c r="CJ132" s="578"/>
      <c r="CK132" s="542" t="s">
        <v>79</v>
      </c>
      <c r="CL132" s="543" t="s">
        <v>1803</v>
      </c>
      <c r="CM132" s="528" t="s">
        <v>1907</v>
      </c>
      <c r="CN132" s="528" t="s">
        <v>1849</v>
      </c>
      <c r="CO132" s="528"/>
      <c r="CP132" s="544">
        <f t="shared" si="214"/>
        <v>123925.33632035513</v>
      </c>
      <c r="CQ132" s="544">
        <f t="shared" si="215"/>
        <v>9102.7202485692615</v>
      </c>
      <c r="CR132" s="544">
        <f t="shared" si="216"/>
        <v>1290.8134310756152</v>
      </c>
      <c r="CS132" s="1688" t="s">
        <v>1826</v>
      </c>
      <c r="CT132" s="1689"/>
      <c r="CU132" s="1689"/>
      <c r="CV132" s="1689"/>
      <c r="CW132" s="1690"/>
      <c r="CX132" s="528"/>
      <c r="CY132" s="528"/>
      <c r="CZ132" s="528"/>
      <c r="DA132" s="528"/>
      <c r="DB132" s="579"/>
      <c r="DC132" s="628" t="e">
        <f>P132-#REF!</f>
        <v>#REF!</v>
      </c>
      <c r="DD132" s="535"/>
      <c r="DE132" s="535"/>
      <c r="DF132" s="525">
        <f t="shared" si="211"/>
        <v>122.40161999999999</v>
      </c>
      <c r="DG132" s="525">
        <f t="shared" si="211"/>
        <v>12.12256</v>
      </c>
      <c r="DH132" s="525">
        <f t="shared" si="211"/>
        <v>1.46492</v>
      </c>
      <c r="DI132" s="522">
        <f t="shared" si="209"/>
        <v>135.98910000000001</v>
      </c>
      <c r="DJ132" s="536"/>
      <c r="DK132" s="536"/>
      <c r="DL132" s="536"/>
      <c r="DM132" s="536"/>
      <c r="DN132" s="536"/>
      <c r="DO132" s="536"/>
      <c r="DP132" s="536"/>
      <c r="DQ132" s="536"/>
      <c r="DR132" s="536"/>
      <c r="DS132" s="536"/>
    </row>
    <row r="133" spans="1:123" s="534" customFormat="1" ht="84.6">
      <c r="A133" s="537" t="s">
        <v>1918</v>
      </c>
      <c r="B133" s="538" t="s">
        <v>514</v>
      </c>
      <c r="C133" s="576">
        <v>883237.17</v>
      </c>
      <c r="D133" s="576">
        <v>0</v>
      </c>
      <c r="E133" s="576">
        <v>873387.77</v>
      </c>
      <c r="F133" s="576">
        <v>494571.96</v>
      </c>
      <c r="G133" s="631">
        <v>0</v>
      </c>
      <c r="H133" s="577">
        <v>0</v>
      </c>
      <c r="I133" s="576">
        <f t="shared" si="198"/>
        <v>332890.56</v>
      </c>
      <c r="J133" s="576">
        <v>251885.65</v>
      </c>
      <c r="K133" s="576">
        <v>42956.78</v>
      </c>
      <c r="L133" s="576">
        <v>38048.129999999997</v>
      </c>
      <c r="M133" s="576">
        <f t="shared" si="199"/>
        <v>294842.43</v>
      </c>
      <c r="N133" s="576">
        <v>377593.3</v>
      </c>
      <c r="O133" s="525">
        <f t="shared" si="200"/>
        <v>123554.32</v>
      </c>
      <c r="P133" s="522">
        <v>501147.62</v>
      </c>
      <c r="Q133" s="576">
        <f t="shared" si="151"/>
        <v>168257.06</v>
      </c>
      <c r="R133" s="576">
        <f t="shared" si="152"/>
        <v>50.544256947388362</v>
      </c>
      <c r="S133" s="576"/>
      <c r="T133" s="576"/>
      <c r="U133" s="522">
        <f t="shared" si="201"/>
        <v>374000.12999999995</v>
      </c>
      <c r="V133" s="522">
        <f t="shared" ref="V133:V196" si="217">U133-T133</f>
        <v>374000.12999999995</v>
      </c>
      <c r="W133" s="522">
        <v>0</v>
      </c>
      <c r="X133" s="522">
        <f t="shared" si="154"/>
        <v>-127147.49000000005</v>
      </c>
      <c r="Y133" s="522">
        <f t="shared" si="155"/>
        <v>-25.371264858047226</v>
      </c>
      <c r="Z133" s="524">
        <f t="shared" si="156"/>
        <v>374000.13</v>
      </c>
      <c r="AA133" s="522">
        <f t="shared" si="157"/>
        <v>374000.13</v>
      </c>
      <c r="AB133" s="522">
        <v>0</v>
      </c>
      <c r="AC133" s="522">
        <f t="shared" si="159"/>
        <v>0</v>
      </c>
      <c r="AD133" s="522">
        <f t="shared" si="160"/>
        <v>0</v>
      </c>
      <c r="AE133" s="522">
        <f t="shared" si="161"/>
        <v>-127147.48999999999</v>
      </c>
      <c r="AF133" s="522">
        <f t="shared" si="162"/>
        <v>-25.371264858047212</v>
      </c>
      <c r="AG133" s="522">
        <f t="shared" si="177"/>
        <v>368850.59</v>
      </c>
      <c r="AH133" s="522">
        <f t="shared" si="163"/>
        <v>-5149.5399999999208</v>
      </c>
      <c r="AI133" s="522">
        <f t="shared" si="164"/>
        <v>-1.3768818743458411</v>
      </c>
      <c r="AJ133" s="522">
        <f t="shared" si="165"/>
        <v>-5149.539999999979</v>
      </c>
      <c r="AK133" s="522">
        <f t="shared" si="212"/>
        <v>-1.3768818743458695</v>
      </c>
      <c r="AL133" s="522">
        <f t="shared" si="202"/>
        <v>368850.59</v>
      </c>
      <c r="AM133" s="522">
        <f t="shared" si="192"/>
        <v>198161.66999999998</v>
      </c>
      <c r="AN133" s="522">
        <f t="shared" si="192"/>
        <v>162582.91</v>
      </c>
      <c r="AO133" s="522">
        <f t="shared" si="166"/>
        <v>-35578.75999999998</v>
      </c>
      <c r="AP133" s="522">
        <f t="shared" si="178"/>
        <v>-17.954410658731319</v>
      </c>
      <c r="AQ133" s="578">
        <v>87919.23</v>
      </c>
      <c r="AR133" s="578">
        <v>58610.27</v>
      </c>
      <c r="AS133" s="578">
        <v>110242.44</v>
      </c>
      <c r="AT133" s="578">
        <v>103972.64000000001</v>
      </c>
      <c r="AU133" s="578">
        <f t="shared" si="208"/>
        <v>175838.46</v>
      </c>
      <c r="AV133" s="578">
        <f t="shared" si="208"/>
        <v>211417.22</v>
      </c>
      <c r="AW133" s="578">
        <f t="shared" si="167"/>
        <v>35578.760000000009</v>
      </c>
      <c r="AX133" s="578">
        <f t="shared" si="168"/>
        <v>20.233775932751016</v>
      </c>
      <c r="AY133" s="578">
        <f t="shared" si="210"/>
        <v>206267.68000000002</v>
      </c>
      <c r="AZ133" s="578">
        <f t="shared" si="169"/>
        <v>5149.539999999979</v>
      </c>
      <c r="BA133" s="578">
        <f t="shared" si="170"/>
        <v>2.4965326608608791</v>
      </c>
      <c r="BB133" s="578">
        <v>87919.23</v>
      </c>
      <c r="BC133" s="576">
        <f>'[67]Гл инж_Тех дир'!AT98</f>
        <v>123497.99</v>
      </c>
      <c r="BD133" s="576">
        <f t="shared" si="203"/>
        <v>159603.87000000002</v>
      </c>
      <c r="BE133" s="576">
        <f t="shared" si="171"/>
        <v>71684.640000000029</v>
      </c>
      <c r="BF133" s="576">
        <f t="shared" si="172"/>
        <v>36105.880000000019</v>
      </c>
      <c r="BG133" s="576">
        <f t="shared" ref="BG133:BH196" si="218">AM133+BB133</f>
        <v>286080.89999999997</v>
      </c>
      <c r="BH133" s="578">
        <f t="shared" si="218"/>
        <v>286080.90000000002</v>
      </c>
      <c r="BI133" s="578">
        <v>322186.78000000003</v>
      </c>
      <c r="BJ133" s="578">
        <f t="shared" si="173"/>
        <v>36105.880000000063</v>
      </c>
      <c r="BK133" s="578">
        <f t="shared" si="174"/>
        <v>36105.880000000005</v>
      </c>
      <c r="BL133" s="576">
        <v>87919.23</v>
      </c>
      <c r="BM133" s="578">
        <f>'[67]Гл инж_Тех дир'!AW98</f>
        <v>87919.23</v>
      </c>
      <c r="BN133" s="522">
        <f t="shared" si="204"/>
        <v>46663.81</v>
      </c>
      <c r="BO133" s="578">
        <f t="shared" si="181"/>
        <v>-41255.42</v>
      </c>
      <c r="BP133" s="578">
        <f t="shared" si="175"/>
        <v>-41255.42</v>
      </c>
      <c r="BQ133" s="576">
        <v>87919.23</v>
      </c>
      <c r="BR133" s="578">
        <f>'[67]Гл инж_Тех дир'!BB98</f>
        <v>0</v>
      </c>
      <c r="BS133" s="578">
        <f>'[67]Гл инж_Тех дир'!BC98</f>
        <v>0</v>
      </c>
      <c r="BT133" s="536"/>
      <c r="BU133" s="578">
        <v>368850.59</v>
      </c>
      <c r="BV133" s="578"/>
      <c r="BW133" s="578"/>
      <c r="BX133" s="629"/>
      <c r="BY133" s="576">
        <v>40294.54</v>
      </c>
      <c r="BZ133" s="576"/>
      <c r="CA133" s="576">
        <v>328556.05</v>
      </c>
      <c r="CB133" s="522">
        <f t="shared" si="213"/>
        <v>368850.58999999997</v>
      </c>
      <c r="CC133" s="578">
        <f t="shared" si="176"/>
        <v>0</v>
      </c>
      <c r="CD133" s="578"/>
      <c r="CE133" s="578"/>
      <c r="CF133" s="578"/>
      <c r="CG133" s="578"/>
      <c r="CH133" s="578"/>
      <c r="CI133" s="578"/>
      <c r="CJ133" s="578"/>
      <c r="CK133" s="542" t="s">
        <v>79</v>
      </c>
      <c r="CL133" s="543" t="s">
        <v>1913</v>
      </c>
      <c r="CM133" s="528" t="s">
        <v>1907</v>
      </c>
      <c r="CN133" s="528"/>
      <c r="CO133" s="528"/>
      <c r="CP133" s="579"/>
      <c r="CQ133" s="579"/>
      <c r="CR133" s="579">
        <f>U133</f>
        <v>374000.12999999995</v>
      </c>
      <c r="CS133" s="1691"/>
      <c r="CT133" s="1692"/>
      <c r="CU133" s="1692"/>
      <c r="CV133" s="1692"/>
      <c r="CW133" s="1693"/>
      <c r="CX133" s="528"/>
      <c r="CY133" s="528"/>
      <c r="CZ133" s="528"/>
      <c r="DA133" s="528"/>
      <c r="DB133" s="579">
        <f>58610.27</f>
        <v>58610.27</v>
      </c>
      <c r="DC133" s="628" t="e">
        <f>P133-#REF!</f>
        <v>#REF!</v>
      </c>
      <c r="DD133" s="535"/>
      <c r="DE133" s="535"/>
      <c r="DF133" s="576">
        <f t="shared" si="211"/>
        <v>40.294539999999998</v>
      </c>
      <c r="DG133" s="576">
        <f t="shared" si="211"/>
        <v>0</v>
      </c>
      <c r="DH133" s="576">
        <f t="shared" si="211"/>
        <v>328.55604999999997</v>
      </c>
      <c r="DI133" s="522">
        <f t="shared" si="209"/>
        <v>368.85058999999995</v>
      </c>
      <c r="DJ133" s="536"/>
      <c r="DK133" s="536"/>
      <c r="DL133" s="536"/>
      <c r="DM133" s="536"/>
      <c r="DN133" s="536"/>
      <c r="DO133" s="536"/>
      <c r="DP133" s="536"/>
      <c r="DQ133" s="536"/>
      <c r="DR133" s="536"/>
      <c r="DS133" s="536"/>
    </row>
    <row r="134" spans="1:123" s="534" customFormat="1" ht="56.4">
      <c r="A134" s="537" t="s">
        <v>1919</v>
      </c>
      <c r="B134" s="538" t="s">
        <v>516</v>
      </c>
      <c r="C134" s="576">
        <v>999652.94</v>
      </c>
      <c r="D134" s="576">
        <v>0</v>
      </c>
      <c r="E134" s="576">
        <v>505920</v>
      </c>
      <c r="F134" s="576">
        <v>461530.37</v>
      </c>
      <c r="G134" s="577">
        <v>0</v>
      </c>
      <c r="H134" s="577">
        <v>0</v>
      </c>
      <c r="I134" s="576">
        <f t="shared" si="198"/>
        <v>554930.36</v>
      </c>
      <c r="J134" s="576">
        <v>277465.18</v>
      </c>
      <c r="K134" s="576">
        <v>138732.59</v>
      </c>
      <c r="L134" s="576">
        <v>138732.59</v>
      </c>
      <c r="M134" s="576">
        <f t="shared" si="199"/>
        <v>416197.77</v>
      </c>
      <c r="N134" s="576">
        <v>384062.07</v>
      </c>
      <c r="O134" s="525">
        <f t="shared" si="200"/>
        <v>631417.72</v>
      </c>
      <c r="P134" s="522">
        <v>1015479.79</v>
      </c>
      <c r="Q134" s="576">
        <f t="shared" ref="Q134:Q197" si="219">P134-I134</f>
        <v>460549.43000000005</v>
      </c>
      <c r="R134" s="576">
        <f t="shared" ref="R134:R197" si="220">P134/I134*100-100</f>
        <v>82.992292942847826</v>
      </c>
      <c r="S134" s="576"/>
      <c r="T134" s="576"/>
      <c r="U134" s="522">
        <f t="shared" si="201"/>
        <v>3463416.2</v>
      </c>
      <c r="V134" s="522">
        <f t="shared" si="217"/>
        <v>3463416.2</v>
      </c>
      <c r="W134" s="522">
        <v>0</v>
      </c>
      <c r="X134" s="522">
        <f t="shared" ref="X134:X197" si="221">U134-P134</f>
        <v>2447936.41</v>
      </c>
      <c r="Y134" s="522">
        <f t="shared" ref="Y134:Y197" si="222">U134/P134*100-100</f>
        <v>241.06205107242948</v>
      </c>
      <c r="Z134" s="524">
        <f t="shared" ref="Z134:Z197" si="223">AN134+AV134</f>
        <v>3051373.19</v>
      </c>
      <c r="AA134" s="522">
        <f t="shared" ref="AA134:AA197" si="224">Z134-T134</f>
        <v>3051373.19</v>
      </c>
      <c r="AB134" s="522">
        <v>0</v>
      </c>
      <c r="AC134" s="522">
        <f t="shared" ref="AC134:AC197" si="225">Z134-U134</f>
        <v>-412043.01000000024</v>
      </c>
      <c r="AD134" s="522">
        <f t="shared" ref="AD134:AD197" si="226">Z134/U134*100-100</f>
        <v>-11.897011107125962</v>
      </c>
      <c r="AE134" s="522">
        <f t="shared" ref="AE134:AE197" si="227">Z134-P134</f>
        <v>2035893.4</v>
      </c>
      <c r="AF134" s="522">
        <f t="shared" ref="AF134:AF197" si="228">Z134/P134*100-100</f>
        <v>200.48586097415091</v>
      </c>
      <c r="AG134" s="522">
        <f t="shared" si="177"/>
        <v>3109888.67</v>
      </c>
      <c r="AH134" s="522">
        <f t="shared" ref="AH134:AH197" si="229">AG134-U134</f>
        <v>-353527.53000000026</v>
      </c>
      <c r="AI134" s="522">
        <f t="shared" ref="AI134:AI197" si="230">AG134/U134*100-100</f>
        <v>-10.207480406195486</v>
      </c>
      <c r="AJ134" s="522">
        <f t="shared" ref="AJ134:AJ197" si="231">AG134-Z134</f>
        <v>58515.479999999981</v>
      </c>
      <c r="AK134" s="522">
        <f t="shared" si="212"/>
        <v>1.9176769394110096</v>
      </c>
      <c r="AL134" s="522">
        <f t="shared" si="202"/>
        <v>3109888.67</v>
      </c>
      <c r="AM134" s="522">
        <f t="shared" si="192"/>
        <v>1694046.1</v>
      </c>
      <c r="AN134" s="522">
        <f t="shared" si="192"/>
        <v>1123373.19</v>
      </c>
      <c r="AO134" s="522">
        <f t="shared" ref="AO134:AO197" si="232">AN134-AM134</f>
        <v>-570672.91000000015</v>
      </c>
      <c r="AP134" s="522">
        <f t="shared" si="178"/>
        <v>-33.686976405187565</v>
      </c>
      <c r="AQ134" s="578">
        <v>820933.5</v>
      </c>
      <c r="AR134" s="578">
        <v>865942.24</v>
      </c>
      <c r="AS134" s="578">
        <v>873112.6</v>
      </c>
      <c r="AT134" s="578">
        <v>257430.94999999995</v>
      </c>
      <c r="AU134" s="578">
        <f t="shared" si="208"/>
        <v>1769370.1</v>
      </c>
      <c r="AV134" s="578">
        <f t="shared" si="208"/>
        <v>1928000</v>
      </c>
      <c r="AW134" s="578">
        <f t="shared" ref="AW134:AW197" si="233">AV134-AU134</f>
        <v>158629.89999999991</v>
      </c>
      <c r="AX134" s="578">
        <f t="shared" ref="AX134:AX197" si="234">AV134/AU134*100-100</f>
        <v>8.965331786718906</v>
      </c>
      <c r="AY134" s="578">
        <f t="shared" si="210"/>
        <v>1986515.48</v>
      </c>
      <c r="AZ134" s="578">
        <f t="shared" ref="AZ134:AZ197" si="235">AV134-AY134</f>
        <v>-58515.479999999981</v>
      </c>
      <c r="BA134" s="578">
        <f t="shared" ref="BA134:BA197" si="236">AV134/AY134*100-100</f>
        <v>-2.9456342318560758</v>
      </c>
      <c r="BB134" s="578">
        <v>885666.6</v>
      </c>
      <c r="BC134" s="576">
        <f>'[67]Гл инж_Тех дир'!AT9</f>
        <v>950000</v>
      </c>
      <c r="BD134" s="576">
        <f t="shared" si="203"/>
        <v>1645260.65</v>
      </c>
      <c r="BE134" s="576">
        <f t="shared" ref="BE134:BE197" si="237">BD134-BB134</f>
        <v>759594.04999999993</v>
      </c>
      <c r="BF134" s="576">
        <f t="shared" ref="BF134:BF197" si="238">BD134-BC134</f>
        <v>695260.64999999991</v>
      </c>
      <c r="BG134" s="576">
        <f t="shared" si="218"/>
        <v>2579712.7000000002</v>
      </c>
      <c r="BH134" s="578">
        <f t="shared" si="218"/>
        <v>2073373.19</v>
      </c>
      <c r="BI134" s="578">
        <v>2768633.84</v>
      </c>
      <c r="BJ134" s="578">
        <f t="shared" ref="BJ134:BJ197" si="239">BI134-BG134</f>
        <v>188921.13999999966</v>
      </c>
      <c r="BK134" s="578">
        <f t="shared" ref="BK134:BK197" si="240">BI134-BH134</f>
        <v>695260.64999999991</v>
      </c>
      <c r="BL134" s="576">
        <v>883703.5</v>
      </c>
      <c r="BM134" s="578">
        <f>'[67]Гл инж_Тех дир'!AW9</f>
        <v>978000</v>
      </c>
      <c r="BN134" s="522">
        <f t="shared" si="204"/>
        <v>341254.83000000007</v>
      </c>
      <c r="BO134" s="578">
        <f t="shared" si="181"/>
        <v>-542448.66999999993</v>
      </c>
      <c r="BP134" s="578">
        <f t="shared" ref="BP134:BP197" si="241">BN134-BM134</f>
        <v>-636745.16999999993</v>
      </c>
      <c r="BQ134" s="576">
        <v>883703.5</v>
      </c>
      <c r="BR134" s="578">
        <f>'[67]Гл инж_Тех дир'!BB9</f>
        <v>0</v>
      </c>
      <c r="BS134" s="578">
        <f>'[67]Гл инж_Тех дир'!BC9</f>
        <v>0</v>
      </c>
      <c r="BT134" s="536"/>
      <c r="BU134" s="578">
        <v>3109888.67</v>
      </c>
      <c r="BV134" s="578"/>
      <c r="BW134" s="578"/>
      <c r="BX134" s="629"/>
      <c r="BY134" s="576"/>
      <c r="BZ134" s="576"/>
      <c r="CA134" s="576">
        <v>3109888.67</v>
      </c>
      <c r="CB134" s="522">
        <f t="shared" si="213"/>
        <v>3109888.67</v>
      </c>
      <c r="CC134" s="578">
        <f t="shared" ref="CC134:CC197" si="242">AL134-CB134</f>
        <v>0</v>
      </c>
      <c r="CD134" s="578"/>
      <c r="CE134" s="578"/>
      <c r="CF134" s="578"/>
      <c r="CG134" s="578"/>
      <c r="CH134" s="578"/>
      <c r="CI134" s="578"/>
      <c r="CJ134" s="578"/>
      <c r="CK134" s="542" t="s">
        <v>79</v>
      </c>
      <c r="CL134" s="543" t="s">
        <v>1803</v>
      </c>
      <c r="CM134" s="528" t="s">
        <v>1907</v>
      </c>
      <c r="CN134" s="528"/>
      <c r="CO134" s="528"/>
      <c r="CP134" s="579"/>
      <c r="CQ134" s="579"/>
      <c r="CR134" s="579">
        <f>U134</f>
        <v>3463416.2</v>
      </c>
      <c r="CS134" s="1691"/>
      <c r="CT134" s="1692"/>
      <c r="CU134" s="1692"/>
      <c r="CV134" s="1692"/>
      <c r="CW134" s="1693"/>
      <c r="CX134" s="528"/>
      <c r="CY134" s="528"/>
      <c r="CZ134" s="528"/>
      <c r="DA134" s="528"/>
      <c r="DB134" s="579">
        <f>865942.24</f>
        <v>865942.24</v>
      </c>
      <c r="DC134" s="628" t="e">
        <f>P134-#REF!</f>
        <v>#REF!</v>
      </c>
      <c r="DD134" s="535">
        <f>2768633.84</f>
        <v>2768633.84</v>
      </c>
      <c r="DE134" s="535"/>
      <c r="DF134" s="576">
        <f t="shared" si="211"/>
        <v>0</v>
      </c>
      <c r="DG134" s="576">
        <f t="shared" si="211"/>
        <v>0</v>
      </c>
      <c r="DH134" s="576">
        <f t="shared" si="211"/>
        <v>3109.8886699999998</v>
      </c>
      <c r="DI134" s="522">
        <f t="shared" si="209"/>
        <v>3109.8886699999998</v>
      </c>
      <c r="DJ134" s="536"/>
      <c r="DK134" s="536"/>
      <c r="DL134" s="536"/>
      <c r="DM134" s="536"/>
      <c r="DN134" s="536"/>
      <c r="DO134" s="536"/>
      <c r="DP134" s="536"/>
      <c r="DQ134" s="536"/>
      <c r="DR134" s="536"/>
      <c r="DS134" s="536"/>
    </row>
    <row r="135" spans="1:123" s="534" customFormat="1" ht="92.25" customHeight="1">
      <c r="A135" s="537" t="s">
        <v>1920</v>
      </c>
      <c r="B135" s="538" t="s">
        <v>1921</v>
      </c>
      <c r="C135" s="576"/>
      <c r="D135" s="576"/>
      <c r="E135" s="576">
        <v>0</v>
      </c>
      <c r="F135" s="576"/>
      <c r="G135" s="577">
        <v>0</v>
      </c>
      <c r="H135" s="577">
        <v>0</v>
      </c>
      <c r="I135" s="576">
        <f t="shared" si="198"/>
        <v>20012.55</v>
      </c>
      <c r="J135" s="576">
        <v>20012.55</v>
      </c>
      <c r="K135" s="576">
        <v>0</v>
      </c>
      <c r="L135" s="576">
        <v>0</v>
      </c>
      <c r="M135" s="576">
        <f t="shared" si="199"/>
        <v>20012.55</v>
      </c>
      <c r="N135" s="576">
        <v>170963.75</v>
      </c>
      <c r="O135" s="525">
        <f t="shared" si="200"/>
        <v>31472.049999999988</v>
      </c>
      <c r="P135" s="522">
        <v>202435.8</v>
      </c>
      <c r="Q135" s="576">
        <f t="shared" si="219"/>
        <v>182423.25</v>
      </c>
      <c r="R135" s="576">
        <f t="shared" si="220"/>
        <v>911.54425597937291</v>
      </c>
      <c r="S135" s="576"/>
      <c r="T135" s="576"/>
      <c r="U135" s="522">
        <f t="shared" si="201"/>
        <v>0</v>
      </c>
      <c r="V135" s="522">
        <f t="shared" si="217"/>
        <v>0</v>
      </c>
      <c r="W135" s="522">
        <v>0</v>
      </c>
      <c r="X135" s="522">
        <f t="shared" si="221"/>
        <v>-202435.8</v>
      </c>
      <c r="Y135" s="522">
        <f t="shared" si="222"/>
        <v>-100</v>
      </c>
      <c r="Z135" s="524">
        <f t="shared" si="223"/>
        <v>107111.87</v>
      </c>
      <c r="AA135" s="522">
        <f t="shared" si="224"/>
        <v>107111.87</v>
      </c>
      <c r="AB135" s="522">
        <v>0</v>
      </c>
      <c r="AC135" s="522">
        <f t="shared" si="225"/>
        <v>107111.87</v>
      </c>
      <c r="AD135" s="522">
        <v>0</v>
      </c>
      <c r="AE135" s="522">
        <f t="shared" si="227"/>
        <v>-95323.93</v>
      </c>
      <c r="AF135" s="522">
        <f t="shared" si="228"/>
        <v>-47.088474469436726</v>
      </c>
      <c r="AG135" s="522">
        <f t="shared" ref="AG135:AG198" si="243">AN135+AY135</f>
        <v>223701.56</v>
      </c>
      <c r="AH135" s="522">
        <f t="shared" si="229"/>
        <v>223701.56</v>
      </c>
      <c r="AI135" s="522">
        <v>0</v>
      </c>
      <c r="AJ135" s="522">
        <f t="shared" si="231"/>
        <v>116589.69</v>
      </c>
      <c r="AK135" s="522">
        <f t="shared" si="212"/>
        <v>108.84852444458306</v>
      </c>
      <c r="AL135" s="522">
        <f t="shared" si="202"/>
        <v>223701.56</v>
      </c>
      <c r="AM135" s="522">
        <f t="shared" si="192"/>
        <v>0</v>
      </c>
      <c r="AN135" s="522">
        <f t="shared" si="192"/>
        <v>107111.87</v>
      </c>
      <c r="AO135" s="522">
        <f t="shared" si="232"/>
        <v>107111.87</v>
      </c>
      <c r="AP135" s="522">
        <v>0</v>
      </c>
      <c r="AQ135" s="578">
        <v>0</v>
      </c>
      <c r="AR135" s="578">
        <v>17753.02</v>
      </c>
      <c r="AS135" s="578">
        <v>0</v>
      </c>
      <c r="AT135" s="578">
        <v>89358.849999999991</v>
      </c>
      <c r="AU135" s="578">
        <f t="shared" si="208"/>
        <v>0</v>
      </c>
      <c r="AV135" s="578">
        <f t="shared" si="208"/>
        <v>0</v>
      </c>
      <c r="AW135" s="578">
        <f t="shared" si="233"/>
        <v>0</v>
      </c>
      <c r="AX135" s="578">
        <v>0</v>
      </c>
      <c r="AY135" s="578">
        <f t="shared" si="210"/>
        <v>116589.69</v>
      </c>
      <c r="AZ135" s="578">
        <f t="shared" si="235"/>
        <v>-116589.69</v>
      </c>
      <c r="BA135" s="578">
        <v>0</v>
      </c>
      <c r="BB135" s="578">
        <v>0</v>
      </c>
      <c r="BC135" s="576">
        <f>'[67]Дир_ по кап.стр.'!AT8</f>
        <v>0</v>
      </c>
      <c r="BD135" s="576">
        <f t="shared" si="203"/>
        <v>32606.110000000015</v>
      </c>
      <c r="BE135" s="576">
        <f t="shared" si="237"/>
        <v>32606.110000000015</v>
      </c>
      <c r="BF135" s="576">
        <f t="shared" si="238"/>
        <v>32606.110000000015</v>
      </c>
      <c r="BG135" s="576">
        <f t="shared" si="218"/>
        <v>0</v>
      </c>
      <c r="BH135" s="578">
        <f t="shared" si="218"/>
        <v>107111.87</v>
      </c>
      <c r="BI135" s="578">
        <v>139717.98000000001</v>
      </c>
      <c r="BJ135" s="578">
        <f t="shared" si="239"/>
        <v>139717.98000000001</v>
      </c>
      <c r="BK135" s="578">
        <f t="shared" si="240"/>
        <v>32606.110000000015</v>
      </c>
      <c r="BL135" s="576">
        <v>0</v>
      </c>
      <c r="BM135" s="578">
        <f>'[67]Дир_ по кап.стр.'!AW8</f>
        <v>0</v>
      </c>
      <c r="BN135" s="522">
        <f t="shared" si="204"/>
        <v>83983.579999999987</v>
      </c>
      <c r="BO135" s="578">
        <f t="shared" si="181"/>
        <v>83983.579999999987</v>
      </c>
      <c r="BP135" s="578">
        <f t="shared" si="241"/>
        <v>83983.579999999987</v>
      </c>
      <c r="BQ135" s="576">
        <v>0</v>
      </c>
      <c r="BR135" s="578">
        <f>'[67]Дир_ по кап.стр.'!BB8</f>
        <v>0</v>
      </c>
      <c r="BS135" s="578">
        <f>'[67]Дир_ по кап.стр.'!BC8</f>
        <v>0</v>
      </c>
      <c r="BT135" s="536"/>
      <c r="BU135" s="578">
        <v>223701.56</v>
      </c>
      <c r="BV135" s="578"/>
      <c r="BW135" s="578"/>
      <c r="BX135" s="629"/>
      <c r="BY135" s="576">
        <v>44958.05</v>
      </c>
      <c r="BZ135" s="576">
        <v>178743.51</v>
      </c>
      <c r="CA135" s="576"/>
      <c r="CB135" s="522">
        <f t="shared" si="213"/>
        <v>223701.56</v>
      </c>
      <c r="CC135" s="578">
        <f t="shared" si="242"/>
        <v>0</v>
      </c>
      <c r="CD135" s="578"/>
      <c r="CE135" s="578"/>
      <c r="CF135" s="578"/>
      <c r="CG135" s="578"/>
      <c r="CH135" s="578"/>
      <c r="CI135" s="578"/>
      <c r="CJ135" s="578"/>
      <c r="CK135" s="542" t="s">
        <v>1791</v>
      </c>
      <c r="CL135" s="543" t="s">
        <v>1792</v>
      </c>
      <c r="CM135" s="528" t="s">
        <v>1907</v>
      </c>
      <c r="CN135" s="528"/>
      <c r="CO135" s="528"/>
      <c r="CP135" s="579"/>
      <c r="CQ135" s="579">
        <f>U135</f>
        <v>0</v>
      </c>
      <c r="CR135" s="579"/>
      <c r="CS135" s="1691"/>
      <c r="CT135" s="1692"/>
      <c r="CU135" s="1692"/>
      <c r="CV135" s="1692"/>
      <c r="CW135" s="1693"/>
      <c r="CX135" s="528"/>
      <c r="CY135" s="528"/>
      <c r="CZ135" s="528"/>
      <c r="DA135" s="528"/>
      <c r="DB135" s="579">
        <f>17753.02</f>
        <v>17753.02</v>
      </c>
      <c r="DC135" s="628" t="e">
        <f>P135-#REF!</f>
        <v>#REF!</v>
      </c>
      <c r="DD135" s="535">
        <f>139717.98</f>
        <v>139717.98000000001</v>
      </c>
      <c r="DE135" s="535"/>
      <c r="DF135" s="576">
        <f t="shared" si="211"/>
        <v>44.95805</v>
      </c>
      <c r="DG135" s="576">
        <f t="shared" si="211"/>
        <v>178.74351000000001</v>
      </c>
      <c r="DH135" s="576">
        <f t="shared" si="211"/>
        <v>0</v>
      </c>
      <c r="DI135" s="522">
        <f t="shared" si="209"/>
        <v>223.70156</v>
      </c>
      <c r="DJ135" s="536"/>
      <c r="DK135" s="536"/>
      <c r="DL135" s="536"/>
      <c r="DM135" s="536"/>
      <c r="DN135" s="536"/>
      <c r="DO135" s="536"/>
      <c r="DP135" s="536"/>
      <c r="DQ135" s="536"/>
      <c r="DR135" s="536"/>
      <c r="DS135" s="536"/>
    </row>
    <row r="136" spans="1:123" s="534" customFormat="1" ht="63.75" customHeight="1">
      <c r="A136" s="537" t="s">
        <v>521</v>
      </c>
      <c r="B136" s="538" t="s">
        <v>522</v>
      </c>
      <c r="C136" s="576"/>
      <c r="D136" s="576"/>
      <c r="E136" s="576"/>
      <c r="F136" s="576"/>
      <c r="G136" s="577">
        <v>0</v>
      </c>
      <c r="H136" s="577">
        <v>0</v>
      </c>
      <c r="I136" s="576">
        <f t="shared" si="198"/>
        <v>1071817.49</v>
      </c>
      <c r="J136" s="576">
        <v>75169.490000000005</v>
      </c>
      <c r="K136" s="576">
        <v>345768</v>
      </c>
      <c r="L136" s="576">
        <v>650880</v>
      </c>
      <c r="M136" s="576">
        <f t="shared" si="199"/>
        <v>420937.49</v>
      </c>
      <c r="N136" s="576">
        <v>414998.18</v>
      </c>
      <c r="O136" s="525">
        <f t="shared" si="200"/>
        <v>754654.84000000008</v>
      </c>
      <c r="P136" s="522">
        <v>1169653.02</v>
      </c>
      <c r="Q136" s="576">
        <f t="shared" si="219"/>
        <v>97835.530000000028</v>
      </c>
      <c r="R136" s="576">
        <f t="shared" si="220"/>
        <v>9.1280027535284916</v>
      </c>
      <c r="S136" s="576"/>
      <c r="T136" s="576"/>
      <c r="U136" s="522">
        <f t="shared" si="201"/>
        <v>614457.61</v>
      </c>
      <c r="V136" s="522">
        <f t="shared" si="217"/>
        <v>614457.61</v>
      </c>
      <c r="W136" s="522">
        <v>0</v>
      </c>
      <c r="X136" s="522">
        <f t="shared" si="221"/>
        <v>-555195.41</v>
      </c>
      <c r="Y136" s="522">
        <f t="shared" si="222"/>
        <v>-47.466676057485834</v>
      </c>
      <c r="Z136" s="524">
        <f t="shared" si="223"/>
        <v>654140.61</v>
      </c>
      <c r="AA136" s="522">
        <f t="shared" si="224"/>
        <v>654140.61</v>
      </c>
      <c r="AB136" s="522">
        <v>0</v>
      </c>
      <c r="AC136" s="522">
        <f t="shared" si="225"/>
        <v>39683</v>
      </c>
      <c r="AD136" s="522">
        <f t="shared" si="226"/>
        <v>6.4582160517142881</v>
      </c>
      <c r="AE136" s="522">
        <f t="shared" si="227"/>
        <v>-515512.41000000003</v>
      </c>
      <c r="AF136" s="522">
        <f t="shared" si="228"/>
        <v>-44.073960498131314</v>
      </c>
      <c r="AG136" s="522">
        <f t="shared" si="243"/>
        <v>722264.59</v>
      </c>
      <c r="AH136" s="522">
        <f t="shared" si="229"/>
        <v>107806.97999999998</v>
      </c>
      <c r="AI136" s="522">
        <f t="shared" si="230"/>
        <v>17.54506384907495</v>
      </c>
      <c r="AJ136" s="522">
        <f t="shared" si="231"/>
        <v>68123.979999999981</v>
      </c>
      <c r="AK136" s="522">
        <f t="shared" si="212"/>
        <v>10.414271634962404</v>
      </c>
      <c r="AL136" s="522">
        <f t="shared" si="202"/>
        <v>722264.59</v>
      </c>
      <c r="AM136" s="522">
        <f t="shared" si="192"/>
        <v>32906.83</v>
      </c>
      <c r="AN136" s="522">
        <f t="shared" si="192"/>
        <v>72589.83</v>
      </c>
      <c r="AO136" s="522">
        <f t="shared" si="232"/>
        <v>39683</v>
      </c>
      <c r="AP136" s="522">
        <f t="shared" ref="AP136:AP199" si="244">AN136/AM136*100-100</f>
        <v>120.59198652680917</v>
      </c>
      <c r="AQ136" s="578">
        <f>0+32906.83</f>
        <v>32906.83</v>
      </c>
      <c r="AR136" s="578">
        <v>32906.83</v>
      </c>
      <c r="AS136" s="578">
        <v>0</v>
      </c>
      <c r="AT136" s="578">
        <v>39683</v>
      </c>
      <c r="AU136" s="578">
        <f t="shared" si="208"/>
        <v>581550.78</v>
      </c>
      <c r="AV136" s="578">
        <f t="shared" si="208"/>
        <v>581550.78</v>
      </c>
      <c r="AW136" s="578">
        <f t="shared" si="233"/>
        <v>0</v>
      </c>
      <c r="AX136" s="578">
        <f t="shared" si="234"/>
        <v>0</v>
      </c>
      <c r="AY136" s="578">
        <f t="shared" si="210"/>
        <v>649674.76</v>
      </c>
      <c r="AZ136" s="578">
        <f t="shared" si="235"/>
        <v>-68123.979999999981</v>
      </c>
      <c r="BA136" s="578">
        <f t="shared" si="236"/>
        <v>-10.485859108948603</v>
      </c>
      <c r="BB136" s="578">
        <v>581550.78</v>
      </c>
      <c r="BC136" s="576">
        <f>'[67]Дир_ имущ'!AT65</f>
        <v>581550.78</v>
      </c>
      <c r="BD136" s="576">
        <f t="shared" si="203"/>
        <v>539227.63</v>
      </c>
      <c r="BE136" s="576">
        <f t="shared" si="237"/>
        <v>-42323.150000000023</v>
      </c>
      <c r="BF136" s="576">
        <f t="shared" si="238"/>
        <v>-42323.150000000023</v>
      </c>
      <c r="BG136" s="576">
        <f t="shared" si="218"/>
        <v>614457.61</v>
      </c>
      <c r="BH136" s="578">
        <f t="shared" si="218"/>
        <v>654140.61</v>
      </c>
      <c r="BI136" s="578">
        <f>542622.46+69195</f>
        <v>611817.46</v>
      </c>
      <c r="BJ136" s="578">
        <f t="shared" si="239"/>
        <v>-2640.1500000000233</v>
      </c>
      <c r="BK136" s="578">
        <f t="shared" si="240"/>
        <v>-42323.150000000023</v>
      </c>
      <c r="BL136" s="576">
        <v>0</v>
      </c>
      <c r="BM136" s="578">
        <f>'[67]Дир_ имущ'!AW65</f>
        <v>0</v>
      </c>
      <c r="BN136" s="522">
        <f t="shared" si="204"/>
        <v>110447.13</v>
      </c>
      <c r="BO136" s="578">
        <f t="shared" ref="BO136:BO199" si="245">BN136-BL136</f>
        <v>110447.13</v>
      </c>
      <c r="BP136" s="578">
        <f t="shared" si="241"/>
        <v>110447.13</v>
      </c>
      <c r="BQ136" s="576">
        <v>0</v>
      </c>
      <c r="BR136" s="578">
        <f>'[67]Дир_ имущ'!BB65</f>
        <v>0</v>
      </c>
      <c r="BS136" s="578">
        <f>'[67]Дир_ имущ'!BC65</f>
        <v>0</v>
      </c>
      <c r="BT136" s="536"/>
      <c r="BU136" s="578">
        <v>653069.59</v>
      </c>
      <c r="BV136" s="578">
        <v>69195</v>
      </c>
      <c r="BW136" s="578"/>
      <c r="BX136" s="629"/>
      <c r="BY136" s="525">
        <f>633876.46+69195</f>
        <v>703071.46</v>
      </c>
      <c r="BZ136" s="525">
        <v>12823.55</v>
      </c>
      <c r="CA136" s="525">
        <v>6369.58</v>
      </c>
      <c r="CB136" s="522">
        <f t="shared" si="213"/>
        <v>722264.59</v>
      </c>
      <c r="CC136" s="522">
        <f t="shared" si="242"/>
        <v>0</v>
      </c>
      <c r="CD136" s="578"/>
      <c r="CE136" s="578"/>
      <c r="CF136" s="578"/>
      <c r="CG136" s="578"/>
      <c r="CH136" s="578"/>
      <c r="CI136" s="578"/>
      <c r="CJ136" s="578"/>
      <c r="CK136" s="543" t="s">
        <v>1815</v>
      </c>
      <c r="CL136" s="543" t="s">
        <v>1922</v>
      </c>
      <c r="CM136" s="528" t="s">
        <v>1907</v>
      </c>
      <c r="CN136" s="528"/>
      <c r="CO136" s="528"/>
      <c r="CP136" s="544">
        <f>U136*$CU$7/100</f>
        <v>566911.15681550629</v>
      </c>
      <c r="CQ136" s="544">
        <f>U136*$CU$8/100</f>
        <v>41641.473967391728</v>
      </c>
      <c r="CR136" s="544">
        <f>U136*$CU$9/100</f>
        <v>5904.9792171019772</v>
      </c>
      <c r="CS136" s="1688" t="s">
        <v>1826</v>
      </c>
      <c r="CT136" s="1689"/>
      <c r="CU136" s="1689"/>
      <c r="CV136" s="1689"/>
      <c r="CW136" s="1690"/>
      <c r="CX136" s="528"/>
      <c r="CY136" s="528"/>
      <c r="CZ136" s="528"/>
      <c r="DA136" s="528"/>
      <c r="DB136" s="579">
        <f>32906.83</f>
        <v>32906.83</v>
      </c>
      <c r="DC136" s="628" t="e">
        <f>P136-#REF!</f>
        <v>#REF!</v>
      </c>
      <c r="DD136" s="535"/>
      <c r="DE136" s="535"/>
      <c r="DF136" s="525">
        <f t="shared" si="211"/>
        <v>703.07146</v>
      </c>
      <c r="DG136" s="525">
        <f t="shared" si="211"/>
        <v>12.823549999999999</v>
      </c>
      <c r="DH136" s="525">
        <f t="shared" si="211"/>
        <v>6.36958</v>
      </c>
      <c r="DI136" s="522">
        <f t="shared" si="209"/>
        <v>722.26459</v>
      </c>
      <c r="DJ136" s="536"/>
      <c r="DK136" s="536"/>
      <c r="DL136" s="536"/>
      <c r="DM136" s="536"/>
      <c r="DN136" s="536"/>
      <c r="DO136" s="536"/>
      <c r="DP136" s="536"/>
      <c r="DQ136" s="536"/>
      <c r="DR136" s="536"/>
      <c r="DS136" s="536"/>
    </row>
    <row r="137" spans="1:123" s="534" customFormat="1" ht="65.25" customHeight="1">
      <c r="A137" s="537" t="s">
        <v>524</v>
      </c>
      <c r="B137" s="538" t="s">
        <v>525</v>
      </c>
      <c r="C137" s="576"/>
      <c r="D137" s="576"/>
      <c r="E137" s="576"/>
      <c r="F137" s="576"/>
      <c r="G137" s="577">
        <v>0</v>
      </c>
      <c r="H137" s="577">
        <v>0</v>
      </c>
      <c r="I137" s="576">
        <f t="shared" si="198"/>
        <v>173730</v>
      </c>
      <c r="J137" s="576">
        <v>770</v>
      </c>
      <c r="K137" s="576">
        <v>172960</v>
      </c>
      <c r="L137" s="576">
        <v>0</v>
      </c>
      <c r="M137" s="576">
        <f t="shared" si="199"/>
        <v>173730</v>
      </c>
      <c r="N137" s="576">
        <v>38157.29</v>
      </c>
      <c r="O137" s="525">
        <f t="shared" si="200"/>
        <v>76001.170000000013</v>
      </c>
      <c r="P137" s="522">
        <v>114158.46</v>
      </c>
      <c r="Q137" s="576">
        <f t="shared" si="219"/>
        <v>-59571.539999999994</v>
      </c>
      <c r="R137" s="576">
        <f t="shared" si="220"/>
        <v>-34.289725436021413</v>
      </c>
      <c r="S137" s="576"/>
      <c r="T137" s="576"/>
      <c r="U137" s="522">
        <f t="shared" si="201"/>
        <v>53471.08</v>
      </c>
      <c r="V137" s="522">
        <f t="shared" si="217"/>
        <v>53471.08</v>
      </c>
      <c r="W137" s="522">
        <v>0</v>
      </c>
      <c r="X137" s="522">
        <f t="shared" si="221"/>
        <v>-60687.380000000005</v>
      </c>
      <c r="Y137" s="522">
        <f t="shared" si="222"/>
        <v>-53.160650555377146</v>
      </c>
      <c r="Z137" s="524">
        <f t="shared" si="223"/>
        <v>115847.1</v>
      </c>
      <c r="AA137" s="522">
        <f t="shared" si="224"/>
        <v>115847.1</v>
      </c>
      <c r="AB137" s="522">
        <v>0</v>
      </c>
      <c r="AC137" s="522">
        <f t="shared" si="225"/>
        <v>62376.020000000004</v>
      </c>
      <c r="AD137" s="522">
        <f t="shared" si="226"/>
        <v>116.65375002711747</v>
      </c>
      <c r="AE137" s="522">
        <f t="shared" si="227"/>
        <v>1688.6399999999994</v>
      </c>
      <c r="AF137" s="522">
        <f t="shared" si="228"/>
        <v>1.4792070600812224</v>
      </c>
      <c r="AG137" s="522">
        <f t="shared" si="243"/>
        <v>117331.44</v>
      </c>
      <c r="AH137" s="522">
        <f t="shared" si="229"/>
        <v>63860.36</v>
      </c>
      <c r="AI137" s="522">
        <f t="shared" si="230"/>
        <v>119.42971789610382</v>
      </c>
      <c r="AJ137" s="522">
        <f t="shared" si="231"/>
        <v>1484.3399999999965</v>
      </c>
      <c r="AK137" s="522">
        <f t="shared" si="212"/>
        <v>1.2812923241065164</v>
      </c>
      <c r="AL137" s="522">
        <f t="shared" si="202"/>
        <v>117331.44</v>
      </c>
      <c r="AM137" s="522">
        <f t="shared" si="192"/>
        <v>0</v>
      </c>
      <c r="AN137" s="522">
        <f t="shared" si="192"/>
        <v>62376.02</v>
      </c>
      <c r="AO137" s="522">
        <f t="shared" si="232"/>
        <v>62376.02</v>
      </c>
      <c r="AP137" s="522">
        <v>0</v>
      </c>
      <c r="AQ137" s="578">
        <v>0</v>
      </c>
      <c r="AR137" s="578">
        <v>35600</v>
      </c>
      <c r="AS137" s="578">
        <v>0</v>
      </c>
      <c r="AT137" s="578">
        <v>26776.019999999997</v>
      </c>
      <c r="AU137" s="578">
        <f t="shared" si="208"/>
        <v>53471.08</v>
      </c>
      <c r="AV137" s="578">
        <f t="shared" si="208"/>
        <v>53471.08</v>
      </c>
      <c r="AW137" s="578">
        <f t="shared" si="233"/>
        <v>0</v>
      </c>
      <c r="AX137" s="578">
        <f t="shared" si="234"/>
        <v>0</v>
      </c>
      <c r="AY137" s="578">
        <f t="shared" si="210"/>
        <v>54955.420000000006</v>
      </c>
      <c r="AZ137" s="578">
        <f t="shared" si="235"/>
        <v>-1484.3400000000038</v>
      </c>
      <c r="BA137" s="578">
        <f t="shared" si="236"/>
        <v>-2.7009892745792854</v>
      </c>
      <c r="BB137" s="578">
        <v>53471.08</v>
      </c>
      <c r="BC137" s="576">
        <f>'[67]Дир_ имущ'!AT66</f>
        <v>53471.08</v>
      </c>
      <c r="BD137" s="576">
        <f t="shared" si="203"/>
        <v>54955.420000000006</v>
      </c>
      <c r="BE137" s="576">
        <f t="shared" si="237"/>
        <v>1484.3400000000038</v>
      </c>
      <c r="BF137" s="576">
        <f t="shared" si="238"/>
        <v>1484.3400000000038</v>
      </c>
      <c r="BG137" s="576">
        <f t="shared" si="218"/>
        <v>53471.08</v>
      </c>
      <c r="BH137" s="578">
        <f t="shared" si="218"/>
        <v>115847.1</v>
      </c>
      <c r="BI137" s="578">
        <v>117331.44</v>
      </c>
      <c r="BJ137" s="578">
        <f t="shared" si="239"/>
        <v>63860.36</v>
      </c>
      <c r="BK137" s="578">
        <f t="shared" si="240"/>
        <v>1484.3399999999965</v>
      </c>
      <c r="BL137" s="576">
        <v>0</v>
      </c>
      <c r="BM137" s="578">
        <f>'[67]Дир_ имущ'!AW66</f>
        <v>0</v>
      </c>
      <c r="BN137" s="522">
        <f t="shared" si="204"/>
        <v>0</v>
      </c>
      <c r="BO137" s="578">
        <f t="shared" si="245"/>
        <v>0</v>
      </c>
      <c r="BP137" s="578">
        <f t="shared" si="241"/>
        <v>0</v>
      </c>
      <c r="BQ137" s="576">
        <v>0</v>
      </c>
      <c r="BR137" s="578">
        <f>'[67]Дир_ имущ'!BB66</f>
        <v>0</v>
      </c>
      <c r="BS137" s="578">
        <f>'[67]Дир_ имущ'!BC66</f>
        <v>0</v>
      </c>
      <c r="BT137" s="536"/>
      <c r="BU137" s="576">
        <v>117331.44</v>
      </c>
      <c r="BV137" s="578"/>
      <c r="BW137" s="578"/>
      <c r="BX137" s="629"/>
      <c r="BY137" s="525">
        <v>110750.93</v>
      </c>
      <c r="BZ137" s="525">
        <v>5352.59</v>
      </c>
      <c r="CA137" s="525">
        <v>1227.92</v>
      </c>
      <c r="CB137" s="522">
        <f t="shared" si="213"/>
        <v>117331.43999999999</v>
      </c>
      <c r="CC137" s="522">
        <f t="shared" si="242"/>
        <v>0</v>
      </c>
      <c r="CD137" s="578"/>
      <c r="CE137" s="578"/>
      <c r="CF137" s="578"/>
      <c r="CG137" s="578"/>
      <c r="CH137" s="578"/>
      <c r="CI137" s="578"/>
      <c r="CJ137" s="578"/>
      <c r="CK137" s="543" t="s">
        <v>1815</v>
      </c>
      <c r="CL137" s="543" t="s">
        <v>1922</v>
      </c>
      <c r="CM137" s="528" t="s">
        <v>1907</v>
      </c>
      <c r="CN137" s="528"/>
      <c r="CO137" s="528"/>
      <c r="CP137" s="544">
        <f>U137*$CU$7/100</f>
        <v>49333.511906499916</v>
      </c>
      <c r="CQ137" s="544">
        <f>U137*$CU$8/100</f>
        <v>3623.7073959069699</v>
      </c>
      <c r="CR137" s="544">
        <f>U137*$CU$9/100</f>
        <v>513.8606975931134</v>
      </c>
      <c r="CS137" s="1688" t="s">
        <v>1826</v>
      </c>
      <c r="CT137" s="1689"/>
      <c r="CU137" s="1689"/>
      <c r="CV137" s="1689"/>
      <c r="CW137" s="1690"/>
      <c r="CX137" s="528"/>
      <c r="CY137" s="528"/>
      <c r="CZ137" s="528"/>
      <c r="DA137" s="528"/>
      <c r="DB137" s="579">
        <f>35600</f>
        <v>35600</v>
      </c>
      <c r="DC137" s="628" t="e">
        <f>P137-#REF!</f>
        <v>#REF!</v>
      </c>
      <c r="DD137" s="535">
        <f>117331.44</f>
        <v>117331.44</v>
      </c>
      <c r="DE137" s="535"/>
      <c r="DF137" s="525">
        <f t="shared" si="211"/>
        <v>110.75093</v>
      </c>
      <c r="DG137" s="525">
        <f t="shared" si="211"/>
        <v>5.3525900000000002</v>
      </c>
      <c r="DH137" s="525">
        <f t="shared" si="211"/>
        <v>1.2279200000000001</v>
      </c>
      <c r="DI137" s="522">
        <f t="shared" si="209"/>
        <v>117.33143999999999</v>
      </c>
      <c r="DJ137" s="536"/>
      <c r="DK137" s="536"/>
      <c r="DL137" s="536"/>
      <c r="DM137" s="536"/>
      <c r="DN137" s="536"/>
      <c r="DO137" s="536"/>
      <c r="DP137" s="536"/>
      <c r="DQ137" s="536"/>
      <c r="DR137" s="536"/>
      <c r="DS137" s="536"/>
    </row>
    <row r="138" spans="1:123" s="647" customFormat="1" ht="35.25" hidden="1" customHeight="1">
      <c r="A138" s="633"/>
      <c r="B138" s="634" t="s">
        <v>1923</v>
      </c>
      <c r="C138" s="635"/>
      <c r="D138" s="635">
        <v>85555.5</v>
      </c>
      <c r="E138" s="635"/>
      <c r="F138" s="635"/>
      <c r="G138" s="636">
        <v>0</v>
      </c>
      <c r="H138" s="636">
        <v>0</v>
      </c>
      <c r="I138" s="635">
        <f t="shared" si="198"/>
        <v>0</v>
      </c>
      <c r="J138" s="635"/>
      <c r="K138" s="635"/>
      <c r="L138" s="635"/>
      <c r="M138" s="635">
        <f t="shared" si="199"/>
        <v>0</v>
      </c>
      <c r="N138" s="635"/>
      <c r="O138" s="525">
        <f t="shared" si="200"/>
        <v>0</v>
      </c>
      <c r="P138" s="609"/>
      <c r="Q138" s="635">
        <f t="shared" si="219"/>
        <v>0</v>
      </c>
      <c r="R138" s="635"/>
      <c r="S138" s="635"/>
      <c r="T138" s="635"/>
      <c r="U138" s="637">
        <v>0</v>
      </c>
      <c r="V138" s="637">
        <f t="shared" si="217"/>
        <v>0</v>
      </c>
      <c r="W138" s="637" t="e">
        <f t="shared" ref="W138:W198" si="246">U138/T138*100-100</f>
        <v>#DIV/0!</v>
      </c>
      <c r="X138" s="637">
        <f t="shared" si="221"/>
        <v>0</v>
      </c>
      <c r="Y138" s="637" t="e">
        <f t="shared" si="222"/>
        <v>#DIV/0!</v>
      </c>
      <c r="Z138" s="638">
        <f t="shared" si="223"/>
        <v>0</v>
      </c>
      <c r="AA138" s="639">
        <f t="shared" si="224"/>
        <v>0</v>
      </c>
      <c r="AB138" s="639" t="e">
        <f t="shared" ref="AB138:AB198" si="247">Z138/T138*100-100</f>
        <v>#DIV/0!</v>
      </c>
      <c r="AC138" s="639">
        <f t="shared" si="225"/>
        <v>0</v>
      </c>
      <c r="AD138" s="639" t="e">
        <f t="shared" si="226"/>
        <v>#DIV/0!</v>
      </c>
      <c r="AE138" s="639">
        <f t="shared" si="227"/>
        <v>0</v>
      </c>
      <c r="AF138" s="639" t="e">
        <f t="shared" si="228"/>
        <v>#DIV/0!</v>
      </c>
      <c r="AG138" s="639">
        <f t="shared" si="243"/>
        <v>0</v>
      </c>
      <c r="AH138" s="639">
        <f t="shared" si="229"/>
        <v>0</v>
      </c>
      <c r="AI138" s="639" t="e">
        <f t="shared" si="230"/>
        <v>#DIV/0!</v>
      </c>
      <c r="AJ138" s="639">
        <f t="shared" si="231"/>
        <v>0</v>
      </c>
      <c r="AK138" s="639" t="e">
        <f t="shared" si="212"/>
        <v>#DIV/0!</v>
      </c>
      <c r="AL138" s="639"/>
      <c r="AM138" s="639">
        <f t="shared" si="192"/>
        <v>0</v>
      </c>
      <c r="AN138" s="639">
        <f t="shared" si="192"/>
        <v>0</v>
      </c>
      <c r="AO138" s="639">
        <f t="shared" si="232"/>
        <v>0</v>
      </c>
      <c r="AP138" s="639" t="e">
        <f t="shared" si="244"/>
        <v>#DIV/0!</v>
      </c>
      <c r="AQ138" s="639">
        <v>0</v>
      </c>
      <c r="AR138" s="639">
        <v>0</v>
      </c>
      <c r="AS138" s="639">
        <v>0</v>
      </c>
      <c r="AT138" s="639"/>
      <c r="AU138" s="639">
        <f t="shared" si="208"/>
        <v>0</v>
      </c>
      <c r="AV138" s="639">
        <f t="shared" si="208"/>
        <v>0</v>
      </c>
      <c r="AW138" s="639">
        <f t="shared" si="233"/>
        <v>0</v>
      </c>
      <c r="AX138" s="639" t="e">
        <f t="shared" si="234"/>
        <v>#DIV/0!</v>
      </c>
      <c r="AY138" s="639">
        <f t="shared" si="210"/>
        <v>0</v>
      </c>
      <c r="AZ138" s="639">
        <f t="shared" si="235"/>
        <v>0</v>
      </c>
      <c r="BA138" s="639" t="e">
        <f t="shared" si="236"/>
        <v>#DIV/0!</v>
      </c>
      <c r="BB138" s="639">
        <v>0</v>
      </c>
      <c r="BC138" s="635"/>
      <c r="BD138" s="635"/>
      <c r="BE138" s="635">
        <f t="shared" si="237"/>
        <v>0</v>
      </c>
      <c r="BF138" s="635">
        <f t="shared" si="238"/>
        <v>0</v>
      </c>
      <c r="BG138" s="635">
        <f t="shared" si="218"/>
        <v>0</v>
      </c>
      <c r="BH138" s="640"/>
      <c r="BI138" s="640"/>
      <c r="BJ138" s="640">
        <f t="shared" si="239"/>
        <v>0</v>
      </c>
      <c r="BK138" s="640">
        <f t="shared" si="240"/>
        <v>0</v>
      </c>
      <c r="BL138" s="635">
        <v>0</v>
      </c>
      <c r="BM138" s="640"/>
      <c r="BN138" s="640"/>
      <c r="BO138" s="640">
        <f t="shared" si="245"/>
        <v>0</v>
      </c>
      <c r="BP138" s="640">
        <f t="shared" si="241"/>
        <v>0</v>
      </c>
      <c r="BQ138" s="635">
        <v>0</v>
      </c>
      <c r="BR138" s="640"/>
      <c r="BS138" s="640"/>
      <c r="BT138" s="641"/>
      <c r="BU138" s="578">
        <v>117331.44</v>
      </c>
      <c r="BV138" s="578"/>
      <c r="BW138" s="578"/>
      <c r="BX138" s="629">
        <f t="shared" ref="BX138" si="248">AL138-BU138-BV138</f>
        <v>-117331.44</v>
      </c>
      <c r="BY138" s="635"/>
      <c r="BZ138" s="635"/>
      <c r="CA138" s="635"/>
      <c r="CB138" s="522">
        <f t="shared" si="213"/>
        <v>0</v>
      </c>
      <c r="CC138" s="639">
        <f t="shared" si="242"/>
        <v>0</v>
      </c>
      <c r="CD138" s="640"/>
      <c r="CE138" s="640"/>
      <c r="CF138" s="640"/>
      <c r="CG138" s="640"/>
      <c r="CH138" s="640"/>
      <c r="CI138" s="640"/>
      <c r="CJ138" s="640"/>
      <c r="CK138" s="642" t="s">
        <v>77</v>
      </c>
      <c r="CL138" s="642" t="s">
        <v>1800</v>
      </c>
      <c r="CM138" s="528" t="s">
        <v>1907</v>
      </c>
      <c r="CN138" s="643"/>
      <c r="CO138" s="643"/>
      <c r="CP138" s="644"/>
      <c r="CQ138" s="644"/>
      <c r="CR138" s="644"/>
      <c r="CS138" s="635"/>
      <c r="CT138" s="635"/>
      <c r="CU138" s="635"/>
      <c r="CV138" s="635"/>
      <c r="CW138" s="635"/>
      <c r="CX138" s="643"/>
      <c r="CY138" s="643"/>
      <c r="CZ138" s="643"/>
      <c r="DA138" s="643"/>
      <c r="DB138" s="645">
        <v>0</v>
      </c>
      <c r="DC138" s="628" t="e">
        <f>P138-#REF!</f>
        <v>#REF!</v>
      </c>
      <c r="DD138" s="646"/>
      <c r="DE138" s="646"/>
      <c r="DF138" s="635">
        <f t="shared" si="211"/>
        <v>0</v>
      </c>
      <c r="DG138" s="635">
        <f t="shared" si="211"/>
        <v>0</v>
      </c>
      <c r="DH138" s="635">
        <f t="shared" si="211"/>
        <v>0</v>
      </c>
      <c r="DI138" s="522">
        <f t="shared" si="209"/>
        <v>0</v>
      </c>
      <c r="DJ138" s="641"/>
      <c r="DK138" s="641"/>
      <c r="DL138" s="641"/>
      <c r="DM138" s="641"/>
      <c r="DN138" s="641"/>
      <c r="DO138" s="641"/>
      <c r="DP138" s="641"/>
      <c r="DQ138" s="641"/>
      <c r="DR138" s="641"/>
      <c r="DS138" s="641"/>
    </row>
    <row r="139" spans="1:123" ht="63.75" customHeight="1">
      <c r="A139" s="505" t="s">
        <v>1924</v>
      </c>
      <c r="B139" s="506" t="s">
        <v>1925</v>
      </c>
      <c r="C139" s="580">
        <f>C140+C146+C160+C170</f>
        <v>560788420.98599982</v>
      </c>
      <c r="D139" s="580">
        <f>D140+D146+D160+D170</f>
        <v>415150739.6521793</v>
      </c>
      <c r="E139" s="580">
        <f>E140+E146+E160+E170</f>
        <v>617992930.56647921</v>
      </c>
      <c r="F139" s="580">
        <f>F140+F146+F160+F170</f>
        <v>536792599.64999992</v>
      </c>
      <c r="G139" s="580">
        <f t="shared" ref="G139:S139" si="249">G140+G146+G160+G170</f>
        <v>352989745.97908336</v>
      </c>
      <c r="H139" s="580">
        <f t="shared" si="249"/>
        <v>0</v>
      </c>
      <c r="I139" s="580">
        <f t="shared" si="249"/>
        <v>580580851.89999998</v>
      </c>
      <c r="J139" s="580">
        <f>J140+J146+J160+J170</f>
        <v>213571279.61000001</v>
      </c>
      <c r="K139" s="580">
        <f t="shared" si="249"/>
        <v>190207425.54000002</v>
      </c>
      <c r="L139" s="580">
        <f t="shared" si="249"/>
        <v>176802146.75</v>
      </c>
      <c r="M139" s="580">
        <f t="shared" si="249"/>
        <v>403778705.14999998</v>
      </c>
      <c r="N139" s="580">
        <f t="shared" si="249"/>
        <v>348215988.04000002</v>
      </c>
      <c r="O139" s="580">
        <f>O140+O146+O160+O170</f>
        <v>166921632.58000001</v>
      </c>
      <c r="P139" s="580">
        <f>P140+P146+P160+P170</f>
        <v>515137620.61999995</v>
      </c>
      <c r="Q139" s="580">
        <f t="shared" si="219"/>
        <v>-65443231.280000031</v>
      </c>
      <c r="R139" s="580">
        <f t="shared" si="220"/>
        <v>-11.27202715450079</v>
      </c>
      <c r="S139" s="580">
        <f t="shared" si="249"/>
        <v>360239204.86755955</v>
      </c>
      <c r="T139" s="580">
        <f>T140+T146+T160+T170</f>
        <v>394375431.93641585</v>
      </c>
      <c r="U139" s="580">
        <f>U140+U146+U160+U170</f>
        <v>510056978.68999994</v>
      </c>
      <c r="V139" s="580">
        <f t="shared" si="217"/>
        <v>115681546.75358409</v>
      </c>
      <c r="W139" s="580">
        <f t="shared" si="246"/>
        <v>29.332848191272518</v>
      </c>
      <c r="X139" s="580">
        <f t="shared" si="221"/>
        <v>-5080641.9300000072</v>
      </c>
      <c r="Y139" s="580">
        <f t="shared" si="222"/>
        <v>-0.98626885838490352</v>
      </c>
      <c r="Z139" s="580">
        <f t="shared" si="223"/>
        <v>507473663.23000002</v>
      </c>
      <c r="AA139" s="580">
        <f t="shared" si="224"/>
        <v>113098231.29358417</v>
      </c>
      <c r="AB139" s="580">
        <f t="shared" si="247"/>
        <v>28.67780853849402</v>
      </c>
      <c r="AC139" s="580">
        <f t="shared" si="225"/>
        <v>-2583315.4599999189</v>
      </c>
      <c r="AD139" s="580">
        <f t="shared" si="226"/>
        <v>-0.50647585817465313</v>
      </c>
      <c r="AE139" s="580">
        <f t="shared" si="227"/>
        <v>-7663957.3899999261</v>
      </c>
      <c r="AF139" s="580">
        <f t="shared" si="228"/>
        <v>-1.4877495028951415</v>
      </c>
      <c r="AG139" s="580">
        <f t="shared" si="243"/>
        <v>507600322.19999999</v>
      </c>
      <c r="AH139" s="580">
        <f t="shared" si="229"/>
        <v>-2456656.4899999499</v>
      </c>
      <c r="AI139" s="580">
        <f t="shared" si="230"/>
        <v>-0.48164354035689882</v>
      </c>
      <c r="AJ139" s="580">
        <f t="shared" si="231"/>
        <v>126658.96999996901</v>
      </c>
      <c r="AK139" s="580">
        <f t="shared" si="212"/>
        <v>2.495872774829877E-2</v>
      </c>
      <c r="AL139" s="580">
        <f>AL140+AL146+AL160+AL170</f>
        <v>507600322.20000005</v>
      </c>
      <c r="AM139" s="580">
        <f t="shared" si="192"/>
        <v>265868236.31999999</v>
      </c>
      <c r="AN139" s="580">
        <f t="shared" si="192"/>
        <v>252666019.19</v>
      </c>
      <c r="AO139" s="580">
        <f t="shared" si="232"/>
        <v>-13202217.129999995</v>
      </c>
      <c r="AP139" s="580">
        <f t="shared" si="244"/>
        <v>-4.9656992925283987</v>
      </c>
      <c r="AQ139" s="580">
        <f>AQ140+AQ146+AQ160+AQ170</f>
        <v>122753208.86</v>
      </c>
      <c r="AR139" s="580">
        <f>AR140+AR146+AR160+AR170</f>
        <v>122551512.47</v>
      </c>
      <c r="AS139" s="580">
        <f>AS140+AS146+AS160+AS170</f>
        <v>143115027.45999998</v>
      </c>
      <c r="AT139" s="580">
        <f>AT140+AT146+AT160+AT170</f>
        <v>130114506.72000001</v>
      </c>
      <c r="AU139" s="580">
        <f t="shared" si="208"/>
        <v>244188742.36999997</v>
      </c>
      <c r="AV139" s="580">
        <f t="shared" si="208"/>
        <v>254807644.04000002</v>
      </c>
      <c r="AW139" s="580">
        <f t="shared" si="233"/>
        <v>10618901.670000046</v>
      </c>
      <c r="AX139" s="580">
        <f t="shared" si="234"/>
        <v>4.3486450550247184</v>
      </c>
      <c r="AY139" s="580">
        <f t="shared" si="210"/>
        <v>254934303.00999999</v>
      </c>
      <c r="AZ139" s="580">
        <f t="shared" si="235"/>
        <v>-126658.96999996901</v>
      </c>
      <c r="BA139" s="580">
        <f t="shared" si="236"/>
        <v>-4.9682984402068087E-2</v>
      </c>
      <c r="BB139" s="580">
        <f t="shared" ref="BB139:BN139" si="250">BB140+BB146+BB160+BB170</f>
        <v>133707772.06999996</v>
      </c>
      <c r="BC139" s="580">
        <f t="shared" si="250"/>
        <v>138160884.69</v>
      </c>
      <c r="BD139" s="580">
        <f t="shared" si="250"/>
        <v>126180795.34</v>
      </c>
      <c r="BE139" s="580">
        <f t="shared" si="237"/>
        <v>-7526976.7299999595</v>
      </c>
      <c r="BF139" s="580">
        <f t="shared" si="238"/>
        <v>-11980089.349999994</v>
      </c>
      <c r="BG139" s="580">
        <f t="shared" si="218"/>
        <v>399576008.38999999</v>
      </c>
      <c r="BH139" s="580">
        <f t="shared" ref="BH139:BI139" si="251">BH140+BH146+BH160+BH170</f>
        <v>390826903.88</v>
      </c>
      <c r="BI139" s="580">
        <f t="shared" si="251"/>
        <v>378846814.52999997</v>
      </c>
      <c r="BJ139" s="580">
        <f t="shared" si="239"/>
        <v>-20729193.860000014</v>
      </c>
      <c r="BK139" s="580">
        <f t="shared" si="240"/>
        <v>-11980089.350000024</v>
      </c>
      <c r="BL139" s="580">
        <f t="shared" si="250"/>
        <v>110480970.30000001</v>
      </c>
      <c r="BM139" s="580">
        <f t="shared" si="250"/>
        <v>116646759.35000001</v>
      </c>
      <c r="BN139" s="580">
        <f t="shared" si="250"/>
        <v>128753507.66999999</v>
      </c>
      <c r="BO139" s="580">
        <f t="shared" si="245"/>
        <v>18272537.369999975</v>
      </c>
      <c r="BP139" s="580">
        <f t="shared" si="241"/>
        <v>12106748.319999978</v>
      </c>
      <c r="BQ139" s="580">
        <f t="shared" ref="BQ139:BS139" si="252">BQ140+BQ146+BQ160+BQ170</f>
        <v>110480970.30000001</v>
      </c>
      <c r="BR139" s="580">
        <f t="shared" si="252"/>
        <v>0</v>
      </c>
      <c r="BS139" s="580">
        <f t="shared" si="252"/>
        <v>0</v>
      </c>
      <c r="BU139" s="580">
        <f t="shared" ref="BU139:BW139" si="253">BU140+BU146+BU160+BU170</f>
        <v>486642254.66999996</v>
      </c>
      <c r="BV139" s="580">
        <f t="shared" si="253"/>
        <v>20958067.530000001</v>
      </c>
      <c r="BW139" s="580">
        <f t="shared" si="253"/>
        <v>0</v>
      </c>
      <c r="BX139" s="581"/>
      <c r="BY139" s="580">
        <f>BY140+BY146+BY160+BY170</f>
        <v>491522971.26000005</v>
      </c>
      <c r="BZ139" s="580">
        <f>BZ140+BZ146+BZ160+BZ170</f>
        <v>14674153.469999999</v>
      </c>
      <c r="CA139" s="580">
        <f>CA140+CA146+CA160+CA170</f>
        <v>1403197.47</v>
      </c>
      <c r="CB139" s="580">
        <f>CB140+CB146+CB160+CB170</f>
        <v>507600322.20000005</v>
      </c>
      <c r="CC139" s="580">
        <f t="shared" si="242"/>
        <v>0</v>
      </c>
      <c r="CD139" s="580"/>
      <c r="CE139" s="580"/>
      <c r="CF139" s="580"/>
      <c r="CG139" s="580"/>
      <c r="CH139" s="580"/>
      <c r="CI139" s="580"/>
      <c r="CJ139" s="580"/>
      <c r="CK139" s="508"/>
      <c r="CL139" s="508"/>
      <c r="CM139" s="509" t="s">
        <v>1925</v>
      </c>
      <c r="CN139" s="510"/>
      <c r="CO139" s="510"/>
      <c r="CP139" s="582">
        <f>CP140+CP146+CP160+CP170</f>
        <v>477813422.31795776</v>
      </c>
      <c r="CQ139" s="582">
        <f>CQ140+CQ146+CQ160+CQ170</f>
        <v>28239103.515725732</v>
      </c>
      <c r="CR139" s="582">
        <f>CR140+CR146+CR160+CR170</f>
        <v>4004452.8563165199</v>
      </c>
      <c r="CS139" s="1679"/>
      <c r="CT139" s="1680"/>
      <c r="CU139" s="1680"/>
      <c r="CV139" s="1680"/>
      <c r="CW139" s="1681"/>
      <c r="CX139" s="510"/>
      <c r="CY139" s="510"/>
      <c r="CZ139" s="510"/>
      <c r="DA139" s="510"/>
      <c r="DB139" s="582">
        <f>DB140+DB146+DB160+DB170</f>
        <v>122551512.47</v>
      </c>
      <c r="DC139" s="628" t="e">
        <f>P139-#REF!</f>
        <v>#REF!</v>
      </c>
      <c r="DD139" s="517"/>
      <c r="DE139" s="517"/>
      <c r="DF139" s="580">
        <f t="shared" si="211"/>
        <v>491522.97126000008</v>
      </c>
      <c r="DG139" s="580">
        <f t="shared" si="211"/>
        <v>14674.153469999999</v>
      </c>
      <c r="DH139" s="580">
        <f t="shared" si="211"/>
        <v>1403.1974700000001</v>
      </c>
      <c r="DI139" s="580">
        <f t="shared" si="209"/>
        <v>507600.32220000005</v>
      </c>
    </row>
    <row r="140" spans="1:123" ht="82.8">
      <c r="A140" s="505" t="s">
        <v>1926</v>
      </c>
      <c r="B140" s="506" t="s">
        <v>1927</v>
      </c>
      <c r="C140" s="580">
        <f>SUM(C141:C145)</f>
        <v>29168220.989999998</v>
      </c>
      <c r="D140" s="580">
        <f>SUM(D141:D145)</f>
        <v>27661191.460000001</v>
      </c>
      <c r="E140" s="580">
        <f>SUM(E141:E145)</f>
        <v>38492766</v>
      </c>
      <c r="F140" s="580">
        <f>SUM(F141:F145)</f>
        <v>33265398.199999999</v>
      </c>
      <c r="G140" s="580">
        <f t="shared" ref="G140:S140" si="254">SUM(G141:G145)</f>
        <v>26005206.268159695</v>
      </c>
      <c r="H140" s="580">
        <f t="shared" si="254"/>
        <v>0</v>
      </c>
      <c r="I140" s="580">
        <f t="shared" si="254"/>
        <v>37963615.149999999</v>
      </c>
      <c r="J140" s="580">
        <f>SUM(J141:J145)</f>
        <v>19799399.579999994</v>
      </c>
      <c r="K140" s="580">
        <f t="shared" si="254"/>
        <v>6229765.8499999996</v>
      </c>
      <c r="L140" s="580">
        <f t="shared" si="254"/>
        <v>11934449.720000001</v>
      </c>
      <c r="M140" s="580">
        <f t="shared" si="254"/>
        <v>26029165.43</v>
      </c>
      <c r="N140" s="580">
        <f t="shared" si="254"/>
        <v>25327640.340000004</v>
      </c>
      <c r="O140" s="580">
        <f>SUM(O141:O145)</f>
        <v>11406793.26</v>
      </c>
      <c r="P140" s="580">
        <f>SUM(P141:P145)</f>
        <v>36734433.600000001</v>
      </c>
      <c r="Q140" s="580">
        <f t="shared" si="219"/>
        <v>-1229181.549999997</v>
      </c>
      <c r="R140" s="580">
        <f t="shared" si="220"/>
        <v>-3.2377884591425641</v>
      </c>
      <c r="S140" s="580">
        <f t="shared" si="254"/>
        <v>30093977.431771751</v>
      </c>
      <c r="T140" s="580">
        <f>SUM(T141:T145)</f>
        <v>30093977.431771751</v>
      </c>
      <c r="U140" s="580">
        <f>SUM(U141:U145)</f>
        <v>42807390.390000001</v>
      </c>
      <c r="V140" s="580">
        <f t="shared" si="217"/>
        <v>12713412.958228249</v>
      </c>
      <c r="W140" s="580">
        <f t="shared" si="246"/>
        <v>42.245705098476122</v>
      </c>
      <c r="X140" s="580">
        <f t="shared" si="221"/>
        <v>6072956.7899999991</v>
      </c>
      <c r="Y140" s="580">
        <f t="shared" si="222"/>
        <v>16.532055063454138</v>
      </c>
      <c r="Z140" s="580">
        <f t="shared" si="223"/>
        <v>41162651.729999997</v>
      </c>
      <c r="AA140" s="580">
        <f t="shared" si="224"/>
        <v>11068674.298228245</v>
      </c>
      <c r="AB140" s="580">
        <f t="shared" si="247"/>
        <v>36.780363523973676</v>
      </c>
      <c r="AC140" s="580">
        <f t="shared" si="225"/>
        <v>-1644738.6600000039</v>
      </c>
      <c r="AD140" s="580">
        <f t="shared" si="226"/>
        <v>-3.842183896321373</v>
      </c>
      <c r="AE140" s="580">
        <f t="shared" si="227"/>
        <v>4428218.1299999952</v>
      </c>
      <c r="AF140" s="580">
        <f t="shared" si="228"/>
        <v>12.054679209753743</v>
      </c>
      <c r="AG140" s="580">
        <f t="shared" si="243"/>
        <v>40774779.480000004</v>
      </c>
      <c r="AH140" s="580">
        <f t="shared" si="229"/>
        <v>-2032610.9099999964</v>
      </c>
      <c r="AI140" s="580">
        <f t="shared" si="230"/>
        <v>-4.7482710146115892</v>
      </c>
      <c r="AJ140" s="580">
        <f t="shared" si="231"/>
        <v>-387872.24999999255</v>
      </c>
      <c r="AK140" s="580">
        <f t="shared" si="212"/>
        <v>-0.9422916981738183</v>
      </c>
      <c r="AL140" s="580">
        <f>SUM(AL141:AL145)</f>
        <v>40774779.480000004</v>
      </c>
      <c r="AM140" s="580">
        <f t="shared" si="192"/>
        <v>22366171.080000002</v>
      </c>
      <c r="AN140" s="580">
        <f t="shared" si="192"/>
        <v>20550981.43</v>
      </c>
      <c r="AO140" s="580">
        <f t="shared" si="232"/>
        <v>-1815189.6500000022</v>
      </c>
      <c r="AP140" s="580">
        <f t="shared" si="244"/>
        <v>-8.1157818363607106</v>
      </c>
      <c r="AQ140" s="580">
        <f>SUM(AQ141:AQ145)</f>
        <v>15770234.540000001</v>
      </c>
      <c r="AR140" s="580">
        <f>SUM(AR141:AR145)</f>
        <v>14378381.309999999</v>
      </c>
      <c r="AS140" s="580">
        <f>SUM(AS141:AS145)</f>
        <v>6595936.540000001</v>
      </c>
      <c r="AT140" s="580">
        <f>SUM(AT141:AT145)</f>
        <v>6172600.120000001</v>
      </c>
      <c r="AU140" s="580">
        <f t="shared" si="208"/>
        <v>20441219.309999999</v>
      </c>
      <c r="AV140" s="580">
        <f t="shared" si="208"/>
        <v>20611670.299999997</v>
      </c>
      <c r="AW140" s="580">
        <f t="shared" si="233"/>
        <v>170450.98999999836</v>
      </c>
      <c r="AX140" s="580">
        <f t="shared" si="234"/>
        <v>0.83385921072043345</v>
      </c>
      <c r="AY140" s="580">
        <f t="shared" si="210"/>
        <v>20223798.050000001</v>
      </c>
      <c r="AZ140" s="580">
        <f t="shared" si="235"/>
        <v>387872.24999999627</v>
      </c>
      <c r="BA140" s="580">
        <f t="shared" si="236"/>
        <v>1.9179001344902957</v>
      </c>
      <c r="BB140" s="580">
        <f t="shared" ref="BB140:BN140" si="255">SUM(BB141:BB145)</f>
        <v>6583510.8499999996</v>
      </c>
      <c r="BC140" s="580">
        <f t="shared" si="255"/>
        <v>6591600.0499999998</v>
      </c>
      <c r="BD140" s="580">
        <f t="shared" si="255"/>
        <v>6787544.2999999998</v>
      </c>
      <c r="BE140" s="580">
        <f t="shared" si="237"/>
        <v>204033.45000000019</v>
      </c>
      <c r="BF140" s="580">
        <f t="shared" si="238"/>
        <v>195944.25</v>
      </c>
      <c r="BG140" s="580">
        <f t="shared" si="218"/>
        <v>28949681.93</v>
      </c>
      <c r="BH140" s="580">
        <f t="shared" ref="BH140:BI140" si="256">SUM(BH141:BH145)</f>
        <v>27142581.479999997</v>
      </c>
      <c r="BI140" s="580">
        <f t="shared" si="256"/>
        <v>27338525.729999997</v>
      </c>
      <c r="BJ140" s="580">
        <f t="shared" si="239"/>
        <v>-1611156.200000003</v>
      </c>
      <c r="BK140" s="580">
        <f t="shared" si="240"/>
        <v>195944.25</v>
      </c>
      <c r="BL140" s="580">
        <f t="shared" si="255"/>
        <v>13857708.459999999</v>
      </c>
      <c r="BM140" s="580">
        <f t="shared" si="255"/>
        <v>14020070.249999998</v>
      </c>
      <c r="BN140" s="580">
        <f t="shared" si="255"/>
        <v>13436253.75</v>
      </c>
      <c r="BO140" s="580">
        <f t="shared" si="245"/>
        <v>-421454.70999999903</v>
      </c>
      <c r="BP140" s="580">
        <f t="shared" si="241"/>
        <v>-583816.49999999814</v>
      </c>
      <c r="BQ140" s="580">
        <f t="shared" ref="BQ140:BS140" si="257">SUM(BQ141:BQ145)</f>
        <v>13857708.459999999</v>
      </c>
      <c r="BR140" s="580">
        <f t="shared" si="257"/>
        <v>0</v>
      </c>
      <c r="BS140" s="580">
        <f t="shared" si="257"/>
        <v>0</v>
      </c>
      <c r="BU140" s="580">
        <f t="shared" ref="BU140:BW140" si="258">SUM(BU141:BU145)</f>
        <v>40686041.350000001</v>
      </c>
      <c r="BV140" s="580">
        <f t="shared" si="258"/>
        <v>88738.13</v>
      </c>
      <c r="BW140" s="580">
        <f t="shared" si="258"/>
        <v>0</v>
      </c>
      <c r="BX140" s="581"/>
      <c r="BY140" s="580">
        <f>SUM(BY141:BY145)</f>
        <v>40074858.959999993</v>
      </c>
      <c r="BZ140" s="580">
        <f>SUM(BZ141:BZ145)</f>
        <v>598810.19000000006</v>
      </c>
      <c r="CA140" s="580">
        <f>SUM(CA141:CA145)</f>
        <v>101110.33</v>
      </c>
      <c r="CB140" s="580">
        <f>SUM(CB141:CB145)</f>
        <v>40774779.480000004</v>
      </c>
      <c r="CC140" s="580">
        <f t="shared" si="242"/>
        <v>0</v>
      </c>
      <c r="CD140" s="580"/>
      <c r="CE140" s="580"/>
      <c r="CF140" s="580"/>
      <c r="CG140" s="580"/>
      <c r="CH140" s="580"/>
      <c r="CI140" s="580"/>
      <c r="CJ140" s="580"/>
      <c r="CK140" s="508"/>
      <c r="CL140" s="508"/>
      <c r="CM140" s="509" t="s">
        <v>1925</v>
      </c>
      <c r="CN140" s="510"/>
      <c r="CO140" s="510"/>
      <c r="CP140" s="582">
        <f>SUM(CP141:CP145)</f>
        <v>39494973.79688713</v>
      </c>
      <c r="CQ140" s="582">
        <f>SUM(CQ141:CQ145)</f>
        <v>2901034.6743645342</v>
      </c>
      <c r="CR140" s="582">
        <f>SUM(CR141:CR145)</f>
        <v>411381.91874834284</v>
      </c>
      <c r="CS140" s="1679"/>
      <c r="CT140" s="1680"/>
      <c r="CU140" s="1680"/>
      <c r="CV140" s="1680"/>
      <c r="CW140" s="1681"/>
      <c r="CX140" s="510"/>
      <c r="CY140" s="510"/>
      <c r="CZ140" s="510"/>
      <c r="DA140" s="510"/>
      <c r="DB140" s="582">
        <f>SUM(DB141:DB145)</f>
        <v>14378381.309999999</v>
      </c>
      <c r="DC140" s="628" t="e">
        <f>P140-#REF!</f>
        <v>#REF!</v>
      </c>
      <c r="DD140" s="517"/>
      <c r="DE140" s="517"/>
      <c r="DF140" s="580">
        <f t="shared" si="211"/>
        <v>40074.85895999999</v>
      </c>
      <c r="DG140" s="580">
        <f t="shared" si="211"/>
        <v>598.81019000000003</v>
      </c>
      <c r="DH140" s="580">
        <f t="shared" si="211"/>
        <v>101.11033</v>
      </c>
      <c r="DI140" s="580">
        <f t="shared" si="209"/>
        <v>40774.779480000005</v>
      </c>
    </row>
    <row r="141" spans="1:123" s="534" customFormat="1" ht="88.5" customHeight="1">
      <c r="A141" s="537" t="s">
        <v>1139</v>
      </c>
      <c r="B141" s="538" t="s">
        <v>1140</v>
      </c>
      <c r="C141" s="576">
        <v>21604495.859999999</v>
      </c>
      <c r="D141" s="576">
        <v>18393500</v>
      </c>
      <c r="E141" s="576">
        <v>28862500</v>
      </c>
      <c r="F141" s="576">
        <v>25953700.879999999</v>
      </c>
      <c r="G141" s="577">
        <v>21298679.77</v>
      </c>
      <c r="H141" s="577">
        <v>0</v>
      </c>
      <c r="I141" s="576">
        <f>J141+K141+L141</f>
        <v>29367419.02</v>
      </c>
      <c r="J141" s="576">
        <v>15020325.33</v>
      </c>
      <c r="K141" s="576">
        <v>5381732.8300000001</v>
      </c>
      <c r="L141" s="576">
        <v>8965360.8599999994</v>
      </c>
      <c r="M141" s="576">
        <f>J141+K141</f>
        <v>20402058.16</v>
      </c>
      <c r="N141" s="576">
        <v>19858930.690000001</v>
      </c>
      <c r="O141" s="525">
        <f>P141-N141</f>
        <v>8734335.8399999999</v>
      </c>
      <c r="P141" s="522">
        <f>28593266.53</f>
        <v>28593266.530000001</v>
      </c>
      <c r="Q141" s="576">
        <f t="shared" si="219"/>
        <v>-774152.48999999836</v>
      </c>
      <c r="R141" s="576">
        <f t="shared" si="220"/>
        <v>-2.6360930440389723</v>
      </c>
      <c r="S141" s="576">
        <v>22470107.157349996</v>
      </c>
      <c r="T141" s="576">
        <v>22470107.157349996</v>
      </c>
      <c r="U141" s="522">
        <f>AQ141+AS141+BB141+BL141</f>
        <v>34115584.289999999</v>
      </c>
      <c r="V141" s="522">
        <f t="shared" si="217"/>
        <v>11645477.132650003</v>
      </c>
      <c r="W141" s="522">
        <f t="shared" si="246"/>
        <v>51.826531360535824</v>
      </c>
      <c r="X141" s="522">
        <f t="shared" si="221"/>
        <v>5522317.7599999979</v>
      </c>
      <c r="Y141" s="522">
        <f t="shared" si="222"/>
        <v>19.313350414881739</v>
      </c>
      <c r="Z141" s="524">
        <f t="shared" si="223"/>
        <v>32211609.079999998</v>
      </c>
      <c r="AA141" s="522">
        <f t="shared" si="224"/>
        <v>9741501.9226500019</v>
      </c>
      <c r="AB141" s="522">
        <f t="shared" si="247"/>
        <v>43.353161844907106</v>
      </c>
      <c r="AC141" s="522">
        <f t="shared" si="225"/>
        <v>-1903975.2100000009</v>
      </c>
      <c r="AD141" s="522">
        <f t="shared" si="226"/>
        <v>-5.5809544219299738</v>
      </c>
      <c r="AE141" s="522">
        <f t="shared" si="227"/>
        <v>3618342.549999997</v>
      </c>
      <c r="AF141" s="522">
        <f t="shared" si="228"/>
        <v>12.654526708949604</v>
      </c>
      <c r="AG141" s="522">
        <f t="shared" si="243"/>
        <v>32344038.91</v>
      </c>
      <c r="AH141" s="522">
        <f t="shared" si="229"/>
        <v>-1771545.379999999</v>
      </c>
      <c r="AI141" s="522">
        <f t="shared" si="230"/>
        <v>-5.1927745541185857</v>
      </c>
      <c r="AJ141" s="522">
        <f t="shared" si="231"/>
        <v>132429.83000000194</v>
      </c>
      <c r="AK141" s="522">
        <f t="shared" si="212"/>
        <v>0.41112454106561813</v>
      </c>
      <c r="AL141" s="522">
        <f t="shared" ref="AL141:AL145" si="259">SUM(BU141:BV141)</f>
        <v>32344038.91</v>
      </c>
      <c r="AM141" s="522">
        <f t="shared" si="192"/>
        <v>17605433.780000001</v>
      </c>
      <c r="AN141" s="522">
        <f t="shared" si="192"/>
        <v>15701458.57</v>
      </c>
      <c r="AO141" s="522">
        <f t="shared" si="232"/>
        <v>-1903975.2100000009</v>
      </c>
      <c r="AP141" s="522">
        <f t="shared" si="244"/>
        <v>-10.814702061831284</v>
      </c>
      <c r="AQ141" s="578">
        <v>11990280</v>
      </c>
      <c r="AR141" s="578">
        <v>10587788.449999999</v>
      </c>
      <c r="AS141" s="578">
        <v>5615153.7800000003</v>
      </c>
      <c r="AT141" s="578">
        <v>5113670.120000001</v>
      </c>
      <c r="AU141" s="578">
        <f t="shared" si="208"/>
        <v>16510150.51</v>
      </c>
      <c r="AV141" s="578">
        <f t="shared" si="208"/>
        <v>16510150.51</v>
      </c>
      <c r="AW141" s="578">
        <f t="shared" si="233"/>
        <v>0</v>
      </c>
      <c r="AX141" s="578">
        <f t="shared" si="234"/>
        <v>0</v>
      </c>
      <c r="AY141" s="578">
        <f t="shared" si="210"/>
        <v>16642580.34</v>
      </c>
      <c r="AZ141" s="578">
        <f t="shared" si="235"/>
        <v>-132429.83000000007</v>
      </c>
      <c r="BA141" s="578">
        <f t="shared" si="236"/>
        <v>-0.795728951247483</v>
      </c>
      <c r="BB141" s="578">
        <v>5907093.3300000001</v>
      </c>
      <c r="BC141" s="576">
        <f>'[67]Дир_ по реал.услуг'!AT9</f>
        <v>5907093.3300000001</v>
      </c>
      <c r="BD141" s="576">
        <f>BI141-AN141</f>
        <v>6087579.5700000003</v>
      </c>
      <c r="BE141" s="576">
        <f t="shared" si="237"/>
        <v>180486.24000000022</v>
      </c>
      <c r="BF141" s="576">
        <f t="shared" si="238"/>
        <v>180486.24000000022</v>
      </c>
      <c r="BG141" s="576">
        <f t="shared" si="218"/>
        <v>23512527.109999999</v>
      </c>
      <c r="BH141" s="578">
        <f>AN141+BC141</f>
        <v>21608551.899999999</v>
      </c>
      <c r="BI141" s="578">
        <v>21789038.140000001</v>
      </c>
      <c r="BJ141" s="578">
        <f t="shared" si="239"/>
        <v>-1723488.9699999988</v>
      </c>
      <c r="BK141" s="578">
        <f t="shared" si="240"/>
        <v>180486.24000000209</v>
      </c>
      <c r="BL141" s="576">
        <v>10603057.18</v>
      </c>
      <c r="BM141" s="578">
        <f>'[67]Дир_ по реал.услуг'!AW9</f>
        <v>10603057.18</v>
      </c>
      <c r="BN141" s="522">
        <f t="shared" ref="BN141:BN145" si="260">AL141-BI141</f>
        <v>10555000.77</v>
      </c>
      <c r="BO141" s="578">
        <f t="shared" si="245"/>
        <v>-48056.410000000149</v>
      </c>
      <c r="BP141" s="578">
        <f t="shared" si="241"/>
        <v>-48056.410000000149</v>
      </c>
      <c r="BQ141" s="576">
        <v>10603057.18</v>
      </c>
      <c r="BR141" s="578">
        <f>'[67]Дир_ по реал.услуг'!BB9</f>
        <v>0</v>
      </c>
      <c r="BS141" s="578">
        <f>'[67]Дир_ по реал.услуг'!BC9</f>
        <v>0</v>
      </c>
      <c r="BT141" s="536"/>
      <c r="BU141" s="578">
        <v>32344038.91</v>
      </c>
      <c r="BV141" s="578"/>
      <c r="BW141" s="578"/>
      <c r="BX141" s="574"/>
      <c r="BY141" s="525">
        <v>32239048.649999999</v>
      </c>
      <c r="BZ141" s="525">
        <v>90940.1</v>
      </c>
      <c r="CA141" s="525">
        <v>14050.16</v>
      </c>
      <c r="CB141" s="522">
        <f t="shared" si="213"/>
        <v>32344038.91</v>
      </c>
      <c r="CC141" s="522">
        <f t="shared" si="242"/>
        <v>0</v>
      </c>
      <c r="CD141" s="578"/>
      <c r="CE141" s="578"/>
      <c r="CF141" s="578"/>
      <c r="CG141" s="578"/>
      <c r="CH141" s="578"/>
      <c r="CI141" s="578"/>
      <c r="CJ141" s="578"/>
      <c r="CK141" s="542" t="s">
        <v>78</v>
      </c>
      <c r="CL141" s="542" t="s">
        <v>1787</v>
      </c>
      <c r="CM141" s="509" t="s">
        <v>1925</v>
      </c>
      <c r="CN141" s="528" t="s">
        <v>1849</v>
      </c>
      <c r="CO141" s="528"/>
      <c r="CP141" s="544">
        <f>U141*$CU$7/100</f>
        <v>31475735.7391681</v>
      </c>
      <c r="CQ141" s="544">
        <f>U141*$CU$8/100</f>
        <v>2311995.4769449322</v>
      </c>
      <c r="CR141" s="544">
        <f>U141*$CU$9/100</f>
        <v>327853.07388696953</v>
      </c>
      <c r="CS141" s="1688" t="s">
        <v>1826</v>
      </c>
      <c r="CT141" s="1689"/>
      <c r="CU141" s="1689"/>
      <c r="CV141" s="1689"/>
      <c r="CW141" s="1690"/>
      <c r="CX141" s="528"/>
      <c r="CY141" s="528"/>
      <c r="CZ141" s="528"/>
      <c r="DA141" s="528"/>
      <c r="DB141" s="579">
        <f>10587788.45</f>
        <v>10587788.449999999</v>
      </c>
      <c r="DC141" s="628" t="e">
        <f>P141-#REF!</f>
        <v>#REF!</v>
      </c>
      <c r="DD141" s="535"/>
      <c r="DE141" s="535"/>
      <c r="DF141" s="525">
        <f t="shared" si="211"/>
        <v>32239.048649999997</v>
      </c>
      <c r="DG141" s="525">
        <f t="shared" si="211"/>
        <v>90.940100000000001</v>
      </c>
      <c r="DH141" s="525">
        <f t="shared" si="211"/>
        <v>14.05016</v>
      </c>
      <c r="DI141" s="522">
        <f t="shared" si="209"/>
        <v>32344.038909999999</v>
      </c>
      <c r="DJ141" s="536"/>
      <c r="DK141" s="536"/>
      <c r="DL141" s="536"/>
      <c r="DM141" s="536"/>
      <c r="DN141" s="536"/>
      <c r="DO141" s="536"/>
      <c r="DP141" s="536"/>
      <c r="DQ141" s="536"/>
      <c r="DR141" s="536"/>
      <c r="DS141" s="536"/>
    </row>
    <row r="142" spans="1:123" s="534" customFormat="1" ht="70.5" customHeight="1">
      <c r="A142" s="537" t="s">
        <v>1278</v>
      </c>
      <c r="B142" s="538" t="s">
        <v>1279</v>
      </c>
      <c r="C142" s="576">
        <v>4780660.82</v>
      </c>
      <c r="D142" s="576">
        <v>6601100</v>
      </c>
      <c r="E142" s="576">
        <v>6220450</v>
      </c>
      <c r="F142" s="576">
        <v>4282375.09</v>
      </c>
      <c r="G142" s="577">
        <v>2462230.0300000003</v>
      </c>
      <c r="H142" s="577">
        <v>0</v>
      </c>
      <c r="I142" s="576">
        <f>J142+K142+L142</f>
        <v>5146587.6399999997</v>
      </c>
      <c r="J142" s="576">
        <v>3024459.96</v>
      </c>
      <c r="K142" s="576">
        <v>165288</v>
      </c>
      <c r="L142" s="576">
        <v>1956839.68</v>
      </c>
      <c r="M142" s="576">
        <f>J142+K142</f>
        <v>3189747.96</v>
      </c>
      <c r="N142" s="576">
        <v>3111522.89</v>
      </c>
      <c r="O142" s="525">
        <f>P142-N142</f>
        <v>1927660.2100000004</v>
      </c>
      <c r="P142" s="522">
        <f>45673.49+4993509.61</f>
        <v>5039183.1000000006</v>
      </c>
      <c r="Q142" s="576">
        <f t="shared" si="219"/>
        <v>-107404.53999999911</v>
      </c>
      <c r="R142" s="576">
        <f t="shared" si="220"/>
        <v>-2.0869078215094703</v>
      </c>
      <c r="S142" s="576">
        <v>4671959.8899999987</v>
      </c>
      <c r="T142" s="576">
        <v>4671959.8899999987</v>
      </c>
      <c r="U142" s="522">
        <f>AQ142+AS142+BB142+BL142</f>
        <v>5388601.7400000002</v>
      </c>
      <c r="V142" s="522">
        <f t="shared" si="217"/>
        <v>716641.85000000149</v>
      </c>
      <c r="W142" s="522">
        <f t="shared" si="246"/>
        <v>15.339212383520746</v>
      </c>
      <c r="X142" s="522">
        <f t="shared" si="221"/>
        <v>349418.63999999966</v>
      </c>
      <c r="Y142" s="522">
        <f t="shared" si="222"/>
        <v>6.9340334150588774</v>
      </c>
      <c r="Z142" s="524">
        <f t="shared" si="223"/>
        <v>5833984.4700000007</v>
      </c>
      <c r="AA142" s="522">
        <f t="shared" si="224"/>
        <v>1162024.5800000019</v>
      </c>
      <c r="AB142" s="522">
        <f t="shared" si="247"/>
        <v>24.872314988988535</v>
      </c>
      <c r="AC142" s="522">
        <f t="shared" si="225"/>
        <v>445382.73000000045</v>
      </c>
      <c r="AD142" s="522">
        <f t="shared" si="226"/>
        <v>8.2652745830869492</v>
      </c>
      <c r="AE142" s="522">
        <f t="shared" si="227"/>
        <v>794801.37000000011</v>
      </c>
      <c r="AF142" s="522">
        <f t="shared" si="228"/>
        <v>15.772424899583442</v>
      </c>
      <c r="AG142" s="522">
        <f t="shared" si="243"/>
        <v>5459004.4299999997</v>
      </c>
      <c r="AH142" s="522">
        <f t="shared" si="229"/>
        <v>70402.689999999478</v>
      </c>
      <c r="AI142" s="522">
        <f t="shared" si="230"/>
        <v>1.3065112880284744</v>
      </c>
      <c r="AJ142" s="522">
        <f t="shared" si="231"/>
        <v>-374980.04000000097</v>
      </c>
      <c r="AK142" s="522">
        <f t="shared" si="212"/>
        <v>-6.4275117962389885</v>
      </c>
      <c r="AL142" s="522">
        <f t="shared" si="259"/>
        <v>5459004.4299999997</v>
      </c>
      <c r="AM142" s="522">
        <f t="shared" si="192"/>
        <v>3082265.83</v>
      </c>
      <c r="AN142" s="522">
        <f t="shared" si="192"/>
        <v>3357197.57</v>
      </c>
      <c r="AO142" s="522">
        <f t="shared" si="232"/>
        <v>274931.73999999976</v>
      </c>
      <c r="AP142" s="522">
        <f t="shared" si="244"/>
        <v>8.9197932677987097</v>
      </c>
      <c r="AQ142" s="578">
        <v>2776455.83</v>
      </c>
      <c r="AR142" s="578">
        <v>2895563.5500000003</v>
      </c>
      <c r="AS142" s="578">
        <v>305810</v>
      </c>
      <c r="AT142" s="578">
        <v>461634.01999999955</v>
      </c>
      <c r="AU142" s="578">
        <f t="shared" si="208"/>
        <v>2306335.91</v>
      </c>
      <c r="AV142" s="578">
        <f t="shared" si="208"/>
        <v>2476786.9000000004</v>
      </c>
      <c r="AW142" s="578">
        <f t="shared" si="233"/>
        <v>170450.99000000022</v>
      </c>
      <c r="AX142" s="578">
        <f t="shared" si="234"/>
        <v>7.3905535295593694</v>
      </c>
      <c r="AY142" s="578">
        <f t="shared" si="210"/>
        <v>2101806.86</v>
      </c>
      <c r="AZ142" s="578">
        <f t="shared" si="235"/>
        <v>374980.0400000005</v>
      </c>
      <c r="BA142" s="578">
        <f t="shared" si="236"/>
        <v>17.840841950625304</v>
      </c>
      <c r="BB142" s="578">
        <v>36600</v>
      </c>
      <c r="BC142" s="576">
        <f>'[67]Дир_ имущ'!AT51</f>
        <v>44689.2</v>
      </c>
      <c r="BD142" s="576">
        <f>BI142-AN142</f>
        <v>38010.520000000019</v>
      </c>
      <c r="BE142" s="576">
        <f t="shared" si="237"/>
        <v>1410.5200000000186</v>
      </c>
      <c r="BF142" s="576">
        <f t="shared" si="238"/>
        <v>-6678.6799999999785</v>
      </c>
      <c r="BG142" s="576">
        <f t="shared" si="218"/>
        <v>3118865.83</v>
      </c>
      <c r="BH142" s="578">
        <f>AN142+BC142</f>
        <v>3401886.77</v>
      </c>
      <c r="BI142" s="578">
        <f>3332543.75+62664.34</f>
        <v>3395208.09</v>
      </c>
      <c r="BJ142" s="578">
        <f t="shared" si="239"/>
        <v>276342.25999999978</v>
      </c>
      <c r="BK142" s="578">
        <f t="shared" si="240"/>
        <v>-6678.6800000001676</v>
      </c>
      <c r="BL142" s="576">
        <v>2269735.91</v>
      </c>
      <c r="BM142" s="578">
        <f>'[67]Дир_ имущ'!AW51</f>
        <v>2432097.7000000002</v>
      </c>
      <c r="BN142" s="522">
        <f t="shared" si="260"/>
        <v>2063796.3399999999</v>
      </c>
      <c r="BO142" s="578">
        <f t="shared" si="245"/>
        <v>-205939.5700000003</v>
      </c>
      <c r="BP142" s="578">
        <f t="shared" si="241"/>
        <v>-368301.36000000034</v>
      </c>
      <c r="BQ142" s="576">
        <v>2269735.91</v>
      </c>
      <c r="BR142" s="578">
        <f>'[67]Дир_ имущ'!BB51</f>
        <v>0</v>
      </c>
      <c r="BS142" s="578">
        <f>'[67]Дир_ имущ'!BC51</f>
        <v>0</v>
      </c>
      <c r="BT142" s="536"/>
      <c r="BU142" s="578">
        <v>5370266.2999999998</v>
      </c>
      <c r="BV142" s="578">
        <v>88738.13</v>
      </c>
      <c r="BW142" s="578"/>
      <c r="BX142" s="574"/>
      <c r="BY142" s="525">
        <f>4984546.37+88738.13</f>
        <v>5073284.5</v>
      </c>
      <c r="BZ142" s="525">
        <v>330234.53999999998</v>
      </c>
      <c r="CA142" s="525">
        <v>55485.39</v>
      </c>
      <c r="CB142" s="522">
        <f t="shared" si="213"/>
        <v>5459004.4299999997</v>
      </c>
      <c r="CC142" s="522">
        <f t="shared" si="242"/>
        <v>0</v>
      </c>
      <c r="CD142" s="578"/>
      <c r="CE142" s="578"/>
      <c r="CF142" s="578"/>
      <c r="CG142" s="578"/>
      <c r="CH142" s="578"/>
      <c r="CI142" s="578"/>
      <c r="CJ142" s="578"/>
      <c r="CK142" s="543" t="s">
        <v>1815</v>
      </c>
      <c r="CL142" s="543" t="s">
        <v>1897</v>
      </c>
      <c r="CM142" s="509" t="s">
        <v>1925</v>
      </c>
      <c r="CN142" s="528" t="s">
        <v>1849</v>
      </c>
      <c r="CO142" s="528"/>
      <c r="CP142" s="544">
        <f>U142*$CU$7/100</f>
        <v>4971634.1637325482</v>
      </c>
      <c r="CQ142" s="544">
        <f>U142*$CU$8/100</f>
        <v>365182.74885854498</v>
      </c>
      <c r="CR142" s="544">
        <f>U142*$CU$9/100</f>
        <v>51784.827408907106</v>
      </c>
      <c r="CS142" s="1688" t="s">
        <v>1826</v>
      </c>
      <c r="CT142" s="1689"/>
      <c r="CU142" s="1689"/>
      <c r="CV142" s="1689"/>
      <c r="CW142" s="1690"/>
      <c r="CX142" s="528"/>
      <c r="CY142" s="528"/>
      <c r="CZ142" s="528"/>
      <c r="DA142" s="528"/>
      <c r="DB142" s="579">
        <f>2837405.31+58158.24</f>
        <v>2895563.5500000003</v>
      </c>
      <c r="DC142" s="628" t="e">
        <f>P142-#REF!</f>
        <v>#REF!</v>
      </c>
      <c r="DD142" s="535"/>
      <c r="DE142" s="535"/>
      <c r="DF142" s="525">
        <f t="shared" si="211"/>
        <v>5073.2844999999998</v>
      </c>
      <c r="DG142" s="525">
        <f t="shared" si="211"/>
        <v>330.23453999999998</v>
      </c>
      <c r="DH142" s="525">
        <f t="shared" si="211"/>
        <v>55.485390000000002</v>
      </c>
      <c r="DI142" s="522">
        <f t="shared" si="209"/>
        <v>5459.00443</v>
      </c>
      <c r="DJ142" s="536"/>
      <c r="DK142" s="536"/>
      <c r="DL142" s="536"/>
      <c r="DM142" s="536"/>
      <c r="DN142" s="536"/>
      <c r="DO142" s="536"/>
      <c r="DP142" s="536"/>
      <c r="DQ142" s="536"/>
      <c r="DR142" s="536"/>
      <c r="DS142" s="536"/>
    </row>
    <row r="143" spans="1:123" s="534" customFormat="1" ht="64.5" customHeight="1">
      <c r="A143" s="537" t="s">
        <v>1098</v>
      </c>
      <c r="B143" s="538" t="s">
        <v>1099</v>
      </c>
      <c r="C143" s="576">
        <v>1007703.5</v>
      </c>
      <c r="D143" s="576">
        <v>1316728</v>
      </c>
      <c r="E143" s="576">
        <v>1221291</v>
      </c>
      <c r="F143" s="576">
        <v>1066574.4099999999</v>
      </c>
      <c r="G143" s="577">
        <v>786262.08967510622</v>
      </c>
      <c r="H143" s="577">
        <v>0</v>
      </c>
      <c r="I143" s="576">
        <f>J143+K143+L143</f>
        <v>1210961.57</v>
      </c>
      <c r="J143" s="576">
        <v>563219.72</v>
      </c>
      <c r="K143" s="576">
        <v>320240.14</v>
      </c>
      <c r="L143" s="576">
        <v>327501.71000000002</v>
      </c>
      <c r="M143" s="576">
        <f>J143+K143</f>
        <v>883459.86</v>
      </c>
      <c r="N143" s="576">
        <v>816493.02</v>
      </c>
      <c r="O143" s="525">
        <f>P143-N143</f>
        <v>229020.99</v>
      </c>
      <c r="P143" s="522">
        <v>1045514.01</v>
      </c>
      <c r="Q143" s="576">
        <f t="shared" si="219"/>
        <v>-165447.56000000006</v>
      </c>
      <c r="R143" s="576">
        <f t="shared" si="220"/>
        <v>-13.662494673551038</v>
      </c>
      <c r="S143" s="576">
        <v>1175622.6337499998</v>
      </c>
      <c r="T143" s="576">
        <v>1175622.6337499998</v>
      </c>
      <c r="U143" s="522">
        <f>AQ143+AS143+BB143+BL143</f>
        <v>1144178.8800000001</v>
      </c>
      <c r="V143" s="522">
        <f t="shared" si="217"/>
        <v>-31443.753749999683</v>
      </c>
      <c r="W143" s="522">
        <f t="shared" si="246"/>
        <v>-2.6746468507245709</v>
      </c>
      <c r="X143" s="522">
        <f t="shared" si="221"/>
        <v>98664.870000000112</v>
      </c>
      <c r="Y143" s="522">
        <f t="shared" si="222"/>
        <v>9.4369725375559597</v>
      </c>
      <c r="Z143" s="524">
        <f t="shared" si="223"/>
        <v>1076627.58</v>
      </c>
      <c r="AA143" s="522">
        <f t="shared" si="224"/>
        <v>-98995.05374999973</v>
      </c>
      <c r="AB143" s="522">
        <f t="shared" si="247"/>
        <v>-8.420648846664804</v>
      </c>
      <c r="AC143" s="522">
        <f t="shared" si="225"/>
        <v>-67551.300000000047</v>
      </c>
      <c r="AD143" s="522">
        <f t="shared" si="226"/>
        <v>-5.9039107591288627</v>
      </c>
      <c r="AE143" s="522">
        <f t="shared" si="227"/>
        <v>31113.570000000065</v>
      </c>
      <c r="AF143" s="522">
        <f t="shared" si="228"/>
        <v>2.9759113414463059</v>
      </c>
      <c r="AG143" s="522">
        <f t="shared" si="243"/>
        <v>1094227.55</v>
      </c>
      <c r="AH143" s="522">
        <f t="shared" si="229"/>
        <v>-49951.330000000075</v>
      </c>
      <c r="AI143" s="522">
        <f t="shared" si="230"/>
        <v>-4.3656923644666534</v>
      </c>
      <c r="AJ143" s="522">
        <f t="shared" si="231"/>
        <v>17599.969999999972</v>
      </c>
      <c r="AK143" s="522">
        <f t="shared" si="212"/>
        <v>1.634731482542918</v>
      </c>
      <c r="AL143" s="522">
        <f t="shared" si="259"/>
        <v>1094227.55</v>
      </c>
      <c r="AM143" s="522">
        <f t="shared" si="192"/>
        <v>556964.85000000009</v>
      </c>
      <c r="AN143" s="522">
        <f t="shared" si="192"/>
        <v>489413.55000000005</v>
      </c>
      <c r="AO143" s="522">
        <f t="shared" si="232"/>
        <v>-67551.300000000047</v>
      </c>
      <c r="AP143" s="522">
        <f t="shared" si="244"/>
        <v>-12.128467353011601</v>
      </c>
      <c r="AQ143" s="578">
        <v>266400.39</v>
      </c>
      <c r="AR143" s="578">
        <v>226052.9</v>
      </c>
      <c r="AS143" s="578">
        <v>290564.46000000002</v>
      </c>
      <c r="AT143" s="578">
        <v>263360.65000000002</v>
      </c>
      <c r="AU143" s="578">
        <f t="shared" si="208"/>
        <v>587214.03</v>
      </c>
      <c r="AV143" s="578">
        <f t="shared" si="208"/>
        <v>587214.03</v>
      </c>
      <c r="AW143" s="578">
        <f t="shared" si="233"/>
        <v>0</v>
      </c>
      <c r="AX143" s="578">
        <f t="shared" si="234"/>
        <v>0</v>
      </c>
      <c r="AY143" s="578">
        <f t="shared" si="210"/>
        <v>604814</v>
      </c>
      <c r="AZ143" s="578">
        <f t="shared" si="235"/>
        <v>-17599.969999999972</v>
      </c>
      <c r="BA143" s="578">
        <f t="shared" si="236"/>
        <v>-2.9099805890736548</v>
      </c>
      <c r="BB143" s="578">
        <v>290329.51</v>
      </c>
      <c r="BC143" s="576">
        <f>'[67]Дир_ имущ'!AT52</f>
        <v>290329.51</v>
      </c>
      <c r="BD143" s="576">
        <f>BI143-AN143</f>
        <v>332608.66999999993</v>
      </c>
      <c r="BE143" s="576">
        <f t="shared" si="237"/>
        <v>42279.159999999916</v>
      </c>
      <c r="BF143" s="576">
        <f t="shared" si="238"/>
        <v>42279.159999999916</v>
      </c>
      <c r="BG143" s="576">
        <f t="shared" si="218"/>
        <v>847294.3600000001</v>
      </c>
      <c r="BH143" s="578">
        <f>AN143+BC143</f>
        <v>779743.06</v>
      </c>
      <c r="BI143" s="578">
        <v>822022.22</v>
      </c>
      <c r="BJ143" s="578">
        <f t="shared" si="239"/>
        <v>-25272.14000000013</v>
      </c>
      <c r="BK143" s="578">
        <f t="shared" si="240"/>
        <v>42279.159999999916</v>
      </c>
      <c r="BL143" s="576">
        <v>296884.52</v>
      </c>
      <c r="BM143" s="578">
        <f>'[67]Дир_ имущ'!AW52</f>
        <v>296884.52</v>
      </c>
      <c r="BN143" s="522">
        <f t="shared" si="260"/>
        <v>272205.33000000007</v>
      </c>
      <c r="BO143" s="578">
        <f t="shared" si="245"/>
        <v>-24679.189999999944</v>
      </c>
      <c r="BP143" s="578">
        <f t="shared" si="241"/>
        <v>-24679.189999999944</v>
      </c>
      <c r="BQ143" s="576">
        <v>296884.52</v>
      </c>
      <c r="BR143" s="578">
        <f>'[67]Дир_ имущ'!BB52</f>
        <v>0</v>
      </c>
      <c r="BS143" s="578">
        <f>'[67]Дир_ имущ'!BC52</f>
        <v>0</v>
      </c>
      <c r="BT143" s="536"/>
      <c r="BU143" s="578">
        <v>1094227.55</v>
      </c>
      <c r="BV143" s="578"/>
      <c r="BW143" s="578"/>
      <c r="BX143" s="574"/>
      <c r="BY143" s="525">
        <v>1018012.41</v>
      </c>
      <c r="BZ143" s="525">
        <v>64284.4</v>
      </c>
      <c r="CA143" s="525">
        <v>11930.74</v>
      </c>
      <c r="CB143" s="522">
        <f t="shared" si="213"/>
        <v>1094227.55</v>
      </c>
      <c r="CC143" s="522">
        <f t="shared" si="242"/>
        <v>0</v>
      </c>
      <c r="CD143" s="578"/>
      <c r="CE143" s="578"/>
      <c r="CF143" s="578"/>
      <c r="CG143" s="578"/>
      <c r="CH143" s="578"/>
      <c r="CI143" s="578"/>
      <c r="CJ143" s="578"/>
      <c r="CK143" s="543" t="s">
        <v>1815</v>
      </c>
      <c r="CL143" s="543" t="s">
        <v>1897</v>
      </c>
      <c r="CM143" s="509" t="s">
        <v>1925</v>
      </c>
      <c r="CN143" s="528" t="s">
        <v>1849</v>
      </c>
      <c r="CO143" s="528"/>
      <c r="CP143" s="544">
        <f>U143*$CU$7/100</f>
        <v>1055642.8334652253</v>
      </c>
      <c r="CQ143" s="544">
        <f>U143*$CU$8/100</f>
        <v>77540.410062720897</v>
      </c>
      <c r="CR143" s="544">
        <f>U143*$CU$9/100</f>
        <v>10995.636472053815</v>
      </c>
      <c r="CS143" s="1688" t="s">
        <v>1826</v>
      </c>
      <c r="CT143" s="1689"/>
      <c r="CU143" s="1689"/>
      <c r="CV143" s="1689"/>
      <c r="CW143" s="1690"/>
      <c r="CX143" s="528"/>
      <c r="CY143" s="528"/>
      <c r="CZ143" s="528"/>
      <c r="DA143" s="528"/>
      <c r="DB143" s="579">
        <f>226052.9</f>
        <v>226052.9</v>
      </c>
      <c r="DC143" s="628" t="e">
        <f>P143-#REF!</f>
        <v>#REF!</v>
      </c>
      <c r="DD143" s="535"/>
      <c r="DE143" s="535"/>
      <c r="DF143" s="525">
        <f t="shared" si="211"/>
        <v>1018.01241</v>
      </c>
      <c r="DG143" s="525">
        <f t="shared" si="211"/>
        <v>64.284400000000005</v>
      </c>
      <c r="DH143" s="525">
        <f t="shared" si="211"/>
        <v>11.93074</v>
      </c>
      <c r="DI143" s="522">
        <f t="shared" si="209"/>
        <v>1094.2275500000001</v>
      </c>
      <c r="DJ143" s="536"/>
      <c r="DK143" s="536"/>
      <c r="DL143" s="536"/>
      <c r="DM143" s="536"/>
      <c r="DN143" s="536"/>
      <c r="DO143" s="536"/>
      <c r="DP143" s="536"/>
      <c r="DQ143" s="536"/>
      <c r="DR143" s="536"/>
      <c r="DS143" s="536"/>
    </row>
    <row r="144" spans="1:123" s="534" customFormat="1" ht="51" customHeight="1">
      <c r="A144" s="537" t="s">
        <v>1103</v>
      </c>
      <c r="B144" s="538" t="s">
        <v>1104</v>
      </c>
      <c r="C144" s="576">
        <v>1042781.93</v>
      </c>
      <c r="D144" s="576">
        <v>466272.87</v>
      </c>
      <c r="E144" s="576">
        <v>1160402</v>
      </c>
      <c r="F144" s="576">
        <v>1131591.83</v>
      </c>
      <c r="G144" s="577">
        <v>819815.07172678271</v>
      </c>
      <c r="H144" s="577">
        <v>0</v>
      </c>
      <c r="I144" s="576">
        <f>J144+K144+L144</f>
        <v>1208157.71</v>
      </c>
      <c r="J144" s="576">
        <v>593590.82999999996</v>
      </c>
      <c r="K144" s="576">
        <v>311286.83</v>
      </c>
      <c r="L144" s="576">
        <v>303280.05</v>
      </c>
      <c r="M144" s="576">
        <f>J144+K144</f>
        <v>904877.65999999992</v>
      </c>
      <c r="N144" s="576">
        <v>900594.78</v>
      </c>
      <c r="O144" s="525">
        <f>P144-N144</f>
        <v>246760.11999999988</v>
      </c>
      <c r="P144" s="522">
        <v>1147354.8999999999</v>
      </c>
      <c r="Q144" s="576">
        <f t="shared" si="219"/>
        <v>-60802.810000000056</v>
      </c>
      <c r="R144" s="576">
        <f t="shared" si="220"/>
        <v>-5.0326881579061364</v>
      </c>
      <c r="S144" s="576">
        <v>864904.90067175566</v>
      </c>
      <c r="T144" s="576">
        <v>864904.90067175566</v>
      </c>
      <c r="U144" s="522">
        <f>AQ144+AS144+BB144+BL144</f>
        <v>1262033.48</v>
      </c>
      <c r="V144" s="522">
        <f t="shared" si="217"/>
        <v>397128.57932824432</v>
      </c>
      <c r="W144" s="522">
        <f t="shared" si="246"/>
        <v>45.915866475008045</v>
      </c>
      <c r="X144" s="522">
        <f t="shared" si="221"/>
        <v>114678.58000000007</v>
      </c>
      <c r="Y144" s="522">
        <f t="shared" si="222"/>
        <v>9.9950398956765838</v>
      </c>
      <c r="Z144" s="524">
        <f t="shared" si="223"/>
        <v>1185822.98</v>
      </c>
      <c r="AA144" s="522">
        <f t="shared" si="224"/>
        <v>320918.07932824432</v>
      </c>
      <c r="AB144" s="522">
        <f t="shared" si="247"/>
        <v>37.104435306007986</v>
      </c>
      <c r="AC144" s="522">
        <f t="shared" si="225"/>
        <v>-76210.5</v>
      </c>
      <c r="AD144" s="522">
        <f t="shared" si="226"/>
        <v>-6.0387066751984975</v>
      </c>
      <c r="AE144" s="522">
        <f t="shared" si="227"/>
        <v>38468.080000000075</v>
      </c>
      <c r="AF144" s="522">
        <f t="shared" si="228"/>
        <v>3.352762079109084</v>
      </c>
      <c r="AG144" s="522">
        <f t="shared" si="243"/>
        <v>1160713.95</v>
      </c>
      <c r="AH144" s="522">
        <f t="shared" si="229"/>
        <v>-101319.53000000003</v>
      </c>
      <c r="AI144" s="522">
        <f t="shared" si="230"/>
        <v>-8.0282759218083442</v>
      </c>
      <c r="AJ144" s="522">
        <f t="shared" si="231"/>
        <v>-25109.030000000028</v>
      </c>
      <c r="AK144" s="522">
        <f t="shared" si="212"/>
        <v>-2.1174349311395559</v>
      </c>
      <c r="AL144" s="522">
        <f t="shared" si="259"/>
        <v>1160713.95</v>
      </c>
      <c r="AM144" s="522">
        <f t="shared" si="192"/>
        <v>621706.14</v>
      </c>
      <c r="AN144" s="522">
        <f t="shared" si="192"/>
        <v>545495.64</v>
      </c>
      <c r="AO144" s="522">
        <f t="shared" si="232"/>
        <v>-76210.5</v>
      </c>
      <c r="AP144" s="522">
        <f t="shared" si="244"/>
        <v>-12.258283310504211</v>
      </c>
      <c r="AQ144" s="578">
        <v>303886.99</v>
      </c>
      <c r="AR144" s="578">
        <v>271550.03999999998</v>
      </c>
      <c r="AS144" s="578">
        <v>317819.15000000002</v>
      </c>
      <c r="AT144" s="578">
        <v>273945.60000000003</v>
      </c>
      <c r="AU144" s="578">
        <f t="shared" si="208"/>
        <v>640327.34000000008</v>
      </c>
      <c r="AV144" s="578">
        <f t="shared" si="208"/>
        <v>640327.34000000008</v>
      </c>
      <c r="AW144" s="578">
        <f t="shared" si="233"/>
        <v>0</v>
      </c>
      <c r="AX144" s="578">
        <f t="shared" si="234"/>
        <v>0</v>
      </c>
      <c r="AY144" s="578">
        <f t="shared" si="210"/>
        <v>615218.30999999994</v>
      </c>
      <c r="AZ144" s="578">
        <f t="shared" si="235"/>
        <v>25109.030000000144</v>
      </c>
      <c r="BA144" s="578">
        <f t="shared" si="236"/>
        <v>4.0813203365160291</v>
      </c>
      <c r="BB144" s="578">
        <v>326388.01</v>
      </c>
      <c r="BC144" s="576">
        <f>'[67]Дир_ имущ'!AT53</f>
        <v>326388.01</v>
      </c>
      <c r="BD144" s="576">
        <f>BI144-AN144</f>
        <v>321216.30999999994</v>
      </c>
      <c r="BE144" s="576">
        <f t="shared" si="237"/>
        <v>-5171.7000000000698</v>
      </c>
      <c r="BF144" s="576">
        <f t="shared" si="238"/>
        <v>-5171.7000000000698</v>
      </c>
      <c r="BG144" s="576">
        <f t="shared" si="218"/>
        <v>948094.15</v>
      </c>
      <c r="BH144" s="578">
        <f>AN144+BC144</f>
        <v>871883.65</v>
      </c>
      <c r="BI144" s="578">
        <v>866711.95</v>
      </c>
      <c r="BJ144" s="578">
        <f t="shared" si="239"/>
        <v>-81382.20000000007</v>
      </c>
      <c r="BK144" s="578">
        <f t="shared" si="240"/>
        <v>-5171.7000000000698</v>
      </c>
      <c r="BL144" s="576">
        <v>313939.33</v>
      </c>
      <c r="BM144" s="578">
        <f>'[67]Дир_ имущ'!AW53</f>
        <v>313939.33</v>
      </c>
      <c r="BN144" s="522">
        <f t="shared" si="260"/>
        <v>294002</v>
      </c>
      <c r="BO144" s="578">
        <f t="shared" si="245"/>
        <v>-19937.330000000016</v>
      </c>
      <c r="BP144" s="578">
        <f t="shared" si="241"/>
        <v>-19937.330000000016</v>
      </c>
      <c r="BQ144" s="576">
        <v>313939.33</v>
      </c>
      <c r="BR144" s="578">
        <f>'[67]Дир_ имущ'!BB53</f>
        <v>0</v>
      </c>
      <c r="BS144" s="578">
        <f>'[67]Дир_ имущ'!BC53</f>
        <v>0</v>
      </c>
      <c r="BT144" s="536"/>
      <c r="BU144" s="578">
        <v>1160713.95</v>
      </c>
      <c r="BV144" s="578"/>
      <c r="BW144" s="578"/>
      <c r="BX144" s="574"/>
      <c r="BY144" s="525">
        <v>1077099.6100000001</v>
      </c>
      <c r="BZ144" s="525">
        <v>70860.56</v>
      </c>
      <c r="CA144" s="525">
        <v>12753.78</v>
      </c>
      <c r="CB144" s="522">
        <f t="shared" si="213"/>
        <v>1160713.9500000002</v>
      </c>
      <c r="CC144" s="522">
        <f t="shared" si="242"/>
        <v>0</v>
      </c>
      <c r="CD144" s="578"/>
      <c r="CE144" s="578"/>
      <c r="CF144" s="578"/>
      <c r="CG144" s="578"/>
      <c r="CH144" s="578"/>
      <c r="CI144" s="578"/>
      <c r="CJ144" s="578"/>
      <c r="CK144" s="543" t="s">
        <v>1815</v>
      </c>
      <c r="CL144" s="543" t="s">
        <v>1897</v>
      </c>
      <c r="CM144" s="509" t="s">
        <v>1925</v>
      </c>
      <c r="CN144" s="528" t="s">
        <v>1849</v>
      </c>
      <c r="CO144" s="528"/>
      <c r="CP144" s="544">
        <f>U144*$CU$7/100</f>
        <v>1164377.8975846667</v>
      </c>
      <c r="CQ144" s="544">
        <f>U144*$CU$8/100</f>
        <v>85527.355261165692</v>
      </c>
      <c r="CR144" s="544">
        <f>U144*$CU$9/100</f>
        <v>12128.227154167533</v>
      </c>
      <c r="CS144" s="1688" t="s">
        <v>1826</v>
      </c>
      <c r="CT144" s="1689"/>
      <c r="CU144" s="1689"/>
      <c r="CV144" s="1689"/>
      <c r="CW144" s="1690"/>
      <c r="CX144" s="528"/>
      <c r="CY144" s="528"/>
      <c r="CZ144" s="528"/>
      <c r="DA144" s="528"/>
      <c r="DB144" s="579">
        <f>271550.04</f>
        <v>271550.03999999998</v>
      </c>
      <c r="DC144" s="628" t="e">
        <f>P144-#REF!</f>
        <v>#REF!</v>
      </c>
      <c r="DD144" s="535"/>
      <c r="DE144" s="535"/>
      <c r="DF144" s="525">
        <f t="shared" si="211"/>
        <v>1077.0996100000002</v>
      </c>
      <c r="DG144" s="525">
        <f t="shared" si="211"/>
        <v>70.860559999999992</v>
      </c>
      <c r="DH144" s="525">
        <f t="shared" si="211"/>
        <v>12.753780000000001</v>
      </c>
      <c r="DI144" s="522">
        <f t="shared" si="209"/>
        <v>1160.7139500000003</v>
      </c>
      <c r="DJ144" s="536"/>
      <c r="DK144" s="536"/>
      <c r="DL144" s="536"/>
      <c r="DM144" s="536"/>
      <c r="DN144" s="536"/>
      <c r="DO144" s="536"/>
      <c r="DP144" s="536"/>
      <c r="DQ144" s="536"/>
      <c r="DR144" s="536"/>
      <c r="DS144" s="536"/>
    </row>
    <row r="145" spans="1:123" s="534" customFormat="1" ht="72" customHeight="1">
      <c r="A145" s="537" t="s">
        <v>1108</v>
      </c>
      <c r="B145" s="538" t="s">
        <v>1109</v>
      </c>
      <c r="C145" s="576">
        <v>732578.88</v>
      </c>
      <c r="D145" s="576">
        <v>883590.59</v>
      </c>
      <c r="E145" s="576">
        <v>1028123</v>
      </c>
      <c r="F145" s="576">
        <v>831155.99</v>
      </c>
      <c r="G145" s="577">
        <v>638219.30675780319</v>
      </c>
      <c r="H145" s="577">
        <v>0</v>
      </c>
      <c r="I145" s="576">
        <f>J145+K145+L145</f>
        <v>1030489.21</v>
      </c>
      <c r="J145" s="576">
        <v>597803.74</v>
      </c>
      <c r="K145" s="576">
        <v>51218.05</v>
      </c>
      <c r="L145" s="576">
        <v>381467.42</v>
      </c>
      <c r="M145" s="576">
        <f>J145+K145</f>
        <v>649021.79</v>
      </c>
      <c r="N145" s="576">
        <v>640098.96</v>
      </c>
      <c r="O145" s="525">
        <f>P145-N145</f>
        <v>269016.10000000009</v>
      </c>
      <c r="P145" s="522">
        <v>909115.06</v>
      </c>
      <c r="Q145" s="576">
        <f t="shared" si="219"/>
        <v>-121374.14999999991</v>
      </c>
      <c r="R145" s="576">
        <f t="shared" si="220"/>
        <v>-11.778303821347137</v>
      </c>
      <c r="S145" s="576">
        <v>911382.85</v>
      </c>
      <c r="T145" s="576">
        <v>911382.85</v>
      </c>
      <c r="U145" s="522">
        <f>AQ145+AS145+BB145+BL145</f>
        <v>896992</v>
      </c>
      <c r="V145" s="522">
        <f t="shared" si="217"/>
        <v>-14390.849999999977</v>
      </c>
      <c r="W145" s="522">
        <f t="shared" si="246"/>
        <v>-1.5790125960785844</v>
      </c>
      <c r="X145" s="522">
        <f t="shared" si="221"/>
        <v>-12123.060000000056</v>
      </c>
      <c r="Y145" s="522">
        <f t="shared" si="222"/>
        <v>-1.3335011742078109</v>
      </c>
      <c r="Z145" s="524">
        <f t="shared" si="223"/>
        <v>854607.62</v>
      </c>
      <c r="AA145" s="522">
        <f t="shared" si="224"/>
        <v>-56775.229999999981</v>
      </c>
      <c r="AB145" s="522">
        <f t="shared" si="247"/>
        <v>-6.2295697137597017</v>
      </c>
      <c r="AC145" s="522">
        <f t="shared" si="225"/>
        <v>-42384.380000000005</v>
      </c>
      <c r="AD145" s="522">
        <f t="shared" si="226"/>
        <v>-4.7251681174413989</v>
      </c>
      <c r="AE145" s="522">
        <f t="shared" si="227"/>
        <v>-54507.440000000061</v>
      </c>
      <c r="AF145" s="522">
        <f t="shared" si="228"/>
        <v>-5.9956591193198392</v>
      </c>
      <c r="AG145" s="522">
        <f t="shared" si="243"/>
        <v>716794.64</v>
      </c>
      <c r="AH145" s="522">
        <f t="shared" si="229"/>
        <v>-180197.36</v>
      </c>
      <c r="AI145" s="522">
        <f t="shared" si="230"/>
        <v>-20.089071028504151</v>
      </c>
      <c r="AJ145" s="522">
        <f t="shared" si="231"/>
        <v>-137812.97999999998</v>
      </c>
      <c r="AK145" s="522">
        <f t="shared" si="212"/>
        <v>-16.125877744923457</v>
      </c>
      <c r="AL145" s="522">
        <f t="shared" si="259"/>
        <v>716794.64</v>
      </c>
      <c r="AM145" s="522">
        <f t="shared" si="192"/>
        <v>499800.48</v>
      </c>
      <c r="AN145" s="522">
        <f t="shared" si="192"/>
        <v>457416.1</v>
      </c>
      <c r="AO145" s="522">
        <f t="shared" si="232"/>
        <v>-42384.380000000005</v>
      </c>
      <c r="AP145" s="522">
        <f t="shared" si="244"/>
        <v>-8.4802599629356052</v>
      </c>
      <c r="AQ145" s="578">
        <v>433211.33</v>
      </c>
      <c r="AR145" s="578">
        <v>397426.37</v>
      </c>
      <c r="AS145" s="578">
        <v>66589.149999999994</v>
      </c>
      <c r="AT145" s="578">
        <v>59989.729999999981</v>
      </c>
      <c r="AU145" s="578">
        <f t="shared" si="208"/>
        <v>397191.52</v>
      </c>
      <c r="AV145" s="578">
        <f t="shared" si="208"/>
        <v>397191.52</v>
      </c>
      <c r="AW145" s="578">
        <f t="shared" si="233"/>
        <v>0</v>
      </c>
      <c r="AX145" s="578">
        <f t="shared" si="234"/>
        <v>0</v>
      </c>
      <c r="AY145" s="578">
        <f t="shared" si="210"/>
        <v>259378.54000000004</v>
      </c>
      <c r="AZ145" s="578">
        <f t="shared" si="235"/>
        <v>137812.97999999998</v>
      </c>
      <c r="BA145" s="578">
        <f t="shared" si="236"/>
        <v>53.131990025080711</v>
      </c>
      <c r="BB145" s="578">
        <v>23100</v>
      </c>
      <c r="BC145" s="576">
        <f>'[67]Дир_ имущ'!AT54</f>
        <v>23100</v>
      </c>
      <c r="BD145" s="576">
        <f>BI145-AN145</f>
        <v>8129.2300000000396</v>
      </c>
      <c r="BE145" s="576">
        <f t="shared" si="237"/>
        <v>-14970.76999999996</v>
      </c>
      <c r="BF145" s="576">
        <f t="shared" si="238"/>
        <v>-14970.76999999996</v>
      </c>
      <c r="BG145" s="576">
        <f t="shared" si="218"/>
        <v>522900.47999999998</v>
      </c>
      <c r="BH145" s="578">
        <f>AN145+BC145</f>
        <v>480516.1</v>
      </c>
      <c r="BI145" s="578">
        <v>465545.33</v>
      </c>
      <c r="BJ145" s="578">
        <f t="shared" si="239"/>
        <v>-57355.149999999965</v>
      </c>
      <c r="BK145" s="578">
        <f t="shared" si="240"/>
        <v>-14970.76999999996</v>
      </c>
      <c r="BL145" s="576">
        <v>374091.52000000002</v>
      </c>
      <c r="BM145" s="578">
        <f>'[67]Дир_ имущ'!AW54</f>
        <v>374091.52000000002</v>
      </c>
      <c r="BN145" s="522">
        <f t="shared" si="260"/>
        <v>251249.31</v>
      </c>
      <c r="BO145" s="578">
        <f t="shared" si="245"/>
        <v>-122842.21000000002</v>
      </c>
      <c r="BP145" s="578">
        <f t="shared" si="241"/>
        <v>-122842.21000000002</v>
      </c>
      <c r="BQ145" s="576">
        <v>374091.52000000002</v>
      </c>
      <c r="BR145" s="578">
        <f>'[67]Дир_ имущ'!BB54</f>
        <v>0</v>
      </c>
      <c r="BS145" s="578">
        <f>'[67]Дир_ имущ'!BC54</f>
        <v>0</v>
      </c>
      <c r="BT145" s="536"/>
      <c r="BU145" s="578">
        <v>716794.64</v>
      </c>
      <c r="BV145" s="578"/>
      <c r="BW145" s="578"/>
      <c r="BX145" s="574"/>
      <c r="BY145" s="525">
        <v>667413.79</v>
      </c>
      <c r="BZ145" s="525">
        <v>42490.59</v>
      </c>
      <c r="CA145" s="525">
        <v>6890.26</v>
      </c>
      <c r="CB145" s="522">
        <f t="shared" si="213"/>
        <v>716794.64</v>
      </c>
      <c r="CC145" s="522">
        <f t="shared" si="242"/>
        <v>0</v>
      </c>
      <c r="CD145" s="578"/>
      <c r="CE145" s="578"/>
      <c r="CF145" s="578"/>
      <c r="CG145" s="578"/>
      <c r="CH145" s="578"/>
      <c r="CI145" s="578"/>
      <c r="CJ145" s="578"/>
      <c r="CK145" s="543" t="s">
        <v>1815</v>
      </c>
      <c r="CL145" s="543" t="s">
        <v>1897</v>
      </c>
      <c r="CM145" s="509" t="s">
        <v>1925</v>
      </c>
      <c r="CN145" s="528" t="s">
        <v>1849</v>
      </c>
      <c r="CO145" s="528"/>
      <c r="CP145" s="544">
        <f>U145*$CU$7/100</f>
        <v>827583.16293658514</v>
      </c>
      <c r="CQ145" s="544">
        <f>U145*$CU$8/100</f>
        <v>60788.683237170168</v>
      </c>
      <c r="CR145" s="544">
        <f>U145*$CU$9/100</f>
        <v>8620.153826244803</v>
      </c>
      <c r="CS145" s="1688" t="s">
        <v>1826</v>
      </c>
      <c r="CT145" s="1689"/>
      <c r="CU145" s="1689"/>
      <c r="CV145" s="1689"/>
      <c r="CW145" s="1690"/>
      <c r="CX145" s="528"/>
      <c r="CY145" s="528"/>
      <c r="CZ145" s="528"/>
      <c r="DA145" s="528"/>
      <c r="DB145" s="579">
        <f>397426.37</f>
        <v>397426.37</v>
      </c>
      <c r="DC145" s="628" t="e">
        <f>P145-#REF!</f>
        <v>#REF!</v>
      </c>
      <c r="DD145" s="535"/>
      <c r="DE145" s="535"/>
      <c r="DF145" s="525">
        <f t="shared" si="211"/>
        <v>667.41379000000006</v>
      </c>
      <c r="DG145" s="525">
        <f t="shared" si="211"/>
        <v>42.490589999999997</v>
      </c>
      <c r="DH145" s="525">
        <f t="shared" si="211"/>
        <v>6.8902600000000005</v>
      </c>
      <c r="DI145" s="522">
        <f t="shared" si="209"/>
        <v>716.79463999999996</v>
      </c>
      <c r="DJ145" s="536"/>
      <c r="DK145" s="536"/>
      <c r="DL145" s="536"/>
      <c r="DM145" s="536"/>
      <c r="DN145" s="536"/>
      <c r="DO145" s="536"/>
      <c r="DP145" s="536"/>
      <c r="DQ145" s="536"/>
      <c r="DR145" s="536"/>
      <c r="DS145" s="536"/>
    </row>
    <row r="146" spans="1:123" s="534" customFormat="1" ht="64.5" customHeight="1">
      <c r="A146" s="505" t="s">
        <v>1928</v>
      </c>
      <c r="B146" s="506" t="s">
        <v>1929</v>
      </c>
      <c r="C146" s="580">
        <f t="shared" ref="C146:T146" si="261">SUBTOTAL(9,C147:C159)</f>
        <v>87421968.729999989</v>
      </c>
      <c r="D146" s="580">
        <f t="shared" si="261"/>
        <v>99475676.699999988</v>
      </c>
      <c r="E146" s="580">
        <f t="shared" si="261"/>
        <v>102447471.33</v>
      </c>
      <c r="F146" s="580">
        <f t="shared" si="261"/>
        <v>106005041.30000001</v>
      </c>
      <c r="G146" s="580">
        <f t="shared" si="261"/>
        <v>86280324.160632223</v>
      </c>
      <c r="H146" s="580">
        <f t="shared" si="261"/>
        <v>0</v>
      </c>
      <c r="I146" s="580">
        <f t="shared" si="261"/>
        <v>125301747.74999999</v>
      </c>
      <c r="J146" s="580">
        <f t="shared" si="261"/>
        <v>20552783.060000002</v>
      </c>
      <c r="K146" s="580">
        <f t="shared" si="261"/>
        <v>67407622.120000005</v>
      </c>
      <c r="L146" s="580">
        <f t="shared" si="261"/>
        <v>37341342.57</v>
      </c>
      <c r="M146" s="580">
        <f t="shared" si="261"/>
        <v>87960405.180000007</v>
      </c>
      <c r="N146" s="580">
        <f t="shared" si="261"/>
        <v>56034220.120000005</v>
      </c>
      <c r="O146" s="580">
        <f>SUBTOTAL(9,O147:O159)</f>
        <v>75301463.230000004</v>
      </c>
      <c r="P146" s="580">
        <f>SUBTOTAL(9,P147:P159)</f>
        <v>131335683.35000001</v>
      </c>
      <c r="Q146" s="580">
        <f t="shared" si="219"/>
        <v>6033935.6000000238</v>
      </c>
      <c r="R146" s="580">
        <f t="shared" si="220"/>
        <v>4.8155238920041512</v>
      </c>
      <c r="S146" s="580">
        <f t="shared" si="261"/>
        <v>74028423.791742846</v>
      </c>
      <c r="T146" s="580">
        <f t="shared" si="261"/>
        <v>74028423.791742846</v>
      </c>
      <c r="U146" s="580">
        <f>SUBTOTAL(9,U147:U159)</f>
        <v>93369781.329999998</v>
      </c>
      <c r="V146" s="580">
        <f t="shared" si="217"/>
        <v>19341357.538257152</v>
      </c>
      <c r="W146" s="580">
        <f t="shared" si="246"/>
        <v>26.126934152574094</v>
      </c>
      <c r="X146" s="580">
        <f t="shared" si="221"/>
        <v>-37965902.020000011</v>
      </c>
      <c r="Y146" s="580">
        <f t="shared" si="222"/>
        <v>-28.907529965655755</v>
      </c>
      <c r="Z146" s="580">
        <f t="shared" si="223"/>
        <v>141867251.00999999</v>
      </c>
      <c r="AA146" s="580">
        <f t="shared" si="224"/>
        <v>67838827.218257144</v>
      </c>
      <c r="AB146" s="580">
        <f t="shared" si="247"/>
        <v>91.638891852002274</v>
      </c>
      <c r="AC146" s="580">
        <f t="shared" si="225"/>
        <v>48497469.679999992</v>
      </c>
      <c r="AD146" s="580">
        <f t="shared" si="226"/>
        <v>51.941290842905318</v>
      </c>
      <c r="AE146" s="580">
        <f t="shared" si="227"/>
        <v>10531567.659999982</v>
      </c>
      <c r="AF146" s="580">
        <f t="shared" si="228"/>
        <v>8.0188166622882733</v>
      </c>
      <c r="AG146" s="580">
        <f t="shared" si="243"/>
        <v>154252291.21999997</v>
      </c>
      <c r="AH146" s="580">
        <f t="shared" si="229"/>
        <v>60882509.889999971</v>
      </c>
      <c r="AI146" s="580">
        <f t="shared" si="230"/>
        <v>65.205796803594126</v>
      </c>
      <c r="AJ146" s="580">
        <f t="shared" si="231"/>
        <v>12385040.209999979</v>
      </c>
      <c r="AK146" s="580">
        <f t="shared" si="212"/>
        <v>8.7300205803853714</v>
      </c>
      <c r="AL146" s="580">
        <f>SUBTOTAL(9,AL147:AL159)</f>
        <v>154252291.22000003</v>
      </c>
      <c r="AM146" s="580">
        <f t="shared" si="192"/>
        <v>34089910.259999998</v>
      </c>
      <c r="AN146" s="580">
        <f t="shared" si="192"/>
        <v>51684616.260000005</v>
      </c>
      <c r="AO146" s="580">
        <f t="shared" si="232"/>
        <v>17594706.000000007</v>
      </c>
      <c r="AP146" s="580">
        <f t="shared" si="244"/>
        <v>51.612649801091067</v>
      </c>
      <c r="AQ146" s="580">
        <f>SUBTOTAL(9,AQ147:AQ159)</f>
        <v>7714908.7599999998</v>
      </c>
      <c r="AR146" s="580">
        <f>SUBTOTAL(9,AR147:AR159)</f>
        <v>16873514.699999999</v>
      </c>
      <c r="AS146" s="580">
        <f>SUBTOTAL(9,AS147:AS159)</f>
        <v>26375001.5</v>
      </c>
      <c r="AT146" s="580">
        <f>SUBTOTAL(9,AT147:AT159)</f>
        <v>34811101.560000002</v>
      </c>
      <c r="AU146" s="580">
        <f t="shared" si="208"/>
        <v>59279871.069999993</v>
      </c>
      <c r="AV146" s="580">
        <f t="shared" si="208"/>
        <v>90182634.749999985</v>
      </c>
      <c r="AW146" s="580">
        <f t="shared" si="233"/>
        <v>30902763.679999992</v>
      </c>
      <c r="AX146" s="580">
        <f t="shared" si="234"/>
        <v>52.130281530991851</v>
      </c>
      <c r="AY146" s="580">
        <f t="shared" si="210"/>
        <v>102567674.95999998</v>
      </c>
      <c r="AZ146" s="580">
        <f t="shared" si="235"/>
        <v>-12385040.209999993</v>
      </c>
      <c r="BA146" s="580">
        <f t="shared" si="236"/>
        <v>-12.074993622337644</v>
      </c>
      <c r="BB146" s="580">
        <f t="shared" ref="BB146:BN146" si="262">SUBTOTAL(9,BB147:BB159)</f>
        <v>39555424.969999991</v>
      </c>
      <c r="BC146" s="580">
        <f t="shared" si="262"/>
        <v>56968420.379999988</v>
      </c>
      <c r="BD146" s="580">
        <f t="shared" si="262"/>
        <v>52282701.349999994</v>
      </c>
      <c r="BE146" s="580">
        <f t="shared" si="237"/>
        <v>12727276.380000003</v>
      </c>
      <c r="BF146" s="580">
        <f t="shared" si="238"/>
        <v>-4685719.0299999937</v>
      </c>
      <c r="BG146" s="580">
        <f t="shared" si="218"/>
        <v>73645335.229999989</v>
      </c>
      <c r="BH146" s="580">
        <f t="shared" si="262"/>
        <v>108653036.64000002</v>
      </c>
      <c r="BI146" s="580">
        <f t="shared" si="262"/>
        <v>103967317.61000001</v>
      </c>
      <c r="BJ146" s="580">
        <f t="shared" si="239"/>
        <v>30321982.380000025</v>
      </c>
      <c r="BK146" s="580">
        <f t="shared" si="240"/>
        <v>-4685719.0300000012</v>
      </c>
      <c r="BL146" s="580">
        <f t="shared" si="262"/>
        <v>19724446.100000005</v>
      </c>
      <c r="BM146" s="580">
        <f t="shared" si="262"/>
        <v>33214214.370000001</v>
      </c>
      <c r="BN146" s="580">
        <f t="shared" si="262"/>
        <v>50284973.609999992</v>
      </c>
      <c r="BO146" s="580">
        <f t="shared" si="245"/>
        <v>30560527.509999987</v>
      </c>
      <c r="BP146" s="580">
        <f t="shared" si="241"/>
        <v>17070759.239999991</v>
      </c>
      <c r="BQ146" s="580">
        <f t="shared" ref="BQ146:BS146" si="263">SUBTOTAL(9,BQ147:BQ159)</f>
        <v>19724446.100000005</v>
      </c>
      <c r="BR146" s="580">
        <f t="shared" si="263"/>
        <v>0</v>
      </c>
      <c r="BS146" s="580">
        <f t="shared" si="263"/>
        <v>0</v>
      </c>
      <c r="BT146" s="536"/>
      <c r="BU146" s="580">
        <f t="shared" ref="BU146:BW146" si="264">SUBTOTAL(9,BU147:BU159)</f>
        <v>139997158.93000001</v>
      </c>
      <c r="BV146" s="580">
        <f t="shared" si="264"/>
        <v>14255132.290000001</v>
      </c>
      <c r="BW146" s="580">
        <f t="shared" si="264"/>
        <v>0</v>
      </c>
      <c r="BX146" s="581"/>
      <c r="BY146" s="580">
        <f>SUBTOTAL(9,BY147:BY159)</f>
        <v>153414069.34999999</v>
      </c>
      <c r="BZ146" s="580">
        <f>SUBTOTAL(9,BZ147:BZ159)</f>
        <v>672480.62</v>
      </c>
      <c r="CA146" s="580">
        <f>SUBTOTAL(9,CA147:CA159)</f>
        <v>165741.25</v>
      </c>
      <c r="CB146" s="580">
        <f>SUBTOTAL(9,CB147:CB159)</f>
        <v>154252291.22000003</v>
      </c>
      <c r="CC146" s="580">
        <f t="shared" si="242"/>
        <v>0</v>
      </c>
      <c r="CD146" s="580"/>
      <c r="CE146" s="580"/>
      <c r="CF146" s="580"/>
      <c r="CG146" s="580"/>
      <c r="CH146" s="580"/>
      <c r="CI146" s="580"/>
      <c r="CJ146" s="580"/>
      <c r="CK146" s="648"/>
      <c r="CL146" s="648"/>
      <c r="CM146" s="509" t="s">
        <v>1925</v>
      </c>
      <c r="CN146" s="528"/>
      <c r="CO146" s="528"/>
      <c r="CP146" s="582">
        <f>SUBTOTAL(9,CP147:CP159)</f>
        <v>92101681.561142862</v>
      </c>
      <c r="CQ146" s="582">
        <f>SUBTOTAL(9,CQ147:CQ159)</f>
        <v>1110609.5192425854</v>
      </c>
      <c r="CR146" s="582">
        <f>SUBTOTAL(9,CR147:CR159)</f>
        <v>157490.24961456866</v>
      </c>
      <c r="CS146" s="1679"/>
      <c r="CT146" s="1680"/>
      <c r="CU146" s="1680"/>
      <c r="CV146" s="1680"/>
      <c r="CW146" s="1681"/>
      <c r="CX146" s="528"/>
      <c r="CY146" s="528"/>
      <c r="CZ146" s="528"/>
      <c r="DA146" s="528"/>
      <c r="DB146" s="582">
        <f>SUBTOTAL(9,DB147:DB159)</f>
        <v>16873514.699999999</v>
      </c>
      <c r="DC146" s="628" t="e">
        <f>P146-#REF!</f>
        <v>#REF!</v>
      </c>
      <c r="DD146" s="535"/>
      <c r="DE146" s="535"/>
      <c r="DF146" s="580">
        <f t="shared" si="211"/>
        <v>153414.06935000001</v>
      </c>
      <c r="DG146" s="580">
        <f t="shared" si="211"/>
        <v>672.48062000000004</v>
      </c>
      <c r="DH146" s="580">
        <f t="shared" si="211"/>
        <v>165.74125000000001</v>
      </c>
      <c r="DI146" s="580">
        <f t="shared" si="209"/>
        <v>154252.29122000004</v>
      </c>
      <c r="DJ146" s="536"/>
      <c r="DK146" s="536"/>
      <c r="DL146" s="536"/>
      <c r="DM146" s="536"/>
      <c r="DN146" s="536"/>
      <c r="DO146" s="536"/>
      <c r="DP146" s="536"/>
      <c r="DQ146" s="536"/>
      <c r="DR146" s="536"/>
      <c r="DS146" s="536"/>
    </row>
    <row r="147" spans="1:123" s="534" customFormat="1" ht="90.75" customHeight="1">
      <c r="A147" s="537" t="s">
        <v>603</v>
      </c>
      <c r="B147" s="538" t="s">
        <v>1930</v>
      </c>
      <c r="C147" s="576">
        <f>5410456.77+3914342.25+905513.6+47452.88+1232840.3+186325.42</f>
        <v>11696931.220000001</v>
      </c>
      <c r="D147" s="576">
        <f>15181936.86+7560755.89+1374923.46+1207403.94+9745338.78+6512155.88</f>
        <v>41582514.810000002</v>
      </c>
      <c r="E147" s="576">
        <v>18980722.66</v>
      </c>
      <c r="F147" s="576">
        <v>28616392</v>
      </c>
      <c r="G147" s="626">
        <v>23075301.870820425</v>
      </c>
      <c r="H147" s="626">
        <v>0</v>
      </c>
      <c r="I147" s="576">
        <f t="shared" ref="I147:I159" si="265">J147+K147+L147</f>
        <v>56871799.929999992</v>
      </c>
      <c r="J147" s="576">
        <v>8870026.3699999992</v>
      </c>
      <c r="K147" s="576">
        <v>38442749.189999998</v>
      </c>
      <c r="L147" s="576">
        <v>9559024.3699999992</v>
      </c>
      <c r="M147" s="576">
        <f t="shared" ref="M147:M159" si="266">J147+K147</f>
        <v>47312775.559999995</v>
      </c>
      <c r="N147" s="576">
        <v>25387142.399999999</v>
      </c>
      <c r="O147" s="525">
        <f t="shared" ref="O147:O159" si="267">P147-N147</f>
        <v>37308185.149999999</v>
      </c>
      <c r="P147" s="522">
        <v>62695327.549999997</v>
      </c>
      <c r="Q147" s="576">
        <f t="shared" si="219"/>
        <v>5823527.6200000048</v>
      </c>
      <c r="R147" s="576">
        <f t="shared" si="220"/>
        <v>10.239745580705772</v>
      </c>
      <c r="S147" s="576">
        <v>32447679.169999994</v>
      </c>
      <c r="T147" s="576">
        <v>32447679.169999994</v>
      </c>
      <c r="U147" s="522">
        <f t="shared" ref="U147:U159" si="268">AQ147+AS147+BB147+BL147</f>
        <v>49772261.730000004</v>
      </c>
      <c r="V147" s="522">
        <f t="shared" si="217"/>
        <v>17324582.56000001</v>
      </c>
      <c r="W147" s="522">
        <f t="shared" si="246"/>
        <v>53.39236273026799</v>
      </c>
      <c r="X147" s="522">
        <f t="shared" si="221"/>
        <v>-12923065.819999993</v>
      </c>
      <c r="Y147" s="522">
        <f t="shared" si="222"/>
        <v>-20.612486328735983</v>
      </c>
      <c r="Z147" s="524">
        <f t="shared" si="223"/>
        <v>81319614.569999993</v>
      </c>
      <c r="AA147" s="522">
        <f t="shared" si="224"/>
        <v>48871935.399999999</v>
      </c>
      <c r="AB147" s="522">
        <f t="shared" si="247"/>
        <v>150.61766095488673</v>
      </c>
      <c r="AC147" s="522">
        <f t="shared" si="225"/>
        <v>31547352.839999989</v>
      </c>
      <c r="AD147" s="522">
        <f t="shared" si="226"/>
        <v>63.38340220730808</v>
      </c>
      <c r="AE147" s="522">
        <f t="shared" si="227"/>
        <v>18624287.019999996</v>
      </c>
      <c r="AF147" s="522">
        <f t="shared" si="228"/>
        <v>29.706020763903012</v>
      </c>
      <c r="AG147" s="522">
        <f t="shared" si="243"/>
        <v>112398570.41</v>
      </c>
      <c r="AH147" s="522">
        <f t="shared" si="229"/>
        <v>62626308.679999992</v>
      </c>
      <c r="AI147" s="522">
        <f t="shared" si="230"/>
        <v>125.82572401416968</v>
      </c>
      <c r="AJ147" s="522">
        <f t="shared" si="231"/>
        <v>31078955.840000004</v>
      </c>
      <c r="AK147" s="522">
        <f t="shared" si="212"/>
        <v>38.218277354533228</v>
      </c>
      <c r="AL147" s="522">
        <f t="shared" ref="AL147:AL159" si="269">SUM(BU147:BV147)</f>
        <v>112398570.41</v>
      </c>
      <c r="AM147" s="522">
        <f t="shared" ref="AM147:AN210" si="270">AQ147+AS147</f>
        <v>18190661.830000002</v>
      </c>
      <c r="AN147" s="522">
        <f t="shared" si="270"/>
        <v>37927620.32</v>
      </c>
      <c r="AO147" s="522">
        <f t="shared" si="232"/>
        <v>19736958.489999998</v>
      </c>
      <c r="AP147" s="522">
        <f t="shared" si="244"/>
        <v>108.50049698274225</v>
      </c>
      <c r="AQ147" s="578">
        <v>2766446.68</v>
      </c>
      <c r="AR147" s="578">
        <v>11694071.93</v>
      </c>
      <c r="AS147" s="578">
        <v>15424215.15</v>
      </c>
      <c r="AT147" s="578">
        <v>26233548.390000001</v>
      </c>
      <c r="AU147" s="578">
        <f t="shared" si="208"/>
        <v>31581599.900000002</v>
      </c>
      <c r="AV147" s="578">
        <f t="shared" si="208"/>
        <v>43391994.25</v>
      </c>
      <c r="AW147" s="578">
        <f t="shared" si="233"/>
        <v>11810394.349999998</v>
      </c>
      <c r="AX147" s="578">
        <f t="shared" si="234"/>
        <v>37.396440925717627</v>
      </c>
      <c r="AY147" s="578">
        <f t="shared" si="210"/>
        <v>74470950.090000004</v>
      </c>
      <c r="AZ147" s="578">
        <f t="shared" si="235"/>
        <v>-31078955.840000004</v>
      </c>
      <c r="BA147" s="578">
        <f t="shared" si="236"/>
        <v>-41.732992264017454</v>
      </c>
      <c r="BB147" s="578">
        <v>18890754.510000002</v>
      </c>
      <c r="BC147" s="576">
        <f>'[67]Гл инж_Тех дир'!AT99</f>
        <v>32791148.859999999</v>
      </c>
      <c r="BD147" s="576">
        <f t="shared" ref="BD147:BD159" si="271">BI147-AN147</f>
        <v>36960405.619999997</v>
      </c>
      <c r="BE147" s="576">
        <f t="shared" si="237"/>
        <v>18069651.109999996</v>
      </c>
      <c r="BF147" s="576">
        <f t="shared" si="238"/>
        <v>4169256.7599999979</v>
      </c>
      <c r="BG147" s="576">
        <f t="shared" si="218"/>
        <v>37081416.340000004</v>
      </c>
      <c r="BH147" s="578">
        <f t="shared" si="218"/>
        <v>70718769.180000007</v>
      </c>
      <c r="BI147" s="578">
        <v>74888025.939999998</v>
      </c>
      <c r="BJ147" s="578">
        <f t="shared" si="239"/>
        <v>37806609.599999994</v>
      </c>
      <c r="BK147" s="578">
        <f t="shared" si="240"/>
        <v>4169256.7599999905</v>
      </c>
      <c r="BL147" s="576">
        <v>12690845.390000001</v>
      </c>
      <c r="BM147" s="578">
        <f>'[67]Гл инж_Тех дир'!AW99</f>
        <v>10600845.390000001</v>
      </c>
      <c r="BN147" s="522">
        <f t="shared" ref="BN147:BN159" si="272">AL147-BI147</f>
        <v>37510544.469999999</v>
      </c>
      <c r="BO147" s="578">
        <f t="shared" si="245"/>
        <v>24819699.079999998</v>
      </c>
      <c r="BP147" s="578">
        <f t="shared" si="241"/>
        <v>26909699.079999998</v>
      </c>
      <c r="BQ147" s="576">
        <v>12690845.390000001</v>
      </c>
      <c r="BR147" s="578">
        <f>'[67]Гл инж_Тех дир'!BB99</f>
        <v>0</v>
      </c>
      <c r="BS147" s="578">
        <f>'[67]Гл инж_Тех дир'!BC99</f>
        <v>0</v>
      </c>
      <c r="BT147" s="536"/>
      <c r="BU147" s="578">
        <f>111931948.46+466621.95</f>
        <v>112398570.41</v>
      </c>
      <c r="BV147" s="578"/>
      <c r="BW147" s="578"/>
      <c r="BX147" s="574"/>
      <c r="BY147" s="578">
        <f>111895076.27+466621.95</f>
        <v>112361698.22</v>
      </c>
      <c r="BZ147" s="578"/>
      <c r="CA147" s="578">
        <v>36872.19</v>
      </c>
      <c r="CB147" s="522">
        <f t="shared" si="213"/>
        <v>112398570.41</v>
      </c>
      <c r="CC147" s="578">
        <f t="shared" si="242"/>
        <v>0</v>
      </c>
      <c r="CD147" s="578"/>
      <c r="CE147" s="578"/>
      <c r="CF147" s="578"/>
      <c r="CG147" s="578"/>
      <c r="CH147" s="578"/>
      <c r="CI147" s="578"/>
      <c r="CJ147" s="578"/>
      <c r="CK147" s="542" t="s">
        <v>79</v>
      </c>
      <c r="CL147" s="543" t="s">
        <v>1913</v>
      </c>
      <c r="CM147" s="509" t="s">
        <v>1925</v>
      </c>
      <c r="CN147" s="528" t="s">
        <v>1849</v>
      </c>
      <c r="CO147" s="528" t="s">
        <v>1849</v>
      </c>
      <c r="CP147" s="579">
        <f>U147</f>
        <v>49772261.730000004</v>
      </c>
      <c r="CQ147" s="579"/>
      <c r="CR147" s="579"/>
      <c r="CS147" s="1691"/>
      <c r="CT147" s="1692"/>
      <c r="CU147" s="1692"/>
      <c r="CV147" s="1692"/>
      <c r="CW147" s="1693"/>
      <c r="CX147" s="528"/>
      <c r="CY147" s="528"/>
      <c r="CZ147" s="528"/>
      <c r="DA147" s="528"/>
      <c r="DB147" s="579">
        <f>11504711.93+189360</f>
        <v>11694071.93</v>
      </c>
      <c r="DC147" s="628" t="e">
        <f>P147-#REF!</f>
        <v>#REF!</v>
      </c>
      <c r="DD147" s="535"/>
      <c r="DE147" s="535"/>
      <c r="DF147" s="578">
        <f t="shared" si="211"/>
        <v>112361.69822000001</v>
      </c>
      <c r="DG147" s="578">
        <f t="shared" si="211"/>
        <v>0</v>
      </c>
      <c r="DH147" s="578">
        <f t="shared" si="211"/>
        <v>36.872190000000003</v>
      </c>
      <c r="DI147" s="522">
        <f t="shared" si="209"/>
        <v>112398.57041</v>
      </c>
      <c r="DJ147" s="536"/>
      <c r="DK147" s="536"/>
      <c r="DL147" s="536"/>
      <c r="DM147" s="536"/>
      <c r="DN147" s="536"/>
      <c r="DO147" s="536"/>
      <c r="DP147" s="536"/>
      <c r="DQ147" s="536"/>
      <c r="DR147" s="536"/>
      <c r="DS147" s="536"/>
    </row>
    <row r="148" spans="1:123" s="534" customFormat="1" ht="84.6">
      <c r="A148" s="537" t="s">
        <v>629</v>
      </c>
      <c r="B148" s="538" t="s">
        <v>630</v>
      </c>
      <c r="C148" s="576"/>
      <c r="D148" s="576"/>
      <c r="E148" s="576"/>
      <c r="F148" s="576"/>
      <c r="G148" s="627"/>
      <c r="H148" s="626">
        <v>0</v>
      </c>
      <c r="I148" s="576">
        <f t="shared" si="265"/>
        <v>249908</v>
      </c>
      <c r="J148" s="576">
        <v>249908</v>
      </c>
      <c r="K148" s="576">
        <v>0</v>
      </c>
      <c r="L148" s="576">
        <v>0</v>
      </c>
      <c r="M148" s="576">
        <f t="shared" si="266"/>
        <v>249908</v>
      </c>
      <c r="N148" s="576">
        <v>422639.12</v>
      </c>
      <c r="O148" s="525">
        <f t="shared" si="267"/>
        <v>769825.80999999994</v>
      </c>
      <c r="P148" s="522">
        <v>1192464.93</v>
      </c>
      <c r="Q148" s="576">
        <f t="shared" si="219"/>
        <v>942556.92999999993</v>
      </c>
      <c r="R148" s="576">
        <f t="shared" si="220"/>
        <v>377.16156745682412</v>
      </c>
      <c r="S148" s="576">
        <v>0</v>
      </c>
      <c r="T148" s="576">
        <v>0</v>
      </c>
      <c r="U148" s="522">
        <f t="shared" si="268"/>
        <v>262653.31</v>
      </c>
      <c r="V148" s="522">
        <f t="shared" si="217"/>
        <v>262653.31</v>
      </c>
      <c r="W148" s="522">
        <v>0</v>
      </c>
      <c r="X148" s="522">
        <f t="shared" si="221"/>
        <v>-929811.61999999988</v>
      </c>
      <c r="Y148" s="522">
        <f t="shared" si="222"/>
        <v>-77.973917438393755</v>
      </c>
      <c r="Z148" s="524">
        <f t="shared" si="223"/>
        <v>4262653.3099999996</v>
      </c>
      <c r="AA148" s="522">
        <f t="shared" si="224"/>
        <v>4262653.3099999996</v>
      </c>
      <c r="AB148" s="522">
        <v>0</v>
      </c>
      <c r="AC148" s="522">
        <f t="shared" si="225"/>
        <v>3999999.9999999995</v>
      </c>
      <c r="AD148" s="522">
        <f t="shared" si="226"/>
        <v>1522.9200804665284</v>
      </c>
      <c r="AE148" s="522">
        <f t="shared" si="227"/>
        <v>3070188.38</v>
      </c>
      <c r="AF148" s="522">
        <f t="shared" si="228"/>
        <v>257.46571683244383</v>
      </c>
      <c r="AG148" s="522">
        <f t="shared" si="243"/>
        <v>769312.28999999992</v>
      </c>
      <c r="AH148" s="522">
        <f t="shared" si="229"/>
        <v>506658.97999999992</v>
      </c>
      <c r="AI148" s="522">
        <f t="shared" si="230"/>
        <v>192.90028364767227</v>
      </c>
      <c r="AJ148" s="522">
        <f t="shared" si="231"/>
        <v>-3493341.0199999996</v>
      </c>
      <c r="AK148" s="522">
        <f t="shared" si="212"/>
        <v>-81.952266955531513</v>
      </c>
      <c r="AL148" s="522">
        <f t="shared" si="269"/>
        <v>769312.29</v>
      </c>
      <c r="AM148" s="522">
        <f t="shared" si="270"/>
        <v>100604.5</v>
      </c>
      <c r="AN148" s="522">
        <f t="shared" si="270"/>
        <v>81518.47</v>
      </c>
      <c r="AO148" s="522">
        <f t="shared" si="232"/>
        <v>-19086.03</v>
      </c>
      <c r="AP148" s="522">
        <f t="shared" si="244"/>
        <v>-18.971348200130208</v>
      </c>
      <c r="AQ148" s="578">
        <v>50000</v>
      </c>
      <c r="AR148" s="578">
        <v>10190</v>
      </c>
      <c r="AS148" s="578">
        <v>50604.5</v>
      </c>
      <c r="AT148" s="578">
        <v>71328.47</v>
      </c>
      <c r="AU148" s="578">
        <f t="shared" si="208"/>
        <v>162048.81</v>
      </c>
      <c r="AV148" s="578">
        <f t="shared" si="208"/>
        <v>4181134.84</v>
      </c>
      <c r="AW148" s="578">
        <f t="shared" si="233"/>
        <v>4019086.03</v>
      </c>
      <c r="AX148" s="578">
        <f t="shared" si="234"/>
        <v>2480.1700364229764</v>
      </c>
      <c r="AY148" s="578">
        <f t="shared" si="210"/>
        <v>687793.82</v>
      </c>
      <c r="AZ148" s="578">
        <f t="shared" si="235"/>
        <v>3493341.02</v>
      </c>
      <c r="BA148" s="578">
        <f t="shared" si="236"/>
        <v>507.90526440031113</v>
      </c>
      <c r="BB148" s="578">
        <v>112048.81</v>
      </c>
      <c r="BC148" s="576">
        <f>'[67]Гл инж_Тех дир'!AT100</f>
        <v>131134.84</v>
      </c>
      <c r="BD148" s="576">
        <f t="shared" si="271"/>
        <v>22936.100000000006</v>
      </c>
      <c r="BE148" s="576">
        <f t="shared" si="237"/>
        <v>-89112.709999999992</v>
      </c>
      <c r="BF148" s="576">
        <f t="shared" si="238"/>
        <v>-108198.73999999999</v>
      </c>
      <c r="BG148" s="576">
        <f t="shared" si="218"/>
        <v>212653.31</v>
      </c>
      <c r="BH148" s="578">
        <f t="shared" si="218"/>
        <v>212653.31</v>
      </c>
      <c r="BI148" s="578">
        <v>104454.57</v>
      </c>
      <c r="BJ148" s="578">
        <f t="shared" si="239"/>
        <v>-108198.73999999999</v>
      </c>
      <c r="BK148" s="578">
        <f t="shared" si="240"/>
        <v>-108198.73999999999</v>
      </c>
      <c r="BL148" s="576">
        <v>50000</v>
      </c>
      <c r="BM148" s="578">
        <f>'[67]Гл инж_Тех дир'!AW100</f>
        <v>4050000</v>
      </c>
      <c r="BN148" s="522">
        <f t="shared" si="272"/>
        <v>664857.72</v>
      </c>
      <c r="BO148" s="578">
        <f t="shared" si="245"/>
        <v>614857.72</v>
      </c>
      <c r="BP148" s="578">
        <f t="shared" si="241"/>
        <v>-3385142.2800000003</v>
      </c>
      <c r="BQ148" s="576">
        <v>50000</v>
      </c>
      <c r="BR148" s="578">
        <f>'[67]Гл инж_Тех дир'!BB100</f>
        <v>0</v>
      </c>
      <c r="BS148" s="578">
        <f>'[67]Гл инж_Тех дир'!BC100</f>
        <v>0</v>
      </c>
      <c r="BT148" s="536"/>
      <c r="BU148" s="578">
        <v>769312.29</v>
      </c>
      <c r="BV148" s="578"/>
      <c r="BW148" s="578"/>
      <c r="BX148" s="574"/>
      <c r="BY148" s="576">
        <v>769018.68</v>
      </c>
      <c r="BZ148" s="576">
        <v>208.61</v>
      </c>
      <c r="CA148" s="576">
        <v>85</v>
      </c>
      <c r="CB148" s="522">
        <f t="shared" si="213"/>
        <v>769312.29</v>
      </c>
      <c r="CC148" s="578">
        <f t="shared" si="242"/>
        <v>0</v>
      </c>
      <c r="CD148" s="578"/>
      <c r="CE148" s="578"/>
      <c r="CF148" s="578"/>
      <c r="CG148" s="578"/>
      <c r="CH148" s="578"/>
      <c r="CI148" s="578"/>
      <c r="CJ148" s="578"/>
      <c r="CK148" s="542" t="s">
        <v>79</v>
      </c>
      <c r="CL148" s="543" t="s">
        <v>1913</v>
      </c>
      <c r="CM148" s="509" t="s">
        <v>1925</v>
      </c>
      <c r="CN148" s="528" t="s">
        <v>1849</v>
      </c>
      <c r="CO148" s="528" t="s">
        <v>1849</v>
      </c>
      <c r="CP148" s="579">
        <f>U148</f>
        <v>262653.31</v>
      </c>
      <c r="CQ148" s="579"/>
      <c r="CR148" s="579"/>
      <c r="CS148" s="1691"/>
      <c r="CT148" s="1692"/>
      <c r="CU148" s="1692"/>
      <c r="CV148" s="1692"/>
      <c r="CW148" s="1693"/>
      <c r="CX148" s="528"/>
      <c r="CY148" s="528"/>
      <c r="CZ148" s="528"/>
      <c r="DA148" s="528"/>
      <c r="DB148" s="579">
        <f>10190</f>
        <v>10190</v>
      </c>
      <c r="DC148" s="628" t="e">
        <f>P148-#REF!</f>
        <v>#REF!</v>
      </c>
      <c r="DD148" s="535"/>
      <c r="DE148" s="535"/>
      <c r="DF148" s="576">
        <f t="shared" si="211"/>
        <v>769.01868000000002</v>
      </c>
      <c r="DG148" s="576">
        <f t="shared" si="211"/>
        <v>0.20861000000000002</v>
      </c>
      <c r="DH148" s="576">
        <f t="shared" si="211"/>
        <v>8.5000000000000006E-2</v>
      </c>
      <c r="DI148" s="522">
        <f t="shared" si="209"/>
        <v>769.31229000000008</v>
      </c>
      <c r="DJ148" s="536"/>
      <c r="DK148" s="536"/>
      <c r="DL148" s="536"/>
      <c r="DM148" s="536"/>
      <c r="DN148" s="536"/>
      <c r="DO148" s="536"/>
      <c r="DP148" s="536"/>
      <c r="DQ148" s="536"/>
      <c r="DR148" s="536"/>
      <c r="DS148" s="536"/>
    </row>
    <row r="149" spans="1:123" s="534" customFormat="1" ht="84" customHeight="1">
      <c r="A149" s="537" t="s">
        <v>608</v>
      </c>
      <c r="B149" s="538" t="s">
        <v>609</v>
      </c>
      <c r="C149" s="576">
        <f>13694979.97+37458930.59+348337.87</f>
        <v>51502248.43</v>
      </c>
      <c r="D149" s="576">
        <f>19256964.78+8157482.46+214003.96</f>
        <v>27628451.200000003</v>
      </c>
      <c r="E149" s="576">
        <v>56175660</v>
      </c>
      <c r="F149" s="576">
        <v>52943618.399999999</v>
      </c>
      <c r="G149" s="626">
        <v>20333511.428126067</v>
      </c>
      <c r="H149" s="626">
        <v>0</v>
      </c>
      <c r="I149" s="576">
        <f t="shared" si="265"/>
        <v>31281367.090000004</v>
      </c>
      <c r="J149" s="576">
        <v>1309090.1499999999</v>
      </c>
      <c r="K149" s="576">
        <v>10000000</v>
      </c>
      <c r="L149" s="576">
        <v>19972276.940000001</v>
      </c>
      <c r="M149" s="576">
        <f t="shared" si="266"/>
        <v>11309090.15</v>
      </c>
      <c r="N149" s="576">
        <v>6055018.3799999999</v>
      </c>
      <c r="O149" s="525">
        <f t="shared" si="267"/>
        <v>21493514.030000001</v>
      </c>
      <c r="P149" s="522">
        <v>27548532.41</v>
      </c>
      <c r="Q149" s="576">
        <f t="shared" si="219"/>
        <v>-3732834.6800000034</v>
      </c>
      <c r="R149" s="576">
        <f t="shared" si="220"/>
        <v>-11.933093170960902</v>
      </c>
      <c r="S149" s="576">
        <v>15673240</v>
      </c>
      <c r="T149" s="576">
        <v>15673240</v>
      </c>
      <c r="U149" s="522">
        <f t="shared" si="268"/>
        <v>15673240</v>
      </c>
      <c r="V149" s="522">
        <f t="shared" si="217"/>
        <v>0</v>
      </c>
      <c r="W149" s="522">
        <f t="shared" si="246"/>
        <v>0</v>
      </c>
      <c r="X149" s="522">
        <f t="shared" si="221"/>
        <v>-11875292.41</v>
      </c>
      <c r="Y149" s="522">
        <f t="shared" si="222"/>
        <v>-43.106805957072758</v>
      </c>
      <c r="Z149" s="524">
        <f t="shared" si="223"/>
        <v>19873240</v>
      </c>
      <c r="AA149" s="522">
        <f t="shared" si="224"/>
        <v>4200000</v>
      </c>
      <c r="AB149" s="522">
        <f t="shared" si="247"/>
        <v>26.797267189170839</v>
      </c>
      <c r="AC149" s="522">
        <f t="shared" si="225"/>
        <v>4200000</v>
      </c>
      <c r="AD149" s="522">
        <f t="shared" si="226"/>
        <v>26.797267189170839</v>
      </c>
      <c r="AE149" s="522">
        <f t="shared" si="227"/>
        <v>-7675292.4100000001</v>
      </c>
      <c r="AF149" s="522">
        <f t="shared" si="228"/>
        <v>-27.860984736936118</v>
      </c>
      <c r="AG149" s="522">
        <f t="shared" si="243"/>
        <v>3340411.0300000003</v>
      </c>
      <c r="AH149" s="522">
        <f t="shared" si="229"/>
        <v>-12332828.969999999</v>
      </c>
      <c r="AI149" s="522">
        <f t="shared" si="230"/>
        <v>-78.687169787484905</v>
      </c>
      <c r="AJ149" s="522">
        <f t="shared" si="231"/>
        <v>-16532828.969999999</v>
      </c>
      <c r="AK149" s="522">
        <f t="shared" si="212"/>
        <v>-83.191412019378816</v>
      </c>
      <c r="AL149" s="522">
        <f t="shared" si="269"/>
        <v>3340411.03</v>
      </c>
      <c r="AM149" s="522">
        <f t="shared" si="270"/>
        <v>3851068.37</v>
      </c>
      <c r="AN149" s="522">
        <f t="shared" si="270"/>
        <v>1451493.59</v>
      </c>
      <c r="AO149" s="522">
        <f t="shared" si="232"/>
        <v>-2399574.7800000003</v>
      </c>
      <c r="AP149" s="522">
        <f t="shared" si="244"/>
        <v>-62.309326905042717</v>
      </c>
      <c r="AQ149" s="578">
        <v>605335.4</v>
      </c>
      <c r="AR149" s="578">
        <v>406603</v>
      </c>
      <c r="AS149" s="578">
        <v>3245732.97</v>
      </c>
      <c r="AT149" s="578">
        <v>1044890.5900000001</v>
      </c>
      <c r="AU149" s="578">
        <f t="shared" si="208"/>
        <v>11822171.630000001</v>
      </c>
      <c r="AV149" s="578">
        <f t="shared" si="208"/>
        <v>18421746.41</v>
      </c>
      <c r="AW149" s="578">
        <f t="shared" si="233"/>
        <v>6599574.7799999993</v>
      </c>
      <c r="AX149" s="578">
        <f t="shared" si="234"/>
        <v>55.82370977640764</v>
      </c>
      <c r="AY149" s="578">
        <f t="shared" si="210"/>
        <v>1888917.44</v>
      </c>
      <c r="AZ149" s="578">
        <f t="shared" si="235"/>
        <v>16532828.970000001</v>
      </c>
      <c r="BA149" s="578">
        <f t="shared" si="236"/>
        <v>875.25418633436948</v>
      </c>
      <c r="BB149" s="578">
        <v>9420072.1500000004</v>
      </c>
      <c r="BC149" s="576">
        <f>'[67]Гл инж_Тех дир'!AT101</f>
        <v>10019646.93</v>
      </c>
      <c r="BD149" s="576">
        <f t="shared" si="271"/>
        <v>3215898.1799999997</v>
      </c>
      <c r="BE149" s="576">
        <f t="shared" si="237"/>
        <v>-6204173.9700000007</v>
      </c>
      <c r="BF149" s="576">
        <f t="shared" si="238"/>
        <v>-6803748.75</v>
      </c>
      <c r="BG149" s="576">
        <f t="shared" si="218"/>
        <v>13271140.52</v>
      </c>
      <c r="BH149" s="578">
        <f t="shared" si="218"/>
        <v>11471140.52</v>
      </c>
      <c r="BI149" s="578">
        <v>4667391.7699999996</v>
      </c>
      <c r="BJ149" s="578">
        <f t="shared" si="239"/>
        <v>-8603748.75</v>
      </c>
      <c r="BK149" s="578">
        <f t="shared" si="240"/>
        <v>-6803748.75</v>
      </c>
      <c r="BL149" s="576">
        <v>2402099.48</v>
      </c>
      <c r="BM149" s="578">
        <f>'[67]Гл инж_Тех дир'!AW101</f>
        <v>8402099.4800000004</v>
      </c>
      <c r="BN149" s="522">
        <f t="shared" si="272"/>
        <v>-1326980.7399999998</v>
      </c>
      <c r="BO149" s="578">
        <f t="shared" si="245"/>
        <v>-3729080.2199999997</v>
      </c>
      <c r="BP149" s="578">
        <f t="shared" si="241"/>
        <v>-9729080.2200000007</v>
      </c>
      <c r="BQ149" s="576">
        <v>2402099.48</v>
      </c>
      <c r="BR149" s="578">
        <f>'[67]Гл инж_Тех дир'!BB101</f>
        <v>0</v>
      </c>
      <c r="BS149" s="578">
        <f>'[67]Гл инж_Тех дир'!BC101</f>
        <v>0</v>
      </c>
      <c r="BT149" s="536"/>
      <c r="BU149" s="578">
        <v>3340411.03</v>
      </c>
      <c r="BV149" s="578"/>
      <c r="BW149" s="578"/>
      <c r="BX149" s="574"/>
      <c r="BY149" s="576">
        <v>3088601.1</v>
      </c>
      <c r="BZ149" s="576">
        <v>216320.22</v>
      </c>
      <c r="CA149" s="576">
        <v>35489.71</v>
      </c>
      <c r="CB149" s="522">
        <f t="shared" si="213"/>
        <v>3340411.0300000003</v>
      </c>
      <c r="CC149" s="578">
        <f t="shared" si="242"/>
        <v>0</v>
      </c>
      <c r="CD149" s="578"/>
      <c r="CE149" s="578"/>
      <c r="CF149" s="578"/>
      <c r="CG149" s="578"/>
      <c r="CH149" s="578"/>
      <c r="CI149" s="578"/>
      <c r="CJ149" s="578"/>
      <c r="CK149" s="542" t="s">
        <v>79</v>
      </c>
      <c r="CL149" s="543" t="s">
        <v>1913</v>
      </c>
      <c r="CM149" s="509" t="s">
        <v>1925</v>
      </c>
      <c r="CN149" s="528" t="s">
        <v>1849</v>
      </c>
      <c r="CO149" s="528" t="s">
        <v>1849</v>
      </c>
      <c r="CP149" s="579">
        <f>U149</f>
        <v>15673240</v>
      </c>
      <c r="CQ149" s="579"/>
      <c r="CR149" s="579"/>
      <c r="CS149" s="1691"/>
      <c r="CT149" s="1692"/>
      <c r="CU149" s="1692"/>
      <c r="CV149" s="1692"/>
      <c r="CW149" s="1693"/>
      <c r="CX149" s="528"/>
      <c r="CY149" s="528"/>
      <c r="CZ149" s="528"/>
      <c r="DA149" s="528"/>
      <c r="DB149" s="579">
        <f>406603</f>
        <v>406603</v>
      </c>
      <c r="DC149" s="628" t="e">
        <f>P149-#REF!</f>
        <v>#REF!</v>
      </c>
      <c r="DD149" s="535"/>
      <c r="DE149" s="535"/>
      <c r="DF149" s="576">
        <f t="shared" si="211"/>
        <v>3088.6011000000003</v>
      </c>
      <c r="DG149" s="576">
        <f t="shared" si="211"/>
        <v>216.32022000000001</v>
      </c>
      <c r="DH149" s="576">
        <f t="shared" si="211"/>
        <v>35.489710000000002</v>
      </c>
      <c r="DI149" s="522">
        <f t="shared" si="209"/>
        <v>3340.4110300000002</v>
      </c>
      <c r="DJ149" s="536"/>
      <c r="DK149" s="536"/>
      <c r="DL149" s="536"/>
      <c r="DM149" s="536"/>
      <c r="DN149" s="536"/>
      <c r="DO149" s="536"/>
      <c r="DP149" s="536"/>
      <c r="DQ149" s="536"/>
      <c r="DR149" s="536"/>
      <c r="DS149" s="536"/>
    </row>
    <row r="150" spans="1:123" s="534" customFormat="1" ht="93.75" customHeight="1">
      <c r="A150" s="537" t="s">
        <v>613</v>
      </c>
      <c r="B150" s="538" t="s">
        <v>614</v>
      </c>
      <c r="C150" s="576"/>
      <c r="D150" s="576"/>
      <c r="E150" s="576"/>
      <c r="F150" s="576"/>
      <c r="G150" s="627"/>
      <c r="H150" s="626">
        <v>0</v>
      </c>
      <c r="I150" s="576">
        <f t="shared" si="265"/>
        <v>2770458.13</v>
      </c>
      <c r="J150" s="576">
        <v>757914.06</v>
      </c>
      <c r="K150" s="576">
        <v>1000000</v>
      </c>
      <c r="L150" s="576">
        <v>1012544.07</v>
      </c>
      <c r="M150" s="576">
        <f t="shared" si="266"/>
        <v>1757914.06</v>
      </c>
      <c r="N150" s="576">
        <v>1542704.3</v>
      </c>
      <c r="O150" s="525">
        <f t="shared" si="267"/>
        <v>895309.12999999966</v>
      </c>
      <c r="P150" s="522">
        <f>2435835.01+2178.42</f>
        <v>2438013.4299999997</v>
      </c>
      <c r="Q150" s="576">
        <f t="shared" si="219"/>
        <v>-332444.70000000019</v>
      </c>
      <c r="R150" s="576">
        <f t="shared" si="220"/>
        <v>-11.999629101054126</v>
      </c>
      <c r="S150" s="576">
        <v>816060</v>
      </c>
      <c r="T150" s="576">
        <v>816060</v>
      </c>
      <c r="U150" s="522">
        <f t="shared" si="268"/>
        <v>1313578.3700000001</v>
      </c>
      <c r="V150" s="522">
        <f t="shared" si="217"/>
        <v>497518.37000000011</v>
      </c>
      <c r="W150" s="522">
        <f t="shared" si="246"/>
        <v>60.965905693208867</v>
      </c>
      <c r="X150" s="522">
        <f t="shared" si="221"/>
        <v>-1124435.0599999996</v>
      </c>
      <c r="Y150" s="522">
        <f t="shared" si="222"/>
        <v>-46.120954304997397</v>
      </c>
      <c r="Z150" s="524">
        <f t="shared" si="223"/>
        <v>1313578.3700000001</v>
      </c>
      <c r="AA150" s="522">
        <f t="shared" si="224"/>
        <v>497518.37000000011</v>
      </c>
      <c r="AB150" s="522">
        <f t="shared" si="247"/>
        <v>60.965905693208867</v>
      </c>
      <c r="AC150" s="522">
        <f t="shared" si="225"/>
        <v>0</v>
      </c>
      <c r="AD150" s="522">
        <f t="shared" si="226"/>
        <v>0</v>
      </c>
      <c r="AE150" s="522">
        <f t="shared" si="227"/>
        <v>-1124435.0599999996</v>
      </c>
      <c r="AF150" s="522">
        <f t="shared" si="228"/>
        <v>-46.120954304997397</v>
      </c>
      <c r="AG150" s="522">
        <f t="shared" si="243"/>
        <v>797718.82000000007</v>
      </c>
      <c r="AH150" s="522">
        <f t="shared" si="229"/>
        <v>-515859.55000000005</v>
      </c>
      <c r="AI150" s="522">
        <f t="shared" si="230"/>
        <v>-39.271318847919211</v>
      </c>
      <c r="AJ150" s="522">
        <f t="shared" si="231"/>
        <v>-515859.55000000005</v>
      </c>
      <c r="AK150" s="522">
        <f t="shared" si="212"/>
        <v>-39.271318847919211</v>
      </c>
      <c r="AL150" s="522">
        <f t="shared" si="269"/>
        <v>797718.82000000007</v>
      </c>
      <c r="AM150" s="522">
        <f t="shared" si="270"/>
        <v>392530.44</v>
      </c>
      <c r="AN150" s="522">
        <f t="shared" si="270"/>
        <v>400266.13</v>
      </c>
      <c r="AO150" s="522">
        <f t="shared" si="232"/>
        <v>7735.6900000000023</v>
      </c>
      <c r="AP150" s="522">
        <f t="shared" si="244"/>
        <v>1.9707235953471525</v>
      </c>
      <c r="AQ150" s="578">
        <v>11455.7</v>
      </c>
      <c r="AR150" s="578">
        <v>191219.51</v>
      </c>
      <c r="AS150" s="578">
        <v>381074.74</v>
      </c>
      <c r="AT150" s="578">
        <v>209046.62</v>
      </c>
      <c r="AU150" s="578">
        <f t="shared" si="208"/>
        <v>921047.92999999993</v>
      </c>
      <c r="AV150" s="578">
        <f t="shared" si="208"/>
        <v>913312.24</v>
      </c>
      <c r="AW150" s="578">
        <f t="shared" si="233"/>
        <v>-7735.6899999999441</v>
      </c>
      <c r="AX150" s="578">
        <f t="shared" si="234"/>
        <v>-0.8398792015090919</v>
      </c>
      <c r="AY150" s="578">
        <f t="shared" si="210"/>
        <v>397452.69000000006</v>
      </c>
      <c r="AZ150" s="578">
        <f t="shared" si="235"/>
        <v>515859.54999999993</v>
      </c>
      <c r="BA150" s="578">
        <f t="shared" si="236"/>
        <v>129.79143505104972</v>
      </c>
      <c r="BB150" s="578">
        <v>909121.35</v>
      </c>
      <c r="BC150" s="576">
        <f>'[67]Гл инж_Тех дир'!AT102</f>
        <v>901385.66</v>
      </c>
      <c r="BD150" s="576">
        <f t="shared" si="271"/>
        <v>211794.81999999995</v>
      </c>
      <c r="BE150" s="576">
        <f t="shared" si="237"/>
        <v>-697326.53</v>
      </c>
      <c r="BF150" s="576">
        <f t="shared" si="238"/>
        <v>-689590.84000000008</v>
      </c>
      <c r="BG150" s="576">
        <f t="shared" si="218"/>
        <v>1301651.79</v>
      </c>
      <c r="BH150" s="578">
        <f t="shared" si="218"/>
        <v>1301651.79</v>
      </c>
      <c r="BI150" s="578">
        <f>608086.36+3974.59</f>
        <v>612060.94999999995</v>
      </c>
      <c r="BJ150" s="578">
        <f t="shared" si="239"/>
        <v>-689590.84000000008</v>
      </c>
      <c r="BK150" s="578">
        <f t="shared" si="240"/>
        <v>-689590.84000000008</v>
      </c>
      <c r="BL150" s="576">
        <v>11926.58</v>
      </c>
      <c r="BM150" s="578">
        <f>'[67]Гл инж_Тех дир'!AW102</f>
        <v>11926.58</v>
      </c>
      <c r="BN150" s="522">
        <f t="shared" si="272"/>
        <v>185657.87000000011</v>
      </c>
      <c r="BO150" s="578">
        <f t="shared" si="245"/>
        <v>173731.29000000012</v>
      </c>
      <c r="BP150" s="578">
        <f t="shared" si="241"/>
        <v>173731.29000000012</v>
      </c>
      <c r="BQ150" s="576">
        <v>11926.58</v>
      </c>
      <c r="BR150" s="578">
        <f>'[67]Гл инж_Тех дир'!BB102</f>
        <v>0</v>
      </c>
      <c r="BS150" s="578">
        <f>'[67]Гл инж_Тех дир'!BC102</f>
        <v>0</v>
      </c>
      <c r="BT150" s="536"/>
      <c r="BU150" s="578">
        <f>784249.3+9494.93</f>
        <v>793744.2300000001</v>
      </c>
      <c r="BV150" s="578">
        <v>3974.59</v>
      </c>
      <c r="BW150" s="578"/>
      <c r="BX150" s="574"/>
      <c r="BY150" s="576">
        <f>697952.6+9480.64+3974.59</f>
        <v>711407.83</v>
      </c>
      <c r="BZ150" s="576">
        <f>79709.7+9.13</f>
        <v>79718.83</v>
      </c>
      <c r="CA150" s="576">
        <f>6587+5.16</f>
        <v>6592.16</v>
      </c>
      <c r="CB150" s="522">
        <f t="shared" si="213"/>
        <v>797718.82</v>
      </c>
      <c r="CC150" s="578">
        <f t="shared" si="242"/>
        <v>0</v>
      </c>
      <c r="CD150" s="578"/>
      <c r="CE150" s="578"/>
      <c r="CF150" s="578"/>
      <c r="CG150" s="578"/>
      <c r="CH150" s="578"/>
      <c r="CI150" s="578"/>
      <c r="CJ150" s="578"/>
      <c r="CK150" s="542" t="s">
        <v>79</v>
      </c>
      <c r="CL150" s="543" t="s">
        <v>1913</v>
      </c>
      <c r="CM150" s="509" t="s">
        <v>1925</v>
      </c>
      <c r="CN150" s="528" t="s">
        <v>1849</v>
      </c>
      <c r="CO150" s="528" t="s">
        <v>1849</v>
      </c>
      <c r="CP150" s="579">
        <f>U150</f>
        <v>1313578.3700000001</v>
      </c>
      <c r="CQ150" s="579"/>
      <c r="CR150" s="579"/>
      <c r="CS150" s="1691"/>
      <c r="CT150" s="1692"/>
      <c r="CU150" s="1692"/>
      <c r="CV150" s="1692"/>
      <c r="CW150" s="1693"/>
      <c r="CX150" s="528"/>
      <c r="CY150" s="528"/>
      <c r="CZ150" s="528"/>
      <c r="DA150" s="528"/>
      <c r="DB150" s="579">
        <f>191219.51</f>
        <v>191219.51</v>
      </c>
      <c r="DC150" s="628" t="e">
        <f>P150-#REF!</f>
        <v>#REF!</v>
      </c>
      <c r="DD150" s="535"/>
      <c r="DE150" s="535"/>
      <c r="DF150" s="576">
        <f t="shared" si="211"/>
        <v>711.40782999999999</v>
      </c>
      <c r="DG150" s="576">
        <f t="shared" si="211"/>
        <v>79.718829999999997</v>
      </c>
      <c r="DH150" s="576">
        <f t="shared" si="211"/>
        <v>6.5921599999999998</v>
      </c>
      <c r="DI150" s="522">
        <f t="shared" si="209"/>
        <v>797.71881999999994</v>
      </c>
      <c r="DJ150" s="536"/>
      <c r="DK150" s="536"/>
      <c r="DL150" s="536"/>
      <c r="DM150" s="536"/>
      <c r="DN150" s="536"/>
      <c r="DO150" s="536"/>
      <c r="DP150" s="536"/>
      <c r="DQ150" s="536"/>
      <c r="DR150" s="536"/>
      <c r="DS150" s="536"/>
    </row>
    <row r="151" spans="1:123" s="534" customFormat="1" ht="56.4">
      <c r="A151" s="537" t="s">
        <v>617</v>
      </c>
      <c r="B151" s="538" t="s">
        <v>618</v>
      </c>
      <c r="C151" s="576">
        <v>6431253.5899999999</v>
      </c>
      <c r="D151" s="576">
        <v>15304482.08</v>
      </c>
      <c r="E151" s="576">
        <v>10000000</v>
      </c>
      <c r="F151" s="576">
        <v>6683343.0300000003</v>
      </c>
      <c r="G151" s="626">
        <v>25499334.54270342</v>
      </c>
      <c r="H151" s="1703">
        <v>0</v>
      </c>
      <c r="I151" s="576">
        <f t="shared" si="265"/>
        <v>9774090.7799999993</v>
      </c>
      <c r="J151" s="576">
        <v>2900</v>
      </c>
      <c r="K151" s="576">
        <v>5834730</v>
      </c>
      <c r="L151" s="576">
        <v>3936460.78</v>
      </c>
      <c r="M151" s="576">
        <f t="shared" si="266"/>
        <v>5837630</v>
      </c>
      <c r="N151" s="576">
        <v>8340050.9000000004</v>
      </c>
      <c r="O151" s="525">
        <f t="shared" si="267"/>
        <v>1448244.959999999</v>
      </c>
      <c r="P151" s="522">
        <v>9788295.8599999994</v>
      </c>
      <c r="Q151" s="576">
        <f t="shared" si="219"/>
        <v>14205.080000000075</v>
      </c>
      <c r="R151" s="576">
        <f t="shared" si="220"/>
        <v>0.145334029729554</v>
      </c>
      <c r="S151" s="576">
        <v>7579742.9775</v>
      </c>
      <c r="T151" s="576">
        <v>7579742.9775</v>
      </c>
      <c r="U151" s="522">
        <f t="shared" si="268"/>
        <v>9960000</v>
      </c>
      <c r="V151" s="522">
        <f t="shared" si="217"/>
        <v>2380257.0225</v>
      </c>
      <c r="W151" s="522">
        <f t="shared" si="246"/>
        <v>31.402872492717052</v>
      </c>
      <c r="X151" s="522">
        <f t="shared" si="221"/>
        <v>171704.1400000006</v>
      </c>
      <c r="Y151" s="522">
        <f t="shared" si="222"/>
        <v>1.7541780761007857</v>
      </c>
      <c r="Z151" s="524">
        <f t="shared" si="223"/>
        <v>9960000</v>
      </c>
      <c r="AA151" s="522">
        <f t="shared" si="224"/>
        <v>2380257.0225</v>
      </c>
      <c r="AB151" s="522">
        <f t="shared" si="247"/>
        <v>31.402872492717052</v>
      </c>
      <c r="AC151" s="522">
        <f t="shared" si="225"/>
        <v>0</v>
      </c>
      <c r="AD151" s="522">
        <f t="shared" si="226"/>
        <v>0</v>
      </c>
      <c r="AE151" s="522">
        <f t="shared" si="227"/>
        <v>171704.1400000006</v>
      </c>
      <c r="AF151" s="522">
        <f t="shared" si="228"/>
        <v>1.7541780761007857</v>
      </c>
      <c r="AG151" s="522">
        <f t="shared" si="243"/>
        <v>9926767.2699999996</v>
      </c>
      <c r="AH151" s="522">
        <f t="shared" si="229"/>
        <v>-33232.730000000447</v>
      </c>
      <c r="AI151" s="522">
        <f t="shared" si="230"/>
        <v>-0.33366194779117109</v>
      </c>
      <c r="AJ151" s="522">
        <f t="shared" si="231"/>
        <v>-33232.730000000447</v>
      </c>
      <c r="AK151" s="522">
        <f t="shared" si="212"/>
        <v>-0.33366194779117109</v>
      </c>
      <c r="AL151" s="522">
        <f t="shared" si="269"/>
        <v>9926767.2699999996</v>
      </c>
      <c r="AM151" s="522">
        <f t="shared" si="270"/>
        <v>1920000</v>
      </c>
      <c r="AN151" s="522">
        <f t="shared" si="270"/>
        <v>1751835.97</v>
      </c>
      <c r="AO151" s="522">
        <f t="shared" si="232"/>
        <v>-168164.03000000003</v>
      </c>
      <c r="AP151" s="522">
        <f t="shared" si="244"/>
        <v>-8.7585432291666763</v>
      </c>
      <c r="AQ151" s="578">
        <v>0</v>
      </c>
      <c r="AR151" s="578">
        <v>0</v>
      </c>
      <c r="AS151" s="578">
        <v>1920000</v>
      </c>
      <c r="AT151" s="578">
        <v>1751835.97</v>
      </c>
      <c r="AU151" s="578">
        <f t="shared" si="208"/>
        <v>8040000</v>
      </c>
      <c r="AV151" s="578">
        <f t="shared" si="208"/>
        <v>8208164.0300000003</v>
      </c>
      <c r="AW151" s="578">
        <f t="shared" si="233"/>
        <v>168164.03000000026</v>
      </c>
      <c r="AX151" s="578">
        <f t="shared" si="234"/>
        <v>2.0915924129353272</v>
      </c>
      <c r="AY151" s="578">
        <f t="shared" si="210"/>
        <v>8174931.2999999998</v>
      </c>
      <c r="AZ151" s="578">
        <f t="shared" si="235"/>
        <v>33232.730000000447</v>
      </c>
      <c r="BA151" s="578">
        <f t="shared" si="236"/>
        <v>0.40651999118328774</v>
      </c>
      <c r="BB151" s="578">
        <v>5040000</v>
      </c>
      <c r="BC151" s="576">
        <f>'[67]Гл инж_Тех дир'!AT107</f>
        <v>5259826.33</v>
      </c>
      <c r="BD151" s="576">
        <f t="shared" si="271"/>
        <v>5249810.66</v>
      </c>
      <c r="BE151" s="576">
        <f t="shared" si="237"/>
        <v>209810.66000000015</v>
      </c>
      <c r="BF151" s="576">
        <f t="shared" si="238"/>
        <v>-10015.669999999925</v>
      </c>
      <c r="BG151" s="576">
        <f t="shared" si="218"/>
        <v>6960000</v>
      </c>
      <c r="BH151" s="578">
        <f t="shared" si="218"/>
        <v>7011662.2999999998</v>
      </c>
      <c r="BI151" s="578">
        <v>7001646.6299999999</v>
      </c>
      <c r="BJ151" s="578">
        <f t="shared" si="239"/>
        <v>41646.629999999888</v>
      </c>
      <c r="BK151" s="578">
        <f t="shared" si="240"/>
        <v>-10015.669999999925</v>
      </c>
      <c r="BL151" s="576">
        <v>3000000</v>
      </c>
      <c r="BM151" s="578">
        <f>'[67]Гл инж_Тех дир'!AW107</f>
        <v>2948337.7</v>
      </c>
      <c r="BN151" s="522">
        <f t="shared" si="272"/>
        <v>2925120.6399999997</v>
      </c>
      <c r="BO151" s="578">
        <f t="shared" si="245"/>
        <v>-74879.360000000335</v>
      </c>
      <c r="BP151" s="578">
        <f t="shared" si="241"/>
        <v>-23217.060000000522</v>
      </c>
      <c r="BQ151" s="576">
        <v>3000000</v>
      </c>
      <c r="BR151" s="578">
        <f>'[67]Гл инж_Тех дир'!BB107</f>
        <v>0</v>
      </c>
      <c r="BS151" s="578">
        <f>'[67]Гл инж_Тех дир'!BC107</f>
        <v>0</v>
      </c>
      <c r="BT151" s="536"/>
      <c r="BU151" s="578">
        <v>9926767.2699999996</v>
      </c>
      <c r="BV151" s="578"/>
      <c r="BW151" s="578"/>
      <c r="BX151" s="574"/>
      <c r="BY151" s="576">
        <v>9926767.2699999996</v>
      </c>
      <c r="BZ151" s="576"/>
      <c r="CA151" s="576"/>
      <c r="CB151" s="522">
        <f t="shared" si="213"/>
        <v>9926767.2699999996</v>
      </c>
      <c r="CC151" s="578">
        <f t="shared" si="242"/>
        <v>0</v>
      </c>
      <c r="CD151" s="578"/>
      <c r="CE151" s="578"/>
      <c r="CF151" s="578"/>
      <c r="CG151" s="578"/>
      <c r="CH151" s="578"/>
      <c r="CI151" s="578"/>
      <c r="CJ151" s="578"/>
      <c r="CK151" s="542" t="s">
        <v>79</v>
      </c>
      <c r="CL151" s="543" t="s">
        <v>1931</v>
      </c>
      <c r="CM151" s="509" t="s">
        <v>1925</v>
      </c>
      <c r="CN151" s="528" t="s">
        <v>1849</v>
      </c>
      <c r="CO151" s="528" t="s">
        <v>1849</v>
      </c>
      <c r="CP151" s="579">
        <f>U151</f>
        <v>9960000</v>
      </c>
      <c r="CQ151" s="579"/>
      <c r="CR151" s="579"/>
      <c r="CS151" s="1691"/>
      <c r="CT151" s="1692"/>
      <c r="CU151" s="1692"/>
      <c r="CV151" s="1692"/>
      <c r="CW151" s="1693"/>
      <c r="CX151" s="528"/>
      <c r="CY151" s="528"/>
      <c r="CZ151" s="528"/>
      <c r="DA151" s="528"/>
      <c r="DB151" s="579"/>
      <c r="DC151" s="628" t="e">
        <f>P151-#REF!</f>
        <v>#REF!</v>
      </c>
      <c r="DD151" s="535"/>
      <c r="DE151" s="535"/>
      <c r="DF151" s="576">
        <f t="shared" si="211"/>
        <v>9926.7672700000003</v>
      </c>
      <c r="DG151" s="576">
        <f t="shared" si="211"/>
        <v>0</v>
      </c>
      <c r="DH151" s="576">
        <f t="shared" si="211"/>
        <v>0</v>
      </c>
      <c r="DI151" s="522">
        <f t="shared" si="209"/>
        <v>9926.7672700000003</v>
      </c>
      <c r="DJ151" s="536"/>
      <c r="DK151" s="536"/>
      <c r="DL151" s="536"/>
      <c r="DM151" s="536"/>
      <c r="DN151" s="536"/>
      <c r="DO151" s="536"/>
      <c r="DP151" s="536"/>
      <c r="DQ151" s="536"/>
      <c r="DR151" s="536"/>
      <c r="DS151" s="536"/>
    </row>
    <row r="152" spans="1:123" s="534" customFormat="1" ht="56.4">
      <c r="A152" s="537" t="s">
        <v>622</v>
      </c>
      <c r="B152" s="538" t="s">
        <v>623</v>
      </c>
      <c r="C152" s="576"/>
      <c r="D152" s="576"/>
      <c r="E152" s="576">
        <v>0</v>
      </c>
      <c r="F152" s="576">
        <v>1122643.54</v>
      </c>
      <c r="G152" s="627"/>
      <c r="H152" s="1704"/>
      <c r="I152" s="576">
        <f t="shared" si="265"/>
        <v>50000</v>
      </c>
      <c r="J152" s="576">
        <v>0</v>
      </c>
      <c r="K152" s="576">
        <v>50000</v>
      </c>
      <c r="L152" s="576">
        <v>0</v>
      </c>
      <c r="M152" s="576">
        <f t="shared" si="266"/>
        <v>50000</v>
      </c>
      <c r="N152" s="576">
        <v>50000</v>
      </c>
      <c r="O152" s="525">
        <f t="shared" si="267"/>
        <v>0</v>
      </c>
      <c r="P152" s="522">
        <v>50000</v>
      </c>
      <c r="Q152" s="576">
        <f t="shared" si="219"/>
        <v>0</v>
      </c>
      <c r="R152" s="576">
        <f t="shared" si="220"/>
        <v>0</v>
      </c>
      <c r="S152" s="576">
        <v>52500</v>
      </c>
      <c r="T152" s="576">
        <v>52500</v>
      </c>
      <c r="U152" s="522">
        <f t="shared" si="268"/>
        <v>52550</v>
      </c>
      <c r="V152" s="522">
        <f t="shared" si="217"/>
        <v>50</v>
      </c>
      <c r="W152" s="522">
        <f t="shared" si="246"/>
        <v>9.5238095238102005E-2</v>
      </c>
      <c r="X152" s="522">
        <f t="shared" si="221"/>
        <v>2550</v>
      </c>
      <c r="Y152" s="522">
        <f t="shared" si="222"/>
        <v>5.0999999999999943</v>
      </c>
      <c r="Z152" s="524">
        <f t="shared" si="223"/>
        <v>52550</v>
      </c>
      <c r="AA152" s="522">
        <f t="shared" si="224"/>
        <v>50</v>
      </c>
      <c r="AB152" s="522">
        <f t="shared" si="247"/>
        <v>9.5238095238102005E-2</v>
      </c>
      <c r="AC152" s="522">
        <f t="shared" si="225"/>
        <v>0</v>
      </c>
      <c r="AD152" s="522">
        <f t="shared" si="226"/>
        <v>0</v>
      </c>
      <c r="AE152" s="522">
        <f t="shared" si="227"/>
        <v>2550</v>
      </c>
      <c r="AF152" s="522">
        <f t="shared" si="228"/>
        <v>5.0999999999999943</v>
      </c>
      <c r="AG152" s="522">
        <f t="shared" si="243"/>
        <v>79617.37000000001</v>
      </c>
      <c r="AH152" s="522">
        <f t="shared" si="229"/>
        <v>27067.37000000001</v>
      </c>
      <c r="AI152" s="522">
        <f t="shared" si="230"/>
        <v>51.507840152235985</v>
      </c>
      <c r="AJ152" s="522">
        <f t="shared" si="231"/>
        <v>27067.37000000001</v>
      </c>
      <c r="AK152" s="522">
        <f t="shared" si="212"/>
        <v>51.507840152235985</v>
      </c>
      <c r="AL152" s="522">
        <f t="shared" si="269"/>
        <v>79617.37000000001</v>
      </c>
      <c r="AM152" s="522">
        <f t="shared" si="270"/>
        <v>22550</v>
      </c>
      <c r="AN152" s="522">
        <f t="shared" si="270"/>
        <v>17067.36</v>
      </c>
      <c r="AO152" s="522">
        <f t="shared" si="232"/>
        <v>-5482.6399999999994</v>
      </c>
      <c r="AP152" s="522">
        <f t="shared" si="244"/>
        <v>-24.313259423503325</v>
      </c>
      <c r="AQ152" s="578">
        <v>0</v>
      </c>
      <c r="AR152" s="578">
        <v>0</v>
      </c>
      <c r="AS152" s="578">
        <v>22550</v>
      </c>
      <c r="AT152" s="578">
        <v>17067.36</v>
      </c>
      <c r="AU152" s="578">
        <f t="shared" si="208"/>
        <v>30000</v>
      </c>
      <c r="AV152" s="578">
        <f t="shared" si="208"/>
        <v>35482.639999999999</v>
      </c>
      <c r="AW152" s="578">
        <f t="shared" si="233"/>
        <v>5482.6399999999994</v>
      </c>
      <c r="AX152" s="578">
        <f t="shared" si="234"/>
        <v>18.275466666666659</v>
      </c>
      <c r="AY152" s="578">
        <f t="shared" si="210"/>
        <v>62550.010000000009</v>
      </c>
      <c r="AZ152" s="578">
        <f t="shared" si="235"/>
        <v>-27067.37000000001</v>
      </c>
      <c r="BA152" s="578">
        <f t="shared" si="236"/>
        <v>-43.273166543058913</v>
      </c>
      <c r="BB152" s="578">
        <v>30000</v>
      </c>
      <c r="BC152" s="576">
        <f>'[67]Гл инж_Тех дир'!AT108</f>
        <v>30000</v>
      </c>
      <c r="BD152" s="576">
        <f t="shared" si="271"/>
        <v>56702.55</v>
      </c>
      <c r="BE152" s="576">
        <f t="shared" si="237"/>
        <v>26702.550000000003</v>
      </c>
      <c r="BF152" s="576">
        <f t="shared" si="238"/>
        <v>26702.550000000003</v>
      </c>
      <c r="BG152" s="576">
        <f t="shared" si="218"/>
        <v>52550</v>
      </c>
      <c r="BH152" s="578">
        <f t="shared" si="218"/>
        <v>47067.360000000001</v>
      </c>
      <c r="BI152" s="578">
        <v>73769.91</v>
      </c>
      <c r="BJ152" s="578">
        <f t="shared" si="239"/>
        <v>21219.910000000003</v>
      </c>
      <c r="BK152" s="578">
        <f t="shared" si="240"/>
        <v>26702.550000000003</v>
      </c>
      <c r="BL152" s="576">
        <v>0</v>
      </c>
      <c r="BM152" s="578">
        <f>'[67]Гл инж_Тех дир'!AW108</f>
        <v>5482.64</v>
      </c>
      <c r="BN152" s="522">
        <f t="shared" si="272"/>
        <v>5847.4600000000064</v>
      </c>
      <c r="BO152" s="578">
        <f t="shared" si="245"/>
        <v>5847.4600000000064</v>
      </c>
      <c r="BP152" s="578">
        <f t="shared" si="241"/>
        <v>364.82000000000608</v>
      </c>
      <c r="BQ152" s="576">
        <v>0</v>
      </c>
      <c r="BR152" s="578">
        <f>'[67]Гл инж_Тех дир'!BB108</f>
        <v>0</v>
      </c>
      <c r="BS152" s="578">
        <f>'[67]Гл инж_Тех дир'!BC108</f>
        <v>0</v>
      </c>
      <c r="BT152" s="536"/>
      <c r="BU152" s="578">
        <v>73769.91</v>
      </c>
      <c r="BV152" s="578">
        <v>5847.46</v>
      </c>
      <c r="BW152" s="578"/>
      <c r="BX152" s="574"/>
      <c r="BY152" s="525">
        <f>73768.38+5847.46</f>
        <v>79615.840000000011</v>
      </c>
      <c r="BZ152" s="525">
        <v>1.1499999999999999</v>
      </c>
      <c r="CA152" s="525">
        <v>0.38</v>
      </c>
      <c r="CB152" s="522">
        <f t="shared" si="213"/>
        <v>79617.37000000001</v>
      </c>
      <c r="CC152" s="522">
        <f t="shared" si="242"/>
        <v>0</v>
      </c>
      <c r="CD152" s="578"/>
      <c r="CE152" s="578"/>
      <c r="CF152" s="578"/>
      <c r="CG152" s="578"/>
      <c r="CH152" s="578"/>
      <c r="CI152" s="578"/>
      <c r="CJ152" s="578"/>
      <c r="CK152" s="542" t="s">
        <v>79</v>
      </c>
      <c r="CL152" s="543" t="s">
        <v>1931</v>
      </c>
      <c r="CM152" s="509" t="s">
        <v>1925</v>
      </c>
      <c r="CN152" s="528" t="s">
        <v>1849</v>
      </c>
      <c r="CO152" s="528"/>
      <c r="CP152" s="544">
        <f t="shared" ref="CP152:CP159" si="273">U152*$CU$7/100</f>
        <v>48483.704662157019</v>
      </c>
      <c r="CQ152" s="544">
        <f t="shared" ref="CQ152:CQ159" si="274">U152*$CU$8/100</f>
        <v>3561.2862813863358</v>
      </c>
      <c r="CR152" s="544">
        <f t="shared" ref="CR152:CR159" si="275">U152*$CU$9/100</f>
        <v>505.00905645665108</v>
      </c>
      <c r="CS152" s="1688" t="s">
        <v>1826</v>
      </c>
      <c r="CT152" s="1689"/>
      <c r="CU152" s="1689"/>
      <c r="CV152" s="1689"/>
      <c r="CW152" s="1690"/>
      <c r="CX152" s="528"/>
      <c r="CY152" s="528"/>
      <c r="CZ152" s="528"/>
      <c r="DA152" s="528"/>
      <c r="DB152" s="579"/>
      <c r="DC152" s="628" t="e">
        <f>P152-#REF!</f>
        <v>#REF!</v>
      </c>
      <c r="DD152" s="535"/>
      <c r="DE152" s="535"/>
      <c r="DF152" s="525">
        <f t="shared" si="211"/>
        <v>79.615840000000006</v>
      </c>
      <c r="DG152" s="525">
        <f t="shared" si="211"/>
        <v>1.15E-3</v>
      </c>
      <c r="DH152" s="525">
        <f t="shared" si="211"/>
        <v>3.8000000000000002E-4</v>
      </c>
      <c r="DI152" s="522">
        <f t="shared" si="209"/>
        <v>79.617370000000008</v>
      </c>
      <c r="DJ152" s="536"/>
      <c r="DK152" s="536"/>
      <c r="DL152" s="536"/>
      <c r="DM152" s="536"/>
      <c r="DN152" s="536"/>
      <c r="DO152" s="536"/>
      <c r="DP152" s="536"/>
      <c r="DQ152" s="536"/>
      <c r="DR152" s="536"/>
      <c r="DS152" s="536"/>
    </row>
    <row r="153" spans="1:123" s="534" customFormat="1" ht="56.4">
      <c r="A153" s="537" t="s">
        <v>634</v>
      </c>
      <c r="B153" s="538" t="s">
        <v>635</v>
      </c>
      <c r="C153" s="576">
        <v>8887333.5099999998</v>
      </c>
      <c r="D153" s="576">
        <v>9253209.8200000003</v>
      </c>
      <c r="E153" s="576">
        <v>8670495</v>
      </c>
      <c r="F153" s="576">
        <v>8691186.7400000002</v>
      </c>
      <c r="G153" s="577">
        <v>7030465.939274854</v>
      </c>
      <c r="H153" s="577">
        <v>0</v>
      </c>
      <c r="I153" s="576">
        <f t="shared" si="265"/>
        <v>8479669.8699999992</v>
      </c>
      <c r="J153" s="576">
        <v>4792692.59</v>
      </c>
      <c r="K153" s="649">
        <v>1843488.64</v>
      </c>
      <c r="L153" s="649">
        <v>1843488.64</v>
      </c>
      <c r="M153" s="576">
        <f t="shared" si="266"/>
        <v>6636181.2299999995</v>
      </c>
      <c r="N153" s="576">
        <v>7241691.8799999999</v>
      </c>
      <c r="O153" s="525">
        <f t="shared" si="267"/>
        <v>3289724.3199999994</v>
      </c>
      <c r="P153" s="522">
        <f>5983378.07+4548038.13</f>
        <v>10531416.199999999</v>
      </c>
      <c r="Q153" s="576">
        <f t="shared" si="219"/>
        <v>2051746.33</v>
      </c>
      <c r="R153" s="576">
        <f t="shared" si="220"/>
        <v>24.196063779072574</v>
      </c>
      <c r="S153" s="576">
        <v>9759247.696250001</v>
      </c>
      <c r="T153" s="576">
        <v>9759247.696250001</v>
      </c>
      <c r="U153" s="522">
        <f t="shared" si="268"/>
        <v>7611018.1699999999</v>
      </c>
      <c r="V153" s="522">
        <f t="shared" si="217"/>
        <v>-2148229.526250001</v>
      </c>
      <c r="W153" s="522">
        <f t="shared" si="246"/>
        <v>-22.012245135200942</v>
      </c>
      <c r="X153" s="522">
        <f t="shared" si="221"/>
        <v>-2920398.0299999993</v>
      </c>
      <c r="Y153" s="522">
        <f t="shared" si="222"/>
        <v>-27.73034485143603</v>
      </c>
      <c r="Z153" s="524">
        <f t="shared" si="223"/>
        <v>12042786.390000001</v>
      </c>
      <c r="AA153" s="522">
        <f t="shared" si="224"/>
        <v>2283538.6937499996</v>
      </c>
      <c r="AB153" s="522">
        <f t="shared" si="247"/>
        <v>23.398716425933657</v>
      </c>
      <c r="AC153" s="522">
        <f t="shared" si="225"/>
        <v>4431768.2200000007</v>
      </c>
      <c r="AD153" s="522">
        <f t="shared" si="226"/>
        <v>58.228322689709216</v>
      </c>
      <c r="AE153" s="522">
        <f t="shared" si="227"/>
        <v>1511370.1900000013</v>
      </c>
      <c r="AF153" s="522">
        <f t="shared" si="228"/>
        <v>14.351063155209843</v>
      </c>
      <c r="AG153" s="522">
        <f t="shared" si="243"/>
        <v>12436224.300000001</v>
      </c>
      <c r="AH153" s="522">
        <f t="shared" si="229"/>
        <v>4825206.1300000008</v>
      </c>
      <c r="AI153" s="522">
        <f t="shared" si="230"/>
        <v>63.39764302520382</v>
      </c>
      <c r="AJ153" s="522">
        <f t="shared" si="231"/>
        <v>393437.91000000015</v>
      </c>
      <c r="AK153" s="522">
        <f t="shared" si="212"/>
        <v>3.267000652994227</v>
      </c>
      <c r="AL153" s="522">
        <f t="shared" si="269"/>
        <v>12436224.300000001</v>
      </c>
      <c r="AM153" s="522">
        <f t="shared" si="270"/>
        <v>4600000</v>
      </c>
      <c r="AN153" s="522">
        <f t="shared" si="270"/>
        <v>5062854.1900000004</v>
      </c>
      <c r="AO153" s="522">
        <f t="shared" si="232"/>
        <v>462854.19000000041</v>
      </c>
      <c r="AP153" s="522">
        <f t="shared" si="244"/>
        <v>10.062047608695664</v>
      </c>
      <c r="AQ153" s="578">
        <v>2000000</v>
      </c>
      <c r="AR153" s="578">
        <v>2742199.7800000003</v>
      </c>
      <c r="AS153" s="578">
        <v>2600000</v>
      </c>
      <c r="AT153" s="578">
        <v>2320654.41</v>
      </c>
      <c r="AU153" s="578">
        <f t="shared" si="208"/>
        <v>3011018.17</v>
      </c>
      <c r="AV153" s="578">
        <f t="shared" si="208"/>
        <v>6979932.2000000002</v>
      </c>
      <c r="AW153" s="578">
        <f t="shared" si="233"/>
        <v>3968914.0300000003</v>
      </c>
      <c r="AX153" s="578">
        <f t="shared" si="234"/>
        <v>131.81302157336367</v>
      </c>
      <c r="AY153" s="578">
        <f t="shared" si="210"/>
        <v>7373370.1100000003</v>
      </c>
      <c r="AZ153" s="578">
        <f t="shared" si="235"/>
        <v>-393437.91000000015</v>
      </c>
      <c r="BA153" s="578">
        <f t="shared" si="236"/>
        <v>-5.3359305735433935</v>
      </c>
      <c r="BB153" s="578">
        <v>2600000</v>
      </c>
      <c r="BC153" s="576">
        <f>'[67]Гл инж_Тех дир'!AT32</f>
        <v>3489966.1</v>
      </c>
      <c r="BD153" s="576">
        <f t="shared" si="271"/>
        <v>3131046.29</v>
      </c>
      <c r="BE153" s="576">
        <f t="shared" si="237"/>
        <v>531046.29</v>
      </c>
      <c r="BF153" s="576">
        <f t="shared" si="238"/>
        <v>-358919.81000000006</v>
      </c>
      <c r="BG153" s="576">
        <f t="shared" si="218"/>
        <v>7200000</v>
      </c>
      <c r="BH153" s="578">
        <f t="shared" si="218"/>
        <v>8552820.290000001</v>
      </c>
      <c r="BI153" s="578">
        <f>3016000.37+5177900.11</f>
        <v>8193900.4800000004</v>
      </c>
      <c r="BJ153" s="578">
        <f t="shared" si="239"/>
        <v>993900.48000000045</v>
      </c>
      <c r="BK153" s="578">
        <f t="shared" si="240"/>
        <v>-358919.81000000052</v>
      </c>
      <c r="BL153" s="576">
        <v>411018.17</v>
      </c>
      <c r="BM153" s="578">
        <f>'[67]Гл инж_Тех дир'!AW32</f>
        <v>3489966.1</v>
      </c>
      <c r="BN153" s="522">
        <f t="shared" si="272"/>
        <v>4242323.82</v>
      </c>
      <c r="BO153" s="578">
        <f t="shared" si="245"/>
        <v>3831305.6500000004</v>
      </c>
      <c r="BP153" s="578">
        <f t="shared" si="241"/>
        <v>752357.7200000002</v>
      </c>
      <c r="BQ153" s="576">
        <v>411018.17</v>
      </c>
      <c r="BR153" s="578">
        <f>'[67]Гл инж_Тех дир'!BB32</f>
        <v>0</v>
      </c>
      <c r="BS153" s="578">
        <f>'[67]Гл инж_Тех дир'!BC32</f>
        <v>0</v>
      </c>
      <c r="BT153" s="536"/>
      <c r="BU153" s="578">
        <v>3884874.29</v>
      </c>
      <c r="BV153" s="578">
        <v>8551350.0099999998</v>
      </c>
      <c r="BW153" s="578"/>
      <c r="BX153" s="574"/>
      <c r="BY153" s="525">
        <f>3840989.34+8551350.01</f>
        <v>12392339.35</v>
      </c>
      <c r="BZ153" s="525">
        <v>37572.11</v>
      </c>
      <c r="CA153" s="525">
        <v>6312.84</v>
      </c>
      <c r="CB153" s="522">
        <f t="shared" si="213"/>
        <v>12436224.299999999</v>
      </c>
      <c r="CC153" s="522">
        <f t="shared" si="242"/>
        <v>0</v>
      </c>
      <c r="CD153" s="578"/>
      <c r="CE153" s="578"/>
      <c r="CF153" s="578"/>
      <c r="CG153" s="578"/>
      <c r="CH153" s="578"/>
      <c r="CI153" s="578"/>
      <c r="CJ153" s="578"/>
      <c r="CK153" s="542" t="s">
        <v>79</v>
      </c>
      <c r="CL153" s="543" t="s">
        <v>1806</v>
      </c>
      <c r="CM153" s="509" t="s">
        <v>1925</v>
      </c>
      <c r="CN153" s="528" t="s">
        <v>1849</v>
      </c>
      <c r="CO153" s="528" t="s">
        <v>1849</v>
      </c>
      <c r="CP153" s="544">
        <f t="shared" si="273"/>
        <v>7022081.011086408</v>
      </c>
      <c r="CQ153" s="544">
        <f t="shared" si="274"/>
        <v>515794.75920462667</v>
      </c>
      <c r="CR153" s="544">
        <f t="shared" si="275"/>
        <v>73142.399708965313</v>
      </c>
      <c r="CS153" s="1688" t="s">
        <v>1826</v>
      </c>
      <c r="CT153" s="1689"/>
      <c r="CU153" s="1689"/>
      <c r="CV153" s="1689"/>
      <c r="CW153" s="1690"/>
      <c r="CX153" s="528"/>
      <c r="CY153" s="528"/>
      <c r="CZ153" s="528"/>
      <c r="DA153" s="528"/>
      <c r="DB153" s="579">
        <f>1321920.55+1420279.23</f>
        <v>2742199.7800000003</v>
      </c>
      <c r="DC153" s="628" t="e">
        <f>P153-#REF!</f>
        <v>#REF!</v>
      </c>
      <c r="DD153" s="535"/>
      <c r="DE153" s="535"/>
      <c r="DF153" s="525">
        <f t="shared" si="211"/>
        <v>12392.33935</v>
      </c>
      <c r="DG153" s="525">
        <f t="shared" si="211"/>
        <v>37.572110000000002</v>
      </c>
      <c r="DH153" s="525">
        <f t="shared" si="211"/>
        <v>6.3128400000000005</v>
      </c>
      <c r="DI153" s="522">
        <f t="shared" si="209"/>
        <v>12436.224299999998</v>
      </c>
      <c r="DJ153" s="536"/>
      <c r="DK153" s="536"/>
      <c r="DL153" s="536"/>
      <c r="DM153" s="536"/>
      <c r="DN153" s="536"/>
      <c r="DO153" s="536"/>
      <c r="DP153" s="536"/>
      <c r="DQ153" s="536"/>
      <c r="DR153" s="536"/>
      <c r="DS153" s="536"/>
    </row>
    <row r="154" spans="1:123" s="534" customFormat="1" ht="57" customHeight="1">
      <c r="A154" s="537" t="s">
        <v>639</v>
      </c>
      <c r="B154" s="538" t="s">
        <v>640</v>
      </c>
      <c r="C154" s="576">
        <v>1424251.1</v>
      </c>
      <c r="D154" s="576">
        <v>585309.78</v>
      </c>
      <c r="E154" s="525">
        <v>1000000</v>
      </c>
      <c r="F154" s="525">
        <v>801754.53</v>
      </c>
      <c r="G154" s="596">
        <v>1017487.1237402791</v>
      </c>
      <c r="H154" s="596">
        <v>0</v>
      </c>
      <c r="I154" s="525">
        <f t="shared" si="265"/>
        <v>1169721.05</v>
      </c>
      <c r="J154" s="525">
        <v>646233.93000000005</v>
      </c>
      <c r="K154" s="525">
        <v>69400</v>
      </c>
      <c r="L154" s="525">
        <v>454087.12</v>
      </c>
      <c r="M154" s="525">
        <f t="shared" si="266"/>
        <v>715633.93</v>
      </c>
      <c r="N154" s="525">
        <v>726888.73</v>
      </c>
      <c r="O154" s="525">
        <f t="shared" si="267"/>
        <v>7976224.6099999994</v>
      </c>
      <c r="P154" s="522">
        <v>8703113.3399999999</v>
      </c>
      <c r="Q154" s="525">
        <f t="shared" si="219"/>
        <v>7533392.29</v>
      </c>
      <c r="R154" s="525">
        <f t="shared" si="220"/>
        <v>644.03323253864664</v>
      </c>
      <c r="S154" s="525">
        <v>1068000</v>
      </c>
      <c r="T154" s="525">
        <v>1068000</v>
      </c>
      <c r="U154" s="522">
        <f t="shared" si="268"/>
        <v>1018613.41</v>
      </c>
      <c r="V154" s="522">
        <f t="shared" si="217"/>
        <v>-49386.589999999967</v>
      </c>
      <c r="W154" s="522">
        <f t="shared" si="246"/>
        <v>-4.6242125468164801</v>
      </c>
      <c r="X154" s="522">
        <f t="shared" si="221"/>
        <v>-7684499.9299999997</v>
      </c>
      <c r="Y154" s="522">
        <f t="shared" si="222"/>
        <v>-88.295988226208721</v>
      </c>
      <c r="Z154" s="524">
        <f t="shared" si="223"/>
        <v>2453675.5499999998</v>
      </c>
      <c r="AA154" s="522">
        <f t="shared" si="224"/>
        <v>1385675.5499999998</v>
      </c>
      <c r="AB154" s="522">
        <f t="shared" si="247"/>
        <v>129.74490168539324</v>
      </c>
      <c r="AC154" s="522">
        <f t="shared" si="225"/>
        <v>1435062.1399999997</v>
      </c>
      <c r="AD154" s="522">
        <f t="shared" si="226"/>
        <v>140.88388449549271</v>
      </c>
      <c r="AE154" s="522">
        <f t="shared" si="227"/>
        <v>-6249437.79</v>
      </c>
      <c r="AF154" s="522">
        <f t="shared" si="228"/>
        <v>-71.806921797481721</v>
      </c>
      <c r="AG154" s="522">
        <f t="shared" si="243"/>
        <v>3604489.3899999997</v>
      </c>
      <c r="AH154" s="522">
        <f t="shared" si="229"/>
        <v>2585875.9799999995</v>
      </c>
      <c r="AI154" s="522">
        <f t="shared" si="230"/>
        <v>253.86235392286852</v>
      </c>
      <c r="AJ154" s="522">
        <f t="shared" si="231"/>
        <v>1150813.8399999999</v>
      </c>
      <c r="AK154" s="522">
        <f t="shared" si="212"/>
        <v>46.901630494708229</v>
      </c>
      <c r="AL154" s="522">
        <f t="shared" si="269"/>
        <v>3604489.39</v>
      </c>
      <c r="AM154" s="522">
        <f t="shared" si="270"/>
        <v>480000</v>
      </c>
      <c r="AN154" s="522">
        <f t="shared" si="270"/>
        <v>570741.80000000005</v>
      </c>
      <c r="AO154" s="522">
        <f t="shared" si="232"/>
        <v>90741.800000000047</v>
      </c>
      <c r="AP154" s="522">
        <f t="shared" si="244"/>
        <v>18.904541666666688</v>
      </c>
      <c r="AQ154" s="522">
        <v>20000</v>
      </c>
      <c r="AR154" s="522">
        <v>55206.98</v>
      </c>
      <c r="AS154" s="522">
        <v>460000</v>
      </c>
      <c r="AT154" s="522">
        <v>515534.82000000007</v>
      </c>
      <c r="AU154" s="522">
        <f t="shared" si="208"/>
        <v>538613.41</v>
      </c>
      <c r="AV154" s="522">
        <f t="shared" si="208"/>
        <v>1882933.75</v>
      </c>
      <c r="AW154" s="522">
        <f t="shared" si="233"/>
        <v>1344320.3399999999</v>
      </c>
      <c r="AX154" s="522">
        <f t="shared" si="234"/>
        <v>249.58909582292057</v>
      </c>
      <c r="AY154" s="522">
        <f t="shared" si="210"/>
        <v>3033747.59</v>
      </c>
      <c r="AZ154" s="522">
        <f t="shared" si="235"/>
        <v>-1150813.8399999999</v>
      </c>
      <c r="BA154" s="522">
        <f t="shared" si="236"/>
        <v>-37.933737262565067</v>
      </c>
      <c r="BB154" s="522">
        <v>98613.41</v>
      </c>
      <c r="BC154" s="525">
        <f>'[67]Гл инж_Тех дир'!AT77</f>
        <v>1442933.75</v>
      </c>
      <c r="BD154" s="525">
        <f t="shared" si="271"/>
        <v>1029402.5999999999</v>
      </c>
      <c r="BE154" s="525">
        <f t="shared" si="237"/>
        <v>930789.18999999983</v>
      </c>
      <c r="BF154" s="525">
        <f t="shared" si="238"/>
        <v>-413531.15000000014</v>
      </c>
      <c r="BG154" s="525">
        <f t="shared" si="218"/>
        <v>578613.41</v>
      </c>
      <c r="BH154" s="522">
        <f t="shared" si="218"/>
        <v>2013675.55</v>
      </c>
      <c r="BI154" s="522">
        <v>1600144.4</v>
      </c>
      <c r="BJ154" s="522">
        <f t="shared" si="239"/>
        <v>1021530.9899999999</v>
      </c>
      <c r="BK154" s="522">
        <f t="shared" si="240"/>
        <v>-413531.15000000014</v>
      </c>
      <c r="BL154" s="525">
        <v>440000</v>
      </c>
      <c r="BM154" s="522">
        <f>'[67]Гл инж_Тех дир'!AW77</f>
        <v>440000</v>
      </c>
      <c r="BN154" s="522">
        <f t="shared" si="272"/>
        <v>2004344.9900000002</v>
      </c>
      <c r="BO154" s="522">
        <f t="shared" si="245"/>
        <v>1564344.9900000002</v>
      </c>
      <c r="BP154" s="522">
        <f t="shared" si="241"/>
        <v>1564344.9900000002</v>
      </c>
      <c r="BQ154" s="525">
        <v>440000</v>
      </c>
      <c r="BR154" s="522">
        <f>'[67]Гл инж_Тех дир'!BB77</f>
        <v>0</v>
      </c>
      <c r="BS154" s="522">
        <f>'[67]Гл инж_Тех дир'!BC77</f>
        <v>0</v>
      </c>
      <c r="BT154" s="536"/>
      <c r="BU154" s="522">
        <f>3559159.79+45329.6</f>
        <v>3604489.39</v>
      </c>
      <c r="BV154" s="522"/>
      <c r="BW154" s="522"/>
      <c r="BX154" s="574"/>
      <c r="BY154" s="525">
        <f>3498445.03+45329.6</f>
        <v>3543774.63</v>
      </c>
      <c r="BZ154" s="525">
        <v>55623.45</v>
      </c>
      <c r="CA154" s="525">
        <v>5091.3100000000004</v>
      </c>
      <c r="CB154" s="522">
        <f t="shared" si="213"/>
        <v>3604489.39</v>
      </c>
      <c r="CC154" s="522">
        <f t="shared" si="242"/>
        <v>0</v>
      </c>
      <c r="CD154" s="522"/>
      <c r="CE154" s="522"/>
      <c r="CF154" s="522"/>
      <c r="CG154" s="522"/>
      <c r="CH154" s="522"/>
      <c r="CI154" s="522"/>
      <c r="CJ154" s="522"/>
      <c r="CK154" s="542" t="s">
        <v>79</v>
      </c>
      <c r="CL154" s="543" t="s">
        <v>1912</v>
      </c>
      <c r="CM154" s="509" t="s">
        <v>1925</v>
      </c>
      <c r="CN154" s="528"/>
      <c r="CO154" s="528"/>
      <c r="CP154" s="544">
        <f t="shared" si="273"/>
        <v>939793.56299434172</v>
      </c>
      <c r="CQ154" s="544">
        <f t="shared" si="274"/>
        <v>69030.903198271262</v>
      </c>
      <c r="CR154" s="544">
        <f t="shared" si="275"/>
        <v>9788.9438073870951</v>
      </c>
      <c r="CS154" s="1688" t="s">
        <v>1826</v>
      </c>
      <c r="CT154" s="1689"/>
      <c r="CU154" s="1689"/>
      <c r="CV154" s="1689"/>
      <c r="CW154" s="1690"/>
      <c r="CX154" s="528"/>
      <c r="CY154" s="528"/>
      <c r="CZ154" s="528"/>
      <c r="DA154" s="528"/>
      <c r="DB154" s="544">
        <f>55206.98</f>
        <v>55206.98</v>
      </c>
      <c r="DC154" s="628" t="e">
        <f>P154-#REF!</f>
        <v>#REF!</v>
      </c>
      <c r="DD154" s="535"/>
      <c r="DE154" s="535"/>
      <c r="DF154" s="525">
        <f t="shared" si="211"/>
        <v>3543.7746299999999</v>
      </c>
      <c r="DG154" s="525">
        <f t="shared" si="211"/>
        <v>55.623449999999998</v>
      </c>
      <c r="DH154" s="525">
        <f t="shared" si="211"/>
        <v>5.09131</v>
      </c>
      <c r="DI154" s="522">
        <f t="shared" si="209"/>
        <v>3604.4893900000002</v>
      </c>
      <c r="DJ154" s="536"/>
      <c r="DK154" s="536"/>
      <c r="DL154" s="536"/>
      <c r="DM154" s="536"/>
      <c r="DN154" s="536"/>
      <c r="DO154" s="536"/>
      <c r="DP154" s="536"/>
      <c r="DQ154" s="536"/>
      <c r="DR154" s="536"/>
      <c r="DS154" s="536"/>
    </row>
    <row r="155" spans="1:123" s="534" customFormat="1" ht="45" customHeight="1">
      <c r="A155" s="537" t="s">
        <v>644</v>
      </c>
      <c r="B155" s="538" t="s">
        <v>645</v>
      </c>
      <c r="C155" s="576">
        <v>4906886.88</v>
      </c>
      <c r="D155" s="576">
        <v>3326611.66</v>
      </c>
      <c r="E155" s="576">
        <v>5000000</v>
      </c>
      <c r="F155" s="576">
        <v>5443323.0700000003</v>
      </c>
      <c r="G155" s="577">
        <v>3879693.6408482469</v>
      </c>
      <c r="H155" s="577">
        <v>0</v>
      </c>
      <c r="I155" s="576">
        <f t="shared" si="265"/>
        <v>4030513.5700000003</v>
      </c>
      <c r="J155" s="576">
        <v>2560099.9300000002</v>
      </c>
      <c r="K155" s="576">
        <v>1470413.64</v>
      </c>
      <c r="L155" s="576">
        <v>0</v>
      </c>
      <c r="M155" s="576">
        <f t="shared" si="266"/>
        <v>4030513.5700000003</v>
      </c>
      <c r="N155" s="576">
        <v>3831347.93</v>
      </c>
      <c r="O155" s="525">
        <f t="shared" si="267"/>
        <v>1402008.9999999995</v>
      </c>
      <c r="P155" s="522">
        <f>4409563.93+823793</f>
        <v>5233356.93</v>
      </c>
      <c r="Q155" s="576">
        <f t="shared" si="219"/>
        <v>1202843.3599999994</v>
      </c>
      <c r="R155" s="576">
        <f t="shared" si="220"/>
        <v>29.843426628135603</v>
      </c>
      <c r="S155" s="576">
        <v>4093076.7910949001</v>
      </c>
      <c r="T155" s="576">
        <v>4093076.7910949001</v>
      </c>
      <c r="U155" s="522">
        <f t="shared" si="268"/>
        <v>4093076.79</v>
      </c>
      <c r="V155" s="522">
        <f t="shared" si="217"/>
        <v>-1.0949000716209412E-3</v>
      </c>
      <c r="W155" s="522">
        <f t="shared" si="246"/>
        <v>-2.675004395769065E-8</v>
      </c>
      <c r="X155" s="522">
        <f t="shared" si="221"/>
        <v>-1140280.1399999997</v>
      </c>
      <c r="Y155" s="522">
        <f t="shared" si="222"/>
        <v>-21.788694240658259</v>
      </c>
      <c r="Z155" s="524">
        <f t="shared" si="223"/>
        <v>6197346.79</v>
      </c>
      <c r="AA155" s="522">
        <f t="shared" si="224"/>
        <v>2104269.9989050999</v>
      </c>
      <c r="AB155" s="522">
        <f t="shared" si="247"/>
        <v>51.410469588140984</v>
      </c>
      <c r="AC155" s="522">
        <f t="shared" si="225"/>
        <v>2104270</v>
      </c>
      <c r="AD155" s="522">
        <f t="shared" si="226"/>
        <v>51.410469628643341</v>
      </c>
      <c r="AE155" s="522">
        <f t="shared" si="227"/>
        <v>963989.86000000034</v>
      </c>
      <c r="AF155" s="522">
        <f t="shared" si="228"/>
        <v>18.420105352913524</v>
      </c>
      <c r="AG155" s="522">
        <f t="shared" si="243"/>
        <v>5996527.2699999996</v>
      </c>
      <c r="AH155" s="522">
        <f t="shared" si="229"/>
        <v>1903450.4799999995</v>
      </c>
      <c r="AI155" s="522">
        <f t="shared" si="230"/>
        <v>46.504147800266395</v>
      </c>
      <c r="AJ155" s="522">
        <f t="shared" si="231"/>
        <v>-200819.52000000048</v>
      </c>
      <c r="AK155" s="522">
        <f t="shared" si="212"/>
        <v>-3.2404112082938639</v>
      </c>
      <c r="AL155" s="522">
        <f t="shared" si="269"/>
        <v>5996527.2699999996</v>
      </c>
      <c r="AM155" s="522">
        <f t="shared" si="270"/>
        <v>2600000</v>
      </c>
      <c r="AN155" s="522">
        <f t="shared" si="270"/>
        <v>2401572</v>
      </c>
      <c r="AO155" s="522">
        <f t="shared" si="232"/>
        <v>-198428</v>
      </c>
      <c r="AP155" s="522">
        <f t="shared" si="244"/>
        <v>-7.6318461538461548</v>
      </c>
      <c r="AQ155" s="578">
        <v>1664000</v>
      </c>
      <c r="AR155" s="578">
        <v>1214108</v>
      </c>
      <c r="AS155" s="578">
        <v>936000</v>
      </c>
      <c r="AT155" s="578">
        <v>1187464</v>
      </c>
      <c r="AU155" s="578">
        <f t="shared" ref="AU155:AV218" si="276">BB155+BL155</f>
        <v>1493076.79</v>
      </c>
      <c r="AV155" s="578">
        <f t="shared" si="276"/>
        <v>3795774.79</v>
      </c>
      <c r="AW155" s="578">
        <f t="shared" si="233"/>
        <v>2302698</v>
      </c>
      <c r="AX155" s="578">
        <f t="shared" si="234"/>
        <v>154.22502147394573</v>
      </c>
      <c r="AY155" s="578">
        <f t="shared" si="210"/>
        <v>3594955.2699999996</v>
      </c>
      <c r="AZ155" s="578">
        <f t="shared" si="235"/>
        <v>200819.52000000048</v>
      </c>
      <c r="BA155" s="578">
        <f t="shared" si="236"/>
        <v>5.5861479467031074</v>
      </c>
      <c r="BB155" s="578">
        <v>1493076.79</v>
      </c>
      <c r="BC155" s="576">
        <f>'[67]Гл инж_Тех дир'!AT33</f>
        <v>1598774.79</v>
      </c>
      <c r="BD155" s="576">
        <f t="shared" si="271"/>
        <v>1060620.1400000001</v>
      </c>
      <c r="BE155" s="576">
        <f t="shared" si="237"/>
        <v>-432456.64999999991</v>
      </c>
      <c r="BF155" s="576">
        <f t="shared" si="238"/>
        <v>-538154.64999999991</v>
      </c>
      <c r="BG155" s="576">
        <f t="shared" si="218"/>
        <v>4093076.79</v>
      </c>
      <c r="BH155" s="578">
        <f t="shared" si="218"/>
        <v>4000346.79</v>
      </c>
      <c r="BI155" s="578">
        <f>185270+3276922.14</f>
        <v>3462192.14</v>
      </c>
      <c r="BJ155" s="578">
        <f t="shared" si="239"/>
        <v>-630884.64999999991</v>
      </c>
      <c r="BK155" s="578">
        <f t="shared" si="240"/>
        <v>-538154.64999999991</v>
      </c>
      <c r="BL155" s="576">
        <v>0</v>
      </c>
      <c r="BM155" s="578">
        <f>'[67]Гл инж_Тех дир'!AW33</f>
        <v>2197000</v>
      </c>
      <c r="BN155" s="522">
        <f t="shared" si="272"/>
        <v>2534335.1299999994</v>
      </c>
      <c r="BO155" s="578">
        <f t="shared" si="245"/>
        <v>2534335.1299999994</v>
      </c>
      <c r="BP155" s="578">
        <f t="shared" si="241"/>
        <v>337335.12999999942</v>
      </c>
      <c r="BQ155" s="576">
        <v>0</v>
      </c>
      <c r="BR155" s="578">
        <f>'[67]Гл инж_Тех дир'!BB33</f>
        <v>0</v>
      </c>
      <c r="BS155" s="578">
        <f>'[67]Гл инж_Тех дир'!BC33</f>
        <v>0</v>
      </c>
      <c r="BT155" s="536"/>
      <c r="BU155" s="578">
        <v>313345</v>
      </c>
      <c r="BV155" s="578">
        <v>5683182.2699999996</v>
      </c>
      <c r="BW155" s="578"/>
      <c r="BX155" s="574"/>
      <c r="BY155" s="525">
        <f>313345+5683182.27</f>
        <v>5996527.2699999996</v>
      </c>
      <c r="BZ155" s="525"/>
      <c r="CA155" s="525"/>
      <c r="CB155" s="522">
        <f t="shared" si="213"/>
        <v>5996527.2699999996</v>
      </c>
      <c r="CC155" s="522">
        <f t="shared" si="242"/>
        <v>0</v>
      </c>
      <c r="CD155" s="578"/>
      <c r="CE155" s="578"/>
      <c r="CF155" s="578"/>
      <c r="CG155" s="578"/>
      <c r="CH155" s="578"/>
      <c r="CI155" s="578"/>
      <c r="CJ155" s="578"/>
      <c r="CK155" s="542" t="s">
        <v>79</v>
      </c>
      <c r="CL155" s="543" t="s">
        <v>1806</v>
      </c>
      <c r="CM155" s="509" t="s">
        <v>1925</v>
      </c>
      <c r="CN155" s="528" t="s">
        <v>1849</v>
      </c>
      <c r="CO155" s="528" t="s">
        <v>1849</v>
      </c>
      <c r="CP155" s="544">
        <f t="shared" si="273"/>
        <v>3776356.3510159785</v>
      </c>
      <c r="CQ155" s="544">
        <f t="shared" si="274"/>
        <v>277385.69402260362</v>
      </c>
      <c r="CR155" s="544">
        <f t="shared" si="275"/>
        <v>39334.744961418044</v>
      </c>
      <c r="CS155" s="1688" t="s">
        <v>1826</v>
      </c>
      <c r="CT155" s="1689"/>
      <c r="CU155" s="1689"/>
      <c r="CV155" s="1689"/>
      <c r="CW155" s="1690"/>
      <c r="CX155" s="528"/>
      <c r="CY155" s="528"/>
      <c r="CZ155" s="528"/>
      <c r="DA155" s="528"/>
      <c r="DB155" s="579">
        <f>40720+1173388</f>
        <v>1214108</v>
      </c>
      <c r="DC155" s="628" t="e">
        <f>P155-#REF!</f>
        <v>#REF!</v>
      </c>
      <c r="DD155" s="535"/>
      <c r="DE155" s="535"/>
      <c r="DF155" s="525">
        <f t="shared" si="211"/>
        <v>5996.5272699999996</v>
      </c>
      <c r="DG155" s="525">
        <f t="shared" si="211"/>
        <v>0</v>
      </c>
      <c r="DH155" s="525">
        <f t="shared" si="211"/>
        <v>0</v>
      </c>
      <c r="DI155" s="522">
        <f t="shared" si="211"/>
        <v>5996.5272699999996</v>
      </c>
      <c r="DJ155" s="536"/>
      <c r="DK155" s="536"/>
      <c r="DL155" s="536"/>
      <c r="DM155" s="536"/>
      <c r="DN155" s="536"/>
      <c r="DO155" s="536"/>
      <c r="DP155" s="536"/>
      <c r="DQ155" s="536"/>
      <c r="DR155" s="536"/>
      <c r="DS155" s="536"/>
    </row>
    <row r="156" spans="1:123" s="534" customFormat="1" ht="111" customHeight="1">
      <c r="A156" s="537" t="s">
        <v>649</v>
      </c>
      <c r="B156" s="538" t="s">
        <v>650</v>
      </c>
      <c r="C156" s="576">
        <v>86609.23</v>
      </c>
      <c r="D156" s="576">
        <v>343892.45</v>
      </c>
      <c r="E156" s="525">
        <v>250000</v>
      </c>
      <c r="F156" s="525">
        <v>130781.4</v>
      </c>
      <c r="G156" s="596">
        <v>282058.96067073615</v>
      </c>
      <c r="H156" s="596">
        <v>0</v>
      </c>
      <c r="I156" s="525">
        <f t="shared" si="265"/>
        <v>8098854</v>
      </c>
      <c r="J156" s="525">
        <v>95474</v>
      </c>
      <c r="K156" s="525">
        <v>7853380</v>
      </c>
      <c r="L156" s="525">
        <v>150000</v>
      </c>
      <c r="M156" s="525">
        <f t="shared" si="266"/>
        <v>7948854</v>
      </c>
      <c r="N156" s="525">
        <v>367146.21</v>
      </c>
      <c r="O156" s="525">
        <f t="shared" si="267"/>
        <v>260849.32</v>
      </c>
      <c r="P156" s="522">
        <v>627995.53</v>
      </c>
      <c r="Q156" s="525">
        <f t="shared" si="219"/>
        <v>-7470858.4699999997</v>
      </c>
      <c r="R156" s="525">
        <f t="shared" si="220"/>
        <v>-92.245871699872595</v>
      </c>
      <c r="S156" s="525">
        <v>148320.86749999996</v>
      </c>
      <c r="T156" s="525">
        <v>148320.86749999996</v>
      </c>
      <c r="U156" s="522">
        <f t="shared" si="268"/>
        <v>1050000</v>
      </c>
      <c r="V156" s="522">
        <f t="shared" si="217"/>
        <v>901679.13250000007</v>
      </c>
      <c r="W156" s="522">
        <f t="shared" si="246"/>
        <v>607.92466205067217</v>
      </c>
      <c r="X156" s="522">
        <f t="shared" si="221"/>
        <v>422004.47</v>
      </c>
      <c r="Y156" s="522">
        <f t="shared" si="222"/>
        <v>67.19864232154643</v>
      </c>
      <c r="Z156" s="524">
        <f t="shared" si="223"/>
        <v>987527.14</v>
      </c>
      <c r="AA156" s="522">
        <f t="shared" si="224"/>
        <v>839206.27250000008</v>
      </c>
      <c r="AB156" s="522">
        <f t="shared" si="247"/>
        <v>565.80458747653984</v>
      </c>
      <c r="AC156" s="522">
        <f t="shared" si="225"/>
        <v>-62472.859999999986</v>
      </c>
      <c r="AD156" s="522">
        <f t="shared" si="226"/>
        <v>-5.9497961904761922</v>
      </c>
      <c r="AE156" s="522">
        <f t="shared" si="227"/>
        <v>359531.61</v>
      </c>
      <c r="AF156" s="522">
        <f t="shared" si="228"/>
        <v>57.250663870171167</v>
      </c>
      <c r="AG156" s="522">
        <f t="shared" si="243"/>
        <v>1576891.1</v>
      </c>
      <c r="AH156" s="522">
        <f t="shared" si="229"/>
        <v>526891.10000000009</v>
      </c>
      <c r="AI156" s="522">
        <f t="shared" si="230"/>
        <v>50.180104761904772</v>
      </c>
      <c r="AJ156" s="522">
        <f t="shared" si="231"/>
        <v>589363.96000000008</v>
      </c>
      <c r="AK156" s="522">
        <f t="shared" si="212"/>
        <v>59.680786089585354</v>
      </c>
      <c r="AL156" s="522">
        <f t="shared" si="269"/>
        <v>1576891.1</v>
      </c>
      <c r="AM156" s="522">
        <f t="shared" si="270"/>
        <v>550000</v>
      </c>
      <c r="AN156" s="522">
        <f t="shared" si="270"/>
        <v>487527.14</v>
      </c>
      <c r="AO156" s="522">
        <f t="shared" si="232"/>
        <v>-62472.859999999986</v>
      </c>
      <c r="AP156" s="522">
        <f t="shared" si="244"/>
        <v>-11.358701818181814</v>
      </c>
      <c r="AQ156" s="522">
        <v>150000</v>
      </c>
      <c r="AR156" s="522">
        <v>105000</v>
      </c>
      <c r="AS156" s="522">
        <v>400000</v>
      </c>
      <c r="AT156" s="522">
        <v>382527.14</v>
      </c>
      <c r="AU156" s="522">
        <f t="shared" si="276"/>
        <v>500000</v>
      </c>
      <c r="AV156" s="522">
        <f t="shared" si="276"/>
        <v>500000</v>
      </c>
      <c r="AW156" s="522">
        <f t="shared" si="233"/>
        <v>0</v>
      </c>
      <c r="AX156" s="522">
        <f t="shared" si="234"/>
        <v>0</v>
      </c>
      <c r="AY156" s="522">
        <f t="shared" ref="AY156:AY219" si="277">BD156+BN156</f>
        <v>1089363.96</v>
      </c>
      <c r="AZ156" s="522">
        <f t="shared" si="235"/>
        <v>-589363.96</v>
      </c>
      <c r="BA156" s="522">
        <f t="shared" si="236"/>
        <v>-54.101657631486169</v>
      </c>
      <c r="BB156" s="522">
        <v>250000</v>
      </c>
      <c r="BC156" s="525">
        <f>'[67]Дир_ по реал.услуг'!AT28</f>
        <v>250000</v>
      </c>
      <c r="BD156" s="525">
        <f t="shared" si="271"/>
        <v>649274.80999999994</v>
      </c>
      <c r="BE156" s="525">
        <f t="shared" si="237"/>
        <v>399274.80999999994</v>
      </c>
      <c r="BF156" s="525">
        <f t="shared" si="238"/>
        <v>399274.80999999994</v>
      </c>
      <c r="BG156" s="525">
        <f t="shared" si="218"/>
        <v>800000</v>
      </c>
      <c r="BH156" s="522">
        <f t="shared" si="218"/>
        <v>737527.14</v>
      </c>
      <c r="BI156" s="522">
        <v>1136801.95</v>
      </c>
      <c r="BJ156" s="522">
        <f t="shared" si="239"/>
        <v>336801.94999999995</v>
      </c>
      <c r="BK156" s="522">
        <f t="shared" si="240"/>
        <v>399274.80999999994</v>
      </c>
      <c r="BL156" s="525">
        <v>250000</v>
      </c>
      <c r="BM156" s="522">
        <f>'[67]Дир_ по реал.услуг'!AW28</f>
        <v>250000</v>
      </c>
      <c r="BN156" s="522">
        <f t="shared" si="272"/>
        <v>440089.15000000014</v>
      </c>
      <c r="BO156" s="522">
        <f t="shared" si="245"/>
        <v>190089.15000000014</v>
      </c>
      <c r="BP156" s="522">
        <f t="shared" si="241"/>
        <v>190089.15000000014</v>
      </c>
      <c r="BQ156" s="525">
        <v>250000</v>
      </c>
      <c r="BR156" s="522">
        <f>'[67]Дир_ по реал.услуг'!BB28</f>
        <v>0</v>
      </c>
      <c r="BS156" s="522">
        <f>'[67]Дир_ по реал.услуг'!BC28</f>
        <v>0</v>
      </c>
      <c r="BT156" s="536"/>
      <c r="BU156" s="522">
        <v>1576891.1</v>
      </c>
      <c r="BV156" s="522"/>
      <c r="BW156" s="522"/>
      <c r="BX156" s="574"/>
      <c r="BY156" s="525">
        <v>1522731.78</v>
      </c>
      <c r="BZ156" s="525"/>
      <c r="CA156" s="525">
        <v>54159.32</v>
      </c>
      <c r="CB156" s="522">
        <f t="shared" si="213"/>
        <v>1576891.1</v>
      </c>
      <c r="CC156" s="522">
        <f t="shared" si="242"/>
        <v>0</v>
      </c>
      <c r="CD156" s="522"/>
      <c r="CE156" s="522"/>
      <c r="CF156" s="522"/>
      <c r="CG156" s="522"/>
      <c r="CH156" s="522"/>
      <c r="CI156" s="522"/>
      <c r="CJ156" s="522"/>
      <c r="CK156" s="543" t="s">
        <v>78</v>
      </c>
      <c r="CL156" s="543" t="s">
        <v>1833</v>
      </c>
      <c r="CM156" s="509" t="s">
        <v>1925</v>
      </c>
      <c r="CN156" s="528" t="s">
        <v>1849</v>
      </c>
      <c r="CO156" s="528"/>
      <c r="CP156" s="544">
        <f t="shared" si="273"/>
        <v>968751.47279286128</v>
      </c>
      <c r="CQ156" s="544">
        <f t="shared" si="274"/>
        <v>71157.956145683216</v>
      </c>
      <c r="CR156" s="544">
        <f t="shared" si="275"/>
        <v>10090.571061455446</v>
      </c>
      <c r="CS156" s="1688" t="s">
        <v>1826</v>
      </c>
      <c r="CT156" s="1689"/>
      <c r="CU156" s="1689"/>
      <c r="CV156" s="1689"/>
      <c r="CW156" s="1690"/>
      <c r="CX156" s="528"/>
      <c r="CY156" s="528"/>
      <c r="CZ156" s="528"/>
      <c r="DA156" s="528"/>
      <c r="DB156" s="544">
        <f>105000</f>
        <v>105000</v>
      </c>
      <c r="DC156" s="628" t="e">
        <f>P156-#REF!</f>
        <v>#REF!</v>
      </c>
      <c r="DD156" s="535"/>
      <c r="DE156" s="535"/>
      <c r="DF156" s="525">
        <f t="shared" ref="DF156:DI219" si="278">BY156/1000</f>
        <v>1522.7317800000001</v>
      </c>
      <c r="DG156" s="525">
        <f t="shared" si="278"/>
        <v>0</v>
      </c>
      <c r="DH156" s="525">
        <f t="shared" si="278"/>
        <v>54.159320000000001</v>
      </c>
      <c r="DI156" s="522">
        <f t="shared" si="278"/>
        <v>1576.8911000000001</v>
      </c>
      <c r="DJ156" s="536"/>
      <c r="DK156" s="536"/>
      <c r="DL156" s="536"/>
      <c r="DM156" s="536"/>
      <c r="DN156" s="536"/>
      <c r="DO156" s="536"/>
      <c r="DP156" s="536"/>
      <c r="DQ156" s="536"/>
      <c r="DR156" s="536"/>
      <c r="DS156" s="536"/>
    </row>
    <row r="157" spans="1:123" s="534" customFormat="1" ht="56.4">
      <c r="A157" s="537" t="s">
        <v>654</v>
      </c>
      <c r="B157" s="538" t="s">
        <v>655</v>
      </c>
      <c r="C157" s="576">
        <v>2143524.08</v>
      </c>
      <c r="D157" s="576">
        <v>974565.88</v>
      </c>
      <c r="E157" s="576">
        <v>1910580</v>
      </c>
      <c r="F157" s="576">
        <v>1316592.8600000001</v>
      </c>
      <c r="G157" s="577">
        <v>1469842.5801307391</v>
      </c>
      <c r="H157" s="577">
        <v>0</v>
      </c>
      <c r="I157" s="576">
        <f t="shared" si="265"/>
        <v>1463998.35</v>
      </c>
      <c r="J157" s="576">
        <v>729077.05</v>
      </c>
      <c r="K157" s="576">
        <v>367460.65</v>
      </c>
      <c r="L157" s="576">
        <v>367460.65</v>
      </c>
      <c r="M157" s="576">
        <f t="shared" si="266"/>
        <v>1096537.7000000002</v>
      </c>
      <c r="N157" s="576">
        <v>1115647.43</v>
      </c>
      <c r="O157" s="525">
        <f t="shared" si="267"/>
        <v>436136.41000000015</v>
      </c>
      <c r="P157" s="522">
        <f>3322.02+1548461.82</f>
        <v>1551783.84</v>
      </c>
      <c r="Q157" s="576">
        <f t="shared" si="219"/>
        <v>87785.489999999991</v>
      </c>
      <c r="R157" s="576">
        <f t="shared" si="220"/>
        <v>5.9962833974505543</v>
      </c>
      <c r="S157" s="576">
        <v>1550683.9220379298</v>
      </c>
      <c r="T157" s="576">
        <v>1550683.9220379298</v>
      </c>
      <c r="U157" s="522">
        <f t="shared" si="268"/>
        <v>1550683.92</v>
      </c>
      <c r="V157" s="522">
        <f t="shared" si="217"/>
        <v>-2.0379298366606236E-3</v>
      </c>
      <c r="W157" s="522">
        <f t="shared" si="246"/>
        <v>-1.3142134491772595E-7</v>
      </c>
      <c r="X157" s="522">
        <f t="shared" si="221"/>
        <v>-1099.9200000001583</v>
      </c>
      <c r="Y157" s="522">
        <f t="shared" si="222"/>
        <v>-7.0881006210257169E-2</v>
      </c>
      <c r="Z157" s="524">
        <f t="shared" si="223"/>
        <v>2397444.11</v>
      </c>
      <c r="AA157" s="522">
        <f t="shared" si="224"/>
        <v>846760.18796207011</v>
      </c>
      <c r="AB157" s="522">
        <f t="shared" si="247"/>
        <v>54.605595371701952</v>
      </c>
      <c r="AC157" s="522">
        <f t="shared" si="225"/>
        <v>846760.19</v>
      </c>
      <c r="AD157" s="522">
        <f t="shared" si="226"/>
        <v>54.605595574886735</v>
      </c>
      <c r="AE157" s="522">
        <f t="shared" si="227"/>
        <v>845660.26999999979</v>
      </c>
      <c r="AF157" s="522">
        <f t="shared" si="228"/>
        <v>54.4960095730859</v>
      </c>
      <c r="AG157" s="522">
        <f t="shared" si="243"/>
        <v>2547752.0499999998</v>
      </c>
      <c r="AH157" s="522">
        <f t="shared" si="229"/>
        <v>997068.12999999989</v>
      </c>
      <c r="AI157" s="522">
        <f t="shared" si="230"/>
        <v>64.298605095485868</v>
      </c>
      <c r="AJ157" s="522">
        <f t="shared" si="231"/>
        <v>150307.93999999994</v>
      </c>
      <c r="AK157" s="522">
        <f t="shared" si="212"/>
        <v>6.2695075715445796</v>
      </c>
      <c r="AL157" s="522">
        <f t="shared" si="269"/>
        <v>2547752.0499999998</v>
      </c>
      <c r="AM157" s="522">
        <f t="shared" si="270"/>
        <v>775341.96</v>
      </c>
      <c r="AN157" s="522">
        <f t="shared" si="270"/>
        <v>922102.15</v>
      </c>
      <c r="AO157" s="522">
        <f t="shared" si="232"/>
        <v>146760.19000000006</v>
      </c>
      <c r="AP157" s="522">
        <f t="shared" si="244"/>
        <v>18.928446746258913</v>
      </c>
      <c r="AQ157" s="578">
        <v>387670.98</v>
      </c>
      <c r="AR157" s="578">
        <v>428377.87</v>
      </c>
      <c r="AS157" s="578">
        <v>387670.98</v>
      </c>
      <c r="AT157" s="578">
        <v>493724.28</v>
      </c>
      <c r="AU157" s="578">
        <f t="shared" si="276"/>
        <v>775341.96</v>
      </c>
      <c r="AV157" s="578">
        <f t="shared" si="276"/>
        <v>1475341.96</v>
      </c>
      <c r="AW157" s="578">
        <f t="shared" si="233"/>
        <v>700000</v>
      </c>
      <c r="AX157" s="578">
        <f t="shared" si="234"/>
        <v>90.282744403514556</v>
      </c>
      <c r="AY157" s="578">
        <f t="shared" si="277"/>
        <v>1625649.9</v>
      </c>
      <c r="AZ157" s="578">
        <f t="shared" si="235"/>
        <v>-150307.93999999994</v>
      </c>
      <c r="BA157" s="578">
        <f t="shared" si="236"/>
        <v>-9.2460215449833356</v>
      </c>
      <c r="BB157" s="578">
        <v>387670.98</v>
      </c>
      <c r="BC157" s="576">
        <f>'[67]Гл инж_Тех дир'!AT68</f>
        <v>737670.98</v>
      </c>
      <c r="BD157" s="576">
        <f t="shared" si="271"/>
        <v>559040.52999999991</v>
      </c>
      <c r="BE157" s="576">
        <f t="shared" si="237"/>
        <v>171369.54999999993</v>
      </c>
      <c r="BF157" s="576">
        <f t="shared" si="238"/>
        <v>-178630.45000000007</v>
      </c>
      <c r="BG157" s="576">
        <f t="shared" si="218"/>
        <v>1163012.94</v>
      </c>
      <c r="BH157" s="578">
        <f t="shared" si="218"/>
        <v>1659773.13</v>
      </c>
      <c r="BI157" s="578">
        <f>1479049.46+2093.22</f>
        <v>1481142.68</v>
      </c>
      <c r="BJ157" s="578">
        <f t="shared" si="239"/>
        <v>318129.74</v>
      </c>
      <c r="BK157" s="578">
        <f t="shared" si="240"/>
        <v>-178630.44999999995</v>
      </c>
      <c r="BL157" s="576">
        <v>387670.98</v>
      </c>
      <c r="BM157" s="578">
        <f>'[67]Гл инж_Тех дир'!AW68</f>
        <v>737670.98</v>
      </c>
      <c r="BN157" s="522">
        <f t="shared" si="272"/>
        <v>1066609.3699999999</v>
      </c>
      <c r="BO157" s="578">
        <f t="shared" si="245"/>
        <v>678938.3899999999</v>
      </c>
      <c r="BP157" s="578">
        <f t="shared" si="241"/>
        <v>328938.3899999999</v>
      </c>
      <c r="BQ157" s="576">
        <v>387670.98</v>
      </c>
      <c r="BR157" s="578">
        <f>'[67]Гл инж_Тех дир'!BB68</f>
        <v>0</v>
      </c>
      <c r="BS157" s="578">
        <f>'[67]Гл инж_Тех дир'!BC68</f>
        <v>0</v>
      </c>
      <c r="BT157" s="536"/>
      <c r="BU157" s="578">
        <v>2536974.09</v>
      </c>
      <c r="BV157" s="578">
        <v>10777.96</v>
      </c>
      <c r="BW157" s="578"/>
      <c r="BX157" s="574"/>
      <c r="BY157" s="525">
        <f>2236808.11+10777.96</f>
        <v>2247586.0699999998</v>
      </c>
      <c r="BZ157" s="525">
        <v>279848.11</v>
      </c>
      <c r="CA157" s="525">
        <v>20317.87</v>
      </c>
      <c r="CB157" s="522">
        <f t="shared" si="213"/>
        <v>2547752.0499999998</v>
      </c>
      <c r="CC157" s="522">
        <f t="shared" si="242"/>
        <v>0</v>
      </c>
      <c r="CD157" s="578"/>
      <c r="CE157" s="578"/>
      <c r="CF157" s="578"/>
      <c r="CG157" s="578"/>
      <c r="CH157" s="578"/>
      <c r="CI157" s="578"/>
      <c r="CJ157" s="578"/>
      <c r="CK157" s="542" t="s">
        <v>79</v>
      </c>
      <c r="CL157" s="543" t="s">
        <v>1911</v>
      </c>
      <c r="CM157" s="509" t="s">
        <v>1925</v>
      </c>
      <c r="CN157" s="528" t="s">
        <v>1849</v>
      </c>
      <c r="CO157" s="528"/>
      <c r="CP157" s="544">
        <f t="shared" si="273"/>
        <v>1430692.6965106737</v>
      </c>
      <c r="CQ157" s="544">
        <f t="shared" si="274"/>
        <v>105089.04607159631</v>
      </c>
      <c r="CR157" s="544">
        <f t="shared" si="275"/>
        <v>14902.177417729799</v>
      </c>
      <c r="CS157" s="1688" t="s">
        <v>1826</v>
      </c>
      <c r="CT157" s="1689"/>
      <c r="CU157" s="1689"/>
      <c r="CV157" s="1689"/>
      <c r="CW157" s="1690"/>
      <c r="CX157" s="528"/>
      <c r="CY157" s="528"/>
      <c r="CZ157" s="528"/>
      <c r="DA157" s="528"/>
      <c r="DB157" s="579">
        <f>427784.65+593.22</f>
        <v>428377.87</v>
      </c>
      <c r="DC157" s="628" t="e">
        <f>P157-#REF!</f>
        <v>#REF!</v>
      </c>
      <c r="DD157" s="535"/>
      <c r="DE157" s="535"/>
      <c r="DF157" s="525">
        <f t="shared" si="278"/>
        <v>2247.5860699999998</v>
      </c>
      <c r="DG157" s="525">
        <f t="shared" si="278"/>
        <v>279.84810999999996</v>
      </c>
      <c r="DH157" s="525">
        <f t="shared" si="278"/>
        <v>20.317869999999999</v>
      </c>
      <c r="DI157" s="522">
        <f t="shared" si="278"/>
        <v>2547.7520499999996</v>
      </c>
      <c r="DJ157" s="536"/>
      <c r="DK157" s="536"/>
      <c r="DL157" s="536"/>
      <c r="DM157" s="536"/>
      <c r="DN157" s="536"/>
      <c r="DO157" s="536"/>
      <c r="DP157" s="536"/>
      <c r="DQ157" s="536"/>
      <c r="DR157" s="536"/>
      <c r="DS157" s="536"/>
    </row>
    <row r="158" spans="1:123" s="534" customFormat="1" ht="58.5" customHeight="1">
      <c r="A158" s="537" t="s">
        <v>659</v>
      </c>
      <c r="B158" s="538" t="s">
        <v>1932</v>
      </c>
      <c r="C158" s="576">
        <v>342930.69</v>
      </c>
      <c r="D158" s="525">
        <v>476639.02</v>
      </c>
      <c r="E158" s="525">
        <v>460013.67</v>
      </c>
      <c r="F158" s="525">
        <v>255405.73</v>
      </c>
      <c r="G158" s="618">
        <v>230328.07431743765</v>
      </c>
      <c r="H158" s="618">
        <v>0</v>
      </c>
      <c r="I158" s="525">
        <f t="shared" si="265"/>
        <v>210166.97999999998</v>
      </c>
      <c r="J158" s="525">
        <v>88166.979999999981</v>
      </c>
      <c r="K158" s="525">
        <v>76000</v>
      </c>
      <c r="L158" s="525">
        <v>46000</v>
      </c>
      <c r="M158" s="525">
        <f t="shared" si="266"/>
        <v>164166.97999999998</v>
      </c>
      <c r="N158" s="525">
        <v>210391.89</v>
      </c>
      <c r="O158" s="525">
        <f t="shared" si="267"/>
        <v>41832.449999999983</v>
      </c>
      <c r="P158" s="522">
        <f>241249.76+10974.58</f>
        <v>252224.34</v>
      </c>
      <c r="Q158" s="525">
        <f t="shared" si="219"/>
        <v>42057.360000000015</v>
      </c>
      <c r="R158" s="525">
        <f t="shared" si="220"/>
        <v>20.011402362064686</v>
      </c>
      <c r="S158" s="525">
        <v>280930.20235999994</v>
      </c>
      <c r="T158" s="525">
        <v>280930.20235999994</v>
      </c>
      <c r="U158" s="522">
        <f t="shared" si="268"/>
        <v>220885.5</v>
      </c>
      <c r="V158" s="522">
        <f t="shared" si="217"/>
        <v>-60044.702359999937</v>
      </c>
      <c r="W158" s="522">
        <f t="shared" si="246"/>
        <v>-21.373530455459971</v>
      </c>
      <c r="X158" s="522">
        <f t="shared" si="221"/>
        <v>-31338.839999999997</v>
      </c>
      <c r="Y158" s="522">
        <f t="shared" si="222"/>
        <v>-12.424986422801226</v>
      </c>
      <c r="Z158" s="524">
        <f t="shared" si="223"/>
        <v>215614.65000000002</v>
      </c>
      <c r="AA158" s="522">
        <f t="shared" si="224"/>
        <v>-65315.552359999914</v>
      </c>
      <c r="AB158" s="522">
        <f t="shared" si="247"/>
        <v>-23.249743819392137</v>
      </c>
      <c r="AC158" s="522">
        <f t="shared" si="225"/>
        <v>-5270.8499999999767</v>
      </c>
      <c r="AD158" s="522">
        <f t="shared" si="226"/>
        <v>-2.3862363079513926</v>
      </c>
      <c r="AE158" s="522">
        <f t="shared" si="227"/>
        <v>-36609.689999999973</v>
      </c>
      <c r="AF158" s="522">
        <f t="shared" si="228"/>
        <v>-14.514733193473702</v>
      </c>
      <c r="AG158" s="522">
        <f t="shared" si="243"/>
        <v>188280.52000000002</v>
      </c>
      <c r="AH158" s="522">
        <f t="shared" si="229"/>
        <v>-32604.979999999981</v>
      </c>
      <c r="AI158" s="522">
        <f t="shared" si="230"/>
        <v>-14.761032299539806</v>
      </c>
      <c r="AJ158" s="522">
        <f t="shared" si="231"/>
        <v>-27334.130000000005</v>
      </c>
      <c r="AK158" s="522">
        <f t="shared" si="212"/>
        <v>-12.677306481725608</v>
      </c>
      <c r="AL158" s="522">
        <f t="shared" si="269"/>
        <v>188280.52000000002</v>
      </c>
      <c r="AM158" s="522">
        <f t="shared" si="270"/>
        <v>100000</v>
      </c>
      <c r="AN158" s="522">
        <f t="shared" si="270"/>
        <v>94729.150000000023</v>
      </c>
      <c r="AO158" s="522">
        <f t="shared" si="232"/>
        <v>-5270.8499999999767</v>
      </c>
      <c r="AP158" s="522">
        <f t="shared" si="244"/>
        <v>-5.2708499999999674</v>
      </c>
      <c r="AQ158" s="522">
        <v>60000</v>
      </c>
      <c r="AR158" s="522">
        <v>26537.629999999997</v>
      </c>
      <c r="AS158" s="522">
        <v>40000</v>
      </c>
      <c r="AT158" s="522">
        <v>68191.520000000019</v>
      </c>
      <c r="AU158" s="522">
        <f t="shared" si="276"/>
        <v>120885.5</v>
      </c>
      <c r="AV158" s="522">
        <f t="shared" si="276"/>
        <v>120885.5</v>
      </c>
      <c r="AW158" s="522">
        <f t="shared" si="233"/>
        <v>0</v>
      </c>
      <c r="AX158" s="522">
        <f t="shared" si="234"/>
        <v>0</v>
      </c>
      <c r="AY158" s="522">
        <f t="shared" si="277"/>
        <v>93551.37</v>
      </c>
      <c r="AZ158" s="522">
        <f t="shared" si="235"/>
        <v>27334.130000000005</v>
      </c>
      <c r="BA158" s="522">
        <f t="shared" si="236"/>
        <v>29.218310752691281</v>
      </c>
      <c r="BB158" s="522">
        <v>40000</v>
      </c>
      <c r="BC158" s="525">
        <f>'[67]Дир_ имущ'!AT55</f>
        <v>40000</v>
      </c>
      <c r="BD158" s="525">
        <f t="shared" si="271"/>
        <v>61327.639999999956</v>
      </c>
      <c r="BE158" s="525">
        <f t="shared" si="237"/>
        <v>21327.639999999956</v>
      </c>
      <c r="BF158" s="525">
        <f t="shared" si="238"/>
        <v>21327.639999999956</v>
      </c>
      <c r="BG158" s="525">
        <f t="shared" si="218"/>
        <v>140000</v>
      </c>
      <c r="BH158" s="522">
        <f t="shared" si="218"/>
        <v>134729.15000000002</v>
      </c>
      <c r="BI158" s="522">
        <v>156056.78999999998</v>
      </c>
      <c r="BJ158" s="522">
        <f t="shared" si="239"/>
        <v>16056.789999999979</v>
      </c>
      <c r="BK158" s="522">
        <f t="shared" si="240"/>
        <v>21327.639999999956</v>
      </c>
      <c r="BL158" s="525">
        <v>80885.5</v>
      </c>
      <c r="BM158" s="522">
        <f>'[67]Дир_ имущ'!AW55</f>
        <v>80885.5</v>
      </c>
      <c r="BN158" s="522">
        <f t="shared" si="272"/>
        <v>32223.73000000004</v>
      </c>
      <c r="BO158" s="522">
        <f t="shared" si="245"/>
        <v>-48661.76999999996</v>
      </c>
      <c r="BP158" s="522">
        <f t="shared" si="241"/>
        <v>-48661.76999999996</v>
      </c>
      <c r="BQ158" s="525">
        <v>80885.5</v>
      </c>
      <c r="BR158" s="522">
        <f>'[67]Дир_ имущ'!BB55</f>
        <v>0</v>
      </c>
      <c r="BS158" s="522">
        <f>'[67]Дир_ имущ'!BC55</f>
        <v>0</v>
      </c>
      <c r="BT158" s="536"/>
      <c r="BU158" s="522">
        <f>168775.44+19505.08</f>
        <v>188280.52000000002</v>
      </c>
      <c r="BV158" s="522"/>
      <c r="BW158" s="522"/>
      <c r="BX158" s="574"/>
      <c r="BY158" s="525">
        <f>165080.3+19191.61</f>
        <v>184271.90999999997</v>
      </c>
      <c r="BZ158" s="525">
        <f>2965.35+222.79</f>
        <v>3188.14</v>
      </c>
      <c r="CA158" s="525">
        <f>729.79+90.68</f>
        <v>820.47</v>
      </c>
      <c r="CB158" s="522">
        <f t="shared" si="213"/>
        <v>188280.52</v>
      </c>
      <c r="CC158" s="522">
        <f t="shared" si="242"/>
        <v>0</v>
      </c>
      <c r="CD158" s="522"/>
      <c r="CE158" s="522"/>
      <c r="CF158" s="522"/>
      <c r="CG158" s="522"/>
      <c r="CH158" s="522"/>
      <c r="CI158" s="522"/>
      <c r="CJ158" s="522"/>
      <c r="CK158" s="543" t="s">
        <v>1815</v>
      </c>
      <c r="CL158" s="543" t="s">
        <v>1897</v>
      </c>
      <c r="CM158" s="509" t="s">
        <v>1925</v>
      </c>
      <c r="CN158" s="528"/>
      <c r="CO158" s="528"/>
      <c r="CP158" s="544">
        <f t="shared" si="273"/>
        <v>203793.4794700834</v>
      </c>
      <c r="CQ158" s="544">
        <f t="shared" si="274"/>
        <v>14969.295925921246</v>
      </c>
      <c r="CR158" s="544">
        <f t="shared" si="275"/>
        <v>2122.7246039953493</v>
      </c>
      <c r="CS158" s="1688" t="s">
        <v>1826</v>
      </c>
      <c r="CT158" s="1689"/>
      <c r="CU158" s="1689"/>
      <c r="CV158" s="1689"/>
      <c r="CW158" s="1690"/>
      <c r="CX158" s="528"/>
      <c r="CY158" s="528"/>
      <c r="CZ158" s="528"/>
      <c r="DA158" s="528"/>
      <c r="DB158" s="544">
        <f>23952.89+2584.74</f>
        <v>26537.629999999997</v>
      </c>
      <c r="DC158" s="628" t="e">
        <f>P158-#REF!</f>
        <v>#REF!</v>
      </c>
      <c r="DD158" s="535"/>
      <c r="DE158" s="535"/>
      <c r="DF158" s="525">
        <f t="shared" si="278"/>
        <v>184.27190999999996</v>
      </c>
      <c r="DG158" s="525">
        <f t="shared" si="278"/>
        <v>3.1881399999999998</v>
      </c>
      <c r="DH158" s="525">
        <f t="shared" si="278"/>
        <v>0.82047000000000003</v>
      </c>
      <c r="DI158" s="522">
        <f t="shared" si="278"/>
        <v>188.28052</v>
      </c>
      <c r="DJ158" s="536"/>
      <c r="DK158" s="536"/>
      <c r="DL158" s="536"/>
      <c r="DM158" s="536"/>
      <c r="DN158" s="536"/>
      <c r="DO158" s="536"/>
      <c r="DP158" s="536"/>
      <c r="DQ158" s="536"/>
      <c r="DR158" s="536"/>
      <c r="DS158" s="536"/>
    </row>
    <row r="159" spans="1:123" s="534" customFormat="1">
      <c r="A159" s="537" t="s">
        <v>663</v>
      </c>
      <c r="B159" s="538" t="s">
        <v>664</v>
      </c>
      <c r="C159" s="576"/>
      <c r="D159" s="525"/>
      <c r="E159" s="525"/>
      <c r="F159" s="525"/>
      <c r="G159" s="540">
        <v>3462300</v>
      </c>
      <c r="H159" s="540">
        <v>0</v>
      </c>
      <c r="I159" s="525">
        <f t="shared" si="265"/>
        <v>851200</v>
      </c>
      <c r="J159" s="525">
        <v>451200</v>
      </c>
      <c r="K159" s="525">
        <v>400000</v>
      </c>
      <c r="L159" s="525">
        <v>0</v>
      </c>
      <c r="M159" s="525">
        <f t="shared" si="266"/>
        <v>851200</v>
      </c>
      <c r="N159" s="525">
        <v>743550.95</v>
      </c>
      <c r="O159" s="525">
        <f t="shared" si="267"/>
        <v>-20391.959999999963</v>
      </c>
      <c r="P159" s="522">
        <v>723158.99</v>
      </c>
      <c r="Q159" s="525">
        <f t="shared" si="219"/>
        <v>-128041.01000000001</v>
      </c>
      <c r="R159" s="525">
        <f t="shared" si="220"/>
        <v>-15.04241188909775</v>
      </c>
      <c r="S159" s="525">
        <v>558942.16499999992</v>
      </c>
      <c r="T159" s="525">
        <v>558942.16499999992</v>
      </c>
      <c r="U159" s="522">
        <f t="shared" si="268"/>
        <v>791220.12999999989</v>
      </c>
      <c r="V159" s="522">
        <f t="shared" si="217"/>
        <v>232277.96499999997</v>
      </c>
      <c r="W159" s="522">
        <f t="shared" si="246"/>
        <v>41.556708286625678</v>
      </c>
      <c r="X159" s="522">
        <f t="shared" si="221"/>
        <v>68061.139999999898</v>
      </c>
      <c r="Y159" s="522">
        <f t="shared" si="222"/>
        <v>9.4116426596591083</v>
      </c>
      <c r="Z159" s="524">
        <f t="shared" si="223"/>
        <v>791220.13</v>
      </c>
      <c r="AA159" s="522">
        <f t="shared" si="224"/>
        <v>232277.96500000008</v>
      </c>
      <c r="AB159" s="522">
        <f t="shared" si="247"/>
        <v>41.556708286625707</v>
      </c>
      <c r="AC159" s="522">
        <f t="shared" si="225"/>
        <v>0</v>
      </c>
      <c r="AD159" s="522">
        <f t="shared" si="226"/>
        <v>0</v>
      </c>
      <c r="AE159" s="522">
        <f t="shared" si="227"/>
        <v>68061.140000000014</v>
      </c>
      <c r="AF159" s="522">
        <f t="shared" si="228"/>
        <v>9.4116426596591225</v>
      </c>
      <c r="AG159" s="522">
        <f t="shared" si="243"/>
        <v>589729.4</v>
      </c>
      <c r="AH159" s="522">
        <f t="shared" si="229"/>
        <v>-201490.72999999986</v>
      </c>
      <c r="AI159" s="522">
        <f t="shared" si="230"/>
        <v>-25.465824536087055</v>
      </c>
      <c r="AJ159" s="522">
        <f t="shared" si="231"/>
        <v>-201490.72999999998</v>
      </c>
      <c r="AK159" s="522">
        <f t="shared" si="212"/>
        <v>-25.465824536087069</v>
      </c>
      <c r="AL159" s="522">
        <f t="shared" si="269"/>
        <v>589729.4</v>
      </c>
      <c r="AM159" s="522">
        <f t="shared" si="270"/>
        <v>507153.16</v>
      </c>
      <c r="AN159" s="522">
        <f t="shared" si="270"/>
        <v>515287.99</v>
      </c>
      <c r="AO159" s="522">
        <f t="shared" si="232"/>
        <v>8134.8300000000163</v>
      </c>
      <c r="AP159" s="522">
        <f t="shared" si="244"/>
        <v>1.6040183994909967</v>
      </c>
      <c r="AQ159" s="522">
        <v>0</v>
      </c>
      <c r="AR159" s="522">
        <v>0</v>
      </c>
      <c r="AS159" s="522">
        <v>507153.16</v>
      </c>
      <c r="AT159" s="522">
        <v>515287.99</v>
      </c>
      <c r="AU159" s="522">
        <f t="shared" si="276"/>
        <v>284066.96999999997</v>
      </c>
      <c r="AV159" s="522">
        <f t="shared" si="276"/>
        <v>275932.14</v>
      </c>
      <c r="AW159" s="522">
        <f t="shared" si="233"/>
        <v>-8134.8299999999581</v>
      </c>
      <c r="AX159" s="522">
        <f t="shared" si="234"/>
        <v>-2.8637014715227025</v>
      </c>
      <c r="AY159" s="522">
        <f t="shared" si="277"/>
        <v>74441.410000000033</v>
      </c>
      <c r="AZ159" s="522">
        <f t="shared" si="235"/>
        <v>201490.72999999998</v>
      </c>
      <c r="BA159" s="522">
        <f t="shared" si="236"/>
        <v>270.67022239369174</v>
      </c>
      <c r="BB159" s="522">
        <v>284066.96999999997</v>
      </c>
      <c r="BC159" s="525">
        <f>'[67]Гл инж_Тех дир'!AT109</f>
        <v>275932.14</v>
      </c>
      <c r="BD159" s="525">
        <f t="shared" si="271"/>
        <v>74441.410000000033</v>
      </c>
      <c r="BE159" s="525">
        <f t="shared" si="237"/>
        <v>-209625.55999999994</v>
      </c>
      <c r="BF159" s="525">
        <f t="shared" si="238"/>
        <v>-201490.72999999998</v>
      </c>
      <c r="BG159" s="525">
        <f t="shared" si="218"/>
        <v>791220.12999999989</v>
      </c>
      <c r="BH159" s="522">
        <f t="shared" si="218"/>
        <v>791220.13</v>
      </c>
      <c r="BI159" s="522">
        <v>589729.4</v>
      </c>
      <c r="BJ159" s="522">
        <f t="shared" si="239"/>
        <v>-201490.72999999986</v>
      </c>
      <c r="BK159" s="522">
        <f t="shared" si="240"/>
        <v>-201490.72999999998</v>
      </c>
      <c r="BL159" s="525">
        <v>0</v>
      </c>
      <c r="BM159" s="522">
        <f>'[67]Гл инж_Тех дир'!AW109</f>
        <v>0</v>
      </c>
      <c r="BN159" s="522">
        <f t="shared" si="272"/>
        <v>0</v>
      </c>
      <c r="BO159" s="522">
        <f t="shared" si="245"/>
        <v>0</v>
      </c>
      <c r="BP159" s="522">
        <f t="shared" si="241"/>
        <v>0</v>
      </c>
      <c r="BQ159" s="525">
        <v>0</v>
      </c>
      <c r="BR159" s="522">
        <f>'[67]Гл инж_Тех дир'!BB109</f>
        <v>0</v>
      </c>
      <c r="BS159" s="522">
        <f>'[67]Гл инж_Тех дир'!BC109</f>
        <v>0</v>
      </c>
      <c r="BT159" s="536"/>
      <c r="BU159" s="522">
        <v>589729.4</v>
      </c>
      <c r="BV159" s="522"/>
      <c r="BW159" s="522"/>
      <c r="BX159" s="574"/>
      <c r="BY159" s="525">
        <v>589729.4</v>
      </c>
      <c r="BZ159" s="525"/>
      <c r="CA159" s="525"/>
      <c r="CB159" s="522">
        <f t="shared" si="213"/>
        <v>589729.4</v>
      </c>
      <c r="CC159" s="522">
        <f t="shared" si="242"/>
        <v>0</v>
      </c>
      <c r="CD159" s="522"/>
      <c r="CE159" s="522"/>
      <c r="CF159" s="522"/>
      <c r="CG159" s="522"/>
      <c r="CH159" s="522"/>
      <c r="CI159" s="522"/>
      <c r="CJ159" s="522"/>
      <c r="CK159" s="542" t="s">
        <v>79</v>
      </c>
      <c r="CL159" s="543" t="s">
        <v>1931</v>
      </c>
      <c r="CM159" s="509" t="s">
        <v>1925</v>
      </c>
      <c r="CN159" s="528" t="s">
        <v>1849</v>
      </c>
      <c r="CO159" s="528"/>
      <c r="CP159" s="544">
        <f t="shared" si="273"/>
        <v>729995.87261034211</v>
      </c>
      <c r="CQ159" s="544">
        <f t="shared" si="274"/>
        <v>53620.578392496907</v>
      </c>
      <c r="CR159" s="544">
        <f t="shared" si="275"/>
        <v>7603.678997160966</v>
      </c>
      <c r="CS159" s="1688" t="s">
        <v>1826</v>
      </c>
      <c r="CT159" s="1689"/>
      <c r="CU159" s="1689"/>
      <c r="CV159" s="1689"/>
      <c r="CW159" s="1690"/>
      <c r="CX159" s="528"/>
      <c r="CY159" s="528"/>
      <c r="CZ159" s="528"/>
      <c r="DA159" s="528"/>
      <c r="DB159" s="544"/>
      <c r="DC159" s="628" t="e">
        <f>P159-#REF!</f>
        <v>#REF!</v>
      </c>
      <c r="DD159" s="535"/>
      <c r="DE159" s="535"/>
      <c r="DF159" s="525">
        <f t="shared" si="278"/>
        <v>589.72940000000006</v>
      </c>
      <c r="DG159" s="525">
        <f t="shared" si="278"/>
        <v>0</v>
      </c>
      <c r="DH159" s="525">
        <f t="shared" si="278"/>
        <v>0</v>
      </c>
      <c r="DI159" s="522">
        <f t="shared" si="278"/>
        <v>589.72940000000006</v>
      </c>
      <c r="DJ159" s="536"/>
      <c r="DK159" s="536"/>
      <c r="DL159" s="536"/>
      <c r="DM159" s="536"/>
      <c r="DN159" s="536"/>
      <c r="DO159" s="536"/>
      <c r="DP159" s="536"/>
      <c r="DQ159" s="536"/>
      <c r="DR159" s="536"/>
      <c r="DS159" s="536"/>
    </row>
    <row r="160" spans="1:123" s="534" customFormat="1">
      <c r="A160" s="505" t="s">
        <v>1933</v>
      </c>
      <c r="B160" s="506" t="s">
        <v>671</v>
      </c>
      <c r="C160" s="580">
        <f t="shared" ref="C160:T160" si="279">SUBTOTAL(9,C161:C169)</f>
        <v>16850762.690000001</v>
      </c>
      <c r="D160" s="580">
        <f t="shared" si="279"/>
        <v>12006882.912179334</v>
      </c>
      <c r="E160" s="580">
        <f t="shared" si="279"/>
        <v>19956985.016479194</v>
      </c>
      <c r="F160" s="580">
        <f t="shared" si="279"/>
        <v>17461826.060000002</v>
      </c>
      <c r="G160" s="580">
        <f t="shared" si="279"/>
        <v>13113627.910666427</v>
      </c>
      <c r="H160" s="580">
        <f t="shared" si="279"/>
        <v>0</v>
      </c>
      <c r="I160" s="580">
        <f t="shared" si="279"/>
        <v>16929291.02</v>
      </c>
      <c r="J160" s="580">
        <f t="shared" si="279"/>
        <v>7772733.4099999992</v>
      </c>
      <c r="K160" s="580">
        <f t="shared" si="279"/>
        <v>4495391.0199999996</v>
      </c>
      <c r="L160" s="580">
        <f t="shared" si="279"/>
        <v>4661166.59</v>
      </c>
      <c r="M160" s="580">
        <f t="shared" si="279"/>
        <v>12268124.43</v>
      </c>
      <c r="N160" s="580">
        <f t="shared" si="279"/>
        <v>11867949.310000001</v>
      </c>
      <c r="O160" s="580">
        <f>SUBTOTAL(9,O161:O169)</f>
        <v>4135862.5399999996</v>
      </c>
      <c r="P160" s="580">
        <f>SUBTOTAL(9,P161:P169)</f>
        <v>16003811.85</v>
      </c>
      <c r="Q160" s="580">
        <f t="shared" si="219"/>
        <v>-925479.16999999993</v>
      </c>
      <c r="R160" s="580">
        <f t="shared" si="220"/>
        <v>-5.4667331839629441</v>
      </c>
      <c r="S160" s="580">
        <f t="shared" si="279"/>
        <v>14478903.483332293</v>
      </c>
      <c r="T160" s="580">
        <f t="shared" si="279"/>
        <v>14478903.483332293</v>
      </c>
      <c r="U160" s="580">
        <f>SUBTOTAL(9,U161:U169)</f>
        <v>15783586.419999998</v>
      </c>
      <c r="V160" s="580">
        <f t="shared" si="217"/>
        <v>1304682.936667705</v>
      </c>
      <c r="W160" s="580">
        <f t="shared" si="246"/>
        <v>9.0109236391389516</v>
      </c>
      <c r="X160" s="580">
        <f t="shared" si="221"/>
        <v>-220225.43000000156</v>
      </c>
      <c r="Y160" s="580">
        <f t="shared" si="222"/>
        <v>-1.3760810990789167</v>
      </c>
      <c r="Z160" s="580">
        <f t="shared" si="223"/>
        <v>16559026.969999999</v>
      </c>
      <c r="AA160" s="580">
        <f t="shared" si="224"/>
        <v>2080123.4866677057</v>
      </c>
      <c r="AB160" s="580">
        <f t="shared" si="247"/>
        <v>14.366581620371207</v>
      </c>
      <c r="AC160" s="580">
        <f t="shared" si="225"/>
        <v>775440.55000000075</v>
      </c>
      <c r="AD160" s="580">
        <f t="shared" si="226"/>
        <v>4.9129553281845375</v>
      </c>
      <c r="AE160" s="580">
        <f t="shared" si="227"/>
        <v>555215.11999999918</v>
      </c>
      <c r="AF160" s="580">
        <f t="shared" si="228"/>
        <v>3.469267979428281</v>
      </c>
      <c r="AG160" s="580">
        <f t="shared" si="243"/>
        <v>14525167.970000001</v>
      </c>
      <c r="AH160" s="580">
        <f t="shared" si="229"/>
        <v>-1258418.4499999974</v>
      </c>
      <c r="AI160" s="580">
        <f t="shared" si="230"/>
        <v>-7.9729563136893091</v>
      </c>
      <c r="AJ160" s="580">
        <f t="shared" si="231"/>
        <v>-2033858.9999999981</v>
      </c>
      <c r="AK160" s="580">
        <f t="shared" si="212"/>
        <v>-12.282478938434863</v>
      </c>
      <c r="AL160" s="580">
        <f>SUBTOTAL(9,AL161:AL169)</f>
        <v>14525167.970000003</v>
      </c>
      <c r="AM160" s="580">
        <f t="shared" si="270"/>
        <v>8279644.3599999994</v>
      </c>
      <c r="AN160" s="580">
        <f t="shared" si="270"/>
        <v>7588523.3399999999</v>
      </c>
      <c r="AO160" s="580">
        <f t="shared" si="232"/>
        <v>-691121.01999999955</v>
      </c>
      <c r="AP160" s="580">
        <f t="shared" si="244"/>
        <v>-8.3472307498966103</v>
      </c>
      <c r="AQ160" s="580">
        <f>SUBTOTAL(9,AQ161:AQ169)</f>
        <v>4271446.46</v>
      </c>
      <c r="AR160" s="580">
        <f>SUBTOTAL(9,AR161:AR169)</f>
        <v>3877149.8099999996</v>
      </c>
      <c r="AS160" s="580">
        <f>SUBTOTAL(9,AS161:AS169)</f>
        <v>4008197.8999999994</v>
      </c>
      <c r="AT160" s="580">
        <f>SUBTOTAL(9,AT161:AT169)</f>
        <v>3711373.53</v>
      </c>
      <c r="AU160" s="580">
        <f t="shared" si="276"/>
        <v>7503942.0600000005</v>
      </c>
      <c r="AV160" s="580">
        <f t="shared" si="276"/>
        <v>8970503.629999999</v>
      </c>
      <c r="AW160" s="580">
        <f t="shared" si="233"/>
        <v>1466561.5699999984</v>
      </c>
      <c r="AX160" s="580">
        <f t="shared" si="234"/>
        <v>19.543881846017314</v>
      </c>
      <c r="AY160" s="580">
        <f t="shared" si="277"/>
        <v>6936644.6300000008</v>
      </c>
      <c r="AZ160" s="580">
        <f t="shared" si="235"/>
        <v>2033858.9999999981</v>
      </c>
      <c r="BA160" s="580">
        <f t="shared" si="236"/>
        <v>29.320501603957752</v>
      </c>
      <c r="BB160" s="580">
        <f t="shared" ref="BB160:BN160" si="280">SUBTOTAL(9,BB161:BB169)</f>
        <v>3722055.07</v>
      </c>
      <c r="BC160" s="580">
        <f t="shared" si="280"/>
        <v>4821636.9499999993</v>
      </c>
      <c r="BD160" s="580">
        <f t="shared" si="280"/>
        <v>3404021.6999999997</v>
      </c>
      <c r="BE160" s="580">
        <f t="shared" si="237"/>
        <v>-318033.37000000011</v>
      </c>
      <c r="BF160" s="580">
        <f t="shared" si="238"/>
        <v>-1417615.2499999995</v>
      </c>
      <c r="BG160" s="580">
        <f t="shared" si="218"/>
        <v>12001699.43</v>
      </c>
      <c r="BH160" s="580">
        <f t="shared" si="280"/>
        <v>12410160.289999999</v>
      </c>
      <c r="BI160" s="580">
        <f t="shared" si="280"/>
        <v>10992545.040000001</v>
      </c>
      <c r="BJ160" s="580">
        <f t="shared" si="239"/>
        <v>-1009154.3899999987</v>
      </c>
      <c r="BK160" s="580">
        <f t="shared" si="240"/>
        <v>-1417615.2499999981</v>
      </c>
      <c r="BL160" s="580">
        <f t="shared" si="280"/>
        <v>3781886.99</v>
      </c>
      <c r="BM160" s="580">
        <f t="shared" si="280"/>
        <v>4148866.68</v>
      </c>
      <c r="BN160" s="580">
        <f t="shared" si="280"/>
        <v>3532622.9300000006</v>
      </c>
      <c r="BO160" s="580">
        <f t="shared" si="245"/>
        <v>-249264.05999999959</v>
      </c>
      <c r="BP160" s="580">
        <f t="shared" si="241"/>
        <v>-616243.74999999953</v>
      </c>
      <c r="BQ160" s="580">
        <f t="shared" ref="BQ160:BS160" si="281">SUBTOTAL(9,BQ161:BQ169)</f>
        <v>3781886.99</v>
      </c>
      <c r="BR160" s="580">
        <f t="shared" si="281"/>
        <v>0</v>
      </c>
      <c r="BS160" s="580">
        <f t="shared" si="281"/>
        <v>0</v>
      </c>
      <c r="BT160" s="536"/>
      <c r="BU160" s="580">
        <f t="shared" ref="BU160:BW160" si="282">SUBTOTAL(9,BU161:BU169)</f>
        <v>14458919.120000001</v>
      </c>
      <c r="BV160" s="580">
        <f t="shared" si="282"/>
        <v>66248.850000000006</v>
      </c>
      <c r="BW160" s="580">
        <f t="shared" si="282"/>
        <v>0</v>
      </c>
      <c r="BX160" s="581"/>
      <c r="BY160" s="580">
        <f>SUBTOTAL(9,BY161:BY169)</f>
        <v>13897249.630000001</v>
      </c>
      <c r="BZ160" s="580">
        <f>SUBTOTAL(9,BZ161:BZ169)</f>
        <v>541131.73</v>
      </c>
      <c r="CA160" s="580">
        <f>SUBTOTAL(9,CA161:CA169)</f>
        <v>86786.61</v>
      </c>
      <c r="CB160" s="580">
        <f>SUBTOTAL(9,CB161:CB169)</f>
        <v>14525167.969999999</v>
      </c>
      <c r="CC160" s="580">
        <f t="shared" si="242"/>
        <v>0</v>
      </c>
      <c r="CD160" s="580"/>
      <c r="CE160" s="580"/>
      <c r="CF160" s="580"/>
      <c r="CG160" s="580"/>
      <c r="CH160" s="580"/>
      <c r="CI160" s="580"/>
      <c r="CJ160" s="580"/>
      <c r="CK160" s="648"/>
      <c r="CL160" s="648"/>
      <c r="CM160" s="509" t="s">
        <v>1925</v>
      </c>
      <c r="CN160" s="528"/>
      <c r="CO160" s="528"/>
      <c r="CP160" s="582">
        <f>SUBTOTAL(9,CP161:CP169)</f>
        <v>14562259.60983658</v>
      </c>
      <c r="CQ160" s="582">
        <f>SUBTOTAL(9,CQ161:CQ169)</f>
        <v>1069645.476472344</v>
      </c>
      <c r="CR160" s="582">
        <f>SUBTOTAL(9,CR161:CR169)</f>
        <v>151681.3336910792</v>
      </c>
      <c r="CS160" s="1679"/>
      <c r="CT160" s="1680"/>
      <c r="CU160" s="1680"/>
      <c r="CV160" s="1680"/>
      <c r="CW160" s="1681"/>
      <c r="CX160" s="528"/>
      <c r="CY160" s="528"/>
      <c r="CZ160" s="528"/>
      <c r="DA160" s="528"/>
      <c r="DB160" s="582">
        <f>SUBTOTAL(9,DB161:DB169)</f>
        <v>3877149.8099999996</v>
      </c>
      <c r="DC160" s="628" t="e">
        <f>P160-#REF!</f>
        <v>#REF!</v>
      </c>
      <c r="DD160" s="535"/>
      <c r="DE160" s="535"/>
      <c r="DF160" s="580">
        <f t="shared" si="278"/>
        <v>13897.24963</v>
      </c>
      <c r="DG160" s="580">
        <f t="shared" si="278"/>
        <v>541.13172999999995</v>
      </c>
      <c r="DH160" s="580">
        <f t="shared" si="278"/>
        <v>86.786609999999996</v>
      </c>
      <c r="DI160" s="580">
        <f t="shared" si="278"/>
        <v>14525.167969999999</v>
      </c>
      <c r="DJ160" s="536"/>
      <c r="DK160" s="536"/>
      <c r="DL160" s="536"/>
      <c r="DM160" s="536"/>
      <c r="DN160" s="536"/>
      <c r="DO160" s="536"/>
      <c r="DP160" s="536"/>
      <c r="DQ160" s="536"/>
      <c r="DR160" s="536"/>
      <c r="DS160" s="536"/>
    </row>
    <row r="161" spans="1:123" s="534" customFormat="1" ht="40.5" customHeight="1">
      <c r="A161" s="537" t="s">
        <v>674</v>
      </c>
      <c r="B161" s="538" t="s">
        <v>675</v>
      </c>
      <c r="C161" s="576">
        <v>3553477.8</v>
      </c>
      <c r="D161" s="576">
        <v>3613164.9131998066</v>
      </c>
      <c r="E161" s="525">
        <v>5645000</v>
      </c>
      <c r="F161" s="525">
        <v>5879145.8200000003</v>
      </c>
      <c r="G161" s="596">
        <v>3815153.7072256505</v>
      </c>
      <c r="H161" s="596">
        <v>0</v>
      </c>
      <c r="I161" s="525">
        <f t="shared" ref="I161:I169" si="283">J161+K161+L161</f>
        <v>5476705.6500000004</v>
      </c>
      <c r="J161" s="525">
        <v>2602046.66</v>
      </c>
      <c r="K161" s="525">
        <v>1406016</v>
      </c>
      <c r="L161" s="525">
        <v>1468642.99</v>
      </c>
      <c r="M161" s="525">
        <f t="shared" ref="M161:M169" si="284">J161+K161</f>
        <v>4008062.66</v>
      </c>
      <c r="N161" s="525">
        <v>3950586.73</v>
      </c>
      <c r="O161" s="525">
        <f t="shared" ref="O161:O169" si="285">P161-N161</f>
        <v>1274625.5499999993</v>
      </c>
      <c r="P161" s="522">
        <f>19944.42+5082110.31+123157.55</f>
        <v>5225212.2799999993</v>
      </c>
      <c r="Q161" s="525">
        <f t="shared" si="219"/>
        <v>-251493.37000000104</v>
      </c>
      <c r="R161" s="525">
        <f t="shared" si="220"/>
        <v>-4.5920556274555508</v>
      </c>
      <c r="S161" s="525">
        <v>4024987.1611230611</v>
      </c>
      <c r="T161" s="525">
        <v>4024987.1611230611</v>
      </c>
      <c r="U161" s="522">
        <f t="shared" ref="U161:U169" si="286">AQ161+AS161+BB161+BL161</f>
        <v>5541829.4300000006</v>
      </c>
      <c r="V161" s="522">
        <f t="shared" si="217"/>
        <v>1516842.2688769395</v>
      </c>
      <c r="W161" s="522">
        <f t="shared" si="246"/>
        <v>37.685642417147648</v>
      </c>
      <c r="X161" s="522">
        <f t="shared" si="221"/>
        <v>316617.1500000013</v>
      </c>
      <c r="Y161" s="522">
        <f t="shared" si="222"/>
        <v>6.0594121929147917</v>
      </c>
      <c r="Z161" s="524">
        <f t="shared" si="223"/>
        <v>5022360.78</v>
      </c>
      <c r="AA161" s="522">
        <f t="shared" si="224"/>
        <v>997373.61887693917</v>
      </c>
      <c r="AB161" s="522">
        <f t="shared" si="247"/>
        <v>24.779547833356318</v>
      </c>
      <c r="AC161" s="522">
        <f t="shared" si="225"/>
        <v>-519468.65000000037</v>
      </c>
      <c r="AD161" s="522">
        <f t="shared" si="226"/>
        <v>-9.3735950657001865</v>
      </c>
      <c r="AE161" s="522">
        <f t="shared" si="227"/>
        <v>-202851.49999999907</v>
      </c>
      <c r="AF161" s="522">
        <f t="shared" si="228"/>
        <v>-3.8821676351108749</v>
      </c>
      <c r="AG161" s="522">
        <f t="shared" si="243"/>
        <v>4341037.3800000008</v>
      </c>
      <c r="AH161" s="522">
        <f t="shared" si="229"/>
        <v>-1200792.0499999998</v>
      </c>
      <c r="AI161" s="522">
        <f t="shared" si="230"/>
        <v>-21.667791568965697</v>
      </c>
      <c r="AJ161" s="522">
        <f t="shared" si="231"/>
        <v>-681323.39999999944</v>
      </c>
      <c r="AK161" s="522">
        <f t="shared" si="212"/>
        <v>-13.56579962779972</v>
      </c>
      <c r="AL161" s="522">
        <f t="shared" ref="AL161:AL169" si="287">SUM(BU161:BV161)</f>
        <v>4341037.3800000008</v>
      </c>
      <c r="AM161" s="522">
        <f t="shared" si="270"/>
        <v>2759349.6</v>
      </c>
      <c r="AN161" s="522">
        <f t="shared" si="270"/>
        <v>2239880.9500000002</v>
      </c>
      <c r="AO161" s="522">
        <f t="shared" si="232"/>
        <v>-519468.64999999991</v>
      </c>
      <c r="AP161" s="522">
        <f t="shared" si="244"/>
        <v>-18.825764230817285</v>
      </c>
      <c r="AQ161" s="522">
        <v>1368109.8</v>
      </c>
      <c r="AR161" s="522">
        <v>1137632.98</v>
      </c>
      <c r="AS161" s="522">
        <v>1391239.8</v>
      </c>
      <c r="AT161" s="522">
        <v>1102247.9700000002</v>
      </c>
      <c r="AU161" s="522">
        <f t="shared" si="276"/>
        <v>2782479.83</v>
      </c>
      <c r="AV161" s="522">
        <f t="shared" si="276"/>
        <v>2782479.83</v>
      </c>
      <c r="AW161" s="522">
        <f t="shared" si="233"/>
        <v>0</v>
      </c>
      <c r="AX161" s="522">
        <f t="shared" si="234"/>
        <v>0</v>
      </c>
      <c r="AY161" s="522">
        <f t="shared" si="277"/>
        <v>2101156.4300000006</v>
      </c>
      <c r="AZ161" s="522">
        <f t="shared" si="235"/>
        <v>681323.39999999944</v>
      </c>
      <c r="BA161" s="522">
        <f t="shared" si="236"/>
        <v>32.426114984689605</v>
      </c>
      <c r="BB161" s="522">
        <v>1391239.8</v>
      </c>
      <c r="BC161" s="525">
        <f>'[67]Гл инж_Тех дир'!AT78</f>
        <v>1391239.8</v>
      </c>
      <c r="BD161" s="525">
        <f t="shared" ref="BD161:BD169" si="288">BI161-AN161</f>
        <v>1018217.73</v>
      </c>
      <c r="BE161" s="525">
        <f t="shared" si="237"/>
        <v>-373022.07000000007</v>
      </c>
      <c r="BF161" s="525">
        <f t="shared" si="238"/>
        <v>-373022.07000000007</v>
      </c>
      <c r="BG161" s="525">
        <f t="shared" si="218"/>
        <v>4150589.4000000004</v>
      </c>
      <c r="BH161" s="522">
        <f t="shared" si="218"/>
        <v>3631120.75</v>
      </c>
      <c r="BI161" s="522">
        <f>3235252.33+22846.35</f>
        <v>3258098.68</v>
      </c>
      <c r="BJ161" s="522">
        <f t="shared" si="239"/>
        <v>-892490.7200000002</v>
      </c>
      <c r="BK161" s="522">
        <f t="shared" si="240"/>
        <v>-373022.06999999983</v>
      </c>
      <c r="BL161" s="525">
        <v>1391240.03</v>
      </c>
      <c r="BM161" s="522">
        <f>'[67]Гл инж_Тех дир'!AW78</f>
        <v>1391240.03</v>
      </c>
      <c r="BN161" s="522">
        <f t="shared" ref="BN161:BN169" si="289">AL161-BI161</f>
        <v>1082938.7000000007</v>
      </c>
      <c r="BO161" s="522">
        <f t="shared" si="245"/>
        <v>-308301.32999999938</v>
      </c>
      <c r="BP161" s="522">
        <f t="shared" si="241"/>
        <v>-308301.32999999938</v>
      </c>
      <c r="BQ161" s="525">
        <v>1391240.03</v>
      </c>
      <c r="BR161" s="522">
        <f>'[67]Гл инж_Тех дир'!BB78</f>
        <v>0</v>
      </c>
      <c r="BS161" s="522">
        <f>'[67]Гл инж_Тех дир'!BC78</f>
        <v>0</v>
      </c>
      <c r="BT161" s="536"/>
      <c r="BU161" s="522">
        <v>4309531.9400000004</v>
      </c>
      <c r="BV161" s="522">
        <v>31505.439999999999</v>
      </c>
      <c r="BW161" s="522"/>
      <c r="BX161" s="574"/>
      <c r="BY161" s="525">
        <f>4183195.24+31164.61</f>
        <v>4214359.8500000006</v>
      </c>
      <c r="BZ161" s="525">
        <f>108826.22+340.83</f>
        <v>109167.05</v>
      </c>
      <c r="CA161" s="525">
        <v>17510.48</v>
      </c>
      <c r="CB161" s="522">
        <f t="shared" si="213"/>
        <v>4341037.3800000008</v>
      </c>
      <c r="CC161" s="522">
        <f t="shared" si="242"/>
        <v>0</v>
      </c>
      <c r="CD161" s="522"/>
      <c r="CE161" s="522"/>
      <c r="CF161" s="522"/>
      <c r="CG161" s="522"/>
      <c r="CH161" s="522"/>
      <c r="CI161" s="522"/>
      <c r="CJ161" s="522"/>
      <c r="CK161" s="542" t="s">
        <v>79</v>
      </c>
      <c r="CL161" s="542" t="s">
        <v>1912</v>
      </c>
      <c r="CM161" s="509" t="s">
        <v>1925</v>
      </c>
      <c r="CN161" s="528" t="s">
        <v>1849</v>
      </c>
      <c r="CO161" s="528"/>
      <c r="CP161" s="544">
        <f t="shared" ref="CP161:CP169" si="290">U161*$CU$7/100</f>
        <v>5113005.1640755469</v>
      </c>
      <c r="CQ161" s="544">
        <f t="shared" ref="CQ161:CQ169" si="291">U161*$CU$8/100</f>
        <v>375566.91004456818</v>
      </c>
      <c r="CR161" s="544">
        <f t="shared" ref="CR161:CR169" si="292">U161*$CU$9/100</f>
        <v>53257.355879885843</v>
      </c>
      <c r="CS161" s="1688" t="s">
        <v>1826</v>
      </c>
      <c r="CT161" s="1689"/>
      <c r="CU161" s="1689"/>
      <c r="CV161" s="1689"/>
      <c r="CW161" s="1690"/>
      <c r="CX161" s="528"/>
      <c r="CY161" s="528"/>
      <c r="CZ161" s="528"/>
      <c r="DA161" s="528"/>
      <c r="DB161" s="544">
        <f>1131123.93+6509.05</f>
        <v>1137632.98</v>
      </c>
      <c r="DC161" s="628" t="e">
        <f>P161-#REF!</f>
        <v>#REF!</v>
      </c>
      <c r="DD161" s="535"/>
      <c r="DE161" s="535"/>
      <c r="DF161" s="525">
        <f t="shared" si="278"/>
        <v>4214.3598500000007</v>
      </c>
      <c r="DG161" s="525">
        <f t="shared" si="278"/>
        <v>109.16705</v>
      </c>
      <c r="DH161" s="525">
        <f t="shared" si="278"/>
        <v>17.510480000000001</v>
      </c>
      <c r="DI161" s="522">
        <f t="shared" si="278"/>
        <v>4341.0373800000007</v>
      </c>
      <c r="DJ161" s="536"/>
      <c r="DK161" s="536"/>
      <c r="DL161" s="536"/>
      <c r="DM161" s="536"/>
      <c r="DN161" s="536"/>
      <c r="DO161" s="536"/>
      <c r="DP161" s="536"/>
      <c r="DQ161" s="536"/>
      <c r="DR161" s="536"/>
      <c r="DS161" s="536"/>
    </row>
    <row r="162" spans="1:123" s="534" customFormat="1" ht="40.5" customHeight="1">
      <c r="A162" s="537" t="s">
        <v>679</v>
      </c>
      <c r="B162" s="538" t="s">
        <v>680</v>
      </c>
      <c r="C162" s="576">
        <v>2742439.37</v>
      </c>
      <c r="D162" s="576">
        <v>2591840.5823172536</v>
      </c>
      <c r="E162" s="576">
        <v>3313420</v>
      </c>
      <c r="F162" s="576">
        <v>2832664.8</v>
      </c>
      <c r="G162" s="596">
        <v>2317008.3922010586</v>
      </c>
      <c r="H162" s="596">
        <v>0</v>
      </c>
      <c r="I162" s="576">
        <f t="shared" si="283"/>
        <v>3101947.0999999996</v>
      </c>
      <c r="J162" s="576">
        <v>1418140.38</v>
      </c>
      <c r="K162" s="576">
        <v>848480</v>
      </c>
      <c r="L162" s="576">
        <v>835326.72</v>
      </c>
      <c r="M162" s="576">
        <f t="shared" si="284"/>
        <v>2266620.38</v>
      </c>
      <c r="N162" s="576">
        <v>2132364.75</v>
      </c>
      <c r="O162" s="525">
        <f t="shared" si="285"/>
        <v>692957.55000000028</v>
      </c>
      <c r="P162" s="522">
        <f>8652.06+2819072.2-2422.85+20.89</f>
        <v>2825322.3000000003</v>
      </c>
      <c r="Q162" s="576">
        <f t="shared" si="219"/>
        <v>-276624.79999999935</v>
      </c>
      <c r="R162" s="576">
        <f t="shared" si="220"/>
        <v>-8.9177794166766802</v>
      </c>
      <c r="S162" s="525">
        <v>2444443.8537721168</v>
      </c>
      <c r="T162" s="525">
        <v>2444443.8537721168</v>
      </c>
      <c r="U162" s="522">
        <f t="shared" si="286"/>
        <v>3260146.4</v>
      </c>
      <c r="V162" s="522">
        <f t="shared" si="217"/>
        <v>815702.54622788308</v>
      </c>
      <c r="W162" s="522">
        <f t="shared" si="246"/>
        <v>33.369657681813408</v>
      </c>
      <c r="X162" s="522">
        <f t="shared" si="221"/>
        <v>434824.09999999963</v>
      </c>
      <c r="Y162" s="522">
        <f t="shared" si="222"/>
        <v>15.390247689617567</v>
      </c>
      <c r="Z162" s="524">
        <f t="shared" si="223"/>
        <v>3095154.95</v>
      </c>
      <c r="AA162" s="522">
        <f t="shared" si="224"/>
        <v>650711.09622788336</v>
      </c>
      <c r="AB162" s="522">
        <f t="shared" si="247"/>
        <v>26.620005823563744</v>
      </c>
      <c r="AC162" s="522">
        <f t="shared" si="225"/>
        <v>-164991.44999999972</v>
      </c>
      <c r="AD162" s="522">
        <f t="shared" si="226"/>
        <v>-5.0608601503294324</v>
      </c>
      <c r="AE162" s="522">
        <f t="shared" si="227"/>
        <v>269832.64999999991</v>
      </c>
      <c r="AF162" s="522">
        <f t="shared" si="228"/>
        <v>9.5505086269272539</v>
      </c>
      <c r="AG162" s="522">
        <f t="shared" si="243"/>
        <v>2906726.18</v>
      </c>
      <c r="AH162" s="522">
        <f t="shared" si="229"/>
        <v>-353420.21999999974</v>
      </c>
      <c r="AI162" s="522">
        <f t="shared" si="230"/>
        <v>-10.840624212458678</v>
      </c>
      <c r="AJ162" s="522">
        <f t="shared" si="231"/>
        <v>-188428.77000000002</v>
      </c>
      <c r="AK162" s="522">
        <f t="shared" si="212"/>
        <v>-6.0878622571060532</v>
      </c>
      <c r="AL162" s="522">
        <f t="shared" si="287"/>
        <v>2906726.18</v>
      </c>
      <c r="AM162" s="522">
        <f t="shared" si="270"/>
        <v>1603400</v>
      </c>
      <c r="AN162" s="522">
        <f t="shared" si="270"/>
        <v>1438408.55</v>
      </c>
      <c r="AO162" s="522">
        <f t="shared" si="232"/>
        <v>-164991.44999999995</v>
      </c>
      <c r="AP162" s="522">
        <f t="shared" si="244"/>
        <v>-10.290099164275915</v>
      </c>
      <c r="AQ162" s="522">
        <v>797200</v>
      </c>
      <c r="AR162" s="522">
        <v>708301.55999999994</v>
      </c>
      <c r="AS162" s="522">
        <v>806200</v>
      </c>
      <c r="AT162" s="522">
        <v>730106.99000000011</v>
      </c>
      <c r="AU162" s="522">
        <f t="shared" si="276"/>
        <v>1656746.4</v>
      </c>
      <c r="AV162" s="522">
        <f t="shared" si="276"/>
        <v>1656746.4</v>
      </c>
      <c r="AW162" s="522">
        <f t="shared" si="233"/>
        <v>0</v>
      </c>
      <c r="AX162" s="522">
        <f t="shared" si="234"/>
        <v>0</v>
      </c>
      <c r="AY162" s="522">
        <f t="shared" si="277"/>
        <v>1468317.6300000001</v>
      </c>
      <c r="AZ162" s="522">
        <f t="shared" si="235"/>
        <v>188428.76999999979</v>
      </c>
      <c r="BA162" s="522">
        <f t="shared" si="236"/>
        <v>12.832970615492755</v>
      </c>
      <c r="BB162" s="522">
        <v>817006.4</v>
      </c>
      <c r="BC162" s="525">
        <f>'[67]Гл инж_Тех дир'!AT79</f>
        <v>817006.4</v>
      </c>
      <c r="BD162" s="525">
        <f t="shared" si="288"/>
        <v>755947.07999999984</v>
      </c>
      <c r="BE162" s="525">
        <f t="shared" si="237"/>
        <v>-61059.320000000182</v>
      </c>
      <c r="BF162" s="525">
        <f t="shared" si="238"/>
        <v>-61059.320000000182</v>
      </c>
      <c r="BG162" s="525">
        <f t="shared" si="218"/>
        <v>2420406.4</v>
      </c>
      <c r="BH162" s="522">
        <f t="shared" si="218"/>
        <v>2255414.9500000002</v>
      </c>
      <c r="BI162" s="522">
        <f>2175749.03+18606.6</f>
        <v>2194355.63</v>
      </c>
      <c r="BJ162" s="522">
        <f t="shared" si="239"/>
        <v>-226050.77000000002</v>
      </c>
      <c r="BK162" s="522">
        <f t="shared" si="240"/>
        <v>-61059.320000000298</v>
      </c>
      <c r="BL162" s="525">
        <v>839740</v>
      </c>
      <c r="BM162" s="522">
        <f>'[67]Гл инж_Тех дир'!AW79</f>
        <v>839740</v>
      </c>
      <c r="BN162" s="522">
        <f t="shared" si="289"/>
        <v>712370.55000000028</v>
      </c>
      <c r="BO162" s="522">
        <f t="shared" si="245"/>
        <v>-127369.44999999972</v>
      </c>
      <c r="BP162" s="522">
        <f t="shared" si="241"/>
        <v>-127369.44999999972</v>
      </c>
      <c r="BQ162" s="525">
        <v>839740</v>
      </c>
      <c r="BR162" s="522">
        <f>'[67]Гл инж_Тех дир'!BB79</f>
        <v>0</v>
      </c>
      <c r="BS162" s="522">
        <f>'[67]Гл инж_Тех дир'!BC79</f>
        <v>0</v>
      </c>
      <c r="BT162" s="536"/>
      <c r="BU162" s="522">
        <v>2875439.89</v>
      </c>
      <c r="BV162" s="522">
        <v>31286.29</v>
      </c>
      <c r="BW162" s="522"/>
      <c r="BX162" s="574"/>
      <c r="BY162" s="525">
        <f>2637752.93+31286.29</f>
        <v>2669039.2200000002</v>
      </c>
      <c r="BZ162" s="525">
        <v>208786</v>
      </c>
      <c r="CA162" s="525">
        <v>28900.959999999999</v>
      </c>
      <c r="CB162" s="522">
        <f t="shared" si="213"/>
        <v>2906726.18</v>
      </c>
      <c r="CC162" s="522">
        <f t="shared" si="242"/>
        <v>0</v>
      </c>
      <c r="CD162" s="522"/>
      <c r="CE162" s="522"/>
      <c r="CF162" s="522"/>
      <c r="CG162" s="522"/>
      <c r="CH162" s="522"/>
      <c r="CI162" s="522"/>
      <c r="CJ162" s="522"/>
      <c r="CK162" s="542" t="s">
        <v>79</v>
      </c>
      <c r="CL162" s="542" t="s">
        <v>1912</v>
      </c>
      <c r="CM162" s="509" t="s">
        <v>1925</v>
      </c>
      <c r="CN162" s="528" t="s">
        <v>1849</v>
      </c>
      <c r="CO162" s="528"/>
      <c r="CP162" s="544">
        <f t="shared" si="290"/>
        <v>3007877.739543186</v>
      </c>
      <c r="CQ162" s="544">
        <f t="shared" si="291"/>
        <v>220938.43291400664</v>
      </c>
      <c r="CR162" s="544">
        <f t="shared" si="292"/>
        <v>31330.227542807763</v>
      </c>
      <c r="CS162" s="1688" t="s">
        <v>1826</v>
      </c>
      <c r="CT162" s="1689"/>
      <c r="CU162" s="1689"/>
      <c r="CV162" s="1689"/>
      <c r="CW162" s="1690"/>
      <c r="CX162" s="528"/>
      <c r="CY162" s="528"/>
      <c r="CZ162" s="528"/>
      <c r="DA162" s="528"/>
      <c r="DB162" s="544">
        <f>705907.97+2393.59</f>
        <v>708301.55999999994</v>
      </c>
      <c r="DC162" s="628" t="e">
        <f>P162-#REF!</f>
        <v>#REF!</v>
      </c>
      <c r="DD162" s="535"/>
      <c r="DE162" s="535"/>
      <c r="DF162" s="525">
        <f t="shared" si="278"/>
        <v>2669.0392200000001</v>
      </c>
      <c r="DG162" s="525">
        <f t="shared" si="278"/>
        <v>208.786</v>
      </c>
      <c r="DH162" s="525">
        <f t="shared" si="278"/>
        <v>28.900959999999998</v>
      </c>
      <c r="DI162" s="522">
        <f t="shared" si="278"/>
        <v>2906.7261800000001</v>
      </c>
      <c r="DJ162" s="536"/>
      <c r="DK162" s="536"/>
      <c r="DL162" s="536"/>
      <c r="DM162" s="536"/>
      <c r="DN162" s="536"/>
      <c r="DO162" s="536"/>
      <c r="DP162" s="536"/>
      <c r="DQ162" s="536"/>
      <c r="DR162" s="536"/>
      <c r="DS162" s="536"/>
    </row>
    <row r="163" spans="1:123" s="534" customFormat="1" ht="40.5" customHeight="1">
      <c r="A163" s="537" t="s">
        <v>684</v>
      </c>
      <c r="B163" s="538" t="s">
        <v>685</v>
      </c>
      <c r="C163" s="576">
        <v>1519485.46</v>
      </c>
      <c r="D163" s="576">
        <v>1781595.0164791967</v>
      </c>
      <c r="E163" s="576">
        <v>1781595.0164791967</v>
      </c>
      <c r="F163" s="576">
        <v>1349853.21</v>
      </c>
      <c r="G163" s="596">
        <v>864959.07547146501</v>
      </c>
      <c r="H163" s="596">
        <v>0</v>
      </c>
      <c r="I163" s="576">
        <f t="shared" si="283"/>
        <v>1340662.8500000001</v>
      </c>
      <c r="J163" s="576">
        <v>595902.85</v>
      </c>
      <c r="K163" s="576">
        <v>383280</v>
      </c>
      <c r="L163" s="576">
        <v>361480</v>
      </c>
      <c r="M163" s="576">
        <f t="shared" si="284"/>
        <v>979182.85</v>
      </c>
      <c r="N163" s="576">
        <v>898515.67</v>
      </c>
      <c r="O163" s="525">
        <f t="shared" si="285"/>
        <v>302232.86</v>
      </c>
      <c r="P163" s="522">
        <f>20.6+1200727.93</f>
        <v>1200748.53</v>
      </c>
      <c r="Q163" s="576">
        <f t="shared" si="219"/>
        <v>-139914.32000000007</v>
      </c>
      <c r="R163" s="576">
        <f t="shared" si="220"/>
        <v>-10.436204747524712</v>
      </c>
      <c r="S163" s="525">
        <v>1467966.0349999997</v>
      </c>
      <c r="T163" s="525">
        <v>1467966.0349999997</v>
      </c>
      <c r="U163" s="522">
        <f t="shared" si="286"/>
        <v>1409036.66</v>
      </c>
      <c r="V163" s="522">
        <f t="shared" si="217"/>
        <v>-58929.374999999767</v>
      </c>
      <c r="W163" s="522">
        <f t="shared" si="246"/>
        <v>-4.0143554820053993</v>
      </c>
      <c r="X163" s="522">
        <f t="shared" si="221"/>
        <v>208288.12999999989</v>
      </c>
      <c r="Y163" s="522">
        <f t="shared" si="222"/>
        <v>17.34652383875914</v>
      </c>
      <c r="Z163" s="524">
        <f t="shared" si="223"/>
        <v>1262791.76</v>
      </c>
      <c r="AA163" s="522">
        <f t="shared" si="224"/>
        <v>-205174.27499999967</v>
      </c>
      <c r="AB163" s="522">
        <f t="shared" si="247"/>
        <v>-13.976772630165087</v>
      </c>
      <c r="AC163" s="522">
        <f t="shared" si="225"/>
        <v>-146244.89999999991</v>
      </c>
      <c r="AD163" s="522">
        <f t="shared" si="226"/>
        <v>-10.379069910075998</v>
      </c>
      <c r="AE163" s="522">
        <f t="shared" si="227"/>
        <v>62043.229999999981</v>
      </c>
      <c r="AF163" s="522">
        <f t="shared" si="228"/>
        <v>5.1670460924903239</v>
      </c>
      <c r="AG163" s="522">
        <f t="shared" si="243"/>
        <v>1070291.5900000001</v>
      </c>
      <c r="AH163" s="522">
        <f t="shared" si="229"/>
        <v>-338745.06999999983</v>
      </c>
      <c r="AI163" s="522">
        <f t="shared" si="230"/>
        <v>-24.040898268750496</v>
      </c>
      <c r="AJ163" s="522">
        <f t="shared" si="231"/>
        <v>-192500.16999999993</v>
      </c>
      <c r="AK163" s="522">
        <f t="shared" ref="AK163:AK172" si="293">AG163/Z163*100-100</f>
        <v>-15.244015371148762</v>
      </c>
      <c r="AL163" s="522">
        <f t="shared" si="287"/>
        <v>1070291.5900000001</v>
      </c>
      <c r="AM163" s="522">
        <f t="shared" si="270"/>
        <v>657436.65999999992</v>
      </c>
      <c r="AN163" s="522">
        <f t="shared" si="270"/>
        <v>511191.76</v>
      </c>
      <c r="AO163" s="522">
        <f t="shared" si="232"/>
        <v>-146244.89999999991</v>
      </c>
      <c r="AP163" s="522">
        <f t="shared" si="244"/>
        <v>-22.244713277777961</v>
      </c>
      <c r="AQ163" s="522">
        <v>281636.65999999997</v>
      </c>
      <c r="AR163" s="522">
        <v>257394.09</v>
      </c>
      <c r="AS163" s="522">
        <v>375800</v>
      </c>
      <c r="AT163" s="522">
        <v>253797.67</v>
      </c>
      <c r="AU163" s="522">
        <f t="shared" si="276"/>
        <v>751600</v>
      </c>
      <c r="AV163" s="522">
        <f t="shared" si="276"/>
        <v>751600</v>
      </c>
      <c r="AW163" s="522">
        <f t="shared" si="233"/>
        <v>0</v>
      </c>
      <c r="AX163" s="522">
        <f t="shared" si="234"/>
        <v>0</v>
      </c>
      <c r="AY163" s="522">
        <f t="shared" si="277"/>
        <v>559099.83000000007</v>
      </c>
      <c r="AZ163" s="522">
        <f t="shared" si="235"/>
        <v>192500.16999999993</v>
      </c>
      <c r="BA163" s="522">
        <f t="shared" si="236"/>
        <v>34.430375341019129</v>
      </c>
      <c r="BB163" s="522">
        <v>375800</v>
      </c>
      <c r="BC163" s="525">
        <f>'[67]Гл инж_Тех дир'!AT80</f>
        <v>375800</v>
      </c>
      <c r="BD163" s="525">
        <f t="shared" si="288"/>
        <v>290427.45000000007</v>
      </c>
      <c r="BE163" s="525">
        <f t="shared" si="237"/>
        <v>-85372.54999999993</v>
      </c>
      <c r="BF163" s="525">
        <f t="shared" si="238"/>
        <v>-85372.54999999993</v>
      </c>
      <c r="BG163" s="525">
        <f t="shared" si="218"/>
        <v>1033236.6599999999</v>
      </c>
      <c r="BH163" s="522">
        <f t="shared" si="218"/>
        <v>886991.76</v>
      </c>
      <c r="BI163" s="522">
        <f>799868.81+1750.4</f>
        <v>801619.21000000008</v>
      </c>
      <c r="BJ163" s="522">
        <f t="shared" si="239"/>
        <v>-231617.44999999984</v>
      </c>
      <c r="BK163" s="522">
        <f t="shared" si="240"/>
        <v>-85372.54999999993</v>
      </c>
      <c r="BL163" s="525">
        <v>375800</v>
      </c>
      <c r="BM163" s="522">
        <f>'[67]Гл инж_Тех дир'!AW80</f>
        <v>375800</v>
      </c>
      <c r="BN163" s="522">
        <f t="shared" si="289"/>
        <v>268672.38</v>
      </c>
      <c r="BO163" s="522">
        <f t="shared" si="245"/>
        <v>-107127.62</v>
      </c>
      <c r="BP163" s="522">
        <f t="shared" si="241"/>
        <v>-107127.62</v>
      </c>
      <c r="BQ163" s="525">
        <v>375800</v>
      </c>
      <c r="BR163" s="522">
        <f>'[67]Гл инж_Тех дир'!BB80</f>
        <v>0</v>
      </c>
      <c r="BS163" s="522">
        <f>'[67]Гл инж_Тех дир'!BC80</f>
        <v>0</v>
      </c>
      <c r="BT163" s="536"/>
      <c r="BU163" s="522">
        <v>1066842.79</v>
      </c>
      <c r="BV163" s="522">
        <v>3448.8</v>
      </c>
      <c r="BW163" s="522"/>
      <c r="BX163" s="574"/>
      <c r="BY163" s="525">
        <f>984899.07+3448.8</f>
        <v>988347.87</v>
      </c>
      <c r="BZ163" s="525">
        <v>70502.67</v>
      </c>
      <c r="CA163" s="525">
        <v>11441.05</v>
      </c>
      <c r="CB163" s="522">
        <f t="shared" si="213"/>
        <v>1070291.5900000001</v>
      </c>
      <c r="CC163" s="522">
        <f t="shared" si="242"/>
        <v>0</v>
      </c>
      <c r="CD163" s="522"/>
      <c r="CE163" s="522"/>
      <c r="CF163" s="522"/>
      <c r="CG163" s="522"/>
      <c r="CH163" s="522"/>
      <c r="CI163" s="522"/>
      <c r="CJ163" s="522"/>
      <c r="CK163" s="542" t="s">
        <v>79</v>
      </c>
      <c r="CL163" s="542" t="s">
        <v>1912</v>
      </c>
      <c r="CM163" s="509" t="s">
        <v>1925</v>
      </c>
      <c r="CN163" s="528" t="s">
        <v>1849</v>
      </c>
      <c r="CO163" s="528"/>
      <c r="CP163" s="544">
        <f t="shared" si="290"/>
        <v>1300006.0377086992</v>
      </c>
      <c r="CQ163" s="544">
        <f t="shared" si="291"/>
        <v>95489.684628514224</v>
      </c>
      <c r="CR163" s="544">
        <f t="shared" si="292"/>
        <v>13540.937662786508</v>
      </c>
      <c r="CS163" s="1688" t="s">
        <v>1826</v>
      </c>
      <c r="CT163" s="1689"/>
      <c r="CU163" s="1689"/>
      <c r="CV163" s="1689"/>
      <c r="CW163" s="1690"/>
      <c r="CX163" s="528"/>
      <c r="CY163" s="528"/>
      <c r="CZ163" s="528"/>
      <c r="DA163" s="528"/>
      <c r="DB163" s="544">
        <f>257394.09</f>
        <v>257394.09</v>
      </c>
      <c r="DC163" s="628" t="e">
        <f>P163-#REF!</f>
        <v>#REF!</v>
      </c>
      <c r="DD163" s="535"/>
      <c r="DE163" s="535"/>
      <c r="DF163" s="525">
        <f t="shared" si="278"/>
        <v>988.34786999999994</v>
      </c>
      <c r="DG163" s="525">
        <f t="shared" si="278"/>
        <v>70.502669999999995</v>
      </c>
      <c r="DH163" s="525">
        <f t="shared" si="278"/>
        <v>11.441049999999999</v>
      </c>
      <c r="DI163" s="522">
        <f t="shared" si="278"/>
        <v>1070.29159</v>
      </c>
      <c r="DJ163" s="536"/>
      <c r="DK163" s="536"/>
      <c r="DL163" s="536"/>
      <c r="DM163" s="536"/>
      <c r="DN163" s="536"/>
      <c r="DO163" s="536"/>
      <c r="DP163" s="536"/>
      <c r="DQ163" s="536"/>
      <c r="DR163" s="536"/>
      <c r="DS163" s="536"/>
    </row>
    <row r="164" spans="1:123" s="534" customFormat="1" ht="69" customHeight="1">
      <c r="A164" s="537" t="s">
        <v>689</v>
      </c>
      <c r="B164" s="538" t="s">
        <v>690</v>
      </c>
      <c r="C164" s="576">
        <v>180601.12</v>
      </c>
      <c r="D164" s="576">
        <v>603641.00105614925</v>
      </c>
      <c r="E164" s="576">
        <v>238190</v>
      </c>
      <c r="F164" s="576">
        <v>181942.13</v>
      </c>
      <c r="G164" s="596">
        <v>117623.9566318725</v>
      </c>
      <c r="H164" s="596">
        <v>0</v>
      </c>
      <c r="I164" s="576">
        <f t="shared" si="283"/>
        <v>183889.45</v>
      </c>
      <c r="J164" s="576">
        <v>81171.25</v>
      </c>
      <c r="K164" s="576">
        <v>50110</v>
      </c>
      <c r="L164" s="576">
        <v>52608.2</v>
      </c>
      <c r="M164" s="576">
        <f t="shared" si="284"/>
        <v>131281.25</v>
      </c>
      <c r="N164" s="576">
        <v>124976.77</v>
      </c>
      <c r="O164" s="525">
        <f t="shared" si="285"/>
        <v>38536.680000000008</v>
      </c>
      <c r="P164" s="522">
        <v>163513.45000000001</v>
      </c>
      <c r="Q164" s="576">
        <f t="shared" si="219"/>
        <v>-20376</v>
      </c>
      <c r="R164" s="576">
        <f t="shared" si="220"/>
        <v>-11.080570418803248</v>
      </c>
      <c r="S164" s="525">
        <v>200140</v>
      </c>
      <c r="T164" s="525">
        <v>200140</v>
      </c>
      <c r="U164" s="522">
        <f t="shared" si="286"/>
        <v>175134.11</v>
      </c>
      <c r="V164" s="522">
        <f t="shared" si="217"/>
        <v>-25005.890000000014</v>
      </c>
      <c r="W164" s="522">
        <f t="shared" si="246"/>
        <v>-12.49419906065755</v>
      </c>
      <c r="X164" s="522">
        <f t="shared" si="221"/>
        <v>11620.659999999974</v>
      </c>
      <c r="Y164" s="522">
        <f t="shared" si="222"/>
        <v>7.1068526778683747</v>
      </c>
      <c r="Z164" s="524">
        <f t="shared" si="223"/>
        <v>164662.02000000002</v>
      </c>
      <c r="AA164" s="522">
        <f t="shared" si="224"/>
        <v>-35477.979999999981</v>
      </c>
      <c r="AB164" s="522">
        <f t="shared" si="247"/>
        <v>-17.726581393024873</v>
      </c>
      <c r="AC164" s="522">
        <f t="shared" si="225"/>
        <v>-10472.089999999967</v>
      </c>
      <c r="AD164" s="522">
        <f t="shared" si="226"/>
        <v>-5.9794691051331768</v>
      </c>
      <c r="AE164" s="522">
        <f t="shared" si="227"/>
        <v>1148.570000000007</v>
      </c>
      <c r="AF164" s="522">
        <f t="shared" si="228"/>
        <v>0.70243151251472113</v>
      </c>
      <c r="AG164" s="522">
        <f t="shared" si="243"/>
        <v>140229.96000000002</v>
      </c>
      <c r="AH164" s="522">
        <f t="shared" si="229"/>
        <v>-34904.149999999965</v>
      </c>
      <c r="AI164" s="522">
        <f t="shared" si="230"/>
        <v>-19.929955392470362</v>
      </c>
      <c r="AJ164" s="522">
        <f t="shared" si="231"/>
        <v>-24432.059999999998</v>
      </c>
      <c r="AK164" s="522">
        <f t="shared" si="293"/>
        <v>-14.837702100338618</v>
      </c>
      <c r="AL164" s="522">
        <f t="shared" si="287"/>
        <v>140229.96000000002</v>
      </c>
      <c r="AM164" s="522">
        <f t="shared" si="270"/>
        <v>82400</v>
      </c>
      <c r="AN164" s="522">
        <f t="shared" si="270"/>
        <v>71927.91</v>
      </c>
      <c r="AO164" s="522">
        <f t="shared" si="232"/>
        <v>-10472.089999999997</v>
      </c>
      <c r="AP164" s="522">
        <f t="shared" si="244"/>
        <v>-12.708847087378643</v>
      </c>
      <c r="AQ164" s="522">
        <v>36300</v>
      </c>
      <c r="AR164" s="522">
        <v>34961.11</v>
      </c>
      <c r="AS164" s="522">
        <v>46100</v>
      </c>
      <c r="AT164" s="522">
        <v>36966.800000000003</v>
      </c>
      <c r="AU164" s="522">
        <f t="shared" si="276"/>
        <v>92734.11</v>
      </c>
      <c r="AV164" s="522">
        <f t="shared" si="276"/>
        <v>92734.11</v>
      </c>
      <c r="AW164" s="522">
        <f t="shared" si="233"/>
        <v>0</v>
      </c>
      <c r="AX164" s="522">
        <f t="shared" si="234"/>
        <v>0</v>
      </c>
      <c r="AY164" s="522">
        <f t="shared" si="277"/>
        <v>68302.050000000017</v>
      </c>
      <c r="AZ164" s="522">
        <f t="shared" si="235"/>
        <v>24432.059999999983</v>
      </c>
      <c r="BA164" s="522">
        <f t="shared" si="236"/>
        <v>35.770610106138804</v>
      </c>
      <c r="BB164" s="522">
        <v>46134.11</v>
      </c>
      <c r="BC164" s="525">
        <f>'[67]Гл инж_Тех дир'!AT81</f>
        <v>46134.11</v>
      </c>
      <c r="BD164" s="525">
        <f t="shared" si="288"/>
        <v>34572.92</v>
      </c>
      <c r="BE164" s="525">
        <f t="shared" si="237"/>
        <v>-11561.190000000002</v>
      </c>
      <c r="BF164" s="525">
        <f t="shared" si="238"/>
        <v>-11561.190000000002</v>
      </c>
      <c r="BG164" s="525">
        <f t="shared" si="218"/>
        <v>128534.11</v>
      </c>
      <c r="BH164" s="522">
        <f t="shared" si="218"/>
        <v>118062.02</v>
      </c>
      <c r="BI164" s="522">
        <f>106492.51+8.32</f>
        <v>106500.83</v>
      </c>
      <c r="BJ164" s="522">
        <f t="shared" si="239"/>
        <v>-22033.279999999999</v>
      </c>
      <c r="BK164" s="522">
        <f t="shared" si="240"/>
        <v>-11561.190000000002</v>
      </c>
      <c r="BL164" s="525">
        <v>46600</v>
      </c>
      <c r="BM164" s="522">
        <f>'[67]Гл инж_Тех дир'!AW81</f>
        <v>46600</v>
      </c>
      <c r="BN164" s="522">
        <f t="shared" si="289"/>
        <v>33729.130000000019</v>
      </c>
      <c r="BO164" s="522">
        <f t="shared" si="245"/>
        <v>-12870.869999999981</v>
      </c>
      <c r="BP164" s="522">
        <f t="shared" si="241"/>
        <v>-12870.869999999981</v>
      </c>
      <c r="BQ164" s="525">
        <v>46600</v>
      </c>
      <c r="BR164" s="522">
        <f>'[67]Гл инж_Тех дир'!BB81</f>
        <v>0</v>
      </c>
      <c r="BS164" s="522">
        <f>'[67]Гл инж_Тех дир'!BC81</f>
        <v>0</v>
      </c>
      <c r="BT164" s="536"/>
      <c r="BU164" s="522">
        <v>140221.64000000001</v>
      </c>
      <c r="BV164" s="522">
        <v>8.32</v>
      </c>
      <c r="BW164" s="522"/>
      <c r="BX164" s="574"/>
      <c r="BY164" s="525">
        <f>131439.87+8.32</f>
        <v>131448.19</v>
      </c>
      <c r="BZ164" s="525">
        <v>7399.01</v>
      </c>
      <c r="CA164" s="525">
        <v>1382.76</v>
      </c>
      <c r="CB164" s="522">
        <f t="shared" si="213"/>
        <v>140229.96000000002</v>
      </c>
      <c r="CC164" s="522">
        <f t="shared" si="242"/>
        <v>0</v>
      </c>
      <c r="CD164" s="522"/>
      <c r="CE164" s="522"/>
      <c r="CF164" s="522"/>
      <c r="CG164" s="522"/>
      <c r="CH164" s="522"/>
      <c r="CI164" s="522"/>
      <c r="CJ164" s="522"/>
      <c r="CK164" s="542" t="s">
        <v>79</v>
      </c>
      <c r="CL164" s="542" t="s">
        <v>1912</v>
      </c>
      <c r="CM164" s="509" t="s">
        <v>1925</v>
      </c>
      <c r="CN164" s="528" t="s">
        <v>1849</v>
      </c>
      <c r="CO164" s="528"/>
      <c r="CP164" s="544">
        <f t="shared" si="290"/>
        <v>161582.3114273971</v>
      </c>
      <c r="CQ164" s="544">
        <f t="shared" si="291"/>
        <v>11868.747922850722</v>
      </c>
      <c r="CR164" s="544">
        <f t="shared" si="292"/>
        <v>1683.0506497521471</v>
      </c>
      <c r="CS164" s="1688" t="s">
        <v>1826</v>
      </c>
      <c r="CT164" s="1689"/>
      <c r="CU164" s="1689"/>
      <c r="CV164" s="1689"/>
      <c r="CW164" s="1690"/>
      <c r="CX164" s="528"/>
      <c r="CY164" s="528"/>
      <c r="CZ164" s="528"/>
      <c r="DA164" s="528"/>
      <c r="DB164" s="544">
        <f>34961.11</f>
        <v>34961.11</v>
      </c>
      <c r="DC164" s="628" t="e">
        <f>P164-#REF!</f>
        <v>#REF!</v>
      </c>
      <c r="DD164" s="535"/>
      <c r="DE164" s="535"/>
      <c r="DF164" s="525">
        <f t="shared" si="278"/>
        <v>131.44819000000001</v>
      </c>
      <c r="DG164" s="525">
        <f t="shared" si="278"/>
        <v>7.3990100000000005</v>
      </c>
      <c r="DH164" s="525">
        <f t="shared" si="278"/>
        <v>1.38276</v>
      </c>
      <c r="DI164" s="522">
        <f t="shared" si="278"/>
        <v>140.22996000000003</v>
      </c>
      <c r="DJ164" s="536"/>
      <c r="DK164" s="536"/>
      <c r="DL164" s="536"/>
      <c r="DM164" s="536"/>
      <c r="DN164" s="536"/>
      <c r="DO164" s="536"/>
      <c r="DP164" s="536"/>
      <c r="DQ164" s="536"/>
      <c r="DR164" s="536"/>
      <c r="DS164" s="536"/>
    </row>
    <row r="165" spans="1:123" s="534" customFormat="1" ht="60" customHeight="1">
      <c r="A165" s="537" t="s">
        <v>694</v>
      </c>
      <c r="B165" s="538" t="s">
        <v>695</v>
      </c>
      <c r="C165" s="576">
        <v>130571.36</v>
      </c>
      <c r="D165" s="576">
        <v>236157.9640715743</v>
      </c>
      <c r="E165" s="576">
        <v>2517730</v>
      </c>
      <c r="F165" s="576">
        <v>123800.82</v>
      </c>
      <c r="G165" s="596">
        <v>117886.69072222157</v>
      </c>
      <c r="H165" s="596">
        <v>0</v>
      </c>
      <c r="I165" s="576">
        <f t="shared" si="283"/>
        <v>2590787.3200000003</v>
      </c>
      <c r="J165" s="576">
        <v>722502.3</v>
      </c>
      <c r="K165" s="576">
        <v>866485.02</v>
      </c>
      <c r="L165" s="576">
        <v>1001800</v>
      </c>
      <c r="M165" s="576">
        <f t="shared" si="284"/>
        <v>1588987.32</v>
      </c>
      <c r="N165" s="576">
        <v>1516295.36</v>
      </c>
      <c r="O165" s="525">
        <f t="shared" si="285"/>
        <v>1032600.6899999997</v>
      </c>
      <c r="P165" s="522">
        <v>2548896.0499999998</v>
      </c>
      <c r="Q165" s="576">
        <f t="shared" si="219"/>
        <v>-41891.270000000484</v>
      </c>
      <c r="R165" s="576">
        <f t="shared" si="220"/>
        <v>-1.6169320297584449</v>
      </c>
      <c r="S165" s="525">
        <v>139066.40749999997</v>
      </c>
      <c r="T165" s="525">
        <v>139066.40749999997</v>
      </c>
      <c r="U165" s="522">
        <f t="shared" si="286"/>
        <v>2009085.8199999998</v>
      </c>
      <c r="V165" s="522">
        <f t="shared" si="217"/>
        <v>1870019.4124999999</v>
      </c>
      <c r="W165" s="522">
        <f t="shared" si="246"/>
        <v>1344.6952762477886</v>
      </c>
      <c r="X165" s="522">
        <f t="shared" si="221"/>
        <v>-539810.23</v>
      </c>
      <c r="Y165" s="522">
        <f t="shared" si="222"/>
        <v>-21.178197125771376</v>
      </c>
      <c r="Z165" s="524">
        <f t="shared" si="223"/>
        <v>3493957.7399999998</v>
      </c>
      <c r="AA165" s="522">
        <f t="shared" si="224"/>
        <v>3354891.3324999996</v>
      </c>
      <c r="AB165" s="522">
        <f t="shared" si="247"/>
        <v>2412.4383399348262</v>
      </c>
      <c r="AC165" s="522">
        <f t="shared" si="225"/>
        <v>1484871.92</v>
      </c>
      <c r="AD165" s="522">
        <f t="shared" si="226"/>
        <v>73.907839337594851</v>
      </c>
      <c r="AE165" s="522">
        <f t="shared" si="227"/>
        <v>945061.69</v>
      </c>
      <c r="AF165" s="522">
        <f t="shared" si="228"/>
        <v>37.077294305509241</v>
      </c>
      <c r="AG165" s="522">
        <f t="shared" si="243"/>
        <v>2718567.2</v>
      </c>
      <c r="AH165" s="522">
        <f t="shared" si="229"/>
        <v>709481.38000000035</v>
      </c>
      <c r="AI165" s="522">
        <f t="shared" si="230"/>
        <v>35.313642301253253</v>
      </c>
      <c r="AJ165" s="522">
        <f t="shared" si="231"/>
        <v>-775390.53999999957</v>
      </c>
      <c r="AK165" s="522">
        <f t="shared" si="293"/>
        <v>-22.19232737485828</v>
      </c>
      <c r="AL165" s="522">
        <f t="shared" si="287"/>
        <v>2718567.2</v>
      </c>
      <c r="AM165" s="522">
        <f t="shared" si="270"/>
        <v>1505745.8199999998</v>
      </c>
      <c r="AN165" s="522">
        <f t="shared" si="270"/>
        <v>1641553.98</v>
      </c>
      <c r="AO165" s="522">
        <f t="shared" si="232"/>
        <v>135808.16000000015</v>
      </c>
      <c r="AP165" s="522">
        <f t="shared" si="244"/>
        <v>9.0193283750905664</v>
      </c>
      <c r="AQ165" s="522">
        <v>953670</v>
      </c>
      <c r="AR165" s="522">
        <v>903602.7</v>
      </c>
      <c r="AS165" s="522">
        <v>552075.81999999995</v>
      </c>
      <c r="AT165" s="522">
        <v>737951.28</v>
      </c>
      <c r="AU165" s="522">
        <f t="shared" si="276"/>
        <v>503340</v>
      </c>
      <c r="AV165" s="522">
        <f t="shared" si="276"/>
        <v>1852403.7599999998</v>
      </c>
      <c r="AW165" s="522">
        <f t="shared" si="233"/>
        <v>1349063.7599999998</v>
      </c>
      <c r="AX165" s="522">
        <f t="shared" si="234"/>
        <v>268.02236261771361</v>
      </c>
      <c r="AY165" s="522">
        <f t="shared" si="277"/>
        <v>1077013.2200000002</v>
      </c>
      <c r="AZ165" s="522">
        <f t="shared" si="235"/>
        <v>775390.53999999957</v>
      </c>
      <c r="BA165" s="522">
        <f t="shared" si="236"/>
        <v>71.994523892659316</v>
      </c>
      <c r="BB165" s="522">
        <v>251670</v>
      </c>
      <c r="BC165" s="525">
        <f>'[67]Гл инж_Тех дир'!AT82</f>
        <v>1282056.8799999999</v>
      </c>
      <c r="BD165" s="525">
        <f t="shared" si="288"/>
        <v>478316.14000000013</v>
      </c>
      <c r="BE165" s="525">
        <f t="shared" si="237"/>
        <v>226646.14000000013</v>
      </c>
      <c r="BF165" s="525">
        <f t="shared" si="238"/>
        <v>-803740.73999999976</v>
      </c>
      <c r="BG165" s="525">
        <f t="shared" si="218"/>
        <v>1757415.8199999998</v>
      </c>
      <c r="BH165" s="522">
        <f t="shared" si="218"/>
        <v>2923610.86</v>
      </c>
      <c r="BI165" s="522">
        <v>2119870.12</v>
      </c>
      <c r="BJ165" s="522">
        <f t="shared" si="239"/>
        <v>362454.30000000028</v>
      </c>
      <c r="BK165" s="522">
        <f t="shared" si="240"/>
        <v>-803740.73999999976</v>
      </c>
      <c r="BL165" s="525">
        <v>251670</v>
      </c>
      <c r="BM165" s="522">
        <f>'[67]Гл инж_Тех дир'!AW82</f>
        <v>570346.88</v>
      </c>
      <c r="BN165" s="522">
        <f t="shared" si="289"/>
        <v>598697.08000000007</v>
      </c>
      <c r="BO165" s="522">
        <f t="shared" si="245"/>
        <v>347027.08000000007</v>
      </c>
      <c r="BP165" s="522">
        <f t="shared" si="241"/>
        <v>28350.20000000007</v>
      </c>
      <c r="BQ165" s="525">
        <v>251670</v>
      </c>
      <c r="BR165" s="522">
        <f>'[67]Гл инж_Тех дир'!BB82</f>
        <v>0</v>
      </c>
      <c r="BS165" s="522">
        <f>'[67]Гл инж_Тех дир'!BC82</f>
        <v>0</v>
      </c>
      <c r="BT165" s="536"/>
      <c r="BU165" s="522">
        <v>2718567.2</v>
      </c>
      <c r="BV165" s="522"/>
      <c r="BW165" s="522"/>
      <c r="BX165" s="574"/>
      <c r="BY165" s="525">
        <v>2694727.37</v>
      </c>
      <c r="BZ165" s="525">
        <v>20133.07</v>
      </c>
      <c r="CA165" s="525">
        <v>3706.76</v>
      </c>
      <c r="CB165" s="522">
        <f t="shared" si="213"/>
        <v>2718567.1999999997</v>
      </c>
      <c r="CC165" s="522">
        <f t="shared" si="242"/>
        <v>0</v>
      </c>
      <c r="CD165" s="522"/>
      <c r="CE165" s="522"/>
      <c r="CF165" s="522"/>
      <c r="CG165" s="522"/>
      <c r="CH165" s="522"/>
      <c r="CI165" s="522"/>
      <c r="CJ165" s="522"/>
      <c r="CK165" s="542" t="s">
        <v>79</v>
      </c>
      <c r="CL165" s="542" t="s">
        <v>1912</v>
      </c>
      <c r="CM165" s="509" t="s">
        <v>1925</v>
      </c>
      <c r="CN165" s="528" t="s">
        <v>1849</v>
      </c>
      <c r="CO165" s="528"/>
      <c r="CP165" s="544">
        <f t="shared" si="290"/>
        <v>1853623.6638973842</v>
      </c>
      <c r="CQ165" s="544">
        <f t="shared" si="291"/>
        <v>136154.70540235616</v>
      </c>
      <c r="CR165" s="544">
        <f t="shared" si="292"/>
        <v>19307.450700259506</v>
      </c>
      <c r="CS165" s="1688" t="s">
        <v>1826</v>
      </c>
      <c r="CT165" s="1689"/>
      <c r="CU165" s="1689"/>
      <c r="CV165" s="1689"/>
      <c r="CW165" s="1690"/>
      <c r="CX165" s="528"/>
      <c r="CY165" s="528"/>
      <c r="CZ165" s="528"/>
      <c r="DA165" s="528"/>
      <c r="DB165" s="544">
        <f>903602.7</f>
        <v>903602.7</v>
      </c>
      <c r="DC165" s="628" t="e">
        <f>P165-#REF!</f>
        <v>#REF!</v>
      </c>
      <c r="DD165" s="535"/>
      <c r="DE165" s="535"/>
      <c r="DF165" s="525">
        <f t="shared" si="278"/>
        <v>2694.7273700000001</v>
      </c>
      <c r="DG165" s="525">
        <f t="shared" si="278"/>
        <v>20.13307</v>
      </c>
      <c r="DH165" s="525">
        <f t="shared" si="278"/>
        <v>3.7067600000000001</v>
      </c>
      <c r="DI165" s="522">
        <f t="shared" si="278"/>
        <v>2718.5671999999995</v>
      </c>
      <c r="DJ165" s="536"/>
      <c r="DK165" s="536"/>
      <c r="DL165" s="536"/>
      <c r="DM165" s="536"/>
      <c r="DN165" s="536"/>
      <c r="DO165" s="536"/>
      <c r="DP165" s="536"/>
      <c r="DQ165" s="536"/>
      <c r="DR165" s="536"/>
      <c r="DS165" s="536"/>
    </row>
    <row r="166" spans="1:123" s="534" customFormat="1" ht="40.5" customHeight="1">
      <c r="A166" s="537" t="s">
        <v>699</v>
      </c>
      <c r="B166" s="538" t="s">
        <v>700</v>
      </c>
      <c r="C166" s="576">
        <v>7455155.1200000001</v>
      </c>
      <c r="D166" s="576">
        <v>2873988.3549585361</v>
      </c>
      <c r="E166" s="576">
        <v>5856050</v>
      </c>
      <c r="F166" s="576">
        <v>6526383.79</v>
      </c>
      <c r="G166" s="596">
        <v>5054267.4139690464</v>
      </c>
      <c r="H166" s="596">
        <v>0</v>
      </c>
      <c r="I166" s="576">
        <f t="shared" si="283"/>
        <v>3492809.95</v>
      </c>
      <c r="J166" s="576">
        <v>2079499.9500000002</v>
      </c>
      <c r="K166" s="576">
        <v>706390</v>
      </c>
      <c r="L166" s="576">
        <v>706920</v>
      </c>
      <c r="M166" s="576">
        <f t="shared" si="284"/>
        <v>2785889.95</v>
      </c>
      <c r="N166" s="576">
        <v>2839096.06</v>
      </c>
      <c r="O166" s="525">
        <f t="shared" si="285"/>
        <v>627947.68000000017</v>
      </c>
      <c r="P166" s="522">
        <v>3467043.74</v>
      </c>
      <c r="Q166" s="576">
        <f t="shared" si="219"/>
        <v>-25766.209999999963</v>
      </c>
      <c r="R166" s="576">
        <f t="shared" si="220"/>
        <v>-0.73769287103640124</v>
      </c>
      <c r="S166" s="525">
        <v>5332252.1217373433</v>
      </c>
      <c r="T166" s="525">
        <v>5332252.1217373433</v>
      </c>
      <c r="U166" s="522">
        <f t="shared" si="286"/>
        <v>2953312.19</v>
      </c>
      <c r="V166" s="522">
        <f t="shared" si="217"/>
        <v>-2378939.9317373433</v>
      </c>
      <c r="W166" s="522">
        <f t="shared" si="246"/>
        <v>-44.61416822433074</v>
      </c>
      <c r="X166" s="522">
        <f t="shared" si="221"/>
        <v>-513731.55000000028</v>
      </c>
      <c r="Y166" s="522">
        <f t="shared" si="222"/>
        <v>-14.817567602997713</v>
      </c>
      <c r="Z166" s="524">
        <f t="shared" si="223"/>
        <v>2900977.25</v>
      </c>
      <c r="AA166" s="522">
        <f t="shared" si="224"/>
        <v>-2431274.8717373433</v>
      </c>
      <c r="AB166" s="522">
        <f t="shared" si="247"/>
        <v>-45.595647321814745</v>
      </c>
      <c r="AC166" s="522">
        <f t="shared" si="225"/>
        <v>-52334.939999999944</v>
      </c>
      <c r="AD166" s="522">
        <f t="shared" si="226"/>
        <v>-1.772076117696173</v>
      </c>
      <c r="AE166" s="522">
        <f t="shared" si="227"/>
        <v>-566066.49000000022</v>
      </c>
      <c r="AF166" s="522">
        <f t="shared" si="228"/>
        <v>-16.327065143977677</v>
      </c>
      <c r="AG166" s="522">
        <f t="shared" si="243"/>
        <v>2731057.69</v>
      </c>
      <c r="AH166" s="522">
        <f t="shared" si="229"/>
        <v>-222254.5</v>
      </c>
      <c r="AI166" s="522">
        <f t="shared" si="230"/>
        <v>-7.5256012809130084</v>
      </c>
      <c r="AJ166" s="522">
        <f t="shared" si="231"/>
        <v>-169919.56000000006</v>
      </c>
      <c r="AK166" s="522">
        <f t="shared" si="293"/>
        <v>-5.8573213561050892</v>
      </c>
      <c r="AL166" s="522">
        <f t="shared" si="287"/>
        <v>2731057.69</v>
      </c>
      <c r="AM166" s="522">
        <f t="shared" si="270"/>
        <v>1457660</v>
      </c>
      <c r="AN166" s="522">
        <f t="shared" si="270"/>
        <v>1317827.25</v>
      </c>
      <c r="AO166" s="522">
        <f t="shared" si="232"/>
        <v>-139832.75</v>
      </c>
      <c r="AP166" s="522">
        <f t="shared" si="244"/>
        <v>-9.5929606355391428</v>
      </c>
      <c r="AQ166" s="522">
        <v>727730</v>
      </c>
      <c r="AR166" s="522">
        <v>682587.09</v>
      </c>
      <c r="AS166" s="522">
        <v>729930</v>
      </c>
      <c r="AT166" s="522">
        <v>635240.16</v>
      </c>
      <c r="AU166" s="522">
        <f t="shared" si="276"/>
        <v>1495652.19</v>
      </c>
      <c r="AV166" s="522">
        <f t="shared" si="276"/>
        <v>1583150</v>
      </c>
      <c r="AW166" s="522">
        <f t="shared" si="233"/>
        <v>87497.810000000056</v>
      </c>
      <c r="AX166" s="522">
        <f t="shared" si="234"/>
        <v>5.8501442103327577</v>
      </c>
      <c r="AY166" s="522">
        <f t="shared" si="277"/>
        <v>1413230.44</v>
      </c>
      <c r="AZ166" s="522">
        <f t="shared" si="235"/>
        <v>169919.56000000006</v>
      </c>
      <c r="BA166" s="522">
        <f t="shared" si="236"/>
        <v>12.023485709803978</v>
      </c>
      <c r="BB166" s="522">
        <v>729930</v>
      </c>
      <c r="BC166" s="525">
        <f>'[67]Гл инж_Тех дир'!AT83</f>
        <v>794125</v>
      </c>
      <c r="BD166" s="525">
        <f t="shared" si="288"/>
        <v>705837.56</v>
      </c>
      <c r="BE166" s="525">
        <f t="shared" si="237"/>
        <v>-24092.439999999944</v>
      </c>
      <c r="BF166" s="525">
        <f t="shared" si="238"/>
        <v>-88287.439999999944</v>
      </c>
      <c r="BG166" s="525">
        <f t="shared" si="218"/>
        <v>2187590</v>
      </c>
      <c r="BH166" s="522">
        <f t="shared" si="218"/>
        <v>2111952.25</v>
      </c>
      <c r="BI166" s="522">
        <v>2023664.81</v>
      </c>
      <c r="BJ166" s="522">
        <f t="shared" si="239"/>
        <v>-163925.18999999994</v>
      </c>
      <c r="BK166" s="522">
        <f t="shared" si="240"/>
        <v>-88287.439999999944</v>
      </c>
      <c r="BL166" s="525">
        <v>765722.19</v>
      </c>
      <c r="BM166" s="522">
        <f>'[67]Гл инж_Тех дир'!AW83</f>
        <v>789025</v>
      </c>
      <c r="BN166" s="522">
        <f t="shared" si="289"/>
        <v>707392.87999999989</v>
      </c>
      <c r="BO166" s="522">
        <f t="shared" si="245"/>
        <v>-58329.310000000056</v>
      </c>
      <c r="BP166" s="522">
        <f t="shared" si="241"/>
        <v>-81632.120000000112</v>
      </c>
      <c r="BQ166" s="525">
        <v>765722.19</v>
      </c>
      <c r="BR166" s="522">
        <f>'[67]Гл инж_Тех дир'!BB83</f>
        <v>0</v>
      </c>
      <c r="BS166" s="522">
        <f>'[67]Гл инж_Тех дир'!BC83</f>
        <v>0</v>
      </c>
      <c r="BT166" s="536"/>
      <c r="BU166" s="522">
        <v>2731057.69</v>
      </c>
      <c r="BV166" s="522"/>
      <c r="BW166" s="522"/>
      <c r="BX166" s="574"/>
      <c r="BY166" s="525">
        <v>2586137.4700000002</v>
      </c>
      <c r="BZ166" s="525">
        <v>121703.7</v>
      </c>
      <c r="CA166" s="525">
        <v>23216.52</v>
      </c>
      <c r="CB166" s="522">
        <f t="shared" si="213"/>
        <v>2731057.6900000004</v>
      </c>
      <c r="CC166" s="522">
        <f t="shared" si="242"/>
        <v>0</v>
      </c>
      <c r="CD166" s="522"/>
      <c r="CE166" s="522"/>
      <c r="CF166" s="522"/>
      <c r="CG166" s="522"/>
      <c r="CH166" s="522"/>
      <c r="CI166" s="522"/>
      <c r="CJ166" s="522"/>
      <c r="CK166" s="542" t="s">
        <v>79</v>
      </c>
      <c r="CL166" s="542" t="s">
        <v>1912</v>
      </c>
      <c r="CM166" s="509" t="s">
        <v>1925</v>
      </c>
      <c r="CN166" s="528" t="s">
        <v>1849</v>
      </c>
      <c r="CO166" s="528"/>
      <c r="CP166" s="544">
        <f t="shared" si="290"/>
        <v>2724786.2225520103</v>
      </c>
      <c r="CQ166" s="544">
        <f t="shared" si="291"/>
        <v>200144.43742907775</v>
      </c>
      <c r="CR166" s="544">
        <f t="shared" si="292"/>
        <v>28381.530018912003</v>
      </c>
      <c r="CS166" s="1688" t="s">
        <v>1826</v>
      </c>
      <c r="CT166" s="1689"/>
      <c r="CU166" s="1689"/>
      <c r="CV166" s="1689"/>
      <c r="CW166" s="1690"/>
      <c r="CX166" s="528"/>
      <c r="CY166" s="528"/>
      <c r="CZ166" s="528"/>
      <c r="DA166" s="528"/>
      <c r="DB166" s="544">
        <v>682587.09</v>
      </c>
      <c r="DC166" s="628" t="e">
        <f>P166-#REF!</f>
        <v>#REF!</v>
      </c>
      <c r="DD166" s="535"/>
      <c r="DE166" s="535"/>
      <c r="DF166" s="525">
        <f t="shared" si="278"/>
        <v>2586.1374700000001</v>
      </c>
      <c r="DG166" s="525">
        <f t="shared" si="278"/>
        <v>121.7037</v>
      </c>
      <c r="DH166" s="525">
        <f t="shared" si="278"/>
        <v>23.216519999999999</v>
      </c>
      <c r="DI166" s="522">
        <f t="shared" si="278"/>
        <v>2731.0576900000005</v>
      </c>
      <c r="DJ166" s="536"/>
      <c r="DK166" s="536"/>
      <c r="DL166" s="536"/>
      <c r="DM166" s="536"/>
      <c r="DN166" s="536"/>
      <c r="DO166" s="536"/>
      <c r="DP166" s="536"/>
      <c r="DQ166" s="536"/>
      <c r="DR166" s="536"/>
      <c r="DS166" s="536"/>
    </row>
    <row r="167" spans="1:123" s="534" customFormat="1" ht="40.5" customHeight="1">
      <c r="A167" s="537" t="s">
        <v>704</v>
      </c>
      <c r="B167" s="538" t="s">
        <v>705</v>
      </c>
      <c r="C167" s="576">
        <v>1163579.01</v>
      </c>
      <c r="D167" s="576">
        <v>225399.87490442613</v>
      </c>
      <c r="E167" s="576">
        <v>500000</v>
      </c>
      <c r="F167" s="576">
        <v>460230.89</v>
      </c>
      <c r="G167" s="596">
        <v>760332.55672021152</v>
      </c>
      <c r="H167" s="596">
        <v>0</v>
      </c>
      <c r="I167" s="576">
        <f t="shared" si="283"/>
        <v>671010.57000000007</v>
      </c>
      <c r="J167" s="576">
        <v>230678.01</v>
      </c>
      <c r="K167" s="576">
        <v>220330</v>
      </c>
      <c r="L167" s="576">
        <v>220002.56</v>
      </c>
      <c r="M167" s="576">
        <f t="shared" si="284"/>
        <v>451008.01</v>
      </c>
      <c r="N167" s="576">
        <v>348667.49</v>
      </c>
      <c r="O167" s="525">
        <f t="shared" si="285"/>
        <v>152699.37</v>
      </c>
      <c r="P167" s="522">
        <v>501366.86</v>
      </c>
      <c r="Q167" s="576">
        <f t="shared" si="219"/>
        <v>-169643.71000000008</v>
      </c>
      <c r="R167" s="576">
        <f t="shared" si="220"/>
        <v>-25.281823801970816</v>
      </c>
      <c r="S167" s="525">
        <v>800000</v>
      </c>
      <c r="T167" s="525">
        <v>800000</v>
      </c>
      <c r="U167" s="522">
        <f t="shared" si="286"/>
        <v>366449.53</v>
      </c>
      <c r="V167" s="522">
        <f t="shared" si="217"/>
        <v>-433550.47</v>
      </c>
      <c r="W167" s="522">
        <f t="shared" si="246"/>
        <v>-54.193808749999995</v>
      </c>
      <c r="X167" s="522">
        <f t="shared" si="221"/>
        <v>-134917.32999999996</v>
      </c>
      <c r="Y167" s="522">
        <f t="shared" si="222"/>
        <v>-26.909901863078858</v>
      </c>
      <c r="Z167" s="524">
        <f t="shared" si="223"/>
        <v>550278.22</v>
      </c>
      <c r="AA167" s="522">
        <f t="shared" si="224"/>
        <v>-249721.78000000003</v>
      </c>
      <c r="AB167" s="522">
        <f t="shared" si="247"/>
        <v>-31.21522250000001</v>
      </c>
      <c r="AC167" s="522">
        <f t="shared" si="225"/>
        <v>183828.68999999994</v>
      </c>
      <c r="AD167" s="522">
        <f t="shared" si="226"/>
        <v>50.164804413857468</v>
      </c>
      <c r="AE167" s="522">
        <f t="shared" si="227"/>
        <v>48911.359999999986</v>
      </c>
      <c r="AF167" s="522">
        <f t="shared" si="228"/>
        <v>9.7556029132041147</v>
      </c>
      <c r="AG167" s="522">
        <f t="shared" si="243"/>
        <v>547831.29</v>
      </c>
      <c r="AH167" s="522">
        <f t="shared" si="229"/>
        <v>181381.76000000001</v>
      </c>
      <c r="AI167" s="522">
        <f t="shared" si="230"/>
        <v>49.497064438860093</v>
      </c>
      <c r="AJ167" s="522">
        <f t="shared" si="231"/>
        <v>-2446.9299999999348</v>
      </c>
      <c r="AK167" s="522">
        <f t="shared" si="293"/>
        <v>-0.44467142457499165</v>
      </c>
      <c r="AL167" s="522">
        <f t="shared" si="287"/>
        <v>547831.29</v>
      </c>
      <c r="AM167" s="522">
        <f t="shared" si="270"/>
        <v>180000</v>
      </c>
      <c r="AN167" s="522">
        <f t="shared" si="270"/>
        <v>333828.69</v>
      </c>
      <c r="AO167" s="522">
        <f t="shared" si="232"/>
        <v>153828.69</v>
      </c>
      <c r="AP167" s="522">
        <f t="shared" si="244"/>
        <v>85.46038333333334</v>
      </c>
      <c r="AQ167" s="522">
        <v>90000</v>
      </c>
      <c r="AR167" s="522">
        <v>136838.12</v>
      </c>
      <c r="AS167" s="522">
        <v>90000</v>
      </c>
      <c r="AT167" s="522">
        <v>196990.57</v>
      </c>
      <c r="AU167" s="522">
        <f t="shared" si="276"/>
        <v>186449.53</v>
      </c>
      <c r="AV167" s="522">
        <f t="shared" si="276"/>
        <v>216449.53</v>
      </c>
      <c r="AW167" s="522">
        <f t="shared" si="233"/>
        <v>30000</v>
      </c>
      <c r="AX167" s="522">
        <f t="shared" si="234"/>
        <v>16.090145145445007</v>
      </c>
      <c r="AY167" s="522">
        <f t="shared" si="277"/>
        <v>214002.60000000003</v>
      </c>
      <c r="AZ167" s="522">
        <f t="shared" si="235"/>
        <v>2446.9299999999639</v>
      </c>
      <c r="BA167" s="522">
        <f t="shared" si="236"/>
        <v>1.1434113417313512</v>
      </c>
      <c r="BB167" s="522">
        <v>93224.76</v>
      </c>
      <c r="BC167" s="525">
        <f>'[67]Гл инж_Тех дир'!AT84</f>
        <v>98224.76</v>
      </c>
      <c r="BD167" s="525">
        <f t="shared" si="288"/>
        <v>103290.63</v>
      </c>
      <c r="BE167" s="525">
        <f t="shared" si="237"/>
        <v>10065.87000000001</v>
      </c>
      <c r="BF167" s="525">
        <f t="shared" si="238"/>
        <v>5065.8700000000099</v>
      </c>
      <c r="BG167" s="525">
        <f t="shared" si="218"/>
        <v>273224.76</v>
      </c>
      <c r="BH167" s="522">
        <f t="shared" si="218"/>
        <v>432053.45</v>
      </c>
      <c r="BI167" s="522">
        <v>437119.32</v>
      </c>
      <c r="BJ167" s="522">
        <f t="shared" si="239"/>
        <v>163894.56</v>
      </c>
      <c r="BK167" s="522">
        <f t="shared" si="240"/>
        <v>5065.8699999999953</v>
      </c>
      <c r="BL167" s="525">
        <v>93224.77</v>
      </c>
      <c r="BM167" s="522">
        <f>'[67]Гл инж_Тех дир'!AW84</f>
        <v>118224.77</v>
      </c>
      <c r="BN167" s="522">
        <f t="shared" si="289"/>
        <v>110711.97000000003</v>
      </c>
      <c r="BO167" s="522">
        <f t="shared" si="245"/>
        <v>17487.200000000026</v>
      </c>
      <c r="BP167" s="522">
        <f t="shared" si="241"/>
        <v>-7512.7999999999738</v>
      </c>
      <c r="BQ167" s="525">
        <v>93224.77</v>
      </c>
      <c r="BR167" s="522">
        <f>'[67]Гл инж_Тех дир'!BB84</f>
        <v>0</v>
      </c>
      <c r="BS167" s="522">
        <f>'[67]Гл инж_Тех дир'!BC84</f>
        <v>0</v>
      </c>
      <c r="BT167" s="536"/>
      <c r="BU167" s="522">
        <v>547831.29</v>
      </c>
      <c r="BV167" s="522"/>
      <c r="BW167" s="522"/>
      <c r="BX167" s="574"/>
      <c r="BY167" s="525">
        <v>547738.94999999995</v>
      </c>
      <c r="BZ167" s="525">
        <v>77.97</v>
      </c>
      <c r="CA167" s="525">
        <v>14.37</v>
      </c>
      <c r="CB167" s="522">
        <f t="shared" si="213"/>
        <v>547831.28999999992</v>
      </c>
      <c r="CC167" s="522">
        <f t="shared" si="242"/>
        <v>0</v>
      </c>
      <c r="CD167" s="522"/>
      <c r="CE167" s="522"/>
      <c r="CF167" s="522"/>
      <c r="CG167" s="522"/>
      <c r="CH167" s="522"/>
      <c r="CI167" s="522"/>
      <c r="CJ167" s="522"/>
      <c r="CK167" s="542" t="s">
        <v>79</v>
      </c>
      <c r="CL167" s="542" t="s">
        <v>1912</v>
      </c>
      <c r="CM167" s="509" t="s">
        <v>1925</v>
      </c>
      <c r="CN167" s="528" t="s">
        <v>1849</v>
      </c>
      <c r="CO167" s="528"/>
      <c r="CP167" s="544">
        <f t="shared" si="290"/>
        <v>338093.83037309698</v>
      </c>
      <c r="CQ167" s="544">
        <f t="shared" si="291"/>
        <v>24834.094843186882</v>
      </c>
      <c r="CR167" s="544">
        <f t="shared" si="292"/>
        <v>3521.6047837161423</v>
      </c>
      <c r="CS167" s="1688" t="s">
        <v>1826</v>
      </c>
      <c r="CT167" s="1689"/>
      <c r="CU167" s="1689"/>
      <c r="CV167" s="1689"/>
      <c r="CW167" s="1690"/>
      <c r="CX167" s="528"/>
      <c r="CY167" s="528"/>
      <c r="CZ167" s="528"/>
      <c r="DA167" s="528"/>
      <c r="DB167" s="544">
        <f>136838.12</f>
        <v>136838.12</v>
      </c>
      <c r="DC167" s="628" t="e">
        <f>P167-#REF!</f>
        <v>#REF!</v>
      </c>
      <c r="DD167" s="535"/>
      <c r="DE167" s="535"/>
      <c r="DF167" s="525">
        <f t="shared" si="278"/>
        <v>547.73894999999993</v>
      </c>
      <c r="DG167" s="525">
        <f t="shared" si="278"/>
        <v>7.7969999999999998E-2</v>
      </c>
      <c r="DH167" s="525">
        <f t="shared" si="278"/>
        <v>1.4369999999999999E-2</v>
      </c>
      <c r="DI167" s="522">
        <f t="shared" si="278"/>
        <v>547.83128999999997</v>
      </c>
      <c r="DJ167" s="536"/>
      <c r="DK167" s="536"/>
      <c r="DL167" s="536"/>
      <c r="DM167" s="536"/>
      <c r="DN167" s="536"/>
      <c r="DO167" s="536"/>
      <c r="DP167" s="536"/>
      <c r="DQ167" s="536"/>
      <c r="DR167" s="536"/>
      <c r="DS167" s="536"/>
    </row>
    <row r="168" spans="1:123" s="534" customFormat="1">
      <c r="A168" s="537" t="s">
        <v>709</v>
      </c>
      <c r="B168" s="538" t="s">
        <v>710</v>
      </c>
      <c r="C168" s="576">
        <v>102794.85</v>
      </c>
      <c r="D168" s="576">
        <v>81095.205192391775</v>
      </c>
      <c r="E168" s="576">
        <v>105000</v>
      </c>
      <c r="F168" s="576">
        <v>103680.4</v>
      </c>
      <c r="G168" s="596">
        <v>66396.117724901138</v>
      </c>
      <c r="H168" s="596">
        <v>0</v>
      </c>
      <c r="I168" s="576">
        <f t="shared" si="283"/>
        <v>70878.13</v>
      </c>
      <c r="J168" s="576">
        <v>42192.01</v>
      </c>
      <c r="K168" s="576">
        <v>14300</v>
      </c>
      <c r="L168" s="576">
        <v>14386.12</v>
      </c>
      <c r="M168" s="576">
        <f t="shared" si="284"/>
        <v>56492.01</v>
      </c>
      <c r="N168" s="576">
        <v>56846.48</v>
      </c>
      <c r="O168" s="525">
        <f t="shared" si="285"/>
        <v>14262.159999999996</v>
      </c>
      <c r="P168" s="522">
        <v>71108.639999999999</v>
      </c>
      <c r="Q168" s="576">
        <f t="shared" si="219"/>
        <v>230.50999999999476</v>
      </c>
      <c r="R168" s="576">
        <f t="shared" si="220"/>
        <v>0.32522020544276131</v>
      </c>
      <c r="S168" s="525">
        <v>70047.904199770681</v>
      </c>
      <c r="T168" s="525">
        <v>70047.904199770681</v>
      </c>
      <c r="U168" s="522">
        <f t="shared" si="286"/>
        <v>67752.28</v>
      </c>
      <c r="V168" s="522">
        <f t="shared" si="217"/>
        <v>-2295.624199770682</v>
      </c>
      <c r="W168" s="522">
        <f t="shared" si="246"/>
        <v>-3.2772203908110669</v>
      </c>
      <c r="X168" s="522">
        <f t="shared" si="221"/>
        <v>-3356.3600000000006</v>
      </c>
      <c r="Y168" s="522">
        <f t="shared" si="222"/>
        <v>-4.7200452715731984</v>
      </c>
      <c r="Z168" s="524">
        <f t="shared" si="223"/>
        <v>66504.25</v>
      </c>
      <c r="AA168" s="522">
        <f t="shared" si="224"/>
        <v>-3543.6541997706809</v>
      </c>
      <c r="AB168" s="522">
        <f t="shared" si="247"/>
        <v>-5.0589011052557424</v>
      </c>
      <c r="AC168" s="522">
        <f t="shared" si="225"/>
        <v>-1248.0299999999988</v>
      </c>
      <c r="AD168" s="522">
        <f t="shared" si="226"/>
        <v>-1.8420487103902587</v>
      </c>
      <c r="AE168" s="522">
        <f t="shared" si="227"/>
        <v>-4604.3899999999994</v>
      </c>
      <c r="AF168" s="522">
        <f t="shared" si="228"/>
        <v>-6.4751484489085982</v>
      </c>
      <c r="AG168" s="522">
        <f t="shared" si="243"/>
        <v>67926.679999999993</v>
      </c>
      <c r="AH168" s="522">
        <f t="shared" si="229"/>
        <v>174.39999999999418</v>
      </c>
      <c r="AI168" s="522">
        <f t="shared" si="230"/>
        <v>0.25740831157267507</v>
      </c>
      <c r="AJ168" s="522">
        <f t="shared" si="231"/>
        <v>1422.429999999993</v>
      </c>
      <c r="AK168" s="522">
        <f t="shared" si="293"/>
        <v>2.1388557874120693</v>
      </c>
      <c r="AL168" s="522">
        <f t="shared" si="287"/>
        <v>67926.679999999993</v>
      </c>
      <c r="AM168" s="522">
        <f t="shared" si="270"/>
        <v>33652.28</v>
      </c>
      <c r="AN168" s="522">
        <f t="shared" si="270"/>
        <v>32404.25</v>
      </c>
      <c r="AO168" s="522">
        <f t="shared" si="232"/>
        <v>-1248.0299999999988</v>
      </c>
      <c r="AP168" s="522">
        <f t="shared" si="244"/>
        <v>-3.7086045878615153</v>
      </c>
      <c r="AQ168" s="522">
        <v>16800</v>
      </c>
      <c r="AR168" s="522">
        <v>15232.16</v>
      </c>
      <c r="AS168" s="522">
        <v>16852.28</v>
      </c>
      <c r="AT168" s="522">
        <v>17172.09</v>
      </c>
      <c r="AU168" s="522">
        <f t="shared" si="276"/>
        <v>34100</v>
      </c>
      <c r="AV168" s="522">
        <f t="shared" si="276"/>
        <v>34100</v>
      </c>
      <c r="AW168" s="522">
        <f t="shared" si="233"/>
        <v>0</v>
      </c>
      <c r="AX168" s="522">
        <f t="shared" si="234"/>
        <v>0</v>
      </c>
      <c r="AY168" s="522">
        <f t="shared" si="277"/>
        <v>35522.429999999993</v>
      </c>
      <c r="AZ168" s="522">
        <f t="shared" si="235"/>
        <v>-1422.429999999993</v>
      </c>
      <c r="BA168" s="522">
        <f t="shared" si="236"/>
        <v>-4.0043150201154418</v>
      </c>
      <c r="BB168" s="522">
        <v>17050</v>
      </c>
      <c r="BC168" s="525">
        <f>'[67]Гл инж_Тех дир'!AT85</f>
        <v>17050</v>
      </c>
      <c r="BD168" s="525">
        <f t="shared" si="288"/>
        <v>17412.190000000002</v>
      </c>
      <c r="BE168" s="525">
        <f t="shared" si="237"/>
        <v>362.19000000000233</v>
      </c>
      <c r="BF168" s="525">
        <f t="shared" si="238"/>
        <v>362.19000000000233</v>
      </c>
      <c r="BG168" s="525">
        <f t="shared" si="218"/>
        <v>50702.28</v>
      </c>
      <c r="BH168" s="522">
        <f t="shared" si="218"/>
        <v>49454.25</v>
      </c>
      <c r="BI168" s="522">
        <v>49816.44</v>
      </c>
      <c r="BJ168" s="522">
        <f t="shared" si="239"/>
        <v>-885.83999999999651</v>
      </c>
      <c r="BK168" s="522">
        <f t="shared" si="240"/>
        <v>362.19000000000233</v>
      </c>
      <c r="BL168" s="525">
        <v>17050</v>
      </c>
      <c r="BM168" s="522">
        <f>'[67]Гл инж_Тех дир'!AW85</f>
        <v>17050</v>
      </c>
      <c r="BN168" s="522">
        <f t="shared" si="289"/>
        <v>18110.239999999991</v>
      </c>
      <c r="BO168" s="522">
        <f t="shared" si="245"/>
        <v>1060.2399999999907</v>
      </c>
      <c r="BP168" s="522">
        <f t="shared" si="241"/>
        <v>1060.2399999999907</v>
      </c>
      <c r="BQ168" s="525">
        <v>17050</v>
      </c>
      <c r="BR168" s="522">
        <f>'[67]Гл инж_Тех дир'!BB85</f>
        <v>0</v>
      </c>
      <c r="BS168" s="522">
        <f>'[67]Гл инж_Тех дир'!BC85</f>
        <v>0</v>
      </c>
      <c r="BT168" s="536"/>
      <c r="BU168" s="522">
        <v>67926.679999999993</v>
      </c>
      <c r="BV168" s="522"/>
      <c r="BW168" s="522"/>
      <c r="BX168" s="574"/>
      <c r="BY168" s="525">
        <v>64044.41</v>
      </c>
      <c r="BZ168" s="525">
        <v>3284.48</v>
      </c>
      <c r="CA168" s="525">
        <v>597.79</v>
      </c>
      <c r="CB168" s="522">
        <f t="shared" si="213"/>
        <v>67926.679999999993</v>
      </c>
      <c r="CC168" s="522">
        <f t="shared" si="242"/>
        <v>0</v>
      </c>
      <c r="CD168" s="522"/>
      <c r="CE168" s="522"/>
      <c r="CF168" s="522"/>
      <c r="CG168" s="522"/>
      <c r="CH168" s="522"/>
      <c r="CI168" s="522"/>
      <c r="CJ168" s="522"/>
      <c r="CK168" s="542" t="s">
        <v>79</v>
      </c>
      <c r="CL168" s="542" t="s">
        <v>1912</v>
      </c>
      <c r="CM168" s="509" t="s">
        <v>1925</v>
      </c>
      <c r="CN168" s="528" t="s">
        <v>1849</v>
      </c>
      <c r="CO168" s="528"/>
      <c r="CP168" s="544">
        <f t="shared" si="290"/>
        <v>62509.639081023168</v>
      </c>
      <c r="CQ168" s="544">
        <f t="shared" si="291"/>
        <v>4591.5369228667141</v>
      </c>
      <c r="CR168" s="544">
        <f t="shared" si="292"/>
        <v>651.10399611012053</v>
      </c>
      <c r="CS168" s="1688" t="s">
        <v>1826</v>
      </c>
      <c r="CT168" s="1689"/>
      <c r="CU168" s="1689"/>
      <c r="CV168" s="1689"/>
      <c r="CW168" s="1690"/>
      <c r="CX168" s="528"/>
      <c r="CY168" s="528"/>
      <c r="CZ168" s="528"/>
      <c r="DA168" s="528"/>
      <c r="DB168" s="544">
        <f>15232.16</f>
        <v>15232.16</v>
      </c>
      <c r="DC168" s="628" t="e">
        <f>P168-#REF!</f>
        <v>#REF!</v>
      </c>
      <c r="DD168" s="535"/>
      <c r="DE168" s="535"/>
      <c r="DF168" s="525">
        <f t="shared" si="278"/>
        <v>64.044409999999999</v>
      </c>
      <c r="DG168" s="525">
        <f t="shared" si="278"/>
        <v>3.2844799999999998</v>
      </c>
      <c r="DH168" s="525">
        <f t="shared" si="278"/>
        <v>0.59778999999999993</v>
      </c>
      <c r="DI168" s="522">
        <f t="shared" si="278"/>
        <v>67.92667999999999</v>
      </c>
      <c r="DJ168" s="536"/>
      <c r="DK168" s="536"/>
      <c r="DL168" s="536"/>
      <c r="DM168" s="536"/>
      <c r="DN168" s="536"/>
      <c r="DO168" s="536"/>
      <c r="DP168" s="536"/>
      <c r="DQ168" s="536"/>
      <c r="DR168" s="536"/>
      <c r="DS168" s="536"/>
    </row>
    <row r="169" spans="1:123" s="534" customFormat="1">
      <c r="A169" s="537" t="s">
        <v>714</v>
      </c>
      <c r="B169" s="538" t="s">
        <v>715</v>
      </c>
      <c r="C169" s="576">
        <v>2658.6</v>
      </c>
      <c r="D169" s="576"/>
      <c r="E169" s="576">
        <v>0</v>
      </c>
      <c r="F169" s="576">
        <v>4124.2</v>
      </c>
      <c r="G169" s="596">
        <v>0</v>
      </c>
      <c r="H169" s="596">
        <v>0</v>
      </c>
      <c r="I169" s="576">
        <f t="shared" si="283"/>
        <v>600</v>
      </c>
      <c r="J169" s="576">
        <v>600</v>
      </c>
      <c r="K169" s="576">
        <v>0</v>
      </c>
      <c r="L169" s="576">
        <v>0</v>
      </c>
      <c r="M169" s="576">
        <f t="shared" si="284"/>
        <v>600</v>
      </c>
      <c r="N169" s="576">
        <v>600</v>
      </c>
      <c r="O169" s="525">
        <f t="shared" si="285"/>
        <v>0</v>
      </c>
      <c r="P169" s="522">
        <v>600</v>
      </c>
      <c r="Q169" s="576">
        <f t="shared" si="219"/>
        <v>0</v>
      </c>
      <c r="R169" s="576">
        <f t="shared" si="220"/>
        <v>0</v>
      </c>
      <c r="S169" s="525">
        <v>0</v>
      </c>
      <c r="T169" s="525">
        <v>0</v>
      </c>
      <c r="U169" s="522">
        <f t="shared" si="286"/>
        <v>840</v>
      </c>
      <c r="V169" s="522">
        <f t="shared" si="217"/>
        <v>840</v>
      </c>
      <c r="W169" s="522">
        <v>0</v>
      </c>
      <c r="X169" s="522">
        <f t="shared" si="221"/>
        <v>240</v>
      </c>
      <c r="Y169" s="522">
        <f t="shared" si="222"/>
        <v>40</v>
      </c>
      <c r="Z169" s="524">
        <f t="shared" si="223"/>
        <v>2340</v>
      </c>
      <c r="AA169" s="522">
        <f t="shared" si="224"/>
        <v>2340</v>
      </c>
      <c r="AB169" s="522">
        <v>0</v>
      </c>
      <c r="AC169" s="522">
        <f t="shared" si="225"/>
        <v>1500</v>
      </c>
      <c r="AD169" s="522">
        <f t="shared" si="226"/>
        <v>178.57142857142856</v>
      </c>
      <c r="AE169" s="522">
        <f t="shared" si="227"/>
        <v>1740</v>
      </c>
      <c r="AF169" s="522">
        <f t="shared" si="228"/>
        <v>290</v>
      </c>
      <c r="AG169" s="522">
        <f t="shared" si="243"/>
        <v>1500</v>
      </c>
      <c r="AH169" s="522">
        <f t="shared" si="229"/>
        <v>660</v>
      </c>
      <c r="AI169" s="522">
        <f t="shared" si="230"/>
        <v>78.571428571428584</v>
      </c>
      <c r="AJ169" s="522">
        <f t="shared" si="231"/>
        <v>-840</v>
      </c>
      <c r="AK169" s="522">
        <f t="shared" si="293"/>
        <v>-35.897435897435898</v>
      </c>
      <c r="AL169" s="522">
        <f t="shared" si="287"/>
        <v>1500</v>
      </c>
      <c r="AM169" s="522">
        <f t="shared" si="270"/>
        <v>0</v>
      </c>
      <c r="AN169" s="522">
        <f t="shared" si="270"/>
        <v>1500</v>
      </c>
      <c r="AO169" s="522">
        <f t="shared" si="232"/>
        <v>1500</v>
      </c>
      <c r="AP169" s="522">
        <v>0</v>
      </c>
      <c r="AQ169" s="522">
        <v>0</v>
      </c>
      <c r="AR169" s="522">
        <v>600</v>
      </c>
      <c r="AS169" s="522">
        <v>0</v>
      </c>
      <c r="AT169" s="522">
        <v>900</v>
      </c>
      <c r="AU169" s="522">
        <f t="shared" si="276"/>
        <v>840</v>
      </c>
      <c r="AV169" s="522">
        <f t="shared" si="276"/>
        <v>840</v>
      </c>
      <c r="AW169" s="522">
        <f t="shared" si="233"/>
        <v>0</v>
      </c>
      <c r="AX169" s="522">
        <f t="shared" si="234"/>
        <v>0</v>
      </c>
      <c r="AY169" s="522">
        <f t="shared" si="277"/>
        <v>0</v>
      </c>
      <c r="AZ169" s="522">
        <f t="shared" si="235"/>
        <v>840</v>
      </c>
      <c r="BA169" s="522" t="e">
        <f t="shared" si="236"/>
        <v>#DIV/0!</v>
      </c>
      <c r="BB169" s="522">
        <v>0</v>
      </c>
      <c r="BC169" s="525">
        <f>'[67]Гл инж_Тех дир'!AT86</f>
        <v>0</v>
      </c>
      <c r="BD169" s="525">
        <f t="shared" si="288"/>
        <v>0</v>
      </c>
      <c r="BE169" s="525">
        <f t="shared" si="237"/>
        <v>0</v>
      </c>
      <c r="BF169" s="525">
        <f t="shared" si="238"/>
        <v>0</v>
      </c>
      <c r="BG169" s="525">
        <f t="shared" si="218"/>
        <v>0</v>
      </c>
      <c r="BH169" s="522">
        <f t="shared" si="218"/>
        <v>1500</v>
      </c>
      <c r="BI169" s="522">
        <v>1500</v>
      </c>
      <c r="BJ169" s="522">
        <f t="shared" si="239"/>
        <v>1500</v>
      </c>
      <c r="BK169" s="522">
        <f t="shared" si="240"/>
        <v>0</v>
      </c>
      <c r="BL169" s="525">
        <v>840</v>
      </c>
      <c r="BM169" s="522">
        <f>'[67]Гл инж_Тех дир'!AW86</f>
        <v>840</v>
      </c>
      <c r="BN169" s="522">
        <f t="shared" si="289"/>
        <v>0</v>
      </c>
      <c r="BO169" s="522">
        <f t="shared" si="245"/>
        <v>-840</v>
      </c>
      <c r="BP169" s="522">
        <f t="shared" si="241"/>
        <v>-840</v>
      </c>
      <c r="BQ169" s="525">
        <v>840</v>
      </c>
      <c r="BR169" s="522">
        <f>'[67]Гл инж_Тех дир'!BB86</f>
        <v>0</v>
      </c>
      <c r="BS169" s="522">
        <f>'[67]Гл инж_Тех дир'!BC86</f>
        <v>0</v>
      </c>
      <c r="BT169" s="536"/>
      <c r="BU169" s="522">
        <v>1500</v>
      </c>
      <c r="BV169" s="522"/>
      <c r="BW169" s="522"/>
      <c r="BX169" s="574"/>
      <c r="BY169" s="525">
        <v>1406.3</v>
      </c>
      <c r="BZ169" s="525">
        <v>77.78</v>
      </c>
      <c r="CA169" s="525">
        <v>15.92</v>
      </c>
      <c r="CB169" s="522">
        <f t="shared" si="213"/>
        <v>1500</v>
      </c>
      <c r="CC169" s="522">
        <f t="shared" si="242"/>
        <v>0</v>
      </c>
      <c r="CD169" s="522"/>
      <c r="CE169" s="522"/>
      <c r="CF169" s="522"/>
      <c r="CG169" s="522"/>
      <c r="CH169" s="522"/>
      <c r="CI169" s="522"/>
      <c r="CJ169" s="522"/>
      <c r="CK169" s="542" t="s">
        <v>79</v>
      </c>
      <c r="CL169" s="542" t="s">
        <v>1912</v>
      </c>
      <c r="CM169" s="509" t="s">
        <v>1925</v>
      </c>
      <c r="CN169" s="528" t="s">
        <v>1849</v>
      </c>
      <c r="CO169" s="528"/>
      <c r="CP169" s="544">
        <f t="shared" si="290"/>
        <v>775.00117823428911</v>
      </c>
      <c r="CQ169" s="544">
        <f t="shared" si="291"/>
        <v>56.926364916546561</v>
      </c>
      <c r="CR169" s="544">
        <f t="shared" si="292"/>
        <v>8.0724568491643556</v>
      </c>
      <c r="CS169" s="1688" t="s">
        <v>1826</v>
      </c>
      <c r="CT169" s="1689"/>
      <c r="CU169" s="1689"/>
      <c r="CV169" s="1689"/>
      <c r="CW169" s="1690"/>
      <c r="CX169" s="528"/>
      <c r="CY169" s="528"/>
      <c r="CZ169" s="528"/>
      <c r="DA169" s="528"/>
      <c r="DB169" s="544">
        <v>600</v>
      </c>
      <c r="DC169" s="628" t="e">
        <f>P169-#REF!</f>
        <v>#REF!</v>
      </c>
      <c r="DD169" s="535"/>
      <c r="DE169" s="535"/>
      <c r="DF169" s="525">
        <f t="shared" si="278"/>
        <v>1.4062999999999999</v>
      </c>
      <c r="DG169" s="525">
        <f t="shared" si="278"/>
        <v>7.7780000000000002E-2</v>
      </c>
      <c r="DH169" s="525">
        <f t="shared" si="278"/>
        <v>1.592E-2</v>
      </c>
      <c r="DI169" s="522">
        <f t="shared" si="278"/>
        <v>1.5</v>
      </c>
      <c r="DJ169" s="536"/>
      <c r="DK169" s="536"/>
      <c r="DL169" s="536"/>
      <c r="DM169" s="536"/>
      <c r="DN169" s="536"/>
      <c r="DO169" s="536"/>
      <c r="DP169" s="536"/>
      <c r="DQ169" s="536"/>
      <c r="DR169" s="536"/>
      <c r="DS169" s="536"/>
    </row>
    <row r="170" spans="1:123" s="534" customFormat="1" ht="55.2">
      <c r="A170" s="505" t="s">
        <v>1934</v>
      </c>
      <c r="B170" s="506" t="s">
        <v>757</v>
      </c>
      <c r="C170" s="580">
        <f t="shared" ref="C170:T170" si="294">SUM(C171:C229)</f>
        <v>427347468.57599986</v>
      </c>
      <c r="D170" s="580">
        <f t="shared" si="294"/>
        <v>276006988.57999998</v>
      </c>
      <c r="E170" s="580">
        <f t="shared" si="294"/>
        <v>457095708.21999997</v>
      </c>
      <c r="F170" s="580">
        <f t="shared" si="294"/>
        <v>380060334.08999991</v>
      </c>
      <c r="G170" s="580">
        <f t="shared" si="294"/>
        <v>227590587.63962504</v>
      </c>
      <c r="H170" s="580">
        <f t="shared" si="294"/>
        <v>0</v>
      </c>
      <c r="I170" s="580">
        <f t="shared" si="294"/>
        <v>400386197.98000002</v>
      </c>
      <c r="J170" s="580">
        <f t="shared" si="294"/>
        <v>165446363.56000003</v>
      </c>
      <c r="K170" s="580">
        <f t="shared" si="294"/>
        <v>112074646.55000001</v>
      </c>
      <c r="L170" s="580">
        <f t="shared" si="294"/>
        <v>122865187.87</v>
      </c>
      <c r="M170" s="580">
        <f t="shared" si="294"/>
        <v>277521010.10999995</v>
      </c>
      <c r="N170" s="580">
        <f t="shared" si="294"/>
        <v>254986178.27000001</v>
      </c>
      <c r="O170" s="580">
        <f>SUM(O171:O229)</f>
        <v>76077513.549999997</v>
      </c>
      <c r="P170" s="580">
        <f>SUM(P171:P229)</f>
        <v>331063691.81999993</v>
      </c>
      <c r="Q170" s="580">
        <f t="shared" si="219"/>
        <v>-69322506.160000086</v>
      </c>
      <c r="R170" s="580">
        <f t="shared" si="220"/>
        <v>-17.313910047284608</v>
      </c>
      <c r="S170" s="580">
        <f t="shared" si="294"/>
        <v>241637900.16071266</v>
      </c>
      <c r="T170" s="580">
        <f t="shared" si="294"/>
        <v>275774127.22956896</v>
      </c>
      <c r="U170" s="580">
        <f>SUM(U171:U229)</f>
        <v>358096220.54999995</v>
      </c>
      <c r="V170" s="580">
        <f t="shared" si="217"/>
        <v>82322093.320430994</v>
      </c>
      <c r="W170" s="580">
        <f t="shared" si="246"/>
        <v>29.851275080603102</v>
      </c>
      <c r="X170" s="580">
        <f t="shared" si="221"/>
        <v>27032528.730000019</v>
      </c>
      <c r="Y170" s="580">
        <f t="shared" si="222"/>
        <v>8.1653559112419032</v>
      </c>
      <c r="Z170" s="580">
        <f t="shared" si="223"/>
        <v>307884733.52000004</v>
      </c>
      <c r="AA170" s="580">
        <f t="shared" si="224"/>
        <v>32110606.290431082</v>
      </c>
      <c r="AB170" s="580">
        <f t="shared" si="247"/>
        <v>11.64380669536142</v>
      </c>
      <c r="AC170" s="580">
        <f t="shared" si="225"/>
        <v>-50211487.029999912</v>
      </c>
      <c r="AD170" s="580">
        <f t="shared" si="226"/>
        <v>-14.021786365932627</v>
      </c>
      <c r="AE170" s="580">
        <f t="shared" si="227"/>
        <v>-23178958.299999893</v>
      </c>
      <c r="AF170" s="580">
        <f t="shared" si="228"/>
        <v>-7.0013592165831113</v>
      </c>
      <c r="AG170" s="580">
        <f t="shared" si="243"/>
        <v>298048083.53000003</v>
      </c>
      <c r="AH170" s="580">
        <f t="shared" si="229"/>
        <v>-60048137.019999921</v>
      </c>
      <c r="AI170" s="580">
        <f t="shared" si="230"/>
        <v>-16.768715661888862</v>
      </c>
      <c r="AJ170" s="580">
        <f t="shared" si="231"/>
        <v>-9836649.9900000095</v>
      </c>
      <c r="AK170" s="580">
        <f t="shared" si="293"/>
        <v>-3.1949131993454358</v>
      </c>
      <c r="AL170" s="580">
        <f>SUM(AL171:AL229)</f>
        <v>298048083.52999997</v>
      </c>
      <c r="AM170" s="580">
        <f t="shared" si="270"/>
        <v>201132510.62</v>
      </c>
      <c r="AN170" s="580">
        <f t="shared" si="270"/>
        <v>172841898.16000003</v>
      </c>
      <c r="AO170" s="580">
        <f t="shared" si="232"/>
        <v>-28290612.459999979</v>
      </c>
      <c r="AP170" s="580">
        <f t="shared" si="244"/>
        <v>-14.065658690776985</v>
      </c>
      <c r="AQ170" s="580">
        <f>SUM(AQ171:AQ229)</f>
        <v>94996619.099999994</v>
      </c>
      <c r="AR170" s="580">
        <f>SUM(AR171:AR229)</f>
        <v>87422466.650000006</v>
      </c>
      <c r="AS170" s="580">
        <f>SUM(AS171:AS229)</f>
        <v>106135891.52</v>
      </c>
      <c r="AT170" s="580">
        <f>SUM(AT171:AT229)</f>
        <v>85419431.510000005</v>
      </c>
      <c r="AU170" s="580">
        <f t="shared" si="276"/>
        <v>156963709.93000001</v>
      </c>
      <c r="AV170" s="580">
        <f t="shared" si="276"/>
        <v>135042835.36000001</v>
      </c>
      <c r="AW170" s="580">
        <f t="shared" si="233"/>
        <v>-21920874.569999993</v>
      </c>
      <c r="AX170" s="580">
        <f t="shared" si="234"/>
        <v>-13.965568588927908</v>
      </c>
      <c r="AY170" s="580">
        <f t="shared" si="277"/>
        <v>125206185.37</v>
      </c>
      <c r="AZ170" s="580">
        <f t="shared" si="235"/>
        <v>9836649.9900000095</v>
      </c>
      <c r="BA170" s="580">
        <f t="shared" si="236"/>
        <v>7.8563610583067174</v>
      </c>
      <c r="BB170" s="580">
        <f t="shared" ref="BB170:BN170" si="295">SUM(BB171:BB229)</f>
        <v>83846781.179999977</v>
      </c>
      <c r="BC170" s="580">
        <f t="shared" si="295"/>
        <v>69779227.310000002</v>
      </c>
      <c r="BD170" s="580">
        <f t="shared" si="295"/>
        <v>63706527.990000002</v>
      </c>
      <c r="BE170" s="580">
        <f t="shared" si="237"/>
        <v>-20140253.189999975</v>
      </c>
      <c r="BF170" s="580">
        <f t="shared" si="238"/>
        <v>-6072699.3200000003</v>
      </c>
      <c r="BG170" s="580">
        <f t="shared" si="218"/>
        <v>284979291.79999995</v>
      </c>
      <c r="BH170" s="580">
        <f t="shared" si="295"/>
        <v>242621125.47</v>
      </c>
      <c r="BI170" s="580">
        <f t="shared" si="295"/>
        <v>236548426.14999995</v>
      </c>
      <c r="BJ170" s="580">
        <f t="shared" si="239"/>
        <v>-48430865.650000006</v>
      </c>
      <c r="BK170" s="580">
        <f t="shared" si="240"/>
        <v>-6072699.3200000525</v>
      </c>
      <c r="BL170" s="580">
        <f t="shared" si="295"/>
        <v>73116928.750000015</v>
      </c>
      <c r="BM170" s="580">
        <f t="shared" si="295"/>
        <v>65263608.050000012</v>
      </c>
      <c r="BN170" s="580">
        <f t="shared" si="295"/>
        <v>61499657.379999995</v>
      </c>
      <c r="BO170" s="580">
        <f t="shared" si="245"/>
        <v>-11617271.37000002</v>
      </c>
      <c r="BP170" s="580">
        <f t="shared" si="241"/>
        <v>-3763950.6700000167</v>
      </c>
      <c r="BQ170" s="580">
        <f t="shared" ref="BQ170:BS170" si="296">SUM(BQ171:BQ229)</f>
        <v>73116928.750000015</v>
      </c>
      <c r="BR170" s="580">
        <f t="shared" si="296"/>
        <v>0</v>
      </c>
      <c r="BS170" s="580">
        <f t="shared" si="296"/>
        <v>0</v>
      </c>
      <c r="BT170" s="536"/>
      <c r="BU170" s="580">
        <f t="shared" ref="BU170:BW170" si="297">SUM(BU171:BU229)</f>
        <v>291500135.26999998</v>
      </c>
      <c r="BV170" s="580">
        <f t="shared" si="297"/>
        <v>6547948.2599999998</v>
      </c>
      <c r="BW170" s="580">
        <f t="shared" si="297"/>
        <v>0</v>
      </c>
      <c r="BX170" s="581"/>
      <c r="BY170" s="580">
        <f>SUM(BY171:BY229)</f>
        <v>284136793.32000005</v>
      </c>
      <c r="BZ170" s="580">
        <f>SUM(BZ171:BZ229)</f>
        <v>12861730.929999998</v>
      </c>
      <c r="CA170" s="580">
        <f>SUM(CA171:CA229)</f>
        <v>1049559.28</v>
      </c>
      <c r="CB170" s="580">
        <f>SUM(CB171:CB229)</f>
        <v>298048083.52999997</v>
      </c>
      <c r="CC170" s="580">
        <f t="shared" si="242"/>
        <v>0</v>
      </c>
      <c r="CD170" s="580"/>
      <c r="CE170" s="580"/>
      <c r="CF170" s="580"/>
      <c r="CG170" s="580"/>
      <c r="CH170" s="580"/>
      <c r="CI170" s="580"/>
      <c r="CJ170" s="580"/>
      <c r="CK170" s="648"/>
      <c r="CL170" s="648"/>
      <c r="CM170" s="509" t="s">
        <v>1925</v>
      </c>
      <c r="CN170" s="528"/>
      <c r="CO170" s="528"/>
      <c r="CP170" s="582">
        <f>SUM(CP171:CP229)</f>
        <v>331654507.35009116</v>
      </c>
      <c r="CQ170" s="582">
        <f>SUM(CQ171:CQ229)</f>
        <v>23157813.84564627</v>
      </c>
      <c r="CR170" s="582">
        <f>SUM(CR171:CR229)</f>
        <v>3283899.3542625294</v>
      </c>
      <c r="CS170" s="1679"/>
      <c r="CT170" s="1680"/>
      <c r="CU170" s="1680"/>
      <c r="CV170" s="1680"/>
      <c r="CW170" s="1681"/>
      <c r="CX170" s="528"/>
      <c r="CY170" s="528"/>
      <c r="CZ170" s="528"/>
      <c r="DA170" s="528"/>
      <c r="DB170" s="582">
        <f>SUM(DB171:DB229)</f>
        <v>87422466.650000006</v>
      </c>
      <c r="DC170" s="628" t="e">
        <f>P170-#REF!</f>
        <v>#REF!</v>
      </c>
      <c r="DD170" s="535"/>
      <c r="DE170" s="535"/>
      <c r="DF170" s="580">
        <f t="shared" si="278"/>
        <v>284136.79332000006</v>
      </c>
      <c r="DG170" s="580">
        <f t="shared" si="278"/>
        <v>12861.730929999998</v>
      </c>
      <c r="DH170" s="580">
        <f t="shared" si="278"/>
        <v>1049.5592799999999</v>
      </c>
      <c r="DI170" s="580">
        <f t="shared" si="278"/>
        <v>298048.08352999995</v>
      </c>
      <c r="DJ170" s="536"/>
      <c r="DK170" s="536"/>
      <c r="DL170" s="536"/>
      <c r="DM170" s="536"/>
      <c r="DN170" s="536"/>
      <c r="DO170" s="536"/>
      <c r="DP170" s="536"/>
      <c r="DQ170" s="536"/>
      <c r="DR170" s="536"/>
      <c r="DS170" s="536"/>
    </row>
    <row r="171" spans="1:123" s="534" customFormat="1" ht="117" customHeight="1">
      <c r="A171" s="537" t="s">
        <v>1042</v>
      </c>
      <c r="B171" s="538" t="s">
        <v>1043</v>
      </c>
      <c r="C171" s="576">
        <v>455719.62</v>
      </c>
      <c r="D171" s="576">
        <v>82613.710000000006</v>
      </c>
      <c r="E171" s="576">
        <v>0</v>
      </c>
      <c r="F171" s="576">
        <v>494417.25</v>
      </c>
      <c r="G171" s="577">
        <v>7338.651344810396</v>
      </c>
      <c r="H171" s="577">
        <v>0</v>
      </c>
      <c r="I171" s="576">
        <f t="shared" ref="I171:I229" si="298">J171+K171+L171</f>
        <v>347123.29</v>
      </c>
      <c r="J171" s="576">
        <v>347123.29</v>
      </c>
      <c r="K171" s="576">
        <v>0</v>
      </c>
      <c r="L171" s="576">
        <v>0</v>
      </c>
      <c r="M171" s="576">
        <f t="shared" ref="M171:M229" si="299">J171+K171</f>
        <v>347123.29</v>
      </c>
      <c r="N171" s="576">
        <v>520857.54</v>
      </c>
      <c r="O171" s="525">
        <f t="shared" ref="O171:O229" si="300">P171-N171</f>
        <v>171145.2</v>
      </c>
      <c r="P171" s="522">
        <v>692002.74</v>
      </c>
      <c r="Q171" s="576">
        <f t="shared" si="219"/>
        <v>344879.45</v>
      </c>
      <c r="R171" s="576">
        <f t="shared" si="220"/>
        <v>99.35358990173205</v>
      </c>
      <c r="S171" s="576">
        <v>0</v>
      </c>
      <c r="T171" s="576">
        <v>0</v>
      </c>
      <c r="U171" s="522">
        <f t="shared" ref="U171:U229" si="301">AQ171+AS171+BB171+BL171</f>
        <v>0</v>
      </c>
      <c r="V171" s="522">
        <f t="shared" si="217"/>
        <v>0</v>
      </c>
      <c r="W171" s="522">
        <v>0</v>
      </c>
      <c r="X171" s="522">
        <f t="shared" si="221"/>
        <v>-692002.74</v>
      </c>
      <c r="Y171" s="522">
        <f t="shared" si="222"/>
        <v>-100</v>
      </c>
      <c r="Z171" s="524">
        <f t="shared" si="223"/>
        <v>336709.59</v>
      </c>
      <c r="AA171" s="522">
        <f t="shared" si="224"/>
        <v>336709.59</v>
      </c>
      <c r="AB171" s="522">
        <v>0</v>
      </c>
      <c r="AC171" s="522">
        <f t="shared" si="225"/>
        <v>336709.59</v>
      </c>
      <c r="AD171" s="522">
        <v>0</v>
      </c>
      <c r="AE171" s="522">
        <f t="shared" si="227"/>
        <v>-355293.14999999997</v>
      </c>
      <c r="AF171" s="522">
        <f t="shared" si="228"/>
        <v>-51.342737457947059</v>
      </c>
      <c r="AG171" s="522">
        <f t="shared" si="243"/>
        <v>420421.92</v>
      </c>
      <c r="AH171" s="522">
        <f t="shared" si="229"/>
        <v>420421.92</v>
      </c>
      <c r="AI171" s="522">
        <v>0</v>
      </c>
      <c r="AJ171" s="522">
        <f t="shared" si="231"/>
        <v>83712.329999999958</v>
      </c>
      <c r="AK171" s="522">
        <f t="shared" si="293"/>
        <v>24.861878748389657</v>
      </c>
      <c r="AL171" s="522">
        <f t="shared" ref="AL171:AL228" si="302">SUM(BU171:BV171)</f>
        <v>420421.92</v>
      </c>
      <c r="AM171" s="522">
        <f t="shared" si="270"/>
        <v>0</v>
      </c>
      <c r="AN171" s="522">
        <f t="shared" si="270"/>
        <v>336709.59</v>
      </c>
      <c r="AO171" s="522">
        <f t="shared" si="232"/>
        <v>336709.59</v>
      </c>
      <c r="AP171" s="522">
        <v>0</v>
      </c>
      <c r="AQ171" s="578">
        <v>0</v>
      </c>
      <c r="AR171" s="578">
        <v>167424.65</v>
      </c>
      <c r="AS171" s="578">
        <v>0</v>
      </c>
      <c r="AT171" s="578">
        <v>169284.94000000003</v>
      </c>
      <c r="AU171" s="578">
        <f t="shared" si="276"/>
        <v>0</v>
      </c>
      <c r="AV171" s="578">
        <f t="shared" si="276"/>
        <v>0</v>
      </c>
      <c r="AW171" s="578">
        <f t="shared" si="233"/>
        <v>0</v>
      </c>
      <c r="AX171" s="578">
        <v>0</v>
      </c>
      <c r="AY171" s="578">
        <f t="shared" si="277"/>
        <v>83712.329999999958</v>
      </c>
      <c r="AZ171" s="578">
        <f t="shared" si="235"/>
        <v>-83712.329999999958</v>
      </c>
      <c r="BA171" s="578">
        <v>0</v>
      </c>
      <c r="BB171" s="578">
        <v>0</v>
      </c>
      <c r="BC171" s="576">
        <f>'[67]Дир_ имущ'!AT23</f>
        <v>0</v>
      </c>
      <c r="BD171" s="576">
        <f t="shared" ref="BD171:BD229" si="303">BI171-AN171</f>
        <v>83712.329999999958</v>
      </c>
      <c r="BE171" s="576">
        <f t="shared" si="237"/>
        <v>83712.329999999958</v>
      </c>
      <c r="BF171" s="576">
        <f t="shared" si="238"/>
        <v>83712.329999999958</v>
      </c>
      <c r="BG171" s="576">
        <f t="shared" si="218"/>
        <v>0</v>
      </c>
      <c r="BH171" s="578">
        <f t="shared" si="218"/>
        <v>336709.59</v>
      </c>
      <c r="BI171" s="578">
        <v>420421.92</v>
      </c>
      <c r="BJ171" s="578">
        <f t="shared" si="239"/>
        <v>420421.92</v>
      </c>
      <c r="BK171" s="578">
        <f t="shared" si="240"/>
        <v>83712.329999999958</v>
      </c>
      <c r="BL171" s="576">
        <v>0</v>
      </c>
      <c r="BM171" s="578">
        <f>'[67]Дир_ имущ'!AW23</f>
        <v>0</v>
      </c>
      <c r="BN171" s="522">
        <f t="shared" ref="BN171:BN229" si="304">AL171-BI171</f>
        <v>0</v>
      </c>
      <c r="BO171" s="578">
        <f t="shared" si="245"/>
        <v>0</v>
      </c>
      <c r="BP171" s="578">
        <f t="shared" si="241"/>
        <v>0</v>
      </c>
      <c r="BQ171" s="576">
        <v>0</v>
      </c>
      <c r="BR171" s="578">
        <f>'[67]Дир_ имущ'!BB23</f>
        <v>0</v>
      </c>
      <c r="BS171" s="578">
        <f>'[67]Дир_ имущ'!BC23</f>
        <v>0</v>
      </c>
      <c r="BT171" s="536"/>
      <c r="BU171" s="578">
        <v>420421.92</v>
      </c>
      <c r="BV171" s="578"/>
      <c r="BW171" s="578"/>
      <c r="BX171" s="574"/>
      <c r="BY171" s="525">
        <v>420421.92</v>
      </c>
      <c r="BZ171" s="525"/>
      <c r="CA171" s="525"/>
      <c r="CB171" s="522">
        <f t="shared" si="213"/>
        <v>420421.92</v>
      </c>
      <c r="CC171" s="522">
        <f t="shared" si="242"/>
        <v>0</v>
      </c>
      <c r="CD171" s="578"/>
      <c r="CE171" s="578"/>
      <c r="CF171" s="578"/>
      <c r="CG171" s="578"/>
      <c r="CH171" s="578"/>
      <c r="CI171" s="578"/>
      <c r="CJ171" s="578"/>
      <c r="CK171" s="543" t="s">
        <v>1815</v>
      </c>
      <c r="CL171" s="543" t="s">
        <v>1816</v>
      </c>
      <c r="CM171" s="509" t="s">
        <v>1925</v>
      </c>
      <c r="CN171" s="528" t="s">
        <v>1849</v>
      </c>
      <c r="CO171" s="528"/>
      <c r="CP171" s="544">
        <f t="shared" ref="CP171:CP209" si="305">U171*$CU$7/100</f>
        <v>0</v>
      </c>
      <c r="CQ171" s="544">
        <f t="shared" ref="CQ171:CQ209" si="306">U171*$CU$8/100</f>
        <v>0</v>
      </c>
      <c r="CR171" s="544">
        <f t="shared" ref="CR171:CR209" si="307">U171*$CU$9/100</f>
        <v>0</v>
      </c>
      <c r="CS171" s="1688" t="s">
        <v>1826</v>
      </c>
      <c r="CT171" s="1689"/>
      <c r="CU171" s="1689"/>
      <c r="CV171" s="1689"/>
      <c r="CW171" s="1690"/>
      <c r="CX171" s="528"/>
      <c r="CY171" s="528"/>
      <c r="CZ171" s="528"/>
      <c r="DA171" s="528"/>
      <c r="DB171" s="579">
        <f>167424.65</f>
        <v>167424.65</v>
      </c>
      <c r="DC171" s="628" t="e">
        <f>P171-#REF!</f>
        <v>#REF!</v>
      </c>
      <c r="DD171" s="535"/>
      <c r="DE171" s="535"/>
      <c r="DF171" s="525">
        <f t="shared" si="278"/>
        <v>420.42192</v>
      </c>
      <c r="DG171" s="525">
        <f t="shared" si="278"/>
        <v>0</v>
      </c>
      <c r="DH171" s="525">
        <f t="shared" si="278"/>
        <v>0</v>
      </c>
      <c r="DI171" s="522">
        <f t="shared" si="278"/>
        <v>420.42192</v>
      </c>
      <c r="DJ171" s="536"/>
      <c r="DK171" s="536"/>
      <c r="DL171" s="536"/>
      <c r="DM171" s="536"/>
      <c r="DN171" s="536"/>
      <c r="DO171" s="536"/>
      <c r="DP171" s="536"/>
      <c r="DQ171" s="536"/>
      <c r="DR171" s="536"/>
      <c r="DS171" s="536"/>
    </row>
    <row r="172" spans="1:123" s="534" customFormat="1" ht="56.4">
      <c r="A172" s="537" t="s">
        <v>1047</v>
      </c>
      <c r="B172" s="538" t="s">
        <v>1048</v>
      </c>
      <c r="C172" s="576">
        <v>2519132.2599999998</v>
      </c>
      <c r="D172" s="525">
        <v>1601244.79</v>
      </c>
      <c r="E172" s="576">
        <v>2520574</v>
      </c>
      <c r="F172" s="576">
        <v>2496791.9900000002</v>
      </c>
      <c r="G172" s="577">
        <v>735303.90563933982</v>
      </c>
      <c r="H172" s="577">
        <v>0</v>
      </c>
      <c r="I172" s="576">
        <f t="shared" si="298"/>
        <v>3112286.14</v>
      </c>
      <c r="J172" s="576">
        <v>1381806.98</v>
      </c>
      <c r="K172" s="576">
        <v>684019</v>
      </c>
      <c r="L172" s="576">
        <v>1046460.16</v>
      </c>
      <c r="M172" s="576">
        <f t="shared" si="299"/>
        <v>2065825.98</v>
      </c>
      <c r="N172" s="576">
        <v>2061180.84</v>
      </c>
      <c r="O172" s="525">
        <f t="shared" si="300"/>
        <v>689557.2</v>
      </c>
      <c r="P172" s="522">
        <f>2398732.38+387.95+351617.71</f>
        <v>2750738.04</v>
      </c>
      <c r="Q172" s="576">
        <f t="shared" si="219"/>
        <v>-361548.10000000009</v>
      </c>
      <c r="R172" s="576">
        <f t="shared" si="220"/>
        <v>-11.6168014037424</v>
      </c>
      <c r="S172" s="576">
        <v>775745.62044950342</v>
      </c>
      <c r="T172" s="576">
        <v>775745.62044950342</v>
      </c>
      <c r="U172" s="522">
        <f t="shared" si="301"/>
        <v>2888401.42</v>
      </c>
      <c r="V172" s="522">
        <f t="shared" si="217"/>
        <v>2112655.7995504965</v>
      </c>
      <c r="W172" s="522">
        <f t="shared" si="246"/>
        <v>272.33873371097144</v>
      </c>
      <c r="X172" s="522">
        <f t="shared" si="221"/>
        <v>137663.37999999989</v>
      </c>
      <c r="Y172" s="522">
        <f t="shared" si="222"/>
        <v>5.0045979660062301</v>
      </c>
      <c r="Z172" s="524">
        <f t="shared" si="223"/>
        <v>4017006.06</v>
      </c>
      <c r="AA172" s="522">
        <f t="shared" si="224"/>
        <v>3241260.4395504966</v>
      </c>
      <c r="AB172" s="522">
        <f t="shared" si="247"/>
        <v>417.82516769767369</v>
      </c>
      <c r="AC172" s="522">
        <f t="shared" si="225"/>
        <v>1128604.6400000001</v>
      </c>
      <c r="AD172" s="522">
        <f t="shared" si="226"/>
        <v>39.073676954500314</v>
      </c>
      <c r="AE172" s="522">
        <f t="shared" si="227"/>
        <v>1266268.02</v>
      </c>
      <c r="AF172" s="522">
        <f t="shared" si="228"/>
        <v>46.033755362615324</v>
      </c>
      <c r="AG172" s="522">
        <f t="shared" si="243"/>
        <v>3062633.77</v>
      </c>
      <c r="AH172" s="522">
        <f t="shared" si="229"/>
        <v>174232.35000000009</v>
      </c>
      <c r="AI172" s="522">
        <f t="shared" si="230"/>
        <v>6.0321376659619546</v>
      </c>
      <c r="AJ172" s="522">
        <f t="shared" si="231"/>
        <v>-954372.29</v>
      </c>
      <c r="AK172" s="522">
        <f t="shared" si="293"/>
        <v>-23.758298487605472</v>
      </c>
      <c r="AL172" s="522">
        <f t="shared" si="302"/>
        <v>3062633.77</v>
      </c>
      <c r="AM172" s="522">
        <f t="shared" si="270"/>
        <v>1213501.21</v>
      </c>
      <c r="AN172" s="522">
        <f t="shared" si="270"/>
        <v>1442105.85</v>
      </c>
      <c r="AO172" s="522">
        <f t="shared" si="232"/>
        <v>228604.64000000013</v>
      </c>
      <c r="AP172" s="522">
        <f t="shared" si="244"/>
        <v>18.83843527440736</v>
      </c>
      <c r="AQ172" s="578">
        <v>620389.80000000005</v>
      </c>
      <c r="AR172" s="578">
        <v>701526.6100000001</v>
      </c>
      <c r="AS172" s="578">
        <v>593111.41</v>
      </c>
      <c r="AT172" s="578">
        <v>740579.24</v>
      </c>
      <c r="AU172" s="578">
        <f t="shared" si="276"/>
        <v>1674900.21</v>
      </c>
      <c r="AV172" s="578">
        <f t="shared" si="276"/>
        <v>2574900.21</v>
      </c>
      <c r="AW172" s="578">
        <f t="shared" si="233"/>
        <v>900000</v>
      </c>
      <c r="AX172" s="578">
        <f t="shared" si="234"/>
        <v>53.734544579226025</v>
      </c>
      <c r="AY172" s="578">
        <f t="shared" si="277"/>
        <v>1620527.92</v>
      </c>
      <c r="AZ172" s="578">
        <f t="shared" si="235"/>
        <v>954372.29</v>
      </c>
      <c r="BA172" s="578">
        <f t="shared" si="236"/>
        <v>58.892678010755901</v>
      </c>
      <c r="BB172" s="578">
        <v>816521.91</v>
      </c>
      <c r="BC172" s="576">
        <f>'[67]Гл инж_Тех дир'!AT34</f>
        <v>816521.91</v>
      </c>
      <c r="BD172" s="576">
        <f t="shared" si="303"/>
        <v>764425.89999999991</v>
      </c>
      <c r="BE172" s="576">
        <f t="shared" si="237"/>
        <v>-52096.010000000126</v>
      </c>
      <c r="BF172" s="576">
        <f t="shared" si="238"/>
        <v>-52096.010000000126</v>
      </c>
      <c r="BG172" s="576">
        <f t="shared" si="218"/>
        <v>2030023.12</v>
      </c>
      <c r="BH172" s="578">
        <f t="shared" si="218"/>
        <v>2258627.7600000002</v>
      </c>
      <c r="BI172" s="578">
        <f>266207.79+1940323.96</f>
        <v>2206531.75</v>
      </c>
      <c r="BJ172" s="578">
        <f t="shared" si="239"/>
        <v>176508.62999999989</v>
      </c>
      <c r="BK172" s="578">
        <f t="shared" si="240"/>
        <v>-52096.010000000242</v>
      </c>
      <c r="BL172" s="576">
        <v>858378.3</v>
      </c>
      <c r="BM172" s="578">
        <f>'[67]Гл инж_Тех дир'!AW34</f>
        <v>1758378.3</v>
      </c>
      <c r="BN172" s="522">
        <f t="shared" si="304"/>
        <v>856102.02</v>
      </c>
      <c r="BO172" s="578">
        <f t="shared" si="245"/>
        <v>-2276.2800000000279</v>
      </c>
      <c r="BP172" s="578">
        <f t="shared" si="241"/>
        <v>-902276.28</v>
      </c>
      <c r="BQ172" s="576">
        <v>858378.3</v>
      </c>
      <c r="BR172" s="578">
        <f>'[67]Гл инж_Тех дир'!BB34</f>
        <v>0</v>
      </c>
      <c r="BS172" s="578">
        <f>'[67]Гл инж_Тех дир'!BC34</f>
        <v>0</v>
      </c>
      <c r="BT172" s="536"/>
      <c r="BU172" s="578">
        <v>350900.23</v>
      </c>
      <c r="BV172" s="578">
        <v>2711733.54</v>
      </c>
      <c r="BW172" s="578"/>
      <c r="BX172" s="574"/>
      <c r="BY172" s="525">
        <f>345713.01+2711733.54</f>
        <v>3057446.55</v>
      </c>
      <c r="BZ172" s="525">
        <v>4934.26</v>
      </c>
      <c r="CA172" s="525">
        <v>252.96</v>
      </c>
      <c r="CB172" s="522">
        <f t="shared" si="213"/>
        <v>3062633.7699999996</v>
      </c>
      <c r="CC172" s="522">
        <f t="shared" si="242"/>
        <v>0</v>
      </c>
      <c r="CD172" s="578"/>
      <c r="CE172" s="578"/>
      <c r="CF172" s="578"/>
      <c r="CG172" s="578"/>
      <c r="CH172" s="578"/>
      <c r="CI172" s="578"/>
      <c r="CJ172" s="578"/>
      <c r="CK172" s="542" t="s">
        <v>79</v>
      </c>
      <c r="CL172" s="543" t="s">
        <v>1806</v>
      </c>
      <c r="CM172" s="509" t="s">
        <v>1925</v>
      </c>
      <c r="CN172" s="528" t="s">
        <v>1849</v>
      </c>
      <c r="CO172" s="528"/>
      <c r="CP172" s="544">
        <f t="shared" si="305"/>
        <v>2664898.218706659</v>
      </c>
      <c r="CQ172" s="544">
        <f t="shared" si="306"/>
        <v>195745.46816713247</v>
      </c>
      <c r="CR172" s="544">
        <f t="shared" si="307"/>
        <v>27757.733126208397</v>
      </c>
      <c r="CS172" s="1688" t="s">
        <v>1826</v>
      </c>
      <c r="CT172" s="1689"/>
      <c r="CU172" s="1689"/>
      <c r="CV172" s="1689"/>
      <c r="CW172" s="1690"/>
      <c r="CX172" s="528"/>
      <c r="CY172" s="528"/>
      <c r="CZ172" s="528"/>
      <c r="DA172" s="528"/>
      <c r="DB172" s="579">
        <f>88759.93+612766.68</f>
        <v>701526.6100000001</v>
      </c>
      <c r="DC172" s="628" t="e">
        <f>P172-#REF!</f>
        <v>#REF!</v>
      </c>
      <c r="DD172" s="535"/>
      <c r="DE172" s="535"/>
      <c r="DF172" s="525">
        <f t="shared" si="278"/>
        <v>3057.4465499999997</v>
      </c>
      <c r="DG172" s="525">
        <f t="shared" si="278"/>
        <v>4.9342600000000001</v>
      </c>
      <c r="DH172" s="525">
        <f t="shared" si="278"/>
        <v>0.25296000000000002</v>
      </c>
      <c r="DI172" s="522">
        <f t="shared" si="278"/>
        <v>3062.6337699999995</v>
      </c>
      <c r="DJ172" s="536"/>
      <c r="DK172" s="536"/>
      <c r="DL172" s="536"/>
      <c r="DM172" s="536"/>
      <c r="DN172" s="536"/>
      <c r="DO172" s="536"/>
      <c r="DP172" s="536"/>
      <c r="DQ172" s="536"/>
      <c r="DR172" s="536"/>
      <c r="DS172" s="536"/>
    </row>
    <row r="173" spans="1:123" s="534" customFormat="1" ht="94.5" customHeight="1">
      <c r="A173" s="537" t="s">
        <v>1052</v>
      </c>
      <c r="B173" s="538" t="s">
        <v>1053</v>
      </c>
      <c r="C173" s="576">
        <v>65006.02</v>
      </c>
      <c r="D173" s="576">
        <v>0</v>
      </c>
      <c r="E173" s="576">
        <v>1000000</v>
      </c>
      <c r="F173" s="576">
        <v>0</v>
      </c>
      <c r="G173" s="577">
        <v>0</v>
      </c>
      <c r="H173" s="577">
        <v>0</v>
      </c>
      <c r="I173" s="576">
        <f t="shared" si="298"/>
        <v>0</v>
      </c>
      <c r="J173" s="576">
        <v>0</v>
      </c>
      <c r="K173" s="576">
        <v>0</v>
      </c>
      <c r="L173" s="576">
        <v>0</v>
      </c>
      <c r="M173" s="576">
        <f t="shared" si="299"/>
        <v>0</v>
      </c>
      <c r="N173" s="576"/>
      <c r="O173" s="525">
        <f t="shared" si="300"/>
        <v>0</v>
      </c>
      <c r="P173" s="522"/>
      <c r="Q173" s="576">
        <f t="shared" si="219"/>
        <v>0</v>
      </c>
      <c r="R173" s="576">
        <v>0</v>
      </c>
      <c r="S173" s="576">
        <v>0</v>
      </c>
      <c r="T173" s="576">
        <v>0</v>
      </c>
      <c r="U173" s="522">
        <f t="shared" si="301"/>
        <v>0</v>
      </c>
      <c r="V173" s="522">
        <f t="shared" si="217"/>
        <v>0</v>
      </c>
      <c r="W173" s="522">
        <v>0</v>
      </c>
      <c r="X173" s="522">
        <f t="shared" si="221"/>
        <v>0</v>
      </c>
      <c r="Y173" s="522">
        <v>0</v>
      </c>
      <c r="Z173" s="524">
        <f t="shared" si="223"/>
        <v>0</v>
      </c>
      <c r="AA173" s="522">
        <f t="shared" si="224"/>
        <v>0</v>
      </c>
      <c r="AB173" s="522">
        <v>0</v>
      </c>
      <c r="AC173" s="522">
        <f t="shared" si="225"/>
        <v>0</v>
      </c>
      <c r="AD173" s="522">
        <v>0</v>
      </c>
      <c r="AE173" s="522">
        <f t="shared" si="227"/>
        <v>0</v>
      </c>
      <c r="AF173" s="522">
        <v>0</v>
      </c>
      <c r="AG173" s="522">
        <f t="shared" si="243"/>
        <v>0</v>
      </c>
      <c r="AH173" s="522">
        <f t="shared" si="229"/>
        <v>0</v>
      </c>
      <c r="AI173" s="522">
        <v>0</v>
      </c>
      <c r="AJ173" s="522">
        <f t="shared" si="231"/>
        <v>0</v>
      </c>
      <c r="AK173" s="522">
        <v>0</v>
      </c>
      <c r="AL173" s="522">
        <f t="shared" si="302"/>
        <v>0</v>
      </c>
      <c r="AM173" s="522">
        <f t="shared" si="270"/>
        <v>0</v>
      </c>
      <c r="AN173" s="522">
        <f t="shared" si="270"/>
        <v>0</v>
      </c>
      <c r="AO173" s="522">
        <f t="shared" si="232"/>
        <v>0</v>
      </c>
      <c r="AP173" s="522">
        <v>0</v>
      </c>
      <c r="AQ173" s="578">
        <v>0</v>
      </c>
      <c r="AR173" s="578">
        <v>0</v>
      </c>
      <c r="AS173" s="578">
        <v>0</v>
      </c>
      <c r="AT173" s="578">
        <v>0</v>
      </c>
      <c r="AU173" s="578">
        <f t="shared" si="276"/>
        <v>0</v>
      </c>
      <c r="AV173" s="578">
        <f t="shared" si="276"/>
        <v>0</v>
      </c>
      <c r="AW173" s="578">
        <f t="shared" si="233"/>
        <v>0</v>
      </c>
      <c r="AX173" s="578">
        <v>0</v>
      </c>
      <c r="AY173" s="578">
        <f t="shared" si="277"/>
        <v>0</v>
      </c>
      <c r="AZ173" s="578">
        <f t="shared" si="235"/>
        <v>0</v>
      </c>
      <c r="BA173" s="578">
        <v>0</v>
      </c>
      <c r="BB173" s="578">
        <v>0</v>
      </c>
      <c r="BC173" s="576">
        <f>'[67]Гл инж_Тех дир'!AT35</f>
        <v>0</v>
      </c>
      <c r="BD173" s="576">
        <f t="shared" si="303"/>
        <v>0</v>
      </c>
      <c r="BE173" s="576">
        <f t="shared" si="237"/>
        <v>0</v>
      </c>
      <c r="BF173" s="576">
        <f t="shared" si="238"/>
        <v>0</v>
      </c>
      <c r="BG173" s="576">
        <f t="shared" si="218"/>
        <v>0</v>
      </c>
      <c r="BH173" s="578">
        <f t="shared" si="218"/>
        <v>0</v>
      </c>
      <c r="BI173" s="578"/>
      <c r="BJ173" s="578">
        <f t="shared" si="239"/>
        <v>0</v>
      </c>
      <c r="BK173" s="578">
        <f t="shared" si="240"/>
        <v>0</v>
      </c>
      <c r="BL173" s="576">
        <v>0</v>
      </c>
      <c r="BM173" s="578">
        <f>'[67]Гл инж_Тех дир'!AW35</f>
        <v>0</v>
      </c>
      <c r="BN173" s="522">
        <f t="shared" si="304"/>
        <v>0</v>
      </c>
      <c r="BO173" s="578">
        <f t="shared" si="245"/>
        <v>0</v>
      </c>
      <c r="BP173" s="578">
        <f t="shared" si="241"/>
        <v>0</v>
      </c>
      <c r="BQ173" s="576">
        <v>0</v>
      </c>
      <c r="BR173" s="578">
        <f>'[67]Гл инж_Тех дир'!BB35</f>
        <v>0</v>
      </c>
      <c r="BS173" s="578">
        <f>'[67]Гл инж_Тех дир'!BC35</f>
        <v>0</v>
      </c>
      <c r="BT173" s="536"/>
      <c r="BU173" s="578"/>
      <c r="BV173" s="578"/>
      <c r="BW173" s="578"/>
      <c r="BX173" s="574"/>
      <c r="BY173" s="525"/>
      <c r="BZ173" s="525"/>
      <c r="CA173" s="525"/>
      <c r="CB173" s="522">
        <f t="shared" si="213"/>
        <v>0</v>
      </c>
      <c r="CC173" s="522">
        <f t="shared" si="242"/>
        <v>0</v>
      </c>
      <c r="CD173" s="578"/>
      <c r="CE173" s="578"/>
      <c r="CF173" s="578"/>
      <c r="CG173" s="578"/>
      <c r="CH173" s="578"/>
      <c r="CI173" s="578"/>
      <c r="CJ173" s="578"/>
      <c r="CK173" s="542" t="s">
        <v>79</v>
      </c>
      <c r="CL173" s="543" t="s">
        <v>1806</v>
      </c>
      <c r="CM173" s="509" t="s">
        <v>1925</v>
      </c>
      <c r="CN173" s="528"/>
      <c r="CO173" s="528"/>
      <c r="CP173" s="544">
        <f t="shared" si="305"/>
        <v>0</v>
      </c>
      <c r="CQ173" s="544">
        <f t="shared" si="306"/>
        <v>0</v>
      </c>
      <c r="CR173" s="544">
        <f t="shared" si="307"/>
        <v>0</v>
      </c>
      <c r="CS173" s="1688" t="s">
        <v>1826</v>
      </c>
      <c r="CT173" s="1689"/>
      <c r="CU173" s="1689"/>
      <c r="CV173" s="1689"/>
      <c r="CW173" s="1690"/>
      <c r="CX173" s="528"/>
      <c r="CY173" s="528"/>
      <c r="CZ173" s="528"/>
      <c r="DA173" s="528"/>
      <c r="DB173" s="579"/>
      <c r="DC173" s="628" t="e">
        <f>P173-#REF!</f>
        <v>#REF!</v>
      </c>
      <c r="DD173" s="535"/>
      <c r="DE173" s="535"/>
      <c r="DF173" s="525">
        <f t="shared" si="278"/>
        <v>0</v>
      </c>
      <c r="DG173" s="525">
        <f t="shared" si="278"/>
        <v>0</v>
      </c>
      <c r="DH173" s="525">
        <f t="shared" si="278"/>
        <v>0</v>
      </c>
      <c r="DI173" s="522">
        <f t="shared" si="278"/>
        <v>0</v>
      </c>
      <c r="DJ173" s="536"/>
      <c r="DK173" s="536"/>
      <c r="DL173" s="536"/>
      <c r="DM173" s="536"/>
      <c r="DN173" s="536"/>
      <c r="DO173" s="536"/>
      <c r="DP173" s="536"/>
      <c r="DQ173" s="536"/>
      <c r="DR173" s="536"/>
      <c r="DS173" s="536"/>
    </row>
    <row r="174" spans="1:123" s="534" customFormat="1" ht="85.5" customHeight="1">
      <c r="A174" s="537" t="s">
        <v>1057</v>
      </c>
      <c r="B174" s="538" t="s">
        <v>1058</v>
      </c>
      <c r="C174" s="576">
        <v>335721.05</v>
      </c>
      <c r="D174" s="525">
        <v>172481.61</v>
      </c>
      <c r="E174" s="576">
        <v>530145</v>
      </c>
      <c r="F174" s="576">
        <v>790274.83</v>
      </c>
      <c r="G174" s="577">
        <v>728220.09750244359</v>
      </c>
      <c r="H174" s="577">
        <v>0</v>
      </c>
      <c r="I174" s="576">
        <f t="shared" si="298"/>
        <v>742760.28</v>
      </c>
      <c r="J174" s="576">
        <v>378650.22</v>
      </c>
      <c r="K174" s="576">
        <v>182055.03</v>
      </c>
      <c r="L174" s="576">
        <v>182055.03</v>
      </c>
      <c r="M174" s="576">
        <f t="shared" si="299"/>
        <v>560705.25</v>
      </c>
      <c r="N174" s="576">
        <v>539026.14</v>
      </c>
      <c r="O174" s="525">
        <f t="shared" si="300"/>
        <v>174563.94000000006</v>
      </c>
      <c r="P174" s="522">
        <f>681707.9+31882.18</f>
        <v>713590.08000000007</v>
      </c>
      <c r="Q174" s="576">
        <f t="shared" si="219"/>
        <v>-29170.199999999953</v>
      </c>
      <c r="R174" s="576">
        <f t="shared" si="220"/>
        <v>-3.9272697780769761</v>
      </c>
      <c r="S174" s="576">
        <v>768272.20286507788</v>
      </c>
      <c r="T174" s="576">
        <v>768272.20286507788</v>
      </c>
      <c r="U174" s="522">
        <f t="shared" si="301"/>
        <v>736828</v>
      </c>
      <c r="V174" s="522">
        <f t="shared" si="217"/>
        <v>-31444.202865077881</v>
      </c>
      <c r="W174" s="522">
        <f t="shared" si="246"/>
        <v>-4.0928466170993261</v>
      </c>
      <c r="X174" s="522">
        <f t="shared" si="221"/>
        <v>23237.919999999925</v>
      </c>
      <c r="Y174" s="522">
        <f t="shared" si="222"/>
        <v>3.2564802470348155</v>
      </c>
      <c r="Z174" s="524">
        <f t="shared" si="223"/>
        <v>704545.46</v>
      </c>
      <c r="AA174" s="522">
        <f t="shared" si="224"/>
        <v>-63726.742865077918</v>
      </c>
      <c r="AB174" s="522">
        <f t="shared" si="247"/>
        <v>-8.2948130398867903</v>
      </c>
      <c r="AC174" s="522">
        <f t="shared" si="225"/>
        <v>-32282.540000000037</v>
      </c>
      <c r="AD174" s="522">
        <f t="shared" si="226"/>
        <v>-4.3812857274696455</v>
      </c>
      <c r="AE174" s="522">
        <f t="shared" si="227"/>
        <v>-9044.6200000001118</v>
      </c>
      <c r="AF174" s="522">
        <f t="shared" si="228"/>
        <v>-1.2674811847160328</v>
      </c>
      <c r="AG174" s="522">
        <f t="shared" si="243"/>
        <v>675136.98</v>
      </c>
      <c r="AH174" s="522">
        <f t="shared" si="229"/>
        <v>-61691.020000000019</v>
      </c>
      <c r="AI174" s="522">
        <f t="shared" si="230"/>
        <v>-8.3725129881057683</v>
      </c>
      <c r="AJ174" s="522">
        <f t="shared" si="231"/>
        <v>-29408.479999999981</v>
      </c>
      <c r="AK174" s="522">
        <f>AG174/Z174*100-100</f>
        <v>-4.1741068063940077</v>
      </c>
      <c r="AL174" s="522">
        <f t="shared" si="302"/>
        <v>675136.98</v>
      </c>
      <c r="AM174" s="522">
        <f t="shared" si="270"/>
        <v>364114</v>
      </c>
      <c r="AN174" s="522">
        <f t="shared" si="270"/>
        <v>331831.28000000003</v>
      </c>
      <c r="AO174" s="522">
        <f t="shared" si="232"/>
        <v>-32282.719999999972</v>
      </c>
      <c r="AP174" s="522">
        <f t="shared" si="244"/>
        <v>-8.866102374531053</v>
      </c>
      <c r="AQ174" s="578">
        <v>182057</v>
      </c>
      <c r="AR174" s="578">
        <v>165428.65999999997</v>
      </c>
      <c r="AS174" s="578">
        <v>182057</v>
      </c>
      <c r="AT174" s="578">
        <v>166402.62000000005</v>
      </c>
      <c r="AU174" s="578">
        <f t="shared" si="276"/>
        <v>372714</v>
      </c>
      <c r="AV174" s="578">
        <f t="shared" si="276"/>
        <v>372714.18</v>
      </c>
      <c r="AW174" s="578">
        <f t="shared" si="233"/>
        <v>0.17999999999301508</v>
      </c>
      <c r="AX174" s="578">
        <f t="shared" si="234"/>
        <v>4.8294402674287085E-5</v>
      </c>
      <c r="AY174" s="578">
        <f t="shared" si="277"/>
        <v>343305.69999999995</v>
      </c>
      <c r="AZ174" s="578">
        <f t="shared" si="235"/>
        <v>29408.48000000004</v>
      </c>
      <c r="BA174" s="578">
        <f t="shared" si="236"/>
        <v>8.5662661587034563</v>
      </c>
      <c r="BB174" s="578">
        <v>186357</v>
      </c>
      <c r="BC174" s="576">
        <f>'[67]Гл инж_Тех дир'!AT54</f>
        <v>186357.09</v>
      </c>
      <c r="BD174" s="576">
        <f t="shared" si="303"/>
        <v>167796.55999999994</v>
      </c>
      <c r="BE174" s="576">
        <f t="shared" si="237"/>
        <v>-18560.440000000061</v>
      </c>
      <c r="BF174" s="576">
        <f t="shared" si="238"/>
        <v>-18560.530000000057</v>
      </c>
      <c r="BG174" s="576">
        <f t="shared" si="218"/>
        <v>550471</v>
      </c>
      <c r="BH174" s="578">
        <f t="shared" si="218"/>
        <v>518188.37</v>
      </c>
      <c r="BI174" s="578">
        <f>198816.02+300811.82</f>
        <v>499627.83999999997</v>
      </c>
      <c r="BJ174" s="578">
        <f t="shared" si="239"/>
        <v>-50843.160000000033</v>
      </c>
      <c r="BK174" s="578">
        <f t="shared" si="240"/>
        <v>-18560.530000000028</v>
      </c>
      <c r="BL174" s="576">
        <v>186357</v>
      </c>
      <c r="BM174" s="578">
        <f>'[67]Гл инж_Тех дир'!AW54</f>
        <v>186357.09</v>
      </c>
      <c r="BN174" s="522">
        <f t="shared" si="304"/>
        <v>175509.14</v>
      </c>
      <c r="BO174" s="578">
        <f t="shared" si="245"/>
        <v>-10847.859999999986</v>
      </c>
      <c r="BP174" s="578">
        <f t="shared" si="241"/>
        <v>-10847.949999999983</v>
      </c>
      <c r="BQ174" s="576">
        <v>186357</v>
      </c>
      <c r="BR174" s="578">
        <f>'[67]Гл инж_Тех дир'!BB54</f>
        <v>0</v>
      </c>
      <c r="BS174" s="578">
        <f>'[67]Гл инж_Тех дир'!BC54</f>
        <v>0</v>
      </c>
      <c r="BT174" s="536"/>
      <c r="BU174" s="578">
        <v>373022.32</v>
      </c>
      <c r="BV174" s="578">
        <v>302114.65999999997</v>
      </c>
      <c r="BW174" s="578"/>
      <c r="BX174" s="574"/>
      <c r="BY174" s="525">
        <f>373022.32+302114.66</f>
        <v>675136.98</v>
      </c>
      <c r="BZ174" s="525"/>
      <c r="CA174" s="525"/>
      <c r="CB174" s="522">
        <f t="shared" si="213"/>
        <v>675136.98</v>
      </c>
      <c r="CC174" s="522">
        <f t="shared" si="242"/>
        <v>0</v>
      </c>
      <c r="CD174" s="578"/>
      <c r="CE174" s="578"/>
      <c r="CF174" s="578"/>
      <c r="CG174" s="578"/>
      <c r="CH174" s="578"/>
      <c r="CI174" s="578"/>
      <c r="CJ174" s="578"/>
      <c r="CK174" s="542" t="s">
        <v>79</v>
      </c>
      <c r="CL174" s="543" t="s">
        <v>1903</v>
      </c>
      <c r="CM174" s="509" t="s">
        <v>1925</v>
      </c>
      <c r="CN174" s="528" t="s">
        <v>1849</v>
      </c>
      <c r="CO174" s="528"/>
      <c r="CP174" s="544">
        <f t="shared" si="305"/>
        <v>679812.58113811282</v>
      </c>
      <c r="CQ174" s="544">
        <f t="shared" si="306"/>
        <v>49934.451915153775</v>
      </c>
      <c r="CR174" s="544">
        <f t="shared" si="307"/>
        <v>7080.9669467334215</v>
      </c>
      <c r="CS174" s="1688" t="s">
        <v>1826</v>
      </c>
      <c r="CT174" s="1689"/>
      <c r="CU174" s="1689"/>
      <c r="CV174" s="1689"/>
      <c r="CW174" s="1690"/>
      <c r="CX174" s="528"/>
      <c r="CY174" s="528"/>
      <c r="CZ174" s="528"/>
      <c r="DA174" s="528"/>
      <c r="DB174" s="579">
        <f>6904.11+158524.55</f>
        <v>165428.65999999997</v>
      </c>
      <c r="DC174" s="628" t="e">
        <f>P174-#REF!</f>
        <v>#REF!</v>
      </c>
      <c r="DD174" s="535"/>
      <c r="DE174" s="535"/>
      <c r="DF174" s="525">
        <f t="shared" si="278"/>
        <v>675.13697999999999</v>
      </c>
      <c r="DG174" s="525">
        <f t="shared" si="278"/>
        <v>0</v>
      </c>
      <c r="DH174" s="525">
        <f t="shared" si="278"/>
        <v>0</v>
      </c>
      <c r="DI174" s="522">
        <f t="shared" si="278"/>
        <v>675.13697999999999</v>
      </c>
      <c r="DJ174" s="536"/>
      <c r="DK174" s="536"/>
      <c r="DL174" s="536"/>
      <c r="DM174" s="536"/>
      <c r="DN174" s="536"/>
      <c r="DO174" s="536"/>
      <c r="DP174" s="536"/>
      <c r="DQ174" s="536"/>
      <c r="DR174" s="536"/>
      <c r="DS174" s="536"/>
    </row>
    <row r="175" spans="1:123" s="534" customFormat="1" ht="63" customHeight="1">
      <c r="A175" s="537" t="s">
        <v>1062</v>
      </c>
      <c r="B175" s="538" t="s">
        <v>1063</v>
      </c>
      <c r="C175" s="576"/>
      <c r="D175" s="576">
        <v>0</v>
      </c>
      <c r="E175" s="576">
        <v>675000</v>
      </c>
      <c r="F175" s="576">
        <v>0</v>
      </c>
      <c r="G175" s="577">
        <v>0</v>
      </c>
      <c r="H175" s="577">
        <v>0</v>
      </c>
      <c r="I175" s="576">
        <f t="shared" si="298"/>
        <v>0</v>
      </c>
      <c r="J175" s="576">
        <v>0</v>
      </c>
      <c r="K175" s="576">
        <v>0</v>
      </c>
      <c r="L175" s="576">
        <v>0</v>
      </c>
      <c r="M175" s="576">
        <f t="shared" si="299"/>
        <v>0</v>
      </c>
      <c r="N175" s="576"/>
      <c r="O175" s="525">
        <f t="shared" si="300"/>
        <v>0</v>
      </c>
      <c r="P175" s="522"/>
      <c r="Q175" s="576">
        <f t="shared" si="219"/>
        <v>0</v>
      </c>
      <c r="R175" s="576">
        <v>0</v>
      </c>
      <c r="S175" s="576">
        <v>0</v>
      </c>
      <c r="T175" s="576">
        <v>0</v>
      </c>
      <c r="U175" s="522">
        <f t="shared" si="301"/>
        <v>0</v>
      </c>
      <c r="V175" s="522">
        <f t="shared" si="217"/>
        <v>0</v>
      </c>
      <c r="W175" s="522">
        <v>0</v>
      </c>
      <c r="X175" s="522">
        <f t="shared" si="221"/>
        <v>0</v>
      </c>
      <c r="Y175" s="522">
        <v>0</v>
      </c>
      <c r="Z175" s="524">
        <f t="shared" si="223"/>
        <v>0</v>
      </c>
      <c r="AA175" s="522">
        <f t="shared" si="224"/>
        <v>0</v>
      </c>
      <c r="AB175" s="522">
        <v>0</v>
      </c>
      <c r="AC175" s="522">
        <f t="shared" si="225"/>
        <v>0</v>
      </c>
      <c r="AD175" s="522">
        <v>0</v>
      </c>
      <c r="AE175" s="522">
        <f t="shared" si="227"/>
        <v>0</v>
      </c>
      <c r="AF175" s="522">
        <v>0</v>
      </c>
      <c r="AG175" s="522">
        <f t="shared" si="243"/>
        <v>0</v>
      </c>
      <c r="AH175" s="522">
        <f t="shared" si="229"/>
        <v>0</v>
      </c>
      <c r="AI175" s="522">
        <v>0</v>
      </c>
      <c r="AJ175" s="522">
        <f t="shared" si="231"/>
        <v>0</v>
      </c>
      <c r="AK175" s="522">
        <v>0</v>
      </c>
      <c r="AL175" s="522">
        <f t="shared" si="302"/>
        <v>0</v>
      </c>
      <c r="AM175" s="522">
        <f t="shared" si="270"/>
        <v>0</v>
      </c>
      <c r="AN175" s="522">
        <f t="shared" si="270"/>
        <v>0</v>
      </c>
      <c r="AO175" s="522">
        <f t="shared" si="232"/>
        <v>0</v>
      </c>
      <c r="AP175" s="522">
        <v>0</v>
      </c>
      <c r="AQ175" s="578">
        <v>0</v>
      </c>
      <c r="AR175" s="578">
        <v>0</v>
      </c>
      <c r="AS175" s="578">
        <v>0</v>
      </c>
      <c r="AT175" s="578">
        <v>0</v>
      </c>
      <c r="AU175" s="578">
        <f t="shared" si="276"/>
        <v>0</v>
      </c>
      <c r="AV175" s="578">
        <f t="shared" si="276"/>
        <v>0</v>
      </c>
      <c r="AW175" s="578">
        <f t="shared" si="233"/>
        <v>0</v>
      </c>
      <c r="AX175" s="578">
        <v>0</v>
      </c>
      <c r="AY175" s="578">
        <f t="shared" si="277"/>
        <v>0</v>
      </c>
      <c r="AZ175" s="578">
        <f t="shared" si="235"/>
        <v>0</v>
      </c>
      <c r="BA175" s="578">
        <v>0</v>
      </c>
      <c r="BB175" s="578">
        <v>0</v>
      </c>
      <c r="BC175" s="576">
        <f>'[67]Дир_ имущ'!AT24</f>
        <v>0</v>
      </c>
      <c r="BD175" s="576">
        <f t="shared" si="303"/>
        <v>0</v>
      </c>
      <c r="BE175" s="576">
        <f t="shared" si="237"/>
        <v>0</v>
      </c>
      <c r="BF175" s="576">
        <f t="shared" si="238"/>
        <v>0</v>
      </c>
      <c r="BG175" s="576">
        <f t="shared" si="218"/>
        <v>0</v>
      </c>
      <c r="BH175" s="578">
        <f t="shared" si="218"/>
        <v>0</v>
      </c>
      <c r="BI175" s="578"/>
      <c r="BJ175" s="578">
        <f t="shared" si="239"/>
        <v>0</v>
      </c>
      <c r="BK175" s="578">
        <f t="shared" si="240"/>
        <v>0</v>
      </c>
      <c r="BL175" s="576">
        <v>0</v>
      </c>
      <c r="BM175" s="578">
        <f>'[67]Дир_ имущ'!AW24</f>
        <v>0</v>
      </c>
      <c r="BN175" s="522">
        <f t="shared" si="304"/>
        <v>0</v>
      </c>
      <c r="BO175" s="578">
        <f t="shared" si="245"/>
        <v>0</v>
      </c>
      <c r="BP175" s="578">
        <f t="shared" si="241"/>
        <v>0</v>
      </c>
      <c r="BQ175" s="576">
        <v>0</v>
      </c>
      <c r="BR175" s="578">
        <f>'[67]Дир_ имущ'!BB24</f>
        <v>0</v>
      </c>
      <c r="BS175" s="578">
        <f>'[67]Дир_ имущ'!BC24</f>
        <v>0</v>
      </c>
      <c r="BT175" s="536"/>
      <c r="BU175" s="578"/>
      <c r="BV175" s="578"/>
      <c r="BW175" s="578"/>
      <c r="BX175" s="574"/>
      <c r="BY175" s="525"/>
      <c r="BZ175" s="525"/>
      <c r="CA175" s="525"/>
      <c r="CB175" s="522">
        <f t="shared" si="213"/>
        <v>0</v>
      </c>
      <c r="CC175" s="522">
        <f t="shared" si="242"/>
        <v>0</v>
      </c>
      <c r="CD175" s="578"/>
      <c r="CE175" s="578"/>
      <c r="CF175" s="578"/>
      <c r="CG175" s="578"/>
      <c r="CH175" s="578"/>
      <c r="CI175" s="578"/>
      <c r="CJ175" s="578"/>
      <c r="CK175" s="543" t="s">
        <v>1815</v>
      </c>
      <c r="CL175" s="543" t="s">
        <v>1816</v>
      </c>
      <c r="CM175" s="509" t="s">
        <v>1925</v>
      </c>
      <c r="CN175" s="528"/>
      <c r="CO175" s="528"/>
      <c r="CP175" s="544">
        <f t="shared" si="305"/>
        <v>0</v>
      </c>
      <c r="CQ175" s="544">
        <f t="shared" si="306"/>
        <v>0</v>
      </c>
      <c r="CR175" s="544">
        <f t="shared" si="307"/>
        <v>0</v>
      </c>
      <c r="CS175" s="1688" t="s">
        <v>1826</v>
      </c>
      <c r="CT175" s="1689"/>
      <c r="CU175" s="1689"/>
      <c r="CV175" s="1689"/>
      <c r="CW175" s="1690"/>
      <c r="CX175" s="528"/>
      <c r="CY175" s="528"/>
      <c r="CZ175" s="528"/>
      <c r="DA175" s="528"/>
      <c r="DB175" s="579"/>
      <c r="DC175" s="628" t="e">
        <f>P175-#REF!</f>
        <v>#REF!</v>
      </c>
      <c r="DD175" s="535"/>
      <c r="DE175" s="535"/>
      <c r="DF175" s="525">
        <f t="shared" si="278"/>
        <v>0</v>
      </c>
      <c r="DG175" s="525">
        <f t="shared" si="278"/>
        <v>0</v>
      </c>
      <c r="DH175" s="525">
        <f t="shared" si="278"/>
        <v>0</v>
      </c>
      <c r="DI175" s="522">
        <f t="shared" si="278"/>
        <v>0</v>
      </c>
      <c r="DJ175" s="536"/>
      <c r="DK175" s="536"/>
      <c r="DL175" s="536"/>
      <c r="DM175" s="536"/>
      <c r="DN175" s="536"/>
      <c r="DO175" s="536"/>
      <c r="DP175" s="536"/>
      <c r="DQ175" s="536"/>
      <c r="DR175" s="536"/>
      <c r="DS175" s="536"/>
    </row>
    <row r="176" spans="1:123" s="534" customFormat="1" ht="118.5" customHeight="1">
      <c r="A176" s="537" t="s">
        <v>1067</v>
      </c>
      <c r="B176" s="538" t="s">
        <v>1068</v>
      </c>
      <c r="C176" s="576"/>
      <c r="D176" s="576">
        <v>0</v>
      </c>
      <c r="E176" s="576">
        <v>0</v>
      </c>
      <c r="F176" s="576">
        <v>0</v>
      </c>
      <c r="G176" s="577">
        <v>0</v>
      </c>
      <c r="H176" s="577">
        <v>0</v>
      </c>
      <c r="I176" s="576">
        <f t="shared" si="298"/>
        <v>0</v>
      </c>
      <c r="J176" s="576">
        <v>0</v>
      </c>
      <c r="K176" s="576">
        <v>0</v>
      </c>
      <c r="L176" s="576">
        <v>0</v>
      </c>
      <c r="M176" s="576">
        <f t="shared" si="299"/>
        <v>0</v>
      </c>
      <c r="N176" s="576"/>
      <c r="O176" s="525">
        <f t="shared" si="300"/>
        <v>0</v>
      </c>
      <c r="P176" s="522"/>
      <c r="Q176" s="576">
        <f t="shared" si="219"/>
        <v>0</v>
      </c>
      <c r="R176" s="576">
        <v>0</v>
      </c>
      <c r="S176" s="576">
        <v>0</v>
      </c>
      <c r="T176" s="576">
        <v>0</v>
      </c>
      <c r="U176" s="522">
        <f t="shared" si="301"/>
        <v>0</v>
      </c>
      <c r="V176" s="522">
        <f t="shared" si="217"/>
        <v>0</v>
      </c>
      <c r="W176" s="522">
        <v>0</v>
      </c>
      <c r="X176" s="522">
        <f t="shared" si="221"/>
        <v>0</v>
      </c>
      <c r="Y176" s="522">
        <v>0</v>
      </c>
      <c r="Z176" s="524">
        <f t="shared" si="223"/>
        <v>0</v>
      </c>
      <c r="AA176" s="522">
        <f t="shared" si="224"/>
        <v>0</v>
      </c>
      <c r="AB176" s="522">
        <v>0</v>
      </c>
      <c r="AC176" s="522">
        <f t="shared" si="225"/>
        <v>0</v>
      </c>
      <c r="AD176" s="522">
        <v>0</v>
      </c>
      <c r="AE176" s="522">
        <f t="shared" si="227"/>
        <v>0</v>
      </c>
      <c r="AF176" s="522">
        <v>0</v>
      </c>
      <c r="AG176" s="522">
        <f t="shared" si="243"/>
        <v>0</v>
      </c>
      <c r="AH176" s="522">
        <f t="shared" si="229"/>
        <v>0</v>
      </c>
      <c r="AI176" s="522">
        <v>0</v>
      </c>
      <c r="AJ176" s="522">
        <f t="shared" si="231"/>
        <v>0</v>
      </c>
      <c r="AK176" s="522">
        <v>0</v>
      </c>
      <c r="AL176" s="522">
        <f t="shared" si="302"/>
        <v>0</v>
      </c>
      <c r="AM176" s="522">
        <f t="shared" si="270"/>
        <v>0</v>
      </c>
      <c r="AN176" s="522">
        <f t="shared" si="270"/>
        <v>0</v>
      </c>
      <c r="AO176" s="522">
        <f t="shared" si="232"/>
        <v>0</v>
      </c>
      <c r="AP176" s="522">
        <v>0</v>
      </c>
      <c r="AQ176" s="578">
        <v>0</v>
      </c>
      <c r="AR176" s="578">
        <v>0</v>
      </c>
      <c r="AS176" s="578">
        <v>0</v>
      </c>
      <c r="AT176" s="578">
        <v>0</v>
      </c>
      <c r="AU176" s="578">
        <f t="shared" si="276"/>
        <v>0</v>
      </c>
      <c r="AV176" s="578">
        <f t="shared" si="276"/>
        <v>0</v>
      </c>
      <c r="AW176" s="578">
        <f t="shared" si="233"/>
        <v>0</v>
      </c>
      <c r="AX176" s="578">
        <v>0</v>
      </c>
      <c r="AY176" s="578">
        <f t="shared" si="277"/>
        <v>0</v>
      </c>
      <c r="AZ176" s="578">
        <f t="shared" si="235"/>
        <v>0</v>
      </c>
      <c r="BA176" s="578">
        <v>0</v>
      </c>
      <c r="BB176" s="578">
        <v>0</v>
      </c>
      <c r="BC176" s="576">
        <f>'[67]Дир_ имущ'!AT25</f>
        <v>0</v>
      </c>
      <c r="BD176" s="576">
        <f t="shared" si="303"/>
        <v>0</v>
      </c>
      <c r="BE176" s="576">
        <f t="shared" si="237"/>
        <v>0</v>
      </c>
      <c r="BF176" s="576">
        <f t="shared" si="238"/>
        <v>0</v>
      </c>
      <c r="BG176" s="576">
        <f t="shared" si="218"/>
        <v>0</v>
      </c>
      <c r="BH176" s="578">
        <f t="shared" si="218"/>
        <v>0</v>
      </c>
      <c r="BI176" s="578"/>
      <c r="BJ176" s="578">
        <f t="shared" si="239"/>
        <v>0</v>
      </c>
      <c r="BK176" s="578">
        <f t="shared" si="240"/>
        <v>0</v>
      </c>
      <c r="BL176" s="576">
        <v>0</v>
      </c>
      <c r="BM176" s="578">
        <f>'[67]Дир_ имущ'!AW25</f>
        <v>0</v>
      </c>
      <c r="BN176" s="522">
        <f t="shared" si="304"/>
        <v>0</v>
      </c>
      <c r="BO176" s="578">
        <f t="shared" si="245"/>
        <v>0</v>
      </c>
      <c r="BP176" s="578">
        <f t="shared" si="241"/>
        <v>0</v>
      </c>
      <c r="BQ176" s="576">
        <v>0</v>
      </c>
      <c r="BR176" s="578">
        <f>'[67]Дир_ имущ'!BB25</f>
        <v>0</v>
      </c>
      <c r="BS176" s="578">
        <f>'[67]Дир_ имущ'!BC25</f>
        <v>0</v>
      </c>
      <c r="BT176" s="536"/>
      <c r="BU176" s="578"/>
      <c r="BV176" s="578"/>
      <c r="BW176" s="578"/>
      <c r="BX176" s="574"/>
      <c r="BY176" s="525"/>
      <c r="BZ176" s="525"/>
      <c r="CA176" s="525"/>
      <c r="CB176" s="522">
        <f t="shared" si="213"/>
        <v>0</v>
      </c>
      <c r="CC176" s="522">
        <f t="shared" si="242"/>
        <v>0</v>
      </c>
      <c r="CD176" s="578"/>
      <c r="CE176" s="578"/>
      <c r="CF176" s="578"/>
      <c r="CG176" s="578"/>
      <c r="CH176" s="578"/>
      <c r="CI176" s="578"/>
      <c r="CJ176" s="578"/>
      <c r="CK176" s="543" t="s">
        <v>1815</v>
      </c>
      <c r="CL176" s="543" t="s">
        <v>1816</v>
      </c>
      <c r="CM176" s="509" t="s">
        <v>1925</v>
      </c>
      <c r="CN176" s="528"/>
      <c r="CO176" s="528"/>
      <c r="CP176" s="544">
        <f t="shared" si="305"/>
        <v>0</v>
      </c>
      <c r="CQ176" s="544">
        <f t="shared" si="306"/>
        <v>0</v>
      </c>
      <c r="CR176" s="544">
        <f t="shared" si="307"/>
        <v>0</v>
      </c>
      <c r="CS176" s="1688" t="s">
        <v>1826</v>
      </c>
      <c r="CT176" s="1689"/>
      <c r="CU176" s="1689"/>
      <c r="CV176" s="1689"/>
      <c r="CW176" s="1690"/>
      <c r="CX176" s="528"/>
      <c r="CY176" s="528"/>
      <c r="CZ176" s="528"/>
      <c r="DA176" s="528"/>
      <c r="DB176" s="579"/>
      <c r="DC176" s="628" t="e">
        <f>P176-#REF!</f>
        <v>#REF!</v>
      </c>
      <c r="DD176" s="535"/>
      <c r="DE176" s="535"/>
      <c r="DF176" s="525">
        <f t="shared" si="278"/>
        <v>0</v>
      </c>
      <c r="DG176" s="525">
        <f t="shared" si="278"/>
        <v>0</v>
      </c>
      <c r="DH176" s="525">
        <f t="shared" si="278"/>
        <v>0</v>
      </c>
      <c r="DI176" s="522">
        <f t="shared" si="278"/>
        <v>0</v>
      </c>
      <c r="DJ176" s="536"/>
      <c r="DK176" s="536"/>
      <c r="DL176" s="536"/>
      <c r="DM176" s="536"/>
      <c r="DN176" s="536"/>
      <c r="DO176" s="536"/>
      <c r="DP176" s="536"/>
      <c r="DQ176" s="536"/>
      <c r="DR176" s="536"/>
      <c r="DS176" s="536"/>
    </row>
    <row r="177" spans="1:123" s="534" customFormat="1" ht="58.5" customHeight="1">
      <c r="A177" s="537" t="s">
        <v>722</v>
      </c>
      <c r="B177" s="538" t="s">
        <v>723</v>
      </c>
      <c r="C177" s="576">
        <v>20461641.66</v>
      </c>
      <c r="D177" s="576">
        <v>17314724.030000001</v>
      </c>
      <c r="E177" s="576">
        <v>22657000</v>
      </c>
      <c r="F177" s="576">
        <v>21084032.25</v>
      </c>
      <c r="G177" s="577">
        <v>17114927.888876371</v>
      </c>
      <c r="H177" s="577">
        <v>0</v>
      </c>
      <c r="I177" s="576">
        <f t="shared" si="298"/>
        <v>22952991.350000001</v>
      </c>
      <c r="J177" s="576">
        <v>10676816.93</v>
      </c>
      <c r="K177" s="576">
        <v>6141760.5300000003</v>
      </c>
      <c r="L177" s="576">
        <v>6134413.8899999997</v>
      </c>
      <c r="M177" s="576">
        <f t="shared" si="299"/>
        <v>16818577.460000001</v>
      </c>
      <c r="N177" s="576">
        <v>17193010.670000002</v>
      </c>
      <c r="O177" s="525">
        <f t="shared" si="300"/>
        <v>4003388.75</v>
      </c>
      <c r="P177" s="522">
        <f>20652399.42+544000</f>
        <v>21196399.420000002</v>
      </c>
      <c r="Q177" s="576">
        <f t="shared" si="219"/>
        <v>-1756591.9299999997</v>
      </c>
      <c r="R177" s="576">
        <f t="shared" si="220"/>
        <v>-7.6529978302806256</v>
      </c>
      <c r="S177" s="576">
        <v>18056248.922764566</v>
      </c>
      <c r="T177" s="576">
        <v>18308048.922764599</v>
      </c>
      <c r="U177" s="522">
        <f t="shared" si="301"/>
        <v>20474749.52</v>
      </c>
      <c r="V177" s="522">
        <f t="shared" si="217"/>
        <v>2166700.5972354002</v>
      </c>
      <c r="W177" s="522">
        <f t="shared" si="246"/>
        <v>11.834688700996864</v>
      </c>
      <c r="X177" s="522">
        <f t="shared" si="221"/>
        <v>-721649.90000000224</v>
      </c>
      <c r="Y177" s="522">
        <f t="shared" si="222"/>
        <v>-3.4045871928563685</v>
      </c>
      <c r="Z177" s="524">
        <f t="shared" si="223"/>
        <v>21612657.18</v>
      </c>
      <c r="AA177" s="522">
        <f t="shared" si="224"/>
        <v>3304608.2572354004</v>
      </c>
      <c r="AB177" s="522">
        <f t="shared" si="247"/>
        <v>18.050029640932323</v>
      </c>
      <c r="AC177" s="522">
        <f t="shared" si="225"/>
        <v>1137907.6600000001</v>
      </c>
      <c r="AD177" s="522">
        <f t="shared" si="226"/>
        <v>5.5576145578165779</v>
      </c>
      <c r="AE177" s="522">
        <f t="shared" si="227"/>
        <v>416257.75999999791</v>
      </c>
      <c r="AF177" s="522">
        <f t="shared" si="228"/>
        <v>1.9638135314964558</v>
      </c>
      <c r="AG177" s="522">
        <f t="shared" si="243"/>
        <v>22244571.030000001</v>
      </c>
      <c r="AH177" s="522">
        <f t="shared" si="229"/>
        <v>1769821.5100000016</v>
      </c>
      <c r="AI177" s="522">
        <f t="shared" si="230"/>
        <v>8.6439226436993266</v>
      </c>
      <c r="AJ177" s="522">
        <f t="shared" si="231"/>
        <v>631913.85000000149</v>
      </c>
      <c r="AK177" s="522">
        <f>AG177/Z177*100-100</f>
        <v>2.9238137853070896</v>
      </c>
      <c r="AL177" s="522">
        <f t="shared" si="302"/>
        <v>22244571.030000001</v>
      </c>
      <c r="AM177" s="522">
        <f t="shared" si="270"/>
        <v>10234995.76</v>
      </c>
      <c r="AN177" s="522">
        <f t="shared" si="270"/>
        <v>8521236.7899999991</v>
      </c>
      <c r="AO177" s="522">
        <f t="shared" si="232"/>
        <v>-1713758.9700000007</v>
      </c>
      <c r="AP177" s="522">
        <f t="shared" si="244"/>
        <v>-16.744110209577656</v>
      </c>
      <c r="AQ177" s="578">
        <f>5105118.88+10000</f>
        <v>5115118.88</v>
      </c>
      <c r="AR177" s="578">
        <v>4303994.3899999997</v>
      </c>
      <c r="AS177" s="578">
        <f>5104876.88+15000</f>
        <v>5119876.88</v>
      </c>
      <c r="AT177" s="578">
        <v>4217242.3999999994</v>
      </c>
      <c r="AU177" s="578">
        <f t="shared" si="276"/>
        <v>10239753.76</v>
      </c>
      <c r="AV177" s="578">
        <f t="shared" si="276"/>
        <v>13091420.389999999</v>
      </c>
      <c r="AW177" s="578">
        <f t="shared" si="233"/>
        <v>2851666.629999999</v>
      </c>
      <c r="AX177" s="578">
        <f t="shared" si="234"/>
        <v>27.848976614453264</v>
      </c>
      <c r="AY177" s="578">
        <f t="shared" si="277"/>
        <v>13723334.240000002</v>
      </c>
      <c r="AZ177" s="578">
        <f t="shared" si="235"/>
        <v>-631913.85000000335</v>
      </c>
      <c r="BA177" s="578">
        <f t="shared" si="236"/>
        <v>-4.6046670506511305</v>
      </c>
      <c r="BB177" s="578">
        <f>5104876.88+15000</f>
        <v>5119876.88</v>
      </c>
      <c r="BC177" s="576">
        <f>'[67]Дир_ имущ'!AT67</f>
        <v>4579392.0999999996</v>
      </c>
      <c r="BD177" s="576">
        <f t="shared" si="303"/>
        <v>4926716.8900000006</v>
      </c>
      <c r="BE177" s="576">
        <f t="shared" si="237"/>
        <v>-193159.98999999929</v>
      </c>
      <c r="BF177" s="576">
        <f t="shared" si="238"/>
        <v>347324.79000000097</v>
      </c>
      <c r="BG177" s="576">
        <f t="shared" si="218"/>
        <v>15354872.640000001</v>
      </c>
      <c r="BH177" s="578">
        <f t="shared" si="218"/>
        <v>13100628.889999999</v>
      </c>
      <c r="BI177" s="578">
        <v>13447953.68</v>
      </c>
      <c r="BJ177" s="578">
        <f t="shared" si="239"/>
        <v>-1906918.9600000009</v>
      </c>
      <c r="BK177" s="578">
        <f t="shared" si="240"/>
        <v>347324.79000000097</v>
      </c>
      <c r="BL177" s="576">
        <f>5104876.88+15000</f>
        <v>5119876.88</v>
      </c>
      <c r="BM177" s="578">
        <f>'[67]Дир_ имущ'!AW67</f>
        <v>8512028.2899999991</v>
      </c>
      <c r="BN177" s="522">
        <f t="shared" si="304"/>
        <v>8796617.3500000015</v>
      </c>
      <c r="BO177" s="578">
        <f t="shared" si="245"/>
        <v>3676740.4700000016</v>
      </c>
      <c r="BP177" s="578">
        <f t="shared" si="241"/>
        <v>284589.06000000238</v>
      </c>
      <c r="BQ177" s="576">
        <f>5104876.88+15000</f>
        <v>5119876.88</v>
      </c>
      <c r="BR177" s="578">
        <f>'[67]Дир_ имущ'!BB67</f>
        <v>0</v>
      </c>
      <c r="BS177" s="578">
        <f>'[67]Дир_ имущ'!BC67</f>
        <v>0</v>
      </c>
      <c r="BT177" s="536"/>
      <c r="BU177" s="578">
        <v>22244571.030000001</v>
      </c>
      <c r="BV177" s="578"/>
      <c r="BW177" s="578"/>
      <c r="BX177" s="574"/>
      <c r="BY177" s="525">
        <v>20533074.16</v>
      </c>
      <c r="BZ177" s="525">
        <v>1472324.26</v>
      </c>
      <c r="CA177" s="525">
        <v>239172.61</v>
      </c>
      <c r="CB177" s="522">
        <f t="shared" si="213"/>
        <v>22244571.030000001</v>
      </c>
      <c r="CC177" s="522">
        <f t="shared" si="242"/>
        <v>0</v>
      </c>
      <c r="CD177" s="578"/>
      <c r="CE177" s="578"/>
      <c r="CF177" s="578"/>
      <c r="CG177" s="578"/>
      <c r="CH177" s="578"/>
      <c r="CI177" s="578"/>
      <c r="CJ177" s="578"/>
      <c r="CK177" s="543" t="s">
        <v>1815</v>
      </c>
      <c r="CL177" s="543" t="s">
        <v>1922</v>
      </c>
      <c r="CM177" s="509" t="s">
        <v>1925</v>
      </c>
      <c r="CN177" s="528" t="s">
        <v>1849</v>
      </c>
      <c r="CO177" s="528"/>
      <c r="CP177" s="544">
        <f t="shared" si="305"/>
        <v>18890422.621490411</v>
      </c>
      <c r="CQ177" s="544">
        <f t="shared" si="306"/>
        <v>1387563.1699409601</v>
      </c>
      <c r="CR177" s="544">
        <f t="shared" si="307"/>
        <v>196763.72856862927</v>
      </c>
      <c r="CS177" s="1688" t="s">
        <v>1826</v>
      </c>
      <c r="CT177" s="1689"/>
      <c r="CU177" s="1689"/>
      <c r="CV177" s="1689"/>
      <c r="CW177" s="1690"/>
      <c r="CX177" s="528"/>
      <c r="CY177" s="528"/>
      <c r="CZ177" s="528"/>
      <c r="DA177" s="528"/>
      <c r="DB177" s="579">
        <f>4303994.39</f>
        <v>4303994.3899999997</v>
      </c>
      <c r="DC177" s="628" t="e">
        <f>P177-#REF!</f>
        <v>#REF!</v>
      </c>
      <c r="DD177" s="535"/>
      <c r="DE177" s="535"/>
      <c r="DF177" s="525">
        <f t="shared" si="278"/>
        <v>20533.07416</v>
      </c>
      <c r="DG177" s="525">
        <f t="shared" si="278"/>
        <v>1472.3242600000001</v>
      </c>
      <c r="DH177" s="525">
        <f t="shared" si="278"/>
        <v>239.17260999999999</v>
      </c>
      <c r="DI177" s="522">
        <f t="shared" si="278"/>
        <v>22244.571030000003</v>
      </c>
      <c r="DJ177" s="536"/>
      <c r="DK177" s="536"/>
      <c r="DL177" s="536"/>
      <c r="DM177" s="536"/>
      <c r="DN177" s="536"/>
      <c r="DO177" s="536"/>
      <c r="DP177" s="536"/>
      <c r="DQ177" s="536"/>
      <c r="DR177" s="536"/>
      <c r="DS177" s="536"/>
    </row>
    <row r="178" spans="1:123" s="534" customFormat="1" ht="123" customHeight="1">
      <c r="A178" s="537" t="s">
        <v>797</v>
      </c>
      <c r="B178" s="538" t="s">
        <v>798</v>
      </c>
      <c r="C178" s="576">
        <v>958173.1</v>
      </c>
      <c r="D178" s="576">
        <v>1938967.89</v>
      </c>
      <c r="E178" s="576">
        <v>1633260</v>
      </c>
      <c r="F178" s="576">
        <v>1691901.38</v>
      </c>
      <c r="G178" s="577">
        <v>1379453.34527683</v>
      </c>
      <c r="H178" s="577">
        <v>0</v>
      </c>
      <c r="I178" s="576">
        <f t="shared" si="298"/>
        <v>1314404.1600000001</v>
      </c>
      <c r="J178" s="576">
        <v>692627.11</v>
      </c>
      <c r="K178" s="576">
        <v>307790.42</v>
      </c>
      <c r="L178" s="576">
        <v>313986.63</v>
      </c>
      <c r="M178" s="576">
        <f t="shared" si="299"/>
        <v>1000417.53</v>
      </c>
      <c r="N178" s="576">
        <v>1020385.74</v>
      </c>
      <c r="O178" s="525">
        <f t="shared" si="300"/>
        <v>291835.30000000005</v>
      </c>
      <c r="P178" s="522">
        <f>253426+3000+1309221.04-253426</f>
        <v>1312221.04</v>
      </c>
      <c r="Q178" s="576">
        <f t="shared" si="219"/>
        <v>-2183.1200000001118</v>
      </c>
      <c r="R178" s="576">
        <f t="shared" si="220"/>
        <v>-0.16609198802292724</v>
      </c>
      <c r="S178" s="576">
        <v>1862437.3924999998</v>
      </c>
      <c r="T178" s="576">
        <v>1635157.3925000001</v>
      </c>
      <c r="U178" s="522">
        <f t="shared" si="301"/>
        <v>1381438.76</v>
      </c>
      <c r="V178" s="522">
        <f t="shared" si="217"/>
        <v>-253718.63250000007</v>
      </c>
      <c r="W178" s="522">
        <f t="shared" si="246"/>
        <v>-15.516465489116513</v>
      </c>
      <c r="X178" s="522">
        <f t="shared" si="221"/>
        <v>69217.719999999972</v>
      </c>
      <c r="Y178" s="522">
        <f t="shared" si="222"/>
        <v>5.2748521697228767</v>
      </c>
      <c r="Z178" s="524">
        <f t="shared" si="223"/>
        <v>1398444.27</v>
      </c>
      <c r="AA178" s="522">
        <f t="shared" si="224"/>
        <v>-236713.12250000006</v>
      </c>
      <c r="AB178" s="522">
        <f t="shared" si="247"/>
        <v>-14.476473248736511</v>
      </c>
      <c r="AC178" s="522">
        <f t="shared" si="225"/>
        <v>17005.510000000009</v>
      </c>
      <c r="AD178" s="522">
        <f t="shared" si="226"/>
        <v>1.2309999177958559</v>
      </c>
      <c r="AE178" s="522">
        <f t="shared" si="227"/>
        <v>86223.229999999981</v>
      </c>
      <c r="AF178" s="522">
        <f t="shared" si="228"/>
        <v>6.5707855133918542</v>
      </c>
      <c r="AG178" s="522">
        <f t="shared" si="243"/>
        <v>1459718.34</v>
      </c>
      <c r="AH178" s="522">
        <f t="shared" si="229"/>
        <v>78279.580000000075</v>
      </c>
      <c r="AI178" s="522">
        <f t="shared" si="230"/>
        <v>5.666525528790018</v>
      </c>
      <c r="AJ178" s="522">
        <f t="shared" si="231"/>
        <v>61274.070000000065</v>
      </c>
      <c r="AK178" s="522">
        <f>AG178/Z178*100-100</f>
        <v>4.3815882630775036</v>
      </c>
      <c r="AL178" s="522">
        <f t="shared" si="302"/>
        <v>1459718.34</v>
      </c>
      <c r="AM178" s="522">
        <f t="shared" si="270"/>
        <v>690719.38</v>
      </c>
      <c r="AN178" s="522">
        <f t="shared" si="270"/>
        <v>707724.81</v>
      </c>
      <c r="AO178" s="522">
        <f t="shared" si="232"/>
        <v>17005.430000000051</v>
      </c>
      <c r="AP178" s="522">
        <f t="shared" si="244"/>
        <v>2.4619882534641135</v>
      </c>
      <c r="AQ178" s="578">
        <v>345359.69</v>
      </c>
      <c r="AR178" s="578">
        <v>352457.72</v>
      </c>
      <c r="AS178" s="578">
        <v>345359.69</v>
      </c>
      <c r="AT178" s="578">
        <v>355267.09000000008</v>
      </c>
      <c r="AU178" s="578">
        <f t="shared" si="276"/>
        <v>690719.38</v>
      </c>
      <c r="AV178" s="578">
        <f t="shared" si="276"/>
        <v>690719.46</v>
      </c>
      <c r="AW178" s="578">
        <f t="shared" si="233"/>
        <v>7.9999999958090484E-2</v>
      </c>
      <c r="AX178" s="578">
        <f t="shared" si="234"/>
        <v>1.1582127584119917E-5</v>
      </c>
      <c r="AY178" s="578">
        <f t="shared" si="277"/>
        <v>751993.53</v>
      </c>
      <c r="AZ178" s="578">
        <f t="shared" si="235"/>
        <v>-61274.070000000065</v>
      </c>
      <c r="BA178" s="578">
        <f t="shared" si="236"/>
        <v>-8.148217711394409</v>
      </c>
      <c r="BB178" s="578">
        <v>345359.69</v>
      </c>
      <c r="BC178" s="576">
        <f>'[67]Гл инж_Тех дир'!AT55</f>
        <v>345359.73</v>
      </c>
      <c r="BD178" s="576">
        <f t="shared" si="303"/>
        <v>376896.66999999993</v>
      </c>
      <c r="BE178" s="576">
        <f t="shared" si="237"/>
        <v>31536.979999999923</v>
      </c>
      <c r="BF178" s="576">
        <f t="shared" si="238"/>
        <v>31536.939999999944</v>
      </c>
      <c r="BG178" s="576">
        <f t="shared" si="218"/>
        <v>1036079.0700000001</v>
      </c>
      <c r="BH178" s="578">
        <f t="shared" si="218"/>
        <v>1053084.54</v>
      </c>
      <c r="BI178" s="578">
        <v>1084621.48</v>
      </c>
      <c r="BJ178" s="578">
        <f t="shared" si="239"/>
        <v>48542.409999999916</v>
      </c>
      <c r="BK178" s="578">
        <f t="shared" si="240"/>
        <v>31536.939999999944</v>
      </c>
      <c r="BL178" s="576">
        <v>345359.69</v>
      </c>
      <c r="BM178" s="578">
        <f>'[67]Гл инж_Тех дир'!AW55</f>
        <v>345359.73</v>
      </c>
      <c r="BN178" s="522">
        <f t="shared" si="304"/>
        <v>375096.8600000001</v>
      </c>
      <c r="BO178" s="578">
        <f t="shared" si="245"/>
        <v>29737.1700000001</v>
      </c>
      <c r="BP178" s="578">
        <f t="shared" si="241"/>
        <v>29737.130000000121</v>
      </c>
      <c r="BQ178" s="576">
        <v>345359.69</v>
      </c>
      <c r="BR178" s="578">
        <f>'[67]Гл инж_Тех дир'!BB55</f>
        <v>0</v>
      </c>
      <c r="BS178" s="578">
        <f>'[67]Гл инж_Тех дир'!BC55</f>
        <v>0</v>
      </c>
      <c r="BT178" s="536"/>
      <c r="BU178" s="578">
        <v>1459718.34</v>
      </c>
      <c r="BV178" s="578"/>
      <c r="BW178" s="578"/>
      <c r="BX178" s="574"/>
      <c r="BY178" s="525">
        <v>1363523.92</v>
      </c>
      <c r="BZ178" s="525">
        <v>80932.37</v>
      </c>
      <c r="CA178" s="525">
        <v>15262.05</v>
      </c>
      <c r="CB178" s="522">
        <f t="shared" si="213"/>
        <v>1459718.34</v>
      </c>
      <c r="CC178" s="522">
        <f t="shared" si="242"/>
        <v>0</v>
      </c>
      <c r="CD178" s="578"/>
      <c r="CE178" s="578"/>
      <c r="CF178" s="578"/>
      <c r="CG178" s="578"/>
      <c r="CH178" s="578"/>
      <c r="CI178" s="578"/>
      <c r="CJ178" s="578"/>
      <c r="CK178" s="542" t="s">
        <v>79</v>
      </c>
      <c r="CL178" s="543" t="s">
        <v>1903</v>
      </c>
      <c r="CM178" s="509" t="s">
        <v>1925</v>
      </c>
      <c r="CN178" s="528" t="s">
        <v>1849</v>
      </c>
      <c r="CO178" s="528"/>
      <c r="CP178" s="544">
        <f t="shared" si="305"/>
        <v>1274543.6507839467</v>
      </c>
      <c r="CQ178" s="544">
        <f t="shared" si="306"/>
        <v>93619.389240025717</v>
      </c>
      <c r="CR178" s="544">
        <f t="shared" si="307"/>
        <v>13275.71997602752</v>
      </c>
      <c r="CS178" s="1688" t="s">
        <v>1826</v>
      </c>
      <c r="CT178" s="1689"/>
      <c r="CU178" s="1689"/>
      <c r="CV178" s="1689"/>
      <c r="CW178" s="1690"/>
      <c r="CX178" s="528"/>
      <c r="CY178" s="528"/>
      <c r="CZ178" s="528"/>
      <c r="DA178" s="528"/>
      <c r="DB178" s="579">
        <f>352457.72</f>
        <v>352457.72</v>
      </c>
      <c r="DC178" s="628" t="e">
        <f>P178-#REF!</f>
        <v>#REF!</v>
      </c>
      <c r="DD178" s="535"/>
      <c r="DE178" s="535"/>
      <c r="DF178" s="525">
        <f t="shared" si="278"/>
        <v>1363.5239199999999</v>
      </c>
      <c r="DG178" s="525">
        <f t="shared" si="278"/>
        <v>80.932369999999992</v>
      </c>
      <c r="DH178" s="525">
        <f t="shared" si="278"/>
        <v>15.262049999999999</v>
      </c>
      <c r="DI178" s="522">
        <f t="shared" si="278"/>
        <v>1459.7183400000001</v>
      </c>
      <c r="DJ178" s="536"/>
      <c r="DK178" s="536"/>
      <c r="DL178" s="536"/>
      <c r="DM178" s="536"/>
      <c r="DN178" s="536"/>
      <c r="DO178" s="536"/>
      <c r="DP178" s="536"/>
      <c r="DQ178" s="536"/>
      <c r="DR178" s="536"/>
      <c r="DS178" s="536"/>
    </row>
    <row r="179" spans="1:123" s="534" customFormat="1" ht="89.25" customHeight="1">
      <c r="A179" s="537" t="s">
        <v>1113</v>
      </c>
      <c r="B179" s="538" t="s">
        <v>1114</v>
      </c>
      <c r="C179" s="576"/>
      <c r="D179" s="576"/>
      <c r="E179" s="576"/>
      <c r="F179" s="576"/>
      <c r="G179" s="631">
        <v>289964.97376898688</v>
      </c>
      <c r="H179" s="577">
        <v>0</v>
      </c>
      <c r="I179" s="576">
        <f t="shared" si="298"/>
        <v>2034059.46</v>
      </c>
      <c r="J179" s="576">
        <v>606919.86</v>
      </c>
      <c r="K179" s="576">
        <v>774254.64</v>
      </c>
      <c r="L179" s="576">
        <v>652884.96</v>
      </c>
      <c r="M179" s="576">
        <f t="shared" si="299"/>
        <v>1381174.5</v>
      </c>
      <c r="N179" s="576">
        <v>1222582.3999999999</v>
      </c>
      <c r="O179" s="525">
        <f t="shared" si="300"/>
        <v>551615.03</v>
      </c>
      <c r="P179" s="522">
        <v>1774197.43</v>
      </c>
      <c r="Q179" s="576">
        <f t="shared" si="219"/>
        <v>-259862.03000000003</v>
      </c>
      <c r="R179" s="576">
        <f t="shared" si="220"/>
        <v>-12.775537545003729</v>
      </c>
      <c r="S179" s="576"/>
      <c r="T179" s="576"/>
      <c r="U179" s="522">
        <f t="shared" si="301"/>
        <v>1713245.4700000002</v>
      </c>
      <c r="V179" s="522">
        <f t="shared" si="217"/>
        <v>1713245.4700000002</v>
      </c>
      <c r="W179" s="522">
        <v>0</v>
      </c>
      <c r="X179" s="522">
        <f t="shared" si="221"/>
        <v>-60951.95999999973</v>
      </c>
      <c r="Y179" s="522">
        <f t="shared" si="222"/>
        <v>-3.4354665929146222</v>
      </c>
      <c r="Z179" s="524">
        <f t="shared" si="223"/>
        <v>1143301.49</v>
      </c>
      <c r="AA179" s="522">
        <f t="shared" si="224"/>
        <v>1143301.49</v>
      </c>
      <c r="AB179" s="522">
        <v>0</v>
      </c>
      <c r="AC179" s="522">
        <f t="shared" si="225"/>
        <v>-569943.98000000021</v>
      </c>
      <c r="AD179" s="522">
        <f t="shared" si="226"/>
        <v>-33.266918837964312</v>
      </c>
      <c r="AE179" s="522">
        <f t="shared" si="227"/>
        <v>-630895.93999999994</v>
      </c>
      <c r="AF179" s="522">
        <f t="shared" si="228"/>
        <v>-35.559511547708638</v>
      </c>
      <c r="AG179" s="522">
        <f t="shared" si="243"/>
        <v>1113301.3500000001</v>
      </c>
      <c r="AH179" s="522">
        <f t="shared" si="229"/>
        <v>-599944.12000000011</v>
      </c>
      <c r="AI179" s="522">
        <f t="shared" si="230"/>
        <v>-35.017989570402904</v>
      </c>
      <c r="AJ179" s="522">
        <f t="shared" si="231"/>
        <v>-30000.139999999898</v>
      </c>
      <c r="AK179" s="522">
        <f>AG179/Z179*100-100</f>
        <v>-2.6239920320579557</v>
      </c>
      <c r="AL179" s="522">
        <f t="shared" si="302"/>
        <v>1113301.3500000001</v>
      </c>
      <c r="AM179" s="522">
        <f t="shared" si="270"/>
        <v>1329952.1000000001</v>
      </c>
      <c r="AN179" s="522">
        <f t="shared" si="270"/>
        <v>688523.49</v>
      </c>
      <c r="AO179" s="522">
        <f t="shared" si="232"/>
        <v>-641428.6100000001</v>
      </c>
      <c r="AP179" s="522">
        <f t="shared" si="244"/>
        <v>-48.229452023121745</v>
      </c>
      <c r="AQ179" s="578">
        <v>190809</v>
      </c>
      <c r="AR179" s="578">
        <v>247218.93</v>
      </c>
      <c r="AS179" s="578">
        <v>1139143.1000000001</v>
      </c>
      <c r="AT179" s="578">
        <v>441304.56</v>
      </c>
      <c r="AU179" s="578">
        <f t="shared" si="276"/>
        <v>383293.37</v>
      </c>
      <c r="AV179" s="578">
        <f t="shared" si="276"/>
        <v>454778</v>
      </c>
      <c r="AW179" s="578">
        <f t="shared" si="233"/>
        <v>71484.63</v>
      </c>
      <c r="AX179" s="578">
        <f t="shared" si="234"/>
        <v>18.650108662197823</v>
      </c>
      <c r="AY179" s="578">
        <f t="shared" si="277"/>
        <v>424777.8600000001</v>
      </c>
      <c r="AZ179" s="578">
        <f t="shared" si="235"/>
        <v>30000.139999999898</v>
      </c>
      <c r="BA179" s="578">
        <f t="shared" si="236"/>
        <v>7.0625479397631352</v>
      </c>
      <c r="BB179" s="578">
        <v>190809</v>
      </c>
      <c r="BC179" s="576">
        <f>'[67]Гл инж_Тех дир'!AT10</f>
        <v>212389</v>
      </c>
      <c r="BD179" s="576">
        <f t="shared" si="303"/>
        <v>212388.93000000005</v>
      </c>
      <c r="BE179" s="576">
        <f t="shared" si="237"/>
        <v>21579.930000000051</v>
      </c>
      <c r="BF179" s="576">
        <f t="shared" si="238"/>
        <v>-6.9999999948777258E-2</v>
      </c>
      <c r="BG179" s="576">
        <f t="shared" si="218"/>
        <v>1520761.1</v>
      </c>
      <c r="BH179" s="578">
        <f t="shared" si="218"/>
        <v>900912.49</v>
      </c>
      <c r="BI179" s="578">
        <v>900912.42</v>
      </c>
      <c r="BJ179" s="578">
        <f t="shared" si="239"/>
        <v>-619848.68000000005</v>
      </c>
      <c r="BK179" s="578">
        <f t="shared" si="240"/>
        <v>-6.9999999948777258E-2</v>
      </c>
      <c r="BL179" s="576">
        <v>192484.37</v>
      </c>
      <c r="BM179" s="578">
        <f>'[67]Гл инж_Тех дир'!AW10</f>
        <v>242389</v>
      </c>
      <c r="BN179" s="522">
        <f t="shared" si="304"/>
        <v>212388.93000000005</v>
      </c>
      <c r="BO179" s="578">
        <f t="shared" si="245"/>
        <v>19904.560000000056</v>
      </c>
      <c r="BP179" s="578">
        <f t="shared" si="241"/>
        <v>-30000.069999999949</v>
      </c>
      <c r="BQ179" s="576">
        <v>192484.37</v>
      </c>
      <c r="BR179" s="578">
        <f>'[67]Гл инж_Тех дир'!BB10</f>
        <v>0</v>
      </c>
      <c r="BS179" s="578">
        <f>'[67]Гл инж_Тех дир'!BC10</f>
        <v>0</v>
      </c>
      <c r="BT179" s="536"/>
      <c r="BU179" s="578">
        <v>1113301.3500000001</v>
      </c>
      <c r="BV179" s="578"/>
      <c r="BW179" s="578"/>
      <c r="BX179" s="574"/>
      <c r="BY179" s="525">
        <v>1113301.3500000001</v>
      </c>
      <c r="BZ179" s="525"/>
      <c r="CA179" s="525"/>
      <c r="CB179" s="522">
        <f t="shared" si="213"/>
        <v>1113301.3500000001</v>
      </c>
      <c r="CC179" s="522">
        <f t="shared" si="242"/>
        <v>0</v>
      </c>
      <c r="CD179" s="578"/>
      <c r="CE179" s="578"/>
      <c r="CF179" s="578"/>
      <c r="CG179" s="578"/>
      <c r="CH179" s="578"/>
      <c r="CI179" s="578"/>
      <c r="CJ179" s="578"/>
      <c r="CK179" s="542" t="s">
        <v>79</v>
      </c>
      <c r="CL179" s="543" t="s">
        <v>1913</v>
      </c>
      <c r="CM179" s="509" t="s">
        <v>1925</v>
      </c>
      <c r="CN179" s="528"/>
      <c r="CO179" s="528"/>
      <c r="CP179" s="544">
        <f t="shared" si="305"/>
        <v>1580675.3069697127</v>
      </c>
      <c r="CQ179" s="544">
        <f t="shared" si="306"/>
        <v>116105.75811528612</v>
      </c>
      <c r="CR179" s="544">
        <f t="shared" si="307"/>
        <v>16464.404915001556</v>
      </c>
      <c r="CS179" s="1688" t="s">
        <v>1826</v>
      </c>
      <c r="CT179" s="1689"/>
      <c r="CU179" s="1689"/>
      <c r="CV179" s="1689"/>
      <c r="CW179" s="1690"/>
      <c r="CX179" s="528"/>
      <c r="CY179" s="528"/>
      <c r="CZ179" s="528"/>
      <c r="DA179" s="528"/>
      <c r="DB179" s="579">
        <f>212388.93+34830</f>
        <v>247218.93</v>
      </c>
      <c r="DC179" s="628" t="e">
        <f>P179-#REF!</f>
        <v>#REF!</v>
      </c>
      <c r="DD179" s="535"/>
      <c r="DE179" s="535"/>
      <c r="DF179" s="525">
        <f t="shared" si="278"/>
        <v>1113.3013500000002</v>
      </c>
      <c r="DG179" s="525">
        <f t="shared" si="278"/>
        <v>0</v>
      </c>
      <c r="DH179" s="525">
        <f t="shared" si="278"/>
        <v>0</v>
      </c>
      <c r="DI179" s="522">
        <f t="shared" si="278"/>
        <v>1113.3013500000002</v>
      </c>
      <c r="DJ179" s="536"/>
      <c r="DK179" s="536"/>
      <c r="DL179" s="536"/>
      <c r="DM179" s="536"/>
      <c r="DN179" s="536"/>
      <c r="DO179" s="536"/>
      <c r="DP179" s="536"/>
      <c r="DQ179" s="536"/>
      <c r="DR179" s="536"/>
      <c r="DS179" s="536"/>
    </row>
    <row r="180" spans="1:123" s="534" customFormat="1" ht="66" customHeight="1">
      <c r="A180" s="520" t="s">
        <v>753</v>
      </c>
      <c r="B180" s="521" t="s">
        <v>754</v>
      </c>
      <c r="C180" s="578">
        <v>3281300</v>
      </c>
      <c r="D180" s="578">
        <v>1097273.3</v>
      </c>
      <c r="E180" s="578">
        <v>3396146</v>
      </c>
      <c r="F180" s="578">
        <v>1968780</v>
      </c>
      <c r="G180" s="593">
        <v>1026670.0000000001</v>
      </c>
      <c r="H180" s="593">
        <v>0</v>
      </c>
      <c r="I180" s="578">
        <f t="shared" si="298"/>
        <v>2546910</v>
      </c>
      <c r="J180" s="578">
        <v>2296910</v>
      </c>
      <c r="K180" s="578">
        <v>0</v>
      </c>
      <c r="L180" s="578">
        <v>250000</v>
      </c>
      <c r="M180" s="578">
        <f t="shared" si="299"/>
        <v>2296910</v>
      </c>
      <c r="N180" s="578">
        <v>2296910</v>
      </c>
      <c r="O180" s="522">
        <f t="shared" si="300"/>
        <v>250000</v>
      </c>
      <c r="P180" s="522">
        <v>2546910</v>
      </c>
      <c r="Q180" s="578">
        <f t="shared" si="219"/>
        <v>0</v>
      </c>
      <c r="R180" s="578">
        <f t="shared" si="220"/>
        <v>0</v>
      </c>
      <c r="S180" s="578">
        <v>1083136.8500000001</v>
      </c>
      <c r="T180" s="578">
        <v>1083136.8500000001</v>
      </c>
      <c r="U180" s="522">
        <f t="shared" si="301"/>
        <v>500000</v>
      </c>
      <c r="V180" s="522">
        <f t="shared" si="217"/>
        <v>-583136.85000000009</v>
      </c>
      <c r="W180" s="522">
        <f t="shared" si="246"/>
        <v>-53.837781440083035</v>
      </c>
      <c r="X180" s="522">
        <f t="shared" si="221"/>
        <v>-2046910</v>
      </c>
      <c r="Y180" s="522">
        <f t="shared" si="222"/>
        <v>-80.368367943900651</v>
      </c>
      <c r="Z180" s="524">
        <f t="shared" si="223"/>
        <v>500000</v>
      </c>
      <c r="AA180" s="522">
        <f t="shared" si="224"/>
        <v>-583136.85000000009</v>
      </c>
      <c r="AB180" s="522">
        <f t="shared" si="247"/>
        <v>-53.837781440083035</v>
      </c>
      <c r="AC180" s="522">
        <f t="shared" si="225"/>
        <v>0</v>
      </c>
      <c r="AD180" s="522">
        <f t="shared" si="226"/>
        <v>0</v>
      </c>
      <c r="AE180" s="522">
        <f t="shared" si="227"/>
        <v>-2046910</v>
      </c>
      <c r="AF180" s="522">
        <f t="shared" si="228"/>
        <v>-80.368367943900651</v>
      </c>
      <c r="AG180" s="522">
        <f t="shared" si="243"/>
        <v>500000</v>
      </c>
      <c r="AH180" s="522">
        <f t="shared" si="229"/>
        <v>0</v>
      </c>
      <c r="AI180" s="522">
        <f t="shared" si="230"/>
        <v>0</v>
      </c>
      <c r="AJ180" s="522">
        <f t="shared" si="231"/>
        <v>0</v>
      </c>
      <c r="AK180" s="522">
        <f>AG180/Z180*100-100</f>
        <v>0</v>
      </c>
      <c r="AL180" s="522">
        <f t="shared" si="302"/>
        <v>500000</v>
      </c>
      <c r="AM180" s="522">
        <f t="shared" si="270"/>
        <v>250000</v>
      </c>
      <c r="AN180" s="522">
        <f t="shared" si="270"/>
        <v>250000</v>
      </c>
      <c r="AO180" s="522">
        <f t="shared" si="232"/>
        <v>0</v>
      </c>
      <c r="AP180" s="522">
        <f t="shared" si="244"/>
        <v>0</v>
      </c>
      <c r="AQ180" s="578">
        <v>250000</v>
      </c>
      <c r="AR180" s="578">
        <v>250000</v>
      </c>
      <c r="AS180" s="578"/>
      <c r="AT180" s="578">
        <v>0</v>
      </c>
      <c r="AU180" s="578">
        <f t="shared" si="276"/>
        <v>250000</v>
      </c>
      <c r="AV180" s="578">
        <f t="shared" si="276"/>
        <v>250000</v>
      </c>
      <c r="AW180" s="578">
        <f t="shared" si="233"/>
        <v>0</v>
      </c>
      <c r="AX180" s="578">
        <f t="shared" si="234"/>
        <v>0</v>
      </c>
      <c r="AY180" s="578">
        <f t="shared" si="277"/>
        <v>250000</v>
      </c>
      <c r="AZ180" s="578">
        <f t="shared" si="235"/>
        <v>0</v>
      </c>
      <c r="BA180" s="578">
        <v>0</v>
      </c>
      <c r="BB180" s="578"/>
      <c r="BC180" s="576">
        <f>'[67]Гл бух'!AT9</f>
        <v>0</v>
      </c>
      <c r="BD180" s="576">
        <f t="shared" si="303"/>
        <v>0</v>
      </c>
      <c r="BE180" s="576">
        <f t="shared" si="237"/>
        <v>0</v>
      </c>
      <c r="BF180" s="576">
        <f t="shared" si="238"/>
        <v>0</v>
      </c>
      <c r="BG180" s="576">
        <f t="shared" si="218"/>
        <v>250000</v>
      </c>
      <c r="BH180" s="578">
        <f t="shared" si="218"/>
        <v>250000</v>
      </c>
      <c r="BI180" s="578">
        <v>250000</v>
      </c>
      <c r="BJ180" s="578">
        <f t="shared" si="239"/>
        <v>0</v>
      </c>
      <c r="BK180" s="578">
        <f t="shared" si="240"/>
        <v>0</v>
      </c>
      <c r="BL180" s="576">
        <v>250000</v>
      </c>
      <c r="BM180" s="578">
        <f>'[67]Гл бух'!AW9</f>
        <v>250000</v>
      </c>
      <c r="BN180" s="522">
        <f t="shared" si="304"/>
        <v>250000</v>
      </c>
      <c r="BO180" s="578">
        <f t="shared" si="245"/>
        <v>0</v>
      </c>
      <c r="BP180" s="578">
        <f t="shared" si="241"/>
        <v>0</v>
      </c>
      <c r="BQ180" s="576">
        <v>250000</v>
      </c>
      <c r="BR180" s="578">
        <f>'[67]Гл бух'!BB9</f>
        <v>0</v>
      </c>
      <c r="BS180" s="578">
        <f>'[67]Гл бух'!BC9</f>
        <v>0</v>
      </c>
      <c r="BT180" s="536"/>
      <c r="BU180" s="578">
        <v>500000</v>
      </c>
      <c r="BV180" s="578"/>
      <c r="BW180" s="578"/>
      <c r="BX180" s="574"/>
      <c r="BY180" s="522">
        <v>499265.98</v>
      </c>
      <c r="BZ180" s="522">
        <v>466.3</v>
      </c>
      <c r="CA180" s="522">
        <v>267.72000000000003</v>
      </c>
      <c r="CB180" s="522">
        <f t="shared" ref="CB180:CB235" si="308">SUM(BY180:CA180)</f>
        <v>499999.99999999994</v>
      </c>
      <c r="CC180" s="522">
        <f t="shared" si="242"/>
        <v>0</v>
      </c>
      <c r="CD180" s="578"/>
      <c r="CE180" s="578"/>
      <c r="CF180" s="578"/>
      <c r="CG180" s="578"/>
      <c r="CH180" s="578"/>
      <c r="CI180" s="578"/>
      <c r="CJ180" s="578"/>
      <c r="CK180" s="526" t="s">
        <v>1645</v>
      </c>
      <c r="CL180" s="526" t="s">
        <v>1935</v>
      </c>
      <c r="CM180" s="527" t="s">
        <v>1925</v>
      </c>
      <c r="CN180" s="528" t="s">
        <v>1849</v>
      </c>
      <c r="CO180" s="528"/>
      <c r="CP180" s="529">
        <f t="shared" si="305"/>
        <v>461310.22513945779</v>
      </c>
      <c r="CQ180" s="529">
        <f t="shared" si="306"/>
        <v>33884.741021753907</v>
      </c>
      <c r="CR180" s="529">
        <f t="shared" si="307"/>
        <v>4805.0338387883075</v>
      </c>
      <c r="CS180" s="1695" t="s">
        <v>1826</v>
      </c>
      <c r="CT180" s="1696"/>
      <c r="CU180" s="1696"/>
      <c r="CV180" s="1696"/>
      <c r="CW180" s="1697"/>
      <c r="CX180" s="528"/>
      <c r="CY180" s="528"/>
      <c r="CZ180" s="528"/>
      <c r="DA180" s="528"/>
      <c r="DB180" s="630">
        <f>250000</f>
        <v>250000</v>
      </c>
      <c r="DC180" s="571" t="e">
        <f>P180-#REF!</f>
        <v>#REF!</v>
      </c>
      <c r="DD180" s="535"/>
      <c r="DE180" s="535"/>
      <c r="DF180" s="522">
        <f t="shared" si="278"/>
        <v>499.26597999999996</v>
      </c>
      <c r="DG180" s="522">
        <f t="shared" si="278"/>
        <v>0.46629999999999999</v>
      </c>
      <c r="DH180" s="522">
        <f t="shared" si="278"/>
        <v>0.26772000000000001</v>
      </c>
      <c r="DI180" s="522">
        <f t="shared" si="278"/>
        <v>499.99999999999994</v>
      </c>
      <c r="DJ180" s="536"/>
      <c r="DK180" s="536"/>
      <c r="DL180" s="536"/>
      <c r="DM180" s="536"/>
      <c r="DN180" s="536"/>
      <c r="DO180" s="536"/>
      <c r="DP180" s="536"/>
      <c r="DQ180" s="536"/>
      <c r="DR180" s="536"/>
      <c r="DS180" s="536"/>
    </row>
    <row r="181" spans="1:123" s="534" customFormat="1" ht="56.4">
      <c r="A181" s="537" t="s">
        <v>737</v>
      </c>
      <c r="B181" s="538" t="s">
        <v>738</v>
      </c>
      <c r="C181" s="576">
        <v>891856.88</v>
      </c>
      <c r="D181" s="576">
        <v>1357905.05</v>
      </c>
      <c r="E181" s="576">
        <v>1357905.05</v>
      </c>
      <c r="F181" s="576">
        <v>250</v>
      </c>
      <c r="G181" s="576">
        <v>1299627.8841284658</v>
      </c>
      <c r="H181" s="576">
        <v>0</v>
      </c>
      <c r="I181" s="576">
        <f t="shared" si="298"/>
        <v>323467.2</v>
      </c>
      <c r="J181" s="576">
        <v>323467.2</v>
      </c>
      <c r="K181" s="576">
        <v>0</v>
      </c>
      <c r="L181" s="576">
        <v>0</v>
      </c>
      <c r="M181" s="576">
        <f t="shared" si="299"/>
        <v>323467.2</v>
      </c>
      <c r="N181" s="576">
        <v>323467.2</v>
      </c>
      <c r="O181" s="525">
        <f t="shared" si="300"/>
        <v>0</v>
      </c>
      <c r="P181" s="522">
        <v>323467.2</v>
      </c>
      <c r="Q181" s="576">
        <f t="shared" si="219"/>
        <v>0</v>
      </c>
      <c r="R181" s="576">
        <f t="shared" si="220"/>
        <v>0</v>
      </c>
      <c r="S181" s="576"/>
      <c r="T181" s="576"/>
      <c r="U181" s="522">
        <f t="shared" si="301"/>
        <v>0</v>
      </c>
      <c r="V181" s="522">
        <f t="shared" si="217"/>
        <v>0</v>
      </c>
      <c r="W181" s="522">
        <v>0</v>
      </c>
      <c r="X181" s="522">
        <f t="shared" si="221"/>
        <v>-323467.2</v>
      </c>
      <c r="Y181" s="522">
        <f t="shared" si="222"/>
        <v>-100</v>
      </c>
      <c r="Z181" s="524">
        <f t="shared" si="223"/>
        <v>0</v>
      </c>
      <c r="AA181" s="522">
        <f t="shared" si="224"/>
        <v>0</v>
      </c>
      <c r="AB181" s="522">
        <v>0</v>
      </c>
      <c r="AC181" s="522">
        <f t="shared" si="225"/>
        <v>0</v>
      </c>
      <c r="AD181" s="522">
        <v>0</v>
      </c>
      <c r="AE181" s="522">
        <f t="shared" si="227"/>
        <v>-323467.2</v>
      </c>
      <c r="AF181" s="522">
        <f t="shared" si="228"/>
        <v>-100</v>
      </c>
      <c r="AG181" s="522">
        <f t="shared" si="243"/>
        <v>0</v>
      </c>
      <c r="AH181" s="522">
        <f t="shared" si="229"/>
        <v>0</v>
      </c>
      <c r="AI181" s="522">
        <v>0</v>
      </c>
      <c r="AJ181" s="522">
        <f t="shared" si="231"/>
        <v>0</v>
      </c>
      <c r="AK181" s="522">
        <v>0</v>
      </c>
      <c r="AL181" s="522">
        <f t="shared" si="302"/>
        <v>0</v>
      </c>
      <c r="AM181" s="522">
        <f t="shared" si="270"/>
        <v>0</v>
      </c>
      <c r="AN181" s="522">
        <f t="shared" si="270"/>
        <v>0</v>
      </c>
      <c r="AO181" s="522">
        <f t="shared" si="232"/>
        <v>0</v>
      </c>
      <c r="AP181" s="522">
        <v>0</v>
      </c>
      <c r="AQ181" s="578">
        <v>0</v>
      </c>
      <c r="AR181" s="578">
        <v>0</v>
      </c>
      <c r="AS181" s="578">
        <v>0</v>
      </c>
      <c r="AT181" s="578">
        <v>0</v>
      </c>
      <c r="AU181" s="578">
        <f t="shared" si="276"/>
        <v>0</v>
      </c>
      <c r="AV181" s="578">
        <f t="shared" si="276"/>
        <v>0</v>
      </c>
      <c r="AW181" s="578">
        <f t="shared" si="233"/>
        <v>0</v>
      </c>
      <c r="AX181" s="578">
        <v>0</v>
      </c>
      <c r="AY181" s="578">
        <f t="shared" si="277"/>
        <v>0</v>
      </c>
      <c r="AZ181" s="578">
        <f t="shared" si="235"/>
        <v>0</v>
      </c>
      <c r="BA181" s="578">
        <v>0</v>
      </c>
      <c r="BB181" s="578">
        <v>0</v>
      </c>
      <c r="BC181" s="576">
        <f>'[67]Дир_по корп'!AT30</f>
        <v>0</v>
      </c>
      <c r="BD181" s="576">
        <f t="shared" si="303"/>
        <v>0</v>
      </c>
      <c r="BE181" s="576">
        <f t="shared" si="237"/>
        <v>0</v>
      </c>
      <c r="BF181" s="576">
        <f t="shared" si="238"/>
        <v>0</v>
      </c>
      <c r="BG181" s="576">
        <f t="shared" si="218"/>
        <v>0</v>
      </c>
      <c r="BH181" s="578">
        <f t="shared" si="218"/>
        <v>0</v>
      </c>
      <c r="BI181" s="578"/>
      <c r="BJ181" s="578">
        <f t="shared" si="239"/>
        <v>0</v>
      </c>
      <c r="BK181" s="578">
        <f t="shared" si="240"/>
        <v>0</v>
      </c>
      <c r="BL181" s="576">
        <v>0</v>
      </c>
      <c r="BM181" s="578">
        <f>'[67]Дир_по корп'!AW30</f>
        <v>0</v>
      </c>
      <c r="BN181" s="522">
        <f t="shared" si="304"/>
        <v>0</v>
      </c>
      <c r="BO181" s="578">
        <f t="shared" si="245"/>
        <v>0</v>
      </c>
      <c r="BP181" s="578">
        <f t="shared" si="241"/>
        <v>0</v>
      </c>
      <c r="BQ181" s="576">
        <v>0</v>
      </c>
      <c r="BR181" s="578">
        <f>'[67]Дир_по корп'!BB30</f>
        <v>0</v>
      </c>
      <c r="BS181" s="578">
        <f>'[67]Дир_по корп'!BC30</f>
        <v>0</v>
      </c>
      <c r="BT181" s="536"/>
      <c r="BU181" s="578"/>
      <c r="BV181" s="578"/>
      <c r="BW181" s="578"/>
      <c r="BX181" s="574"/>
      <c r="BY181" s="525"/>
      <c r="BZ181" s="525"/>
      <c r="CA181" s="525"/>
      <c r="CB181" s="522">
        <f t="shared" si="308"/>
        <v>0</v>
      </c>
      <c r="CC181" s="522">
        <f t="shared" si="242"/>
        <v>0</v>
      </c>
      <c r="CD181" s="578"/>
      <c r="CE181" s="578"/>
      <c r="CF181" s="578"/>
      <c r="CG181" s="578"/>
      <c r="CH181" s="578"/>
      <c r="CI181" s="578"/>
      <c r="CJ181" s="578"/>
      <c r="CK181" s="543" t="s">
        <v>80</v>
      </c>
      <c r="CL181" s="543" t="s">
        <v>1936</v>
      </c>
      <c r="CM181" s="509" t="s">
        <v>1925</v>
      </c>
      <c r="CN181" s="528"/>
      <c r="CO181" s="528"/>
      <c r="CP181" s="544">
        <f t="shared" si="305"/>
        <v>0</v>
      </c>
      <c r="CQ181" s="544">
        <f t="shared" si="306"/>
        <v>0</v>
      </c>
      <c r="CR181" s="544">
        <f t="shared" si="307"/>
        <v>0</v>
      </c>
      <c r="CS181" s="1688" t="s">
        <v>1826</v>
      </c>
      <c r="CT181" s="1689"/>
      <c r="CU181" s="1689"/>
      <c r="CV181" s="1689"/>
      <c r="CW181" s="1690"/>
      <c r="CX181" s="528"/>
      <c r="CY181" s="528"/>
      <c r="CZ181" s="528"/>
      <c r="DA181" s="528"/>
      <c r="DB181" s="579"/>
      <c r="DC181" s="628" t="e">
        <f>P181-#REF!</f>
        <v>#REF!</v>
      </c>
      <c r="DD181" s="535"/>
      <c r="DE181" s="535"/>
      <c r="DF181" s="525">
        <f t="shared" si="278"/>
        <v>0</v>
      </c>
      <c r="DG181" s="525">
        <f t="shared" si="278"/>
        <v>0</v>
      </c>
      <c r="DH181" s="525">
        <f t="shared" si="278"/>
        <v>0</v>
      </c>
      <c r="DI181" s="522">
        <f t="shared" si="278"/>
        <v>0</v>
      </c>
      <c r="DJ181" s="536"/>
      <c r="DK181" s="536"/>
      <c r="DL181" s="536"/>
      <c r="DM181" s="536"/>
      <c r="DN181" s="536"/>
      <c r="DO181" s="536"/>
      <c r="DP181" s="536"/>
      <c r="DQ181" s="536"/>
      <c r="DR181" s="536"/>
      <c r="DS181" s="536"/>
    </row>
    <row r="182" spans="1:123" s="534" customFormat="1" ht="56.4">
      <c r="A182" s="537" t="s">
        <v>742</v>
      </c>
      <c r="B182" s="650" t="s">
        <v>743</v>
      </c>
      <c r="C182" s="576"/>
      <c r="D182" s="576"/>
      <c r="E182" s="576">
        <v>411000</v>
      </c>
      <c r="F182" s="576">
        <v>677000</v>
      </c>
      <c r="G182" s="576">
        <v>0</v>
      </c>
      <c r="H182" s="576">
        <v>0</v>
      </c>
      <c r="I182" s="576">
        <f t="shared" si="298"/>
        <v>189150</v>
      </c>
      <c r="J182" s="576">
        <v>17150</v>
      </c>
      <c r="K182" s="576">
        <v>86000</v>
      </c>
      <c r="L182" s="576">
        <v>86000</v>
      </c>
      <c r="M182" s="576">
        <f t="shared" si="299"/>
        <v>103150</v>
      </c>
      <c r="N182" s="576">
        <v>38400</v>
      </c>
      <c r="O182" s="525">
        <f t="shared" si="300"/>
        <v>4150</v>
      </c>
      <c r="P182" s="522">
        <v>42550</v>
      </c>
      <c r="Q182" s="576">
        <f t="shared" si="219"/>
        <v>-146600</v>
      </c>
      <c r="R182" s="576">
        <f t="shared" si="220"/>
        <v>-77.5046259582342</v>
      </c>
      <c r="S182" s="576"/>
      <c r="T182" s="576"/>
      <c r="U182" s="522">
        <f t="shared" si="301"/>
        <v>106347.6</v>
      </c>
      <c r="V182" s="522">
        <f t="shared" si="217"/>
        <v>106347.6</v>
      </c>
      <c r="W182" s="522">
        <v>0</v>
      </c>
      <c r="X182" s="522">
        <f t="shared" si="221"/>
        <v>63797.600000000006</v>
      </c>
      <c r="Y182" s="522">
        <f t="shared" si="222"/>
        <v>149.93560517038779</v>
      </c>
      <c r="Z182" s="524">
        <f t="shared" si="223"/>
        <v>139310</v>
      </c>
      <c r="AA182" s="522">
        <f t="shared" si="224"/>
        <v>139310</v>
      </c>
      <c r="AB182" s="522">
        <v>0</v>
      </c>
      <c r="AC182" s="522">
        <f t="shared" si="225"/>
        <v>32962.399999999994</v>
      </c>
      <c r="AD182" s="522">
        <f t="shared" si="226"/>
        <v>30.994963685123111</v>
      </c>
      <c r="AE182" s="522">
        <f t="shared" si="227"/>
        <v>96760</v>
      </c>
      <c r="AF182" s="522">
        <f t="shared" si="228"/>
        <v>227.40305522914218</v>
      </c>
      <c r="AG182" s="522">
        <f t="shared" si="243"/>
        <v>61820</v>
      </c>
      <c r="AH182" s="522">
        <f t="shared" si="229"/>
        <v>-44527.600000000006</v>
      </c>
      <c r="AI182" s="522">
        <f t="shared" si="230"/>
        <v>-41.869868243383024</v>
      </c>
      <c r="AJ182" s="522">
        <f t="shared" si="231"/>
        <v>-77490</v>
      </c>
      <c r="AK182" s="522">
        <f t="shared" ref="AK182:AK191" si="309">AG182/Z182*100-100</f>
        <v>-55.624147584523726</v>
      </c>
      <c r="AL182" s="522">
        <f t="shared" si="302"/>
        <v>61820</v>
      </c>
      <c r="AM182" s="522">
        <f t="shared" si="270"/>
        <v>50000</v>
      </c>
      <c r="AN182" s="522">
        <f t="shared" si="270"/>
        <v>19310</v>
      </c>
      <c r="AO182" s="522">
        <f t="shared" si="232"/>
        <v>-30690</v>
      </c>
      <c r="AP182" s="522">
        <f t="shared" si="244"/>
        <v>-61.38</v>
      </c>
      <c r="AQ182" s="578">
        <v>20000</v>
      </c>
      <c r="AR182" s="578">
        <v>8500</v>
      </c>
      <c r="AS182" s="578">
        <v>30000</v>
      </c>
      <c r="AT182" s="578">
        <v>10810</v>
      </c>
      <c r="AU182" s="578">
        <f t="shared" si="276"/>
        <v>56347.6</v>
      </c>
      <c r="AV182" s="578">
        <f t="shared" si="276"/>
        <v>120000</v>
      </c>
      <c r="AW182" s="578">
        <f t="shared" si="233"/>
        <v>63652.4</v>
      </c>
      <c r="AX182" s="578">
        <f t="shared" si="234"/>
        <v>112.96381744741569</v>
      </c>
      <c r="AY182" s="578">
        <f t="shared" si="277"/>
        <v>42510</v>
      </c>
      <c r="AZ182" s="578">
        <f t="shared" si="235"/>
        <v>77490</v>
      </c>
      <c r="BA182" s="578">
        <f t="shared" si="236"/>
        <v>182.28652081863095</v>
      </c>
      <c r="BB182" s="578">
        <v>36347.599999999999</v>
      </c>
      <c r="BC182" s="576">
        <f>'[67]Дир_по корп'!AT45</f>
        <v>100000</v>
      </c>
      <c r="BD182" s="576">
        <f t="shared" si="303"/>
        <v>37400</v>
      </c>
      <c r="BE182" s="576">
        <f t="shared" si="237"/>
        <v>1052.4000000000015</v>
      </c>
      <c r="BF182" s="576">
        <f t="shared" si="238"/>
        <v>-62600</v>
      </c>
      <c r="BG182" s="576">
        <f t="shared" si="218"/>
        <v>86347.6</v>
      </c>
      <c r="BH182" s="578">
        <f t="shared" si="218"/>
        <v>119310</v>
      </c>
      <c r="BI182" s="578">
        <v>56710</v>
      </c>
      <c r="BJ182" s="578">
        <f t="shared" si="239"/>
        <v>-29637.600000000006</v>
      </c>
      <c r="BK182" s="578">
        <f t="shared" si="240"/>
        <v>-62600</v>
      </c>
      <c r="BL182" s="576">
        <v>20000</v>
      </c>
      <c r="BM182" s="578">
        <f>'[67]Дир_по корп'!AW45</f>
        <v>20000</v>
      </c>
      <c r="BN182" s="522">
        <f t="shared" si="304"/>
        <v>5110</v>
      </c>
      <c r="BO182" s="578">
        <f t="shared" si="245"/>
        <v>-14890</v>
      </c>
      <c r="BP182" s="578">
        <f t="shared" si="241"/>
        <v>-14890</v>
      </c>
      <c r="BQ182" s="576">
        <v>20000</v>
      </c>
      <c r="BR182" s="578">
        <f>'[67]Дир_по корп'!BB45</f>
        <v>0</v>
      </c>
      <c r="BS182" s="578">
        <f>'[67]Дир_по корп'!BC45</f>
        <v>0</v>
      </c>
      <c r="BT182" s="536"/>
      <c r="BU182" s="578">
        <v>61820</v>
      </c>
      <c r="BV182" s="578"/>
      <c r="BW182" s="578"/>
      <c r="BX182" s="574"/>
      <c r="BY182" s="525">
        <v>61638.34</v>
      </c>
      <c r="BZ182" s="525">
        <v>144.44999999999999</v>
      </c>
      <c r="CA182" s="525">
        <v>37.21</v>
      </c>
      <c r="CB182" s="522">
        <f t="shared" si="308"/>
        <v>61819.999999999993</v>
      </c>
      <c r="CC182" s="522">
        <f t="shared" si="242"/>
        <v>0</v>
      </c>
      <c r="CD182" s="578"/>
      <c r="CE182" s="578"/>
      <c r="CF182" s="578"/>
      <c r="CG182" s="578"/>
      <c r="CH182" s="578"/>
      <c r="CI182" s="578"/>
      <c r="CJ182" s="578"/>
      <c r="CK182" s="543" t="s">
        <v>80</v>
      </c>
      <c r="CL182" s="543" t="s">
        <v>1821</v>
      </c>
      <c r="CM182" s="509" t="s">
        <v>1925</v>
      </c>
      <c r="CN182" s="528"/>
      <c r="CO182" s="528"/>
      <c r="CP182" s="544">
        <f t="shared" si="305"/>
        <v>98118.470598082</v>
      </c>
      <c r="CQ182" s="544">
        <f t="shared" si="306"/>
        <v>7207.1217685701522</v>
      </c>
      <c r="CR182" s="544">
        <f t="shared" si="307"/>
        <v>1022.0076333478469</v>
      </c>
      <c r="CS182" s="1688" t="s">
        <v>1826</v>
      </c>
      <c r="CT182" s="1689"/>
      <c r="CU182" s="1689"/>
      <c r="CV182" s="1689"/>
      <c r="CW182" s="1690"/>
      <c r="CX182" s="528"/>
      <c r="CY182" s="528"/>
      <c r="CZ182" s="528"/>
      <c r="DA182" s="528"/>
      <c r="DB182" s="579">
        <f>8500</f>
        <v>8500</v>
      </c>
      <c r="DC182" s="628" t="e">
        <f>P182-#REF!</f>
        <v>#REF!</v>
      </c>
      <c r="DD182" s="535"/>
      <c r="DE182" s="535"/>
      <c r="DF182" s="525">
        <f t="shared" si="278"/>
        <v>61.638339999999999</v>
      </c>
      <c r="DG182" s="525">
        <f t="shared" si="278"/>
        <v>0.14445</v>
      </c>
      <c r="DH182" s="525">
        <f t="shared" si="278"/>
        <v>3.721E-2</v>
      </c>
      <c r="DI182" s="522">
        <f t="shared" si="278"/>
        <v>61.819999999999993</v>
      </c>
      <c r="DJ182" s="536"/>
      <c r="DK182" s="536"/>
      <c r="DL182" s="536"/>
      <c r="DM182" s="536"/>
      <c r="DN182" s="536"/>
      <c r="DO182" s="536"/>
      <c r="DP182" s="536"/>
      <c r="DQ182" s="536"/>
      <c r="DR182" s="536"/>
      <c r="DS182" s="536"/>
    </row>
    <row r="183" spans="1:123" s="534" customFormat="1" ht="62.25" customHeight="1">
      <c r="A183" s="537" t="s">
        <v>748</v>
      </c>
      <c r="B183" s="538" t="s">
        <v>749</v>
      </c>
      <c r="C183" s="576">
        <v>18374030.710000001</v>
      </c>
      <c r="D183" s="576">
        <v>1097273.3</v>
      </c>
      <c r="E183" s="576">
        <v>10880355.92</v>
      </c>
      <c r="F183" s="576">
        <v>11007692.52</v>
      </c>
      <c r="G183" s="577">
        <v>1026670.0000000001</v>
      </c>
      <c r="H183" s="577">
        <v>0</v>
      </c>
      <c r="I183" s="576">
        <f t="shared" si="298"/>
        <v>12284907.550000001</v>
      </c>
      <c r="J183" s="576">
        <v>6814756.9100000001</v>
      </c>
      <c r="K183" s="576">
        <v>2720338.98</v>
      </c>
      <c r="L183" s="576">
        <v>2749811.66</v>
      </c>
      <c r="M183" s="576">
        <f t="shared" si="299"/>
        <v>9535095.8900000006</v>
      </c>
      <c r="N183" s="576">
        <v>10049054.51</v>
      </c>
      <c r="O183" s="525">
        <f t="shared" si="300"/>
        <v>4941785.25</v>
      </c>
      <c r="P183" s="522">
        <f>286908.4+14703931.36</f>
        <v>14990839.76</v>
      </c>
      <c r="Q183" s="576">
        <f t="shared" si="219"/>
        <v>2705932.209999999</v>
      </c>
      <c r="R183" s="576">
        <f t="shared" si="220"/>
        <v>22.026475974579057</v>
      </c>
      <c r="S183" s="576">
        <v>1083136.8500000001</v>
      </c>
      <c r="T183" s="576">
        <v>1083136.8500000001</v>
      </c>
      <c r="U183" s="522">
        <f t="shared" si="301"/>
        <v>3457032.8200000003</v>
      </c>
      <c r="V183" s="522">
        <f t="shared" si="217"/>
        <v>2373895.9700000002</v>
      </c>
      <c r="W183" s="522">
        <f t="shared" si="246"/>
        <v>219.16860921129222</v>
      </c>
      <c r="X183" s="522">
        <f t="shared" si="221"/>
        <v>-11533806.939999999</v>
      </c>
      <c r="Y183" s="522">
        <f t="shared" si="222"/>
        <v>-76.939031599654697</v>
      </c>
      <c r="Z183" s="524">
        <f t="shared" si="223"/>
        <v>4691528.3499999996</v>
      </c>
      <c r="AA183" s="522">
        <f t="shared" si="224"/>
        <v>3608391.4999999995</v>
      </c>
      <c r="AB183" s="522">
        <f t="shared" si="247"/>
        <v>333.14271414549319</v>
      </c>
      <c r="AC183" s="522">
        <f t="shared" si="225"/>
        <v>1234495.5299999993</v>
      </c>
      <c r="AD183" s="522">
        <f t="shared" si="226"/>
        <v>35.709684989337148</v>
      </c>
      <c r="AE183" s="522">
        <f t="shared" si="227"/>
        <v>-10299311.41</v>
      </c>
      <c r="AF183" s="522">
        <f t="shared" si="228"/>
        <v>-68.704032428400794</v>
      </c>
      <c r="AG183" s="522">
        <f t="shared" si="243"/>
        <v>5975120.4400000004</v>
      </c>
      <c r="AH183" s="522">
        <f t="shared" si="229"/>
        <v>2518087.62</v>
      </c>
      <c r="AI183" s="522">
        <f t="shared" si="230"/>
        <v>72.839563611663948</v>
      </c>
      <c r="AJ183" s="522">
        <f t="shared" si="231"/>
        <v>1283592.0900000008</v>
      </c>
      <c r="AK183" s="522">
        <f t="shared" si="309"/>
        <v>27.359785431116507</v>
      </c>
      <c r="AL183" s="522">
        <f t="shared" si="302"/>
        <v>5975120.4400000004</v>
      </c>
      <c r="AM183" s="522">
        <f t="shared" si="270"/>
        <v>3426549.14</v>
      </c>
      <c r="AN183" s="522">
        <f t="shared" si="270"/>
        <v>4650788.21</v>
      </c>
      <c r="AO183" s="522">
        <f t="shared" si="232"/>
        <v>1224239.0699999998</v>
      </c>
      <c r="AP183" s="522">
        <f t="shared" si="244"/>
        <v>35.728046497532489</v>
      </c>
      <c r="AQ183" s="578">
        <v>3381355.93</v>
      </c>
      <c r="AR183" s="578">
        <v>3986155.44</v>
      </c>
      <c r="AS183" s="578">
        <f>3426549.14-3381355.93</f>
        <v>45193.209999999963</v>
      </c>
      <c r="AT183" s="578">
        <v>664632.77</v>
      </c>
      <c r="AU183" s="578">
        <f t="shared" si="276"/>
        <v>30483.680000000168</v>
      </c>
      <c r="AV183" s="578">
        <f t="shared" si="276"/>
        <v>40740.14</v>
      </c>
      <c r="AW183" s="578">
        <f t="shared" si="233"/>
        <v>10256.459999999832</v>
      </c>
      <c r="AX183" s="578">
        <f t="shared" si="234"/>
        <v>33.645740934164706</v>
      </c>
      <c r="AY183" s="578">
        <f t="shared" si="277"/>
        <v>1324332.2300000004</v>
      </c>
      <c r="AZ183" s="578">
        <f t="shared" si="235"/>
        <v>-1283592.0900000005</v>
      </c>
      <c r="BA183" s="578">
        <f t="shared" si="236"/>
        <v>-96.923722078409284</v>
      </c>
      <c r="BB183" s="578">
        <f>3381355.93-3381355.93</f>
        <v>0</v>
      </c>
      <c r="BC183" s="576">
        <f>'[67]Дир_по экон'!AT24</f>
        <v>0</v>
      </c>
      <c r="BD183" s="576">
        <f t="shared" si="303"/>
        <v>665961.04999999981</v>
      </c>
      <c r="BE183" s="576">
        <f t="shared" si="237"/>
        <v>665961.04999999981</v>
      </c>
      <c r="BF183" s="576">
        <f t="shared" si="238"/>
        <v>665961.04999999981</v>
      </c>
      <c r="BG183" s="576">
        <f t="shared" si="218"/>
        <v>3426549.14</v>
      </c>
      <c r="BH183" s="578">
        <f t="shared" si="218"/>
        <v>4650788.21</v>
      </c>
      <c r="BI183" s="578">
        <v>5316749.26</v>
      </c>
      <c r="BJ183" s="578">
        <f t="shared" si="239"/>
        <v>1890200.1199999996</v>
      </c>
      <c r="BK183" s="578">
        <f t="shared" si="240"/>
        <v>665961.04999999981</v>
      </c>
      <c r="BL183" s="576">
        <f>3411839.62-3381355.94</f>
        <v>30483.680000000168</v>
      </c>
      <c r="BM183" s="578">
        <f>'[67]Дир_по экон'!AW24</f>
        <v>40740.14</v>
      </c>
      <c r="BN183" s="522">
        <f t="shared" si="304"/>
        <v>658371.18000000063</v>
      </c>
      <c r="BO183" s="578">
        <f t="shared" si="245"/>
        <v>627887.50000000047</v>
      </c>
      <c r="BP183" s="578">
        <f t="shared" si="241"/>
        <v>617631.04000000062</v>
      </c>
      <c r="BQ183" s="576">
        <f>3411839.62-3381355.94</f>
        <v>30483.680000000168</v>
      </c>
      <c r="BR183" s="578">
        <f>'[67]Дир_по экон'!BB24</f>
        <v>0</v>
      </c>
      <c r="BS183" s="578">
        <f>'[67]Дир_по экон'!BC24</f>
        <v>0</v>
      </c>
      <c r="BT183" s="536"/>
      <c r="BU183" s="578">
        <f>195078.86+5780041.58</f>
        <v>5975120.4400000004</v>
      </c>
      <c r="BV183" s="578"/>
      <c r="BW183" s="578"/>
      <c r="BX183" s="574"/>
      <c r="BY183" s="525">
        <f>176035.2+5609241.67</f>
        <v>5785276.8700000001</v>
      </c>
      <c r="BZ183" s="525">
        <f>17760.24+143613.36</f>
        <v>161373.59999999998</v>
      </c>
      <c r="CA183" s="525">
        <f>1283.42+27186.55</f>
        <v>28469.97</v>
      </c>
      <c r="CB183" s="522">
        <f t="shared" si="308"/>
        <v>5975120.4399999995</v>
      </c>
      <c r="CC183" s="522">
        <f t="shared" si="242"/>
        <v>0</v>
      </c>
      <c r="CD183" s="578"/>
      <c r="CE183" s="578"/>
      <c r="CF183" s="578"/>
      <c r="CG183" s="578"/>
      <c r="CH183" s="578"/>
      <c r="CI183" s="578"/>
      <c r="CJ183" s="578"/>
      <c r="CK183" s="543" t="s">
        <v>77</v>
      </c>
      <c r="CL183" s="542" t="s">
        <v>1800</v>
      </c>
      <c r="CM183" s="509" t="s">
        <v>1925</v>
      </c>
      <c r="CN183" s="528"/>
      <c r="CO183" s="528"/>
      <c r="CP183" s="544">
        <f t="shared" si="305"/>
        <v>3189529.1770173893</v>
      </c>
      <c r="CQ183" s="544">
        <f t="shared" si="306"/>
        <v>234281.32361880719</v>
      </c>
      <c r="CR183" s="544">
        <f t="shared" si="307"/>
        <v>33222.319363803537</v>
      </c>
      <c r="CS183" s="1688" t="s">
        <v>1826</v>
      </c>
      <c r="CT183" s="1689"/>
      <c r="CU183" s="1689"/>
      <c r="CV183" s="1689"/>
      <c r="CW183" s="1690"/>
      <c r="CX183" s="528"/>
      <c r="CY183" s="528"/>
      <c r="CZ183" s="528"/>
      <c r="DA183" s="528"/>
      <c r="DB183" s="579">
        <f>13342.79+3972812.65</f>
        <v>3986155.44</v>
      </c>
      <c r="DC183" s="628" t="e">
        <f>P183-#REF!</f>
        <v>#REF!</v>
      </c>
      <c r="DD183" s="535"/>
      <c r="DE183" s="535"/>
      <c r="DF183" s="525">
        <f t="shared" si="278"/>
        <v>5785.2768699999997</v>
      </c>
      <c r="DG183" s="525">
        <f t="shared" si="278"/>
        <v>161.37359999999998</v>
      </c>
      <c r="DH183" s="525">
        <f t="shared" si="278"/>
        <v>28.46997</v>
      </c>
      <c r="DI183" s="522">
        <f t="shared" si="278"/>
        <v>5975.1204399999997</v>
      </c>
      <c r="DJ183" s="536"/>
      <c r="DK183" s="536"/>
      <c r="DL183" s="536"/>
      <c r="DM183" s="536"/>
      <c r="DN183" s="536"/>
      <c r="DO183" s="536"/>
      <c r="DP183" s="536"/>
      <c r="DQ183" s="536"/>
      <c r="DR183" s="536"/>
      <c r="DS183" s="536"/>
    </row>
    <row r="184" spans="1:123" s="534" customFormat="1" ht="55.5" customHeight="1">
      <c r="A184" s="537" t="s">
        <v>760</v>
      </c>
      <c r="B184" s="538" t="s">
        <v>761</v>
      </c>
      <c r="C184" s="576">
        <f>26589.83+168046.54</f>
        <v>194636.37</v>
      </c>
      <c r="D184" s="576">
        <v>121228.18</v>
      </c>
      <c r="E184" s="576">
        <f>30716+169007.68</f>
        <v>199723.68</v>
      </c>
      <c r="F184" s="576">
        <f>23246.61+180974.98</f>
        <v>204221.59000000003</v>
      </c>
      <c r="G184" s="577">
        <v>22259.997114405309</v>
      </c>
      <c r="H184" s="577">
        <v>0</v>
      </c>
      <c r="I184" s="576">
        <f t="shared" si="298"/>
        <v>200162.48</v>
      </c>
      <c r="J184" s="576">
        <v>79478.22</v>
      </c>
      <c r="K184" s="576">
        <v>74776.63</v>
      </c>
      <c r="L184" s="576">
        <v>45907.63</v>
      </c>
      <c r="M184" s="576">
        <f t="shared" si="299"/>
        <v>154254.85</v>
      </c>
      <c r="N184" s="576">
        <v>151349.01999999999</v>
      </c>
      <c r="O184" s="525">
        <f t="shared" si="300"/>
        <v>61492.350000000006</v>
      </c>
      <c r="P184" s="522">
        <v>212841.37</v>
      </c>
      <c r="Q184" s="576">
        <f t="shared" si="219"/>
        <v>12678.889999999985</v>
      </c>
      <c r="R184" s="576">
        <f t="shared" si="220"/>
        <v>6.3342990154798144</v>
      </c>
      <c r="S184" s="576">
        <v>25903.414999999994</v>
      </c>
      <c r="T184" s="576">
        <v>25903.414999999994</v>
      </c>
      <c r="U184" s="522">
        <f t="shared" si="301"/>
        <v>219618.77</v>
      </c>
      <c r="V184" s="522">
        <f t="shared" si="217"/>
        <v>193715.35499999998</v>
      </c>
      <c r="W184" s="522">
        <f t="shared" si="246"/>
        <v>747.83712881100826</v>
      </c>
      <c r="X184" s="522">
        <f t="shared" si="221"/>
        <v>6777.3999999999942</v>
      </c>
      <c r="Y184" s="522">
        <f t="shared" si="222"/>
        <v>3.1842493778347745</v>
      </c>
      <c r="Z184" s="524">
        <f t="shared" si="223"/>
        <v>229190.08999999997</v>
      </c>
      <c r="AA184" s="522">
        <f t="shared" si="224"/>
        <v>203286.67499999999</v>
      </c>
      <c r="AB184" s="522">
        <f t="shared" si="247"/>
        <v>784.78716030299495</v>
      </c>
      <c r="AC184" s="522">
        <f t="shared" si="225"/>
        <v>9571.3199999999779</v>
      </c>
      <c r="AD184" s="522">
        <f t="shared" si="226"/>
        <v>4.3581520832668161</v>
      </c>
      <c r="AE184" s="522">
        <f t="shared" si="227"/>
        <v>16348.719999999972</v>
      </c>
      <c r="AF184" s="522">
        <f t="shared" si="228"/>
        <v>7.6811758916981034</v>
      </c>
      <c r="AG184" s="522">
        <f t="shared" si="243"/>
        <v>227553.24</v>
      </c>
      <c r="AH184" s="522">
        <f t="shared" si="229"/>
        <v>7934.4700000000012</v>
      </c>
      <c r="AI184" s="522">
        <f t="shared" si="230"/>
        <v>3.6128378280235296</v>
      </c>
      <c r="AJ184" s="522">
        <f t="shared" si="231"/>
        <v>-1636.8499999999767</v>
      </c>
      <c r="AK184" s="522">
        <f t="shared" si="309"/>
        <v>-0.71418882029323072</v>
      </c>
      <c r="AL184" s="522">
        <f t="shared" si="302"/>
        <v>227553.24</v>
      </c>
      <c r="AM184" s="522">
        <f t="shared" si="270"/>
        <v>72020.240000000005</v>
      </c>
      <c r="AN184" s="522">
        <f t="shared" si="270"/>
        <v>77765.919999999998</v>
      </c>
      <c r="AO184" s="522">
        <f t="shared" si="232"/>
        <v>5745.679999999993</v>
      </c>
      <c r="AP184" s="522">
        <f t="shared" si="244"/>
        <v>7.9778684436486031</v>
      </c>
      <c r="AQ184" s="578">
        <v>27643.02</v>
      </c>
      <c r="AR184" s="578">
        <v>29202.52</v>
      </c>
      <c r="AS184" s="578">
        <v>44377.22</v>
      </c>
      <c r="AT184" s="578">
        <v>48563.399999999994</v>
      </c>
      <c r="AU184" s="578">
        <f t="shared" si="276"/>
        <v>147598.53</v>
      </c>
      <c r="AV184" s="578">
        <f t="shared" si="276"/>
        <v>151424.16999999998</v>
      </c>
      <c r="AW184" s="578">
        <f t="shared" si="233"/>
        <v>3825.6399999999849</v>
      </c>
      <c r="AX184" s="578">
        <f t="shared" si="234"/>
        <v>2.5919228328357775</v>
      </c>
      <c r="AY184" s="578">
        <f t="shared" si="277"/>
        <v>149787.32</v>
      </c>
      <c r="AZ184" s="578">
        <f t="shared" si="235"/>
        <v>1636.8499999999767</v>
      </c>
      <c r="BA184" s="578">
        <f t="shared" si="236"/>
        <v>1.0927827535735162</v>
      </c>
      <c r="BB184" s="578">
        <v>97577.76</v>
      </c>
      <c r="BC184" s="576">
        <f>'[67]Дир_по экон'!AT25</f>
        <v>91634.14</v>
      </c>
      <c r="BD184" s="576">
        <f t="shared" si="303"/>
        <v>82600.289999999994</v>
      </c>
      <c r="BE184" s="576">
        <f t="shared" si="237"/>
        <v>-14977.470000000001</v>
      </c>
      <c r="BF184" s="576">
        <f t="shared" si="238"/>
        <v>-9033.8500000000058</v>
      </c>
      <c r="BG184" s="576">
        <f t="shared" si="218"/>
        <v>169598</v>
      </c>
      <c r="BH184" s="578">
        <f t="shared" si="218"/>
        <v>169400.06</v>
      </c>
      <c r="BI184" s="578">
        <v>160366.21</v>
      </c>
      <c r="BJ184" s="578">
        <f t="shared" si="239"/>
        <v>-9231.7900000000081</v>
      </c>
      <c r="BK184" s="578">
        <f t="shared" si="240"/>
        <v>-9033.8500000000058</v>
      </c>
      <c r="BL184" s="576">
        <v>50020.77</v>
      </c>
      <c r="BM184" s="578">
        <f>'[67]Дир_по экон'!AW25</f>
        <v>59790.029999999992</v>
      </c>
      <c r="BN184" s="522">
        <f t="shared" si="304"/>
        <v>67187.03</v>
      </c>
      <c r="BO184" s="578">
        <f t="shared" si="245"/>
        <v>17166.260000000002</v>
      </c>
      <c r="BP184" s="578">
        <f t="shared" si="241"/>
        <v>7397.0000000000073</v>
      </c>
      <c r="BQ184" s="576">
        <v>50020.77</v>
      </c>
      <c r="BR184" s="578">
        <f>'[67]Дир_по экон'!BB25</f>
        <v>0</v>
      </c>
      <c r="BS184" s="578">
        <f>'[67]Дир_по экон'!BC25</f>
        <v>0</v>
      </c>
      <c r="BT184" s="536"/>
      <c r="BU184" s="578">
        <v>227553.24</v>
      </c>
      <c r="BV184" s="578"/>
      <c r="BW184" s="578"/>
      <c r="BX184" s="574"/>
      <c r="BY184" s="525">
        <v>25051.14</v>
      </c>
      <c r="BZ184" s="525">
        <v>96970.92</v>
      </c>
      <c r="CA184" s="525">
        <v>105531.18</v>
      </c>
      <c r="CB184" s="522">
        <f t="shared" si="308"/>
        <v>227553.24</v>
      </c>
      <c r="CC184" s="522">
        <f t="shared" si="242"/>
        <v>0</v>
      </c>
      <c r="CD184" s="578"/>
      <c r="CE184" s="578"/>
      <c r="CF184" s="578"/>
      <c r="CG184" s="578"/>
      <c r="CH184" s="578"/>
      <c r="CI184" s="578"/>
      <c r="CJ184" s="578"/>
      <c r="CK184" s="543" t="s">
        <v>77</v>
      </c>
      <c r="CL184" s="542" t="s">
        <v>1800</v>
      </c>
      <c r="CM184" s="509" t="s">
        <v>1925</v>
      </c>
      <c r="CN184" s="528"/>
      <c r="CO184" s="528"/>
      <c r="CP184" s="544">
        <f t="shared" si="305"/>
        <v>202624.76846710162</v>
      </c>
      <c r="CQ184" s="544">
        <f t="shared" si="306"/>
        <v>14883.450289932272</v>
      </c>
      <c r="CR184" s="544">
        <f t="shared" si="307"/>
        <v>2110.5512429661326</v>
      </c>
      <c r="CS184" s="1688" t="s">
        <v>1826</v>
      </c>
      <c r="CT184" s="1689"/>
      <c r="CU184" s="1689"/>
      <c r="CV184" s="1689"/>
      <c r="CW184" s="1690"/>
      <c r="CX184" s="528"/>
      <c r="CY184" s="528"/>
      <c r="CZ184" s="528"/>
      <c r="DA184" s="528"/>
      <c r="DB184" s="579">
        <f>29202.52</f>
        <v>29202.52</v>
      </c>
      <c r="DC184" s="628" t="e">
        <f>P184-#REF!</f>
        <v>#REF!</v>
      </c>
      <c r="DD184" s="535"/>
      <c r="DE184" s="535"/>
      <c r="DF184" s="525">
        <f t="shared" si="278"/>
        <v>25.05114</v>
      </c>
      <c r="DG184" s="525">
        <f t="shared" si="278"/>
        <v>96.970919999999992</v>
      </c>
      <c r="DH184" s="525">
        <f t="shared" si="278"/>
        <v>105.53117999999999</v>
      </c>
      <c r="DI184" s="522">
        <f t="shared" si="278"/>
        <v>227.55323999999999</v>
      </c>
      <c r="DJ184" s="536"/>
      <c r="DK184" s="536"/>
      <c r="DL184" s="536"/>
      <c r="DM184" s="536"/>
      <c r="DN184" s="536"/>
      <c r="DO184" s="536"/>
      <c r="DP184" s="536"/>
      <c r="DQ184" s="536"/>
      <c r="DR184" s="536"/>
      <c r="DS184" s="536"/>
    </row>
    <row r="185" spans="1:123" s="534" customFormat="1" ht="87.75" customHeight="1">
      <c r="A185" s="537" t="s">
        <v>771</v>
      </c>
      <c r="B185" s="538" t="s">
        <v>1937</v>
      </c>
      <c r="C185" s="576">
        <v>1432892.75</v>
      </c>
      <c r="D185" s="576">
        <v>2807132.1</v>
      </c>
      <c r="E185" s="576">
        <v>1562400</v>
      </c>
      <c r="F185" s="576">
        <v>1654810.55</v>
      </c>
      <c r="G185" s="577">
        <v>1163788.1929595366</v>
      </c>
      <c r="H185" s="577">
        <v>0</v>
      </c>
      <c r="I185" s="576">
        <f t="shared" si="298"/>
        <v>1066148.3799999999</v>
      </c>
      <c r="J185" s="576">
        <v>431248.38</v>
      </c>
      <c r="K185" s="576">
        <v>319400</v>
      </c>
      <c r="L185" s="576">
        <v>315500</v>
      </c>
      <c r="M185" s="576">
        <f t="shared" si="299"/>
        <v>750648.38</v>
      </c>
      <c r="N185" s="576">
        <v>752423.17</v>
      </c>
      <c r="O185" s="525">
        <f t="shared" si="300"/>
        <v>441913.15</v>
      </c>
      <c r="P185" s="522">
        <v>1194336.32</v>
      </c>
      <c r="Q185" s="576">
        <f t="shared" si="219"/>
        <v>128187.94000000018</v>
      </c>
      <c r="R185" s="576">
        <f t="shared" si="220"/>
        <v>12.023461499796142</v>
      </c>
      <c r="S185" s="576">
        <v>1876738.70875</v>
      </c>
      <c r="T185" s="576">
        <v>1876738.70875</v>
      </c>
      <c r="U185" s="522">
        <f t="shared" si="301"/>
        <v>1068000</v>
      </c>
      <c r="V185" s="522">
        <f t="shared" si="217"/>
        <v>-808738.70874999999</v>
      </c>
      <c r="W185" s="522">
        <f t="shared" si="246"/>
        <v>-43.092770718661185</v>
      </c>
      <c r="X185" s="522">
        <f t="shared" si="221"/>
        <v>-126336.32000000007</v>
      </c>
      <c r="Y185" s="522">
        <f t="shared" si="222"/>
        <v>-10.577951778272976</v>
      </c>
      <c r="Z185" s="524">
        <f t="shared" si="223"/>
        <v>1092416.6600000001</v>
      </c>
      <c r="AA185" s="522">
        <f t="shared" si="224"/>
        <v>-784322.04874999984</v>
      </c>
      <c r="AB185" s="522">
        <f t="shared" si="247"/>
        <v>-41.791755298338614</v>
      </c>
      <c r="AC185" s="522">
        <f t="shared" si="225"/>
        <v>24416.660000000149</v>
      </c>
      <c r="AD185" s="522">
        <f t="shared" si="226"/>
        <v>2.2862041198502112</v>
      </c>
      <c r="AE185" s="522">
        <f t="shared" si="227"/>
        <v>-101919.65999999992</v>
      </c>
      <c r="AF185" s="522">
        <f t="shared" si="228"/>
        <v>-8.5335812277734249</v>
      </c>
      <c r="AG185" s="522">
        <f t="shared" si="243"/>
        <v>933639.21</v>
      </c>
      <c r="AH185" s="522">
        <f t="shared" si="229"/>
        <v>-134360.79000000004</v>
      </c>
      <c r="AI185" s="522">
        <f t="shared" si="230"/>
        <v>-12.580598314606746</v>
      </c>
      <c r="AJ185" s="522">
        <f t="shared" si="231"/>
        <v>-158777.45000000019</v>
      </c>
      <c r="AK185" s="522">
        <f t="shared" si="309"/>
        <v>-14.53451378158222</v>
      </c>
      <c r="AL185" s="522">
        <f t="shared" si="302"/>
        <v>933639.21</v>
      </c>
      <c r="AM185" s="522">
        <f t="shared" si="270"/>
        <v>524500</v>
      </c>
      <c r="AN185" s="522">
        <f t="shared" si="270"/>
        <v>548916.66</v>
      </c>
      <c r="AO185" s="522">
        <f t="shared" si="232"/>
        <v>24416.660000000033</v>
      </c>
      <c r="AP185" s="522">
        <f t="shared" si="244"/>
        <v>4.655225929456634</v>
      </c>
      <c r="AQ185" s="578">
        <v>167400</v>
      </c>
      <c r="AR185" s="578">
        <v>154956.5</v>
      </c>
      <c r="AS185" s="578">
        <v>357100</v>
      </c>
      <c r="AT185" s="578">
        <v>393960.16000000003</v>
      </c>
      <c r="AU185" s="578">
        <f t="shared" si="276"/>
        <v>543500</v>
      </c>
      <c r="AV185" s="578">
        <f t="shared" si="276"/>
        <v>543500</v>
      </c>
      <c r="AW185" s="578">
        <f t="shared" si="233"/>
        <v>0</v>
      </c>
      <c r="AX185" s="578">
        <f t="shared" si="234"/>
        <v>0</v>
      </c>
      <c r="AY185" s="578">
        <f t="shared" si="277"/>
        <v>384722.54999999993</v>
      </c>
      <c r="AZ185" s="578">
        <f t="shared" si="235"/>
        <v>158777.45000000007</v>
      </c>
      <c r="BA185" s="578">
        <f t="shared" si="236"/>
        <v>41.270637762200352</v>
      </c>
      <c r="BB185" s="578">
        <v>291700</v>
      </c>
      <c r="BC185" s="576">
        <f>'[67]Дир_ по реал.услуг'!AT29</f>
        <v>291700</v>
      </c>
      <c r="BD185" s="576">
        <f t="shared" si="303"/>
        <v>181552.56999999995</v>
      </c>
      <c r="BE185" s="576">
        <f t="shared" si="237"/>
        <v>-110147.43000000005</v>
      </c>
      <c r="BF185" s="576">
        <f t="shared" si="238"/>
        <v>-110147.43000000005</v>
      </c>
      <c r="BG185" s="576">
        <f t="shared" si="218"/>
        <v>816200</v>
      </c>
      <c r="BH185" s="578">
        <f t="shared" si="218"/>
        <v>840616.66</v>
      </c>
      <c r="BI185" s="578">
        <v>730469.23</v>
      </c>
      <c r="BJ185" s="578">
        <f t="shared" si="239"/>
        <v>-85730.770000000019</v>
      </c>
      <c r="BK185" s="578">
        <f t="shared" si="240"/>
        <v>-110147.43000000005</v>
      </c>
      <c r="BL185" s="576">
        <v>251800</v>
      </c>
      <c r="BM185" s="578">
        <f>'[67]Дир_ по реал.услуг'!AW29</f>
        <v>251800</v>
      </c>
      <c r="BN185" s="522">
        <f t="shared" si="304"/>
        <v>203169.97999999998</v>
      </c>
      <c r="BO185" s="578">
        <f t="shared" si="245"/>
        <v>-48630.020000000019</v>
      </c>
      <c r="BP185" s="578">
        <f t="shared" si="241"/>
        <v>-48630.020000000019</v>
      </c>
      <c r="BQ185" s="576">
        <v>251800</v>
      </c>
      <c r="BR185" s="578">
        <f>'[67]Дир_ по реал.услуг'!BB29</f>
        <v>0</v>
      </c>
      <c r="BS185" s="578">
        <f>'[67]Дир_ по реал.услуг'!BC29</f>
        <v>0</v>
      </c>
      <c r="BT185" s="536"/>
      <c r="BU185" s="578">
        <v>933639.21</v>
      </c>
      <c r="BV185" s="578"/>
      <c r="BW185" s="578"/>
      <c r="BX185" s="574"/>
      <c r="BY185" s="525">
        <v>933639.21</v>
      </c>
      <c r="BZ185" s="525"/>
      <c r="CA185" s="525"/>
      <c r="CB185" s="522">
        <f t="shared" si="308"/>
        <v>933639.21</v>
      </c>
      <c r="CC185" s="522">
        <f t="shared" si="242"/>
        <v>0</v>
      </c>
      <c r="CD185" s="578"/>
      <c r="CE185" s="578"/>
      <c r="CF185" s="578"/>
      <c r="CG185" s="578"/>
      <c r="CH185" s="578"/>
      <c r="CI185" s="578"/>
      <c r="CJ185" s="578"/>
      <c r="CK185" s="543" t="s">
        <v>78</v>
      </c>
      <c r="CL185" s="543" t="s">
        <v>1833</v>
      </c>
      <c r="CM185" s="509" t="s">
        <v>1925</v>
      </c>
      <c r="CN185" s="528" t="s">
        <v>1849</v>
      </c>
      <c r="CO185" s="528"/>
      <c r="CP185" s="544">
        <f t="shared" si="305"/>
        <v>985358.64089788182</v>
      </c>
      <c r="CQ185" s="544">
        <f t="shared" si="306"/>
        <v>72377.806822466344</v>
      </c>
      <c r="CR185" s="544">
        <f t="shared" si="307"/>
        <v>10263.552279651825</v>
      </c>
      <c r="CS185" s="1688" t="s">
        <v>1826</v>
      </c>
      <c r="CT185" s="1689"/>
      <c r="CU185" s="1689"/>
      <c r="CV185" s="1689"/>
      <c r="CW185" s="1690"/>
      <c r="CX185" s="528"/>
      <c r="CY185" s="528"/>
      <c r="CZ185" s="528"/>
      <c r="DA185" s="528"/>
      <c r="DB185" s="579">
        <f>154956.5</f>
        <v>154956.5</v>
      </c>
      <c r="DC185" s="628" t="e">
        <f>P185-#REF!</f>
        <v>#REF!</v>
      </c>
      <c r="DD185" s="535"/>
      <c r="DE185" s="535"/>
      <c r="DF185" s="525">
        <f t="shared" si="278"/>
        <v>933.63920999999993</v>
      </c>
      <c r="DG185" s="525">
        <f t="shared" si="278"/>
        <v>0</v>
      </c>
      <c r="DH185" s="525">
        <f t="shared" si="278"/>
        <v>0</v>
      </c>
      <c r="DI185" s="522">
        <f t="shared" si="278"/>
        <v>933.63920999999993</v>
      </c>
      <c r="DJ185" s="536"/>
      <c r="DK185" s="536"/>
      <c r="DL185" s="536"/>
      <c r="DM185" s="536"/>
      <c r="DN185" s="536"/>
      <c r="DO185" s="536"/>
      <c r="DP185" s="536"/>
      <c r="DQ185" s="536"/>
      <c r="DR185" s="536"/>
      <c r="DS185" s="536"/>
    </row>
    <row r="186" spans="1:123" s="534" customFormat="1" ht="56.4">
      <c r="A186" s="537" t="s">
        <v>776</v>
      </c>
      <c r="B186" s="538" t="s">
        <v>777</v>
      </c>
      <c r="C186" s="576">
        <v>679359.84</v>
      </c>
      <c r="D186" s="525">
        <v>2428267.9300000002</v>
      </c>
      <c r="E186" s="525">
        <v>2000000</v>
      </c>
      <c r="F186" s="525">
        <v>636665.92000000004</v>
      </c>
      <c r="G186" s="540">
        <v>386407.22699634108</v>
      </c>
      <c r="H186" s="540">
        <v>0</v>
      </c>
      <c r="I186" s="525">
        <f t="shared" si="298"/>
        <v>2038991.2</v>
      </c>
      <c r="J186" s="525">
        <v>90168</v>
      </c>
      <c r="K186" s="525">
        <v>952608.21</v>
      </c>
      <c r="L186" s="525">
        <v>996214.99</v>
      </c>
      <c r="M186" s="525">
        <f t="shared" si="299"/>
        <v>1042776.21</v>
      </c>
      <c r="N186" s="525">
        <v>948863.53</v>
      </c>
      <c r="O186" s="525">
        <f t="shared" si="300"/>
        <v>1092579.98</v>
      </c>
      <c r="P186" s="522">
        <v>2041443.51</v>
      </c>
      <c r="Q186" s="525">
        <f t="shared" si="219"/>
        <v>2452.3100000000559</v>
      </c>
      <c r="R186" s="525">
        <f t="shared" si="220"/>
        <v>0.12027074957458694</v>
      </c>
      <c r="S186" s="525">
        <v>722063.3637499999</v>
      </c>
      <c r="T186" s="525">
        <v>722063.3637499999</v>
      </c>
      <c r="U186" s="522">
        <f t="shared" si="301"/>
        <v>1329674.0899999999</v>
      </c>
      <c r="V186" s="522">
        <f t="shared" si="217"/>
        <v>607610.72624999995</v>
      </c>
      <c r="W186" s="522">
        <f t="shared" si="246"/>
        <v>84.149225227880834</v>
      </c>
      <c r="X186" s="522">
        <f t="shared" si="221"/>
        <v>-711769.42000000016</v>
      </c>
      <c r="Y186" s="522">
        <f t="shared" si="222"/>
        <v>-34.865986568494378</v>
      </c>
      <c r="Z186" s="524">
        <f t="shared" si="223"/>
        <v>1329674.0899999999</v>
      </c>
      <c r="AA186" s="522">
        <f t="shared" si="224"/>
        <v>607610.72624999995</v>
      </c>
      <c r="AB186" s="522">
        <f t="shared" si="247"/>
        <v>84.149225227880834</v>
      </c>
      <c r="AC186" s="522">
        <f t="shared" si="225"/>
        <v>0</v>
      </c>
      <c r="AD186" s="522">
        <f t="shared" si="226"/>
        <v>0</v>
      </c>
      <c r="AE186" s="522">
        <f t="shared" si="227"/>
        <v>-711769.42000000016</v>
      </c>
      <c r="AF186" s="522">
        <f t="shared" si="228"/>
        <v>-34.865986568494378</v>
      </c>
      <c r="AG186" s="522">
        <f t="shared" si="243"/>
        <v>1303506</v>
      </c>
      <c r="AH186" s="522">
        <f t="shared" si="229"/>
        <v>-26168.089999999851</v>
      </c>
      <c r="AI186" s="522">
        <f t="shared" si="230"/>
        <v>-1.9680078146066506</v>
      </c>
      <c r="AJ186" s="522">
        <f t="shared" si="231"/>
        <v>-26168.089999999851</v>
      </c>
      <c r="AK186" s="522">
        <f t="shared" si="309"/>
        <v>-1.9680078146066506</v>
      </c>
      <c r="AL186" s="522">
        <f t="shared" si="302"/>
        <v>1303506</v>
      </c>
      <c r="AM186" s="522">
        <f t="shared" si="270"/>
        <v>569072.14</v>
      </c>
      <c r="AN186" s="522">
        <f t="shared" si="270"/>
        <v>1073487.8499999999</v>
      </c>
      <c r="AO186" s="522">
        <f t="shared" si="232"/>
        <v>504415.70999999985</v>
      </c>
      <c r="AP186" s="522">
        <f t="shared" si="244"/>
        <v>88.638271766387959</v>
      </c>
      <c r="AQ186" s="522">
        <v>0</v>
      </c>
      <c r="AR186" s="522">
        <v>0</v>
      </c>
      <c r="AS186" s="522">
        <v>569072.14</v>
      </c>
      <c r="AT186" s="522">
        <v>1073487.8499999999</v>
      </c>
      <c r="AU186" s="522">
        <f t="shared" si="276"/>
        <v>760601.95</v>
      </c>
      <c r="AV186" s="522">
        <f t="shared" si="276"/>
        <v>256186.23999999999</v>
      </c>
      <c r="AW186" s="522">
        <f t="shared" si="233"/>
        <v>-504415.70999999996</v>
      </c>
      <c r="AX186" s="522">
        <f t="shared" si="234"/>
        <v>-66.317961714402657</v>
      </c>
      <c r="AY186" s="522">
        <f t="shared" si="277"/>
        <v>230018.15000000014</v>
      </c>
      <c r="AZ186" s="522">
        <f t="shared" si="235"/>
        <v>26168.089999999851</v>
      </c>
      <c r="BA186" s="522">
        <f t="shared" si="236"/>
        <v>11.376532677964676</v>
      </c>
      <c r="BB186" s="522">
        <v>760601.95</v>
      </c>
      <c r="BC186" s="525">
        <f>'[67]Гл инж_Тех дир'!AT110</f>
        <v>256186.23999999999</v>
      </c>
      <c r="BD186" s="525">
        <f t="shared" si="303"/>
        <v>230018.15000000014</v>
      </c>
      <c r="BE186" s="525">
        <f t="shared" si="237"/>
        <v>-530583.79999999981</v>
      </c>
      <c r="BF186" s="525">
        <f t="shared" si="238"/>
        <v>-26168.089999999851</v>
      </c>
      <c r="BG186" s="525">
        <f t="shared" si="218"/>
        <v>1329674.0899999999</v>
      </c>
      <c r="BH186" s="522">
        <f t="shared" si="218"/>
        <v>1329674.0899999999</v>
      </c>
      <c r="BI186" s="522">
        <f>1302743.29+762.71</f>
        <v>1303506</v>
      </c>
      <c r="BJ186" s="522">
        <f t="shared" si="239"/>
        <v>-26168.089999999851</v>
      </c>
      <c r="BK186" s="522">
        <f t="shared" si="240"/>
        <v>-26168.089999999851</v>
      </c>
      <c r="BL186" s="525">
        <v>0</v>
      </c>
      <c r="BM186" s="522">
        <f>'[67]Гл инж_Тех дир'!AW110</f>
        <v>0</v>
      </c>
      <c r="BN186" s="522">
        <f t="shared" si="304"/>
        <v>0</v>
      </c>
      <c r="BO186" s="522">
        <f t="shared" si="245"/>
        <v>0</v>
      </c>
      <c r="BP186" s="522">
        <f t="shared" si="241"/>
        <v>0</v>
      </c>
      <c r="BQ186" s="525">
        <v>0</v>
      </c>
      <c r="BR186" s="522">
        <f>'[67]Гл инж_Тех дир'!BB110</f>
        <v>0</v>
      </c>
      <c r="BS186" s="522">
        <f>'[67]Гл инж_Тех дир'!BC110</f>
        <v>0</v>
      </c>
      <c r="BT186" s="536"/>
      <c r="BU186" s="522">
        <v>1302743.29</v>
      </c>
      <c r="BV186" s="522">
        <v>762.71</v>
      </c>
      <c r="BW186" s="522"/>
      <c r="BX186" s="574"/>
      <c r="BY186" s="525">
        <f>1302743.29+762.71</f>
        <v>1303506</v>
      </c>
      <c r="BZ186" s="525"/>
      <c r="CA186" s="525"/>
      <c r="CB186" s="522">
        <f t="shared" si="308"/>
        <v>1303506</v>
      </c>
      <c r="CC186" s="522">
        <f t="shared" si="242"/>
        <v>0</v>
      </c>
      <c r="CD186" s="522"/>
      <c r="CE186" s="522"/>
      <c r="CF186" s="522"/>
      <c r="CG186" s="522"/>
      <c r="CH186" s="522"/>
      <c r="CI186" s="522"/>
      <c r="CJ186" s="522"/>
      <c r="CK186" s="542" t="s">
        <v>79</v>
      </c>
      <c r="CL186" s="543" t="s">
        <v>1931</v>
      </c>
      <c r="CM186" s="509" t="s">
        <v>1925</v>
      </c>
      <c r="CN186" s="528" t="s">
        <v>1849</v>
      </c>
      <c r="CO186" s="528"/>
      <c r="CP186" s="544">
        <f t="shared" si="305"/>
        <v>1226784.5076400072</v>
      </c>
      <c r="CQ186" s="544">
        <f t="shared" si="306"/>
        <v>90111.324365972585</v>
      </c>
      <c r="CR186" s="544">
        <f t="shared" si="307"/>
        <v>12778.257994020098</v>
      </c>
      <c r="CS186" s="1688" t="s">
        <v>1826</v>
      </c>
      <c r="CT186" s="1689"/>
      <c r="CU186" s="1689"/>
      <c r="CV186" s="1689"/>
      <c r="CW186" s="1690"/>
      <c r="CX186" s="528"/>
      <c r="CY186" s="528"/>
      <c r="CZ186" s="528"/>
      <c r="DA186" s="528"/>
      <c r="DB186" s="544"/>
      <c r="DC186" s="628" t="e">
        <f>P186-#REF!</f>
        <v>#REF!</v>
      </c>
      <c r="DD186" s="535"/>
      <c r="DE186" s="535"/>
      <c r="DF186" s="525">
        <f t="shared" si="278"/>
        <v>1303.5060000000001</v>
      </c>
      <c r="DG186" s="525">
        <f t="shared" si="278"/>
        <v>0</v>
      </c>
      <c r="DH186" s="525">
        <f t="shared" si="278"/>
        <v>0</v>
      </c>
      <c r="DI186" s="522">
        <f t="shared" si="278"/>
        <v>1303.5060000000001</v>
      </c>
      <c r="DJ186" s="536"/>
      <c r="DK186" s="536"/>
      <c r="DL186" s="536"/>
      <c r="DM186" s="536"/>
      <c r="DN186" s="536"/>
      <c r="DO186" s="536"/>
      <c r="DP186" s="536"/>
      <c r="DQ186" s="536"/>
      <c r="DR186" s="536"/>
      <c r="DS186" s="536"/>
    </row>
    <row r="187" spans="1:123" s="534" customFormat="1" ht="153.75" customHeight="1">
      <c r="A187" s="537" t="s">
        <v>781</v>
      </c>
      <c r="B187" s="538" t="s">
        <v>782</v>
      </c>
      <c r="C187" s="576">
        <v>157254.45000000001</v>
      </c>
      <c r="D187" s="576">
        <v>197504.22</v>
      </c>
      <c r="E187" s="576">
        <v>900405.17</v>
      </c>
      <c r="F187" s="576">
        <v>249627.75</v>
      </c>
      <c r="G187" s="577">
        <v>130041.19330612385</v>
      </c>
      <c r="H187" s="577">
        <v>0</v>
      </c>
      <c r="I187" s="576">
        <f t="shared" si="298"/>
        <v>1523141.4300000002</v>
      </c>
      <c r="J187" s="576">
        <v>476163.32</v>
      </c>
      <c r="K187" s="576">
        <v>328203.33</v>
      </c>
      <c r="L187" s="576">
        <v>718774.78</v>
      </c>
      <c r="M187" s="576">
        <f t="shared" si="299"/>
        <v>804366.65</v>
      </c>
      <c r="N187" s="576">
        <v>678129.35</v>
      </c>
      <c r="O187" s="525">
        <f t="shared" si="300"/>
        <v>853475.71999999986</v>
      </c>
      <c r="P187" s="522">
        <f>5167.9+1526437.17</f>
        <v>1531605.0699999998</v>
      </c>
      <c r="Q187" s="576">
        <f t="shared" si="219"/>
        <v>8463.6399999996647</v>
      </c>
      <c r="R187" s="576">
        <f t="shared" si="220"/>
        <v>0.55567000104512942</v>
      </c>
      <c r="S187" s="525">
        <v>137193.45893796065</v>
      </c>
      <c r="T187" s="525">
        <v>137193.45893796065</v>
      </c>
      <c r="U187" s="522">
        <f t="shared" si="301"/>
        <v>950285.26</v>
      </c>
      <c r="V187" s="522">
        <f t="shared" si="217"/>
        <v>813091.80106203933</v>
      </c>
      <c r="W187" s="522">
        <f t="shared" si="246"/>
        <v>592.66076338939911</v>
      </c>
      <c r="X187" s="522">
        <f t="shared" si="221"/>
        <v>-581319.80999999982</v>
      </c>
      <c r="Y187" s="522">
        <f t="shared" si="222"/>
        <v>-37.954941609066353</v>
      </c>
      <c r="Z187" s="524">
        <f t="shared" si="223"/>
        <v>950285.26</v>
      </c>
      <c r="AA187" s="522">
        <f t="shared" si="224"/>
        <v>813091.80106203933</v>
      </c>
      <c r="AB187" s="522">
        <f t="shared" si="247"/>
        <v>592.66076338939911</v>
      </c>
      <c r="AC187" s="522">
        <f t="shared" si="225"/>
        <v>0</v>
      </c>
      <c r="AD187" s="522">
        <f t="shared" si="226"/>
        <v>0</v>
      </c>
      <c r="AE187" s="522">
        <f t="shared" si="227"/>
        <v>-581319.80999999982</v>
      </c>
      <c r="AF187" s="522">
        <f t="shared" si="228"/>
        <v>-37.954941609066353</v>
      </c>
      <c r="AG187" s="522">
        <f t="shared" si="243"/>
        <v>925536.18</v>
      </c>
      <c r="AH187" s="522">
        <f t="shared" si="229"/>
        <v>-24749.079999999958</v>
      </c>
      <c r="AI187" s="522">
        <f t="shared" si="230"/>
        <v>-2.6043842877242867</v>
      </c>
      <c r="AJ187" s="522">
        <f t="shared" si="231"/>
        <v>-24749.079999999958</v>
      </c>
      <c r="AK187" s="522">
        <f t="shared" si="309"/>
        <v>-2.6043842877242867</v>
      </c>
      <c r="AL187" s="522">
        <f t="shared" si="302"/>
        <v>925536.18</v>
      </c>
      <c r="AM187" s="522">
        <f t="shared" si="270"/>
        <v>469935.48</v>
      </c>
      <c r="AN187" s="522">
        <f t="shared" si="270"/>
        <v>443476.64</v>
      </c>
      <c r="AO187" s="522">
        <f t="shared" si="232"/>
        <v>-26458.839999999967</v>
      </c>
      <c r="AP187" s="522">
        <f t="shared" si="244"/>
        <v>-5.6303133357796185</v>
      </c>
      <c r="AQ187" s="522">
        <v>164238.72</v>
      </c>
      <c r="AR187" s="522">
        <v>141061.74</v>
      </c>
      <c r="AS187" s="522">
        <v>305696.76</v>
      </c>
      <c r="AT187" s="522">
        <v>302414.90000000002</v>
      </c>
      <c r="AU187" s="522">
        <f t="shared" si="276"/>
        <v>480349.78</v>
      </c>
      <c r="AV187" s="522">
        <f t="shared" si="276"/>
        <v>506808.62</v>
      </c>
      <c r="AW187" s="522">
        <f t="shared" si="233"/>
        <v>26458.839999999967</v>
      </c>
      <c r="AX187" s="522">
        <f t="shared" si="234"/>
        <v>5.5082444297153614</v>
      </c>
      <c r="AY187" s="522">
        <f t="shared" si="277"/>
        <v>482059.54000000004</v>
      </c>
      <c r="AZ187" s="522">
        <f t="shared" si="235"/>
        <v>24749.079999999958</v>
      </c>
      <c r="BA187" s="522">
        <f t="shared" si="236"/>
        <v>5.1340297092761489</v>
      </c>
      <c r="BB187" s="522">
        <v>306337.40000000002</v>
      </c>
      <c r="BC187" s="525">
        <f>'[67]Гл инж_Тех дир'!AT111</f>
        <v>332796.24</v>
      </c>
      <c r="BD187" s="525">
        <f t="shared" si="303"/>
        <v>208273.91000000003</v>
      </c>
      <c r="BE187" s="525">
        <f t="shared" si="237"/>
        <v>-98063.489999999991</v>
      </c>
      <c r="BF187" s="525">
        <f t="shared" si="238"/>
        <v>-124522.32999999996</v>
      </c>
      <c r="BG187" s="525">
        <f t="shared" si="218"/>
        <v>776272.88</v>
      </c>
      <c r="BH187" s="522">
        <f t="shared" si="218"/>
        <v>776272.88</v>
      </c>
      <c r="BI187" s="522">
        <v>651750.55000000005</v>
      </c>
      <c r="BJ187" s="522">
        <f t="shared" si="239"/>
        <v>-124522.32999999996</v>
      </c>
      <c r="BK187" s="522">
        <f t="shared" si="240"/>
        <v>-124522.32999999996</v>
      </c>
      <c r="BL187" s="525">
        <v>174012.38</v>
      </c>
      <c r="BM187" s="522">
        <f>'[67]Гл инж_Тех дир'!AW111</f>
        <v>174012.38</v>
      </c>
      <c r="BN187" s="522">
        <f t="shared" si="304"/>
        <v>273785.63</v>
      </c>
      <c r="BO187" s="522">
        <f t="shared" si="245"/>
        <v>99773.25</v>
      </c>
      <c r="BP187" s="522">
        <f t="shared" si="241"/>
        <v>99773.25</v>
      </c>
      <c r="BQ187" s="525">
        <v>174012.38</v>
      </c>
      <c r="BR187" s="522">
        <f>'[67]Гл инж_Тех дир'!BB111</f>
        <v>0</v>
      </c>
      <c r="BS187" s="522">
        <f>'[67]Гл инж_Тех дир'!BC111</f>
        <v>0</v>
      </c>
      <c r="BT187" s="536"/>
      <c r="BU187" s="522">
        <v>925536.18</v>
      </c>
      <c r="BV187" s="522"/>
      <c r="BW187" s="522"/>
      <c r="BX187" s="574"/>
      <c r="BY187" s="525">
        <v>925536.18</v>
      </c>
      <c r="BZ187" s="525"/>
      <c r="CA187" s="525"/>
      <c r="CB187" s="522">
        <f t="shared" si="308"/>
        <v>925536.18</v>
      </c>
      <c r="CC187" s="522">
        <f t="shared" si="242"/>
        <v>0</v>
      </c>
      <c r="CD187" s="522"/>
      <c r="CE187" s="522"/>
      <c r="CF187" s="522"/>
      <c r="CG187" s="522"/>
      <c r="CH187" s="522"/>
      <c r="CI187" s="522"/>
      <c r="CJ187" s="522"/>
      <c r="CK187" s="542" t="s">
        <v>79</v>
      </c>
      <c r="CL187" s="543" t="s">
        <v>1938</v>
      </c>
      <c r="CM187" s="509" t="s">
        <v>1925</v>
      </c>
      <c r="CN187" s="528" t="s">
        <v>1849</v>
      </c>
      <c r="CO187" s="528"/>
      <c r="CP187" s="544">
        <f t="shared" si="305"/>
        <v>876752.61447461636</v>
      </c>
      <c r="CQ187" s="544">
        <f t="shared" si="306"/>
        <v>64400.339863780158</v>
      </c>
      <c r="CR187" s="544">
        <f t="shared" si="307"/>
        <v>9132.3056616034901</v>
      </c>
      <c r="CS187" s="1688" t="s">
        <v>1826</v>
      </c>
      <c r="CT187" s="1689"/>
      <c r="CU187" s="1689"/>
      <c r="CV187" s="1689"/>
      <c r="CW187" s="1690"/>
      <c r="CX187" s="528"/>
      <c r="CY187" s="528"/>
      <c r="CZ187" s="528"/>
      <c r="DA187" s="528"/>
      <c r="DB187" s="544">
        <f>141061.74</f>
        <v>141061.74</v>
      </c>
      <c r="DC187" s="628" t="e">
        <f>P187-#REF!</f>
        <v>#REF!</v>
      </c>
      <c r="DD187" s="535"/>
      <c r="DE187" s="535"/>
      <c r="DF187" s="525">
        <f t="shared" si="278"/>
        <v>925.53618000000006</v>
      </c>
      <c r="DG187" s="525">
        <f t="shared" si="278"/>
        <v>0</v>
      </c>
      <c r="DH187" s="525">
        <f t="shared" si="278"/>
        <v>0</v>
      </c>
      <c r="DI187" s="522">
        <f t="shared" si="278"/>
        <v>925.53618000000006</v>
      </c>
      <c r="DJ187" s="536"/>
      <c r="DK187" s="536"/>
      <c r="DL187" s="536"/>
      <c r="DM187" s="536"/>
      <c r="DN187" s="536"/>
      <c r="DO187" s="536"/>
      <c r="DP187" s="536"/>
      <c r="DQ187" s="536"/>
      <c r="DR187" s="536"/>
      <c r="DS187" s="536"/>
    </row>
    <row r="188" spans="1:123" s="534" customFormat="1" ht="146.25" customHeight="1">
      <c r="A188" s="537" t="s">
        <v>802</v>
      </c>
      <c r="B188" s="538" t="s">
        <v>803</v>
      </c>
      <c r="C188" s="576">
        <v>537178.37</v>
      </c>
      <c r="D188" s="576">
        <v>3365755.85</v>
      </c>
      <c r="E188" s="576">
        <v>780000</v>
      </c>
      <c r="F188" s="576">
        <v>468498</v>
      </c>
      <c r="G188" s="577">
        <v>471116.5837425135</v>
      </c>
      <c r="H188" s="577">
        <v>0</v>
      </c>
      <c r="I188" s="576">
        <f t="shared" si="298"/>
        <v>395644.33999999997</v>
      </c>
      <c r="J188" s="576">
        <v>220197.75999999998</v>
      </c>
      <c r="K188" s="576">
        <v>175446.58</v>
      </c>
      <c r="L188" s="576">
        <v>0</v>
      </c>
      <c r="M188" s="576">
        <f t="shared" si="299"/>
        <v>395644.33999999997</v>
      </c>
      <c r="N188" s="576">
        <v>266641.76</v>
      </c>
      <c r="O188" s="525">
        <f t="shared" si="300"/>
        <v>103270</v>
      </c>
      <c r="P188" s="522">
        <f>116485.76+253426</f>
        <v>369911.76</v>
      </c>
      <c r="Q188" s="576">
        <f t="shared" si="219"/>
        <v>-25732.579999999958</v>
      </c>
      <c r="R188" s="576">
        <f t="shared" si="220"/>
        <v>-6.5039676796589561</v>
      </c>
      <c r="S188" s="576">
        <v>531144.76124999998</v>
      </c>
      <c r="T188" s="576">
        <v>531144.76124999998</v>
      </c>
      <c r="U188" s="522">
        <f t="shared" si="301"/>
        <v>415822.2</v>
      </c>
      <c r="V188" s="522">
        <f t="shared" si="217"/>
        <v>-115322.56124999997</v>
      </c>
      <c r="W188" s="522">
        <f t="shared" si="246"/>
        <v>-21.712077321180573</v>
      </c>
      <c r="X188" s="522">
        <f t="shared" si="221"/>
        <v>45910.44</v>
      </c>
      <c r="Y188" s="522">
        <f t="shared" si="222"/>
        <v>12.411186927390474</v>
      </c>
      <c r="Z188" s="524">
        <f t="shared" si="223"/>
        <v>641644.19999999995</v>
      </c>
      <c r="AA188" s="522">
        <f t="shared" si="224"/>
        <v>110499.43874999997</v>
      </c>
      <c r="AB188" s="522">
        <f t="shared" si="247"/>
        <v>20.804015554996667</v>
      </c>
      <c r="AC188" s="522">
        <f t="shared" si="225"/>
        <v>225821.99999999994</v>
      </c>
      <c r="AD188" s="522">
        <f t="shared" si="226"/>
        <v>54.307345783847012</v>
      </c>
      <c r="AE188" s="522">
        <f t="shared" si="227"/>
        <v>271732.43999999994</v>
      </c>
      <c r="AF188" s="522">
        <f t="shared" si="228"/>
        <v>73.458718911775037</v>
      </c>
      <c r="AG188" s="522">
        <f t="shared" si="243"/>
        <v>493428</v>
      </c>
      <c r="AH188" s="522">
        <f t="shared" si="229"/>
        <v>77605.799999999988</v>
      </c>
      <c r="AI188" s="522">
        <f t="shared" si="230"/>
        <v>18.663217115392101</v>
      </c>
      <c r="AJ188" s="522">
        <f t="shared" si="231"/>
        <v>-148216.19999999995</v>
      </c>
      <c r="AK188" s="522">
        <f t="shared" si="309"/>
        <v>-23.099437351728568</v>
      </c>
      <c r="AL188" s="522">
        <f t="shared" si="302"/>
        <v>493428</v>
      </c>
      <c r="AM188" s="522">
        <f t="shared" si="270"/>
        <v>272500</v>
      </c>
      <c r="AN188" s="522">
        <f t="shared" si="270"/>
        <v>262322</v>
      </c>
      <c r="AO188" s="522">
        <f t="shared" si="232"/>
        <v>-10178</v>
      </c>
      <c r="AP188" s="522">
        <f t="shared" si="244"/>
        <v>-3.7350458715596346</v>
      </c>
      <c r="AQ188" s="578">
        <v>117500</v>
      </c>
      <c r="AR188" s="578">
        <v>31828</v>
      </c>
      <c r="AS188" s="578">
        <v>155000</v>
      </c>
      <c r="AT188" s="578">
        <v>230494</v>
      </c>
      <c r="AU188" s="578">
        <f t="shared" si="276"/>
        <v>143322.20000000001</v>
      </c>
      <c r="AV188" s="578">
        <f t="shared" si="276"/>
        <v>379322.2</v>
      </c>
      <c r="AW188" s="578">
        <f t="shared" si="233"/>
        <v>236000</v>
      </c>
      <c r="AX188" s="578">
        <f t="shared" si="234"/>
        <v>164.6639529675096</v>
      </c>
      <c r="AY188" s="578">
        <f t="shared" si="277"/>
        <v>231106</v>
      </c>
      <c r="AZ188" s="578">
        <f t="shared" si="235"/>
        <v>148216.20000000001</v>
      </c>
      <c r="BA188" s="578">
        <f t="shared" si="236"/>
        <v>64.133427950810443</v>
      </c>
      <c r="BB188" s="578">
        <v>143322.20000000001</v>
      </c>
      <c r="BC188" s="576">
        <f>'[67]Гл инж_Тех дир'!AT36</f>
        <v>194922.2</v>
      </c>
      <c r="BD188" s="576">
        <f t="shared" si="303"/>
        <v>87594</v>
      </c>
      <c r="BE188" s="576">
        <f t="shared" si="237"/>
        <v>-55728.200000000012</v>
      </c>
      <c r="BF188" s="576">
        <f t="shared" si="238"/>
        <v>-107328.20000000001</v>
      </c>
      <c r="BG188" s="576">
        <f t="shared" si="218"/>
        <v>415822.2</v>
      </c>
      <c r="BH188" s="578">
        <f t="shared" si="218"/>
        <v>457244.2</v>
      </c>
      <c r="BI188" s="578">
        <f>72848+277068</f>
        <v>349916</v>
      </c>
      <c r="BJ188" s="578">
        <f t="shared" si="239"/>
        <v>-65906.200000000012</v>
      </c>
      <c r="BK188" s="578">
        <f t="shared" si="240"/>
        <v>-107328.20000000001</v>
      </c>
      <c r="BL188" s="576">
        <v>0</v>
      </c>
      <c r="BM188" s="578">
        <f>'[67]Гл инж_Тех дир'!AW36</f>
        <v>184400</v>
      </c>
      <c r="BN188" s="522">
        <f t="shared" si="304"/>
        <v>143512</v>
      </c>
      <c r="BO188" s="578">
        <f t="shared" si="245"/>
        <v>143512</v>
      </c>
      <c r="BP188" s="578">
        <f t="shared" si="241"/>
        <v>-40888</v>
      </c>
      <c r="BQ188" s="576">
        <v>0</v>
      </c>
      <c r="BR188" s="578">
        <f>'[67]Гл инж_Тех дир'!BB36</f>
        <v>0</v>
      </c>
      <c r="BS188" s="578">
        <f>'[67]Гл инж_Тех дир'!BC36</f>
        <v>0</v>
      </c>
      <c r="BT188" s="536"/>
      <c r="BU188" s="578">
        <v>88532</v>
      </c>
      <c r="BV188" s="578">
        <v>404896</v>
      </c>
      <c r="BW188" s="522"/>
      <c r="BX188" s="574"/>
      <c r="BY188" s="525">
        <f>88532+404896</f>
        <v>493428</v>
      </c>
      <c r="BZ188" s="525"/>
      <c r="CA188" s="525"/>
      <c r="CB188" s="522">
        <f t="shared" si="308"/>
        <v>493428</v>
      </c>
      <c r="CC188" s="522">
        <f t="shared" si="242"/>
        <v>0</v>
      </c>
      <c r="CD188" s="578"/>
      <c r="CE188" s="578"/>
      <c r="CF188" s="578"/>
      <c r="CG188" s="578"/>
      <c r="CH188" s="578"/>
      <c r="CI188" s="578"/>
      <c r="CJ188" s="578"/>
      <c r="CK188" s="542" t="s">
        <v>79</v>
      </c>
      <c r="CL188" s="543" t="s">
        <v>1806</v>
      </c>
      <c r="CM188" s="509" t="s">
        <v>1925</v>
      </c>
      <c r="CN188" s="528"/>
      <c r="CO188" s="528"/>
      <c r="CP188" s="544">
        <f t="shared" si="305"/>
        <v>383646.06539996929</v>
      </c>
      <c r="CQ188" s="544">
        <f t="shared" si="306"/>
        <v>28180.055116191917</v>
      </c>
      <c r="CR188" s="544">
        <f t="shared" si="307"/>
        <v>3996.0794838387983</v>
      </c>
      <c r="CS188" s="1688" t="s">
        <v>1826</v>
      </c>
      <c r="CT188" s="1689"/>
      <c r="CU188" s="1689"/>
      <c r="CV188" s="1689"/>
      <c r="CW188" s="1690"/>
      <c r="CX188" s="528"/>
      <c r="CY188" s="528"/>
      <c r="CZ188" s="528"/>
      <c r="DA188" s="528"/>
      <c r="DB188" s="579">
        <v>31828</v>
      </c>
      <c r="DC188" s="628" t="e">
        <f>P188-#REF!</f>
        <v>#REF!</v>
      </c>
      <c r="DD188" s="535"/>
      <c r="DE188" s="535"/>
      <c r="DF188" s="525">
        <f t="shared" si="278"/>
        <v>493.428</v>
      </c>
      <c r="DG188" s="525">
        <f t="shared" si="278"/>
        <v>0</v>
      </c>
      <c r="DH188" s="525">
        <f t="shared" si="278"/>
        <v>0</v>
      </c>
      <c r="DI188" s="522">
        <f t="shared" si="278"/>
        <v>493.428</v>
      </c>
      <c r="DJ188" s="536"/>
      <c r="DK188" s="536"/>
      <c r="DL188" s="536"/>
      <c r="DM188" s="536"/>
      <c r="DN188" s="536"/>
      <c r="DO188" s="536"/>
      <c r="DP188" s="536"/>
      <c r="DQ188" s="536"/>
      <c r="DR188" s="536"/>
      <c r="DS188" s="536"/>
    </row>
    <row r="189" spans="1:123" s="534" customFormat="1" ht="56.4">
      <c r="A189" s="537" t="s">
        <v>786</v>
      </c>
      <c r="B189" s="538" t="s">
        <v>787</v>
      </c>
      <c r="C189" s="576">
        <v>832202.71</v>
      </c>
      <c r="D189" s="576">
        <v>4207771.63</v>
      </c>
      <c r="E189" s="576">
        <v>1014300</v>
      </c>
      <c r="F189" s="576">
        <v>888253.18</v>
      </c>
      <c r="G189" s="577">
        <v>596316.05069544015</v>
      </c>
      <c r="H189" s="577">
        <v>0</v>
      </c>
      <c r="I189" s="576">
        <f t="shared" si="298"/>
        <v>537350.07000000007</v>
      </c>
      <c r="J189" s="576">
        <v>284434.02</v>
      </c>
      <c r="K189" s="576">
        <v>230900</v>
      </c>
      <c r="L189" s="576">
        <v>22016.05</v>
      </c>
      <c r="M189" s="576">
        <f t="shared" si="299"/>
        <v>515334.02</v>
      </c>
      <c r="N189" s="576">
        <v>571574.15</v>
      </c>
      <c r="O189" s="525">
        <f t="shared" si="300"/>
        <v>171950.13</v>
      </c>
      <c r="P189" s="522">
        <f>706624.28+36900</f>
        <v>743524.28</v>
      </c>
      <c r="Q189" s="576">
        <f t="shared" si="219"/>
        <v>206174.20999999996</v>
      </c>
      <c r="R189" s="576">
        <f t="shared" si="220"/>
        <v>38.368695104105967</v>
      </c>
      <c r="S189" s="576">
        <v>1007386.53125</v>
      </c>
      <c r="T189" s="576">
        <v>1007386.53125</v>
      </c>
      <c r="U189" s="522">
        <f t="shared" si="301"/>
        <v>564754.92000000004</v>
      </c>
      <c r="V189" s="522">
        <f t="shared" si="217"/>
        <v>-442631.61124999996</v>
      </c>
      <c r="W189" s="522">
        <f t="shared" si="246"/>
        <v>-43.938607229616956</v>
      </c>
      <c r="X189" s="522">
        <f t="shared" si="221"/>
        <v>-178769.36</v>
      </c>
      <c r="Y189" s="522">
        <f t="shared" si="222"/>
        <v>-24.043513414249233</v>
      </c>
      <c r="Z189" s="524">
        <f t="shared" si="223"/>
        <v>695971.03</v>
      </c>
      <c r="AA189" s="522">
        <f t="shared" si="224"/>
        <v>-311415.50124999997</v>
      </c>
      <c r="AB189" s="522">
        <f t="shared" si="247"/>
        <v>-30.913208742585113</v>
      </c>
      <c r="AC189" s="522">
        <f t="shared" si="225"/>
        <v>131216.10999999999</v>
      </c>
      <c r="AD189" s="522">
        <f t="shared" si="226"/>
        <v>23.234168548721982</v>
      </c>
      <c r="AE189" s="522">
        <f t="shared" si="227"/>
        <v>-47553.25</v>
      </c>
      <c r="AF189" s="522">
        <f t="shared" si="228"/>
        <v>-6.3956552972284868</v>
      </c>
      <c r="AG189" s="522">
        <f t="shared" si="243"/>
        <v>982078.51</v>
      </c>
      <c r="AH189" s="522">
        <f t="shared" si="229"/>
        <v>417323.58999999997</v>
      </c>
      <c r="AI189" s="522">
        <f t="shared" si="230"/>
        <v>73.894635570416966</v>
      </c>
      <c r="AJ189" s="522">
        <f t="shared" si="231"/>
        <v>286107.48</v>
      </c>
      <c r="AK189" s="522">
        <f t="shared" si="309"/>
        <v>41.109107659265618</v>
      </c>
      <c r="AL189" s="522">
        <f t="shared" si="302"/>
        <v>982078.51</v>
      </c>
      <c r="AM189" s="522">
        <f t="shared" si="270"/>
        <v>465400</v>
      </c>
      <c r="AN189" s="522">
        <f t="shared" si="270"/>
        <v>431616.11</v>
      </c>
      <c r="AO189" s="522">
        <f t="shared" si="232"/>
        <v>-33783.890000000014</v>
      </c>
      <c r="AP189" s="522">
        <f t="shared" si="244"/>
        <v>-7.2591082939406988</v>
      </c>
      <c r="AQ189" s="578">
        <v>312000</v>
      </c>
      <c r="AR189" s="578">
        <v>291140.92000000004</v>
      </c>
      <c r="AS189" s="578">
        <v>153400</v>
      </c>
      <c r="AT189" s="578">
        <v>140475.18999999994</v>
      </c>
      <c r="AU189" s="578">
        <f t="shared" si="276"/>
        <v>99354.92</v>
      </c>
      <c r="AV189" s="578">
        <f t="shared" si="276"/>
        <v>264354.92</v>
      </c>
      <c r="AW189" s="578">
        <f t="shared" si="233"/>
        <v>165000</v>
      </c>
      <c r="AX189" s="578">
        <f t="shared" si="234"/>
        <v>166.07129269491634</v>
      </c>
      <c r="AY189" s="578">
        <f t="shared" si="277"/>
        <v>550462.4</v>
      </c>
      <c r="AZ189" s="578">
        <f t="shared" si="235"/>
        <v>-286107.48000000004</v>
      </c>
      <c r="BA189" s="578">
        <f t="shared" si="236"/>
        <v>-51.975844308348769</v>
      </c>
      <c r="BB189" s="578">
        <v>99354.92</v>
      </c>
      <c r="BC189" s="576">
        <f>'[67]Гл инж_Тех дир'!AT37</f>
        <v>99354.92</v>
      </c>
      <c r="BD189" s="576">
        <f t="shared" si="303"/>
        <v>190487.53000000003</v>
      </c>
      <c r="BE189" s="576">
        <f t="shared" si="237"/>
        <v>91132.61000000003</v>
      </c>
      <c r="BF189" s="576">
        <f t="shared" si="238"/>
        <v>91132.61000000003</v>
      </c>
      <c r="BG189" s="576">
        <f t="shared" si="218"/>
        <v>564754.92000000004</v>
      </c>
      <c r="BH189" s="578">
        <f t="shared" si="218"/>
        <v>530971.03</v>
      </c>
      <c r="BI189" s="578">
        <f>114500+507603.64</f>
        <v>622103.64</v>
      </c>
      <c r="BJ189" s="578">
        <f t="shared" si="239"/>
        <v>57348.719999999972</v>
      </c>
      <c r="BK189" s="578">
        <f t="shared" si="240"/>
        <v>91132.609999999986</v>
      </c>
      <c r="BL189" s="576">
        <v>0</v>
      </c>
      <c r="BM189" s="578">
        <f>'[67]Гл инж_Тех дир'!AW37</f>
        <v>165000</v>
      </c>
      <c r="BN189" s="522">
        <f t="shared" si="304"/>
        <v>359974.87</v>
      </c>
      <c r="BO189" s="578">
        <f t="shared" si="245"/>
        <v>359974.87</v>
      </c>
      <c r="BP189" s="578">
        <f t="shared" si="241"/>
        <v>194974.87</v>
      </c>
      <c r="BQ189" s="576">
        <v>0</v>
      </c>
      <c r="BR189" s="578">
        <f>'[67]Гл инж_Тех дир'!BB37</f>
        <v>0</v>
      </c>
      <c r="BS189" s="578">
        <f>'[67]Гл инж_Тех дир'!BC37</f>
        <v>0</v>
      </c>
      <c r="BT189" s="536"/>
      <c r="BU189" s="578">
        <v>114500</v>
      </c>
      <c r="BV189" s="578">
        <v>867578.51</v>
      </c>
      <c r="BW189" s="522"/>
      <c r="BX189" s="574"/>
      <c r="BY189" s="525">
        <f>114500+867578.51</f>
        <v>982078.51</v>
      </c>
      <c r="BZ189" s="525"/>
      <c r="CA189" s="525"/>
      <c r="CB189" s="522">
        <f t="shared" si="308"/>
        <v>982078.51</v>
      </c>
      <c r="CC189" s="522">
        <f t="shared" si="242"/>
        <v>0</v>
      </c>
      <c r="CD189" s="578"/>
      <c r="CE189" s="578"/>
      <c r="CF189" s="578"/>
      <c r="CG189" s="578"/>
      <c r="CH189" s="578"/>
      <c r="CI189" s="578"/>
      <c r="CJ189" s="578"/>
      <c r="CK189" s="542" t="s">
        <v>79</v>
      </c>
      <c r="CL189" s="543" t="s">
        <v>1806</v>
      </c>
      <c r="CM189" s="509" t="s">
        <v>1925</v>
      </c>
      <c r="CN189" s="528"/>
      <c r="CO189" s="528"/>
      <c r="CP189" s="544">
        <f t="shared" si="305"/>
        <v>521054.43858763302</v>
      </c>
      <c r="CQ189" s="544">
        <f t="shared" si="306"/>
        <v>38273.148409922695</v>
      </c>
      <c r="CR189" s="544">
        <f t="shared" si="307"/>
        <v>5427.3330024443676</v>
      </c>
      <c r="CS189" s="1688" t="s">
        <v>1826</v>
      </c>
      <c r="CT189" s="1689"/>
      <c r="CU189" s="1689"/>
      <c r="CV189" s="1689"/>
      <c r="CW189" s="1690"/>
      <c r="CX189" s="528"/>
      <c r="CY189" s="528"/>
      <c r="CZ189" s="528"/>
      <c r="DA189" s="528"/>
      <c r="DB189" s="579">
        <f>36900+254240.92</f>
        <v>291140.92000000004</v>
      </c>
      <c r="DC189" s="628" t="e">
        <f>P189-#REF!</f>
        <v>#REF!</v>
      </c>
      <c r="DD189" s="535"/>
      <c r="DE189" s="535"/>
      <c r="DF189" s="525">
        <f t="shared" si="278"/>
        <v>982.07851000000005</v>
      </c>
      <c r="DG189" s="525">
        <f t="shared" si="278"/>
        <v>0</v>
      </c>
      <c r="DH189" s="525">
        <f t="shared" si="278"/>
        <v>0</v>
      </c>
      <c r="DI189" s="522">
        <f t="shared" si="278"/>
        <v>982.07851000000005</v>
      </c>
      <c r="DJ189" s="536"/>
      <c r="DK189" s="536"/>
      <c r="DL189" s="536"/>
      <c r="DM189" s="536"/>
      <c r="DN189" s="536"/>
      <c r="DO189" s="536"/>
      <c r="DP189" s="536"/>
      <c r="DQ189" s="536"/>
      <c r="DR189" s="536"/>
      <c r="DS189" s="536"/>
    </row>
    <row r="190" spans="1:123" s="534" customFormat="1" ht="84.6">
      <c r="A190" s="537" t="s">
        <v>807</v>
      </c>
      <c r="B190" s="538" t="s">
        <v>808</v>
      </c>
      <c r="C190" s="576">
        <v>25084.74</v>
      </c>
      <c r="D190" s="576">
        <v>5018389.8499999996</v>
      </c>
      <c r="E190" s="576">
        <v>774420</v>
      </c>
      <c r="F190" s="576">
        <v>495748.19</v>
      </c>
      <c r="G190" s="577">
        <v>284518.64687391842</v>
      </c>
      <c r="H190" s="577">
        <v>0</v>
      </c>
      <c r="I190" s="576">
        <f t="shared" si="298"/>
        <v>555931.80999999994</v>
      </c>
      <c r="J190" s="576">
        <v>295790.17</v>
      </c>
      <c r="K190" s="576">
        <v>154100</v>
      </c>
      <c r="L190" s="576">
        <v>106041.64</v>
      </c>
      <c r="M190" s="576">
        <f t="shared" si="299"/>
        <v>449890.17</v>
      </c>
      <c r="N190" s="576">
        <v>432480.92</v>
      </c>
      <c r="O190" s="525">
        <f t="shared" si="300"/>
        <v>219454.2</v>
      </c>
      <c r="P190" s="522">
        <v>651935.12</v>
      </c>
      <c r="Q190" s="576">
        <f t="shared" si="219"/>
        <v>96003.310000000056</v>
      </c>
      <c r="R190" s="576">
        <f t="shared" si="220"/>
        <v>17.268900299121228</v>
      </c>
      <c r="S190" s="576">
        <v>558942.16499999992</v>
      </c>
      <c r="T190" s="576">
        <v>558942.16499999992</v>
      </c>
      <c r="U190" s="522">
        <f t="shared" si="301"/>
        <v>584284.32999999996</v>
      </c>
      <c r="V190" s="522">
        <f t="shared" si="217"/>
        <v>25342.165000000037</v>
      </c>
      <c r="W190" s="522">
        <f t="shared" si="246"/>
        <v>4.5339512004788531</v>
      </c>
      <c r="X190" s="522">
        <f t="shared" si="221"/>
        <v>-67650.790000000037</v>
      </c>
      <c r="Y190" s="522">
        <f t="shared" si="222"/>
        <v>-10.376920635906231</v>
      </c>
      <c r="Z190" s="524">
        <f t="shared" si="223"/>
        <v>583975.38</v>
      </c>
      <c r="AA190" s="522">
        <f t="shared" si="224"/>
        <v>25033.215000000084</v>
      </c>
      <c r="AB190" s="522">
        <f t="shared" si="247"/>
        <v>4.4786771454252516</v>
      </c>
      <c r="AC190" s="522">
        <f t="shared" si="225"/>
        <v>-308.94999999995343</v>
      </c>
      <c r="AD190" s="522">
        <f t="shared" si="226"/>
        <v>-5.287665339236014E-2</v>
      </c>
      <c r="AE190" s="522">
        <f t="shared" si="227"/>
        <v>-67959.739999999991</v>
      </c>
      <c r="AF190" s="522">
        <f t="shared" si="228"/>
        <v>-10.424310320941132</v>
      </c>
      <c r="AG190" s="522">
        <f t="shared" si="243"/>
        <v>619040.63</v>
      </c>
      <c r="AH190" s="522">
        <f t="shared" si="229"/>
        <v>34756.300000000047</v>
      </c>
      <c r="AI190" s="522">
        <f t="shared" si="230"/>
        <v>5.9485250956499414</v>
      </c>
      <c r="AJ190" s="522">
        <f t="shared" si="231"/>
        <v>35065.25</v>
      </c>
      <c r="AK190" s="522">
        <f t="shared" si="309"/>
        <v>6.004576768287734</v>
      </c>
      <c r="AL190" s="522">
        <f t="shared" si="302"/>
        <v>619040.63</v>
      </c>
      <c r="AM190" s="522">
        <f t="shared" si="270"/>
        <v>308200</v>
      </c>
      <c r="AN190" s="522">
        <f t="shared" si="270"/>
        <v>307891.05</v>
      </c>
      <c r="AO190" s="522">
        <f t="shared" si="232"/>
        <v>-308.95000000001164</v>
      </c>
      <c r="AP190" s="522">
        <f t="shared" si="244"/>
        <v>-0.10024334847501848</v>
      </c>
      <c r="AQ190" s="578">
        <v>154100</v>
      </c>
      <c r="AR190" s="578">
        <v>148555.07999999999</v>
      </c>
      <c r="AS190" s="578">
        <v>154100</v>
      </c>
      <c r="AT190" s="578">
        <v>159335.97</v>
      </c>
      <c r="AU190" s="578">
        <f t="shared" si="276"/>
        <v>276084.33</v>
      </c>
      <c r="AV190" s="578">
        <f t="shared" si="276"/>
        <v>276084.33</v>
      </c>
      <c r="AW190" s="578">
        <f t="shared" si="233"/>
        <v>0</v>
      </c>
      <c r="AX190" s="578">
        <f t="shared" si="234"/>
        <v>0</v>
      </c>
      <c r="AY190" s="578">
        <f t="shared" si="277"/>
        <v>311149.58</v>
      </c>
      <c r="AZ190" s="578">
        <f t="shared" si="235"/>
        <v>-35065.25</v>
      </c>
      <c r="BA190" s="578">
        <f t="shared" si="236"/>
        <v>-11.269579730752014</v>
      </c>
      <c r="BB190" s="578">
        <v>154100</v>
      </c>
      <c r="BC190" s="576">
        <f>'[67]Гл инж_Тех дир'!AT87</f>
        <v>154100</v>
      </c>
      <c r="BD190" s="576">
        <f t="shared" si="303"/>
        <v>151733.79000000004</v>
      </c>
      <c r="BE190" s="576">
        <f t="shared" si="237"/>
        <v>-2366.2099999999627</v>
      </c>
      <c r="BF190" s="576">
        <f t="shared" si="238"/>
        <v>-2366.2099999999627</v>
      </c>
      <c r="BG190" s="576">
        <f t="shared" si="218"/>
        <v>462300</v>
      </c>
      <c r="BH190" s="578">
        <f t="shared" si="218"/>
        <v>461991.05</v>
      </c>
      <c r="BI190" s="578">
        <v>459624.84</v>
      </c>
      <c r="BJ190" s="578">
        <f t="shared" si="239"/>
        <v>-2675.1599999999744</v>
      </c>
      <c r="BK190" s="578">
        <f t="shared" si="240"/>
        <v>-2366.2099999999627</v>
      </c>
      <c r="BL190" s="576">
        <v>121984.33</v>
      </c>
      <c r="BM190" s="578">
        <f>'[67]Гл инж_Тех дир'!AW87</f>
        <v>121984.33</v>
      </c>
      <c r="BN190" s="522">
        <f t="shared" si="304"/>
        <v>159415.78999999998</v>
      </c>
      <c r="BO190" s="578">
        <f t="shared" si="245"/>
        <v>37431.459999999977</v>
      </c>
      <c r="BP190" s="578">
        <f t="shared" si="241"/>
        <v>37431.459999999977</v>
      </c>
      <c r="BQ190" s="576">
        <v>121984.33</v>
      </c>
      <c r="BR190" s="578">
        <f>'[67]Гл инж_Тех дир'!BB87</f>
        <v>0</v>
      </c>
      <c r="BS190" s="578">
        <f>'[67]Гл инж_Тех дир'!BC87</f>
        <v>0</v>
      </c>
      <c r="BT190" s="536"/>
      <c r="BU190" s="578">
        <v>619040.63</v>
      </c>
      <c r="BV190" s="578"/>
      <c r="BW190" s="578"/>
      <c r="BX190" s="574"/>
      <c r="BY190" s="525">
        <v>619040.63</v>
      </c>
      <c r="BZ190" s="525"/>
      <c r="CA190" s="525"/>
      <c r="CB190" s="522">
        <f t="shared" si="308"/>
        <v>619040.63</v>
      </c>
      <c r="CC190" s="522">
        <f t="shared" si="242"/>
        <v>0</v>
      </c>
      <c r="CD190" s="578"/>
      <c r="CE190" s="578"/>
      <c r="CF190" s="578"/>
      <c r="CG190" s="578"/>
      <c r="CH190" s="578"/>
      <c r="CI190" s="578"/>
      <c r="CJ190" s="578"/>
      <c r="CK190" s="542" t="s">
        <v>79</v>
      </c>
      <c r="CL190" s="543" t="s">
        <v>1912</v>
      </c>
      <c r="CM190" s="509" t="s">
        <v>1925</v>
      </c>
      <c r="CN190" s="528"/>
      <c r="CO190" s="528"/>
      <c r="CP190" s="544">
        <f t="shared" si="305"/>
        <v>539072.67163551447</v>
      </c>
      <c r="CQ190" s="544">
        <f t="shared" si="306"/>
        <v>39596.64641023799</v>
      </c>
      <c r="CR190" s="544">
        <f t="shared" si="307"/>
        <v>5615.0119542475077</v>
      </c>
      <c r="CS190" s="1688" t="s">
        <v>1826</v>
      </c>
      <c r="CT190" s="1689"/>
      <c r="CU190" s="1689"/>
      <c r="CV190" s="1689"/>
      <c r="CW190" s="1690"/>
      <c r="CX190" s="528"/>
      <c r="CY190" s="528"/>
      <c r="CZ190" s="528"/>
      <c r="DA190" s="528"/>
      <c r="DB190" s="579">
        <f>148555.08</f>
        <v>148555.07999999999</v>
      </c>
      <c r="DC190" s="628" t="e">
        <f>P190-#REF!</f>
        <v>#REF!</v>
      </c>
      <c r="DD190" s="535"/>
      <c r="DE190" s="535"/>
      <c r="DF190" s="525">
        <f t="shared" si="278"/>
        <v>619.04062999999996</v>
      </c>
      <c r="DG190" s="525">
        <f t="shared" si="278"/>
        <v>0</v>
      </c>
      <c r="DH190" s="525">
        <f t="shared" si="278"/>
        <v>0</v>
      </c>
      <c r="DI190" s="522">
        <f t="shared" si="278"/>
        <v>619.04062999999996</v>
      </c>
      <c r="DJ190" s="536"/>
      <c r="DK190" s="536"/>
      <c r="DL190" s="536"/>
      <c r="DM190" s="536"/>
      <c r="DN190" s="536"/>
      <c r="DO190" s="536"/>
      <c r="DP190" s="536"/>
      <c r="DQ190" s="536"/>
      <c r="DR190" s="536"/>
      <c r="DS190" s="536"/>
    </row>
    <row r="191" spans="1:123" s="534" customFormat="1" ht="141">
      <c r="A191" s="537" t="s">
        <v>791</v>
      </c>
      <c r="B191" s="538" t="s">
        <v>792</v>
      </c>
      <c r="C191" s="576">
        <v>7758835.0899999999</v>
      </c>
      <c r="D191" s="576">
        <v>2598195.59</v>
      </c>
      <c r="E191" s="576">
        <v>967418.41</v>
      </c>
      <c r="F191" s="576">
        <v>8871909.5800000001</v>
      </c>
      <c r="G191" s="577">
        <v>2743443.5200393293</v>
      </c>
      <c r="H191" s="577">
        <v>0</v>
      </c>
      <c r="I191" s="576">
        <f t="shared" si="298"/>
        <v>4928256.04</v>
      </c>
      <c r="J191" s="576">
        <v>2919483.32</v>
      </c>
      <c r="K191" s="576">
        <v>800000</v>
      </c>
      <c r="L191" s="576">
        <v>1208772.72</v>
      </c>
      <c r="M191" s="576">
        <f t="shared" si="299"/>
        <v>3719483.32</v>
      </c>
      <c r="N191" s="576">
        <v>4446590.53</v>
      </c>
      <c r="O191" s="525">
        <f t="shared" si="300"/>
        <v>1129647.8399999999</v>
      </c>
      <c r="P191" s="522">
        <v>5576238.3700000001</v>
      </c>
      <c r="Q191" s="576">
        <f t="shared" si="219"/>
        <v>647982.33000000007</v>
      </c>
      <c r="R191" s="576">
        <f t="shared" si="220"/>
        <v>13.148308950279301</v>
      </c>
      <c r="S191" s="576">
        <v>2894332.9136414919</v>
      </c>
      <c r="T191" s="576">
        <v>2894332.9136414919</v>
      </c>
      <c r="U191" s="522">
        <f t="shared" si="301"/>
        <v>2894332.91</v>
      </c>
      <c r="V191" s="522">
        <f t="shared" si="217"/>
        <v>-3.6414917558431625E-3</v>
      </c>
      <c r="W191" s="522">
        <f t="shared" si="246"/>
        <v>-1.25814551665826E-7</v>
      </c>
      <c r="X191" s="522">
        <f t="shared" si="221"/>
        <v>-2681905.46</v>
      </c>
      <c r="Y191" s="522">
        <f t="shared" si="222"/>
        <v>-48.095244178021034</v>
      </c>
      <c r="Z191" s="524">
        <f t="shared" si="223"/>
        <v>3921966.25</v>
      </c>
      <c r="AA191" s="522">
        <f t="shared" si="224"/>
        <v>1027633.3363585081</v>
      </c>
      <c r="AB191" s="522">
        <f t="shared" si="247"/>
        <v>35.505015042156828</v>
      </c>
      <c r="AC191" s="522">
        <f t="shared" si="225"/>
        <v>1027633.3399999999</v>
      </c>
      <c r="AD191" s="522">
        <f t="shared" si="226"/>
        <v>35.505015212641865</v>
      </c>
      <c r="AE191" s="522">
        <f t="shared" si="227"/>
        <v>-1654272.12</v>
      </c>
      <c r="AF191" s="522">
        <f t="shared" si="228"/>
        <v>-29.666452727342786</v>
      </c>
      <c r="AG191" s="522">
        <f t="shared" si="243"/>
        <v>3850258.59</v>
      </c>
      <c r="AH191" s="522">
        <f t="shared" si="229"/>
        <v>955925.6799999997</v>
      </c>
      <c r="AI191" s="522">
        <f t="shared" si="230"/>
        <v>33.027495790040263</v>
      </c>
      <c r="AJ191" s="522">
        <f t="shared" si="231"/>
        <v>-71707.660000000149</v>
      </c>
      <c r="AK191" s="522">
        <f t="shared" si="309"/>
        <v>-1.8283599457287494</v>
      </c>
      <c r="AL191" s="522">
        <f t="shared" si="302"/>
        <v>3850258.59</v>
      </c>
      <c r="AM191" s="522">
        <f t="shared" si="270"/>
        <v>1270206.8799999999</v>
      </c>
      <c r="AN191" s="522">
        <f t="shared" si="270"/>
        <v>2297840.2200000002</v>
      </c>
      <c r="AO191" s="522">
        <f t="shared" si="232"/>
        <v>1027633.3400000003</v>
      </c>
      <c r="AP191" s="522">
        <f t="shared" si="244"/>
        <v>80.90283214337498</v>
      </c>
      <c r="AQ191" s="578">
        <v>498000</v>
      </c>
      <c r="AR191" s="578">
        <v>1332625.6499999999</v>
      </c>
      <c r="AS191" s="578">
        <v>772206.88</v>
      </c>
      <c r="AT191" s="578">
        <v>965214.5700000003</v>
      </c>
      <c r="AU191" s="578">
        <f t="shared" si="276"/>
        <v>1624126.03</v>
      </c>
      <c r="AV191" s="578">
        <f t="shared" si="276"/>
        <v>1624126.03</v>
      </c>
      <c r="AW191" s="578">
        <f t="shared" si="233"/>
        <v>0</v>
      </c>
      <c r="AX191" s="578">
        <f t="shared" si="234"/>
        <v>0</v>
      </c>
      <c r="AY191" s="578">
        <f t="shared" si="277"/>
        <v>1552418.3699999996</v>
      </c>
      <c r="AZ191" s="578">
        <f t="shared" si="235"/>
        <v>71707.660000000382</v>
      </c>
      <c r="BA191" s="578">
        <f t="shared" si="236"/>
        <v>4.6190937562791419</v>
      </c>
      <c r="BB191" s="578">
        <v>875539.18</v>
      </c>
      <c r="BC191" s="576">
        <f>'[67]Гл инж_Тех дир'!AT11</f>
        <v>875539.18</v>
      </c>
      <c r="BD191" s="576">
        <f t="shared" si="303"/>
        <v>823930.39999999991</v>
      </c>
      <c r="BE191" s="576">
        <f t="shared" si="237"/>
        <v>-51608.780000000144</v>
      </c>
      <c r="BF191" s="576">
        <f t="shared" si="238"/>
        <v>-51608.780000000144</v>
      </c>
      <c r="BG191" s="576">
        <f t="shared" si="218"/>
        <v>2145746.06</v>
      </c>
      <c r="BH191" s="578">
        <f t="shared" si="218"/>
        <v>3173379.4000000004</v>
      </c>
      <c r="BI191" s="578">
        <v>3121770.62</v>
      </c>
      <c r="BJ191" s="578">
        <f t="shared" si="239"/>
        <v>976024.56</v>
      </c>
      <c r="BK191" s="578">
        <f t="shared" si="240"/>
        <v>-51608.780000000261</v>
      </c>
      <c r="BL191" s="576">
        <v>748586.85</v>
      </c>
      <c r="BM191" s="578">
        <f>'[67]Гл инж_Тех дир'!AW11</f>
        <v>748586.85</v>
      </c>
      <c r="BN191" s="522">
        <f t="shared" si="304"/>
        <v>728487.96999999974</v>
      </c>
      <c r="BO191" s="578">
        <f t="shared" si="245"/>
        <v>-20098.880000000237</v>
      </c>
      <c r="BP191" s="578">
        <f t="shared" si="241"/>
        <v>-20098.880000000237</v>
      </c>
      <c r="BQ191" s="576">
        <v>748586.85</v>
      </c>
      <c r="BR191" s="578">
        <f>'[67]Гл инж_Тех дир'!BB11</f>
        <v>0</v>
      </c>
      <c r="BS191" s="578">
        <f>'[67]Гл инж_Тех дир'!BC11</f>
        <v>0</v>
      </c>
      <c r="BT191" s="536"/>
      <c r="BU191" s="578">
        <v>3850258.59</v>
      </c>
      <c r="BV191" s="578"/>
      <c r="BW191" s="578"/>
      <c r="BX191" s="574"/>
      <c r="BY191" s="525">
        <v>3850017.72</v>
      </c>
      <c r="BZ191" s="525">
        <v>197.62</v>
      </c>
      <c r="CA191" s="525">
        <v>43.25</v>
      </c>
      <c r="CB191" s="522">
        <f t="shared" si="308"/>
        <v>3850258.5900000003</v>
      </c>
      <c r="CC191" s="522">
        <f t="shared" si="242"/>
        <v>0</v>
      </c>
      <c r="CD191" s="578"/>
      <c r="CE191" s="578"/>
      <c r="CF191" s="578"/>
      <c r="CG191" s="578"/>
      <c r="CH191" s="578"/>
      <c r="CI191" s="578"/>
      <c r="CJ191" s="578"/>
      <c r="CK191" s="542" t="s">
        <v>79</v>
      </c>
      <c r="CL191" s="543" t="s">
        <v>1803</v>
      </c>
      <c r="CM191" s="509" t="s">
        <v>1925</v>
      </c>
      <c r="CN191" s="528" t="s">
        <v>1849</v>
      </c>
      <c r="CO191" s="528"/>
      <c r="CP191" s="544">
        <f t="shared" si="305"/>
        <v>2670370.7326812842</v>
      </c>
      <c r="CQ191" s="544">
        <f t="shared" si="306"/>
        <v>196147.44217217874</v>
      </c>
      <c r="CR191" s="544">
        <f t="shared" si="307"/>
        <v>27814.735146537263</v>
      </c>
      <c r="CS191" s="1688" t="s">
        <v>1826</v>
      </c>
      <c r="CT191" s="1689"/>
      <c r="CU191" s="1689"/>
      <c r="CV191" s="1689"/>
      <c r="CW191" s="1690"/>
      <c r="CX191" s="528"/>
      <c r="CY191" s="528"/>
      <c r="CZ191" s="528"/>
      <c r="DA191" s="528"/>
      <c r="DB191" s="579">
        <f>1332625.65</f>
        <v>1332625.6499999999</v>
      </c>
      <c r="DC191" s="628" t="e">
        <f>P191-#REF!</f>
        <v>#REF!</v>
      </c>
      <c r="DD191" s="535"/>
      <c r="DE191" s="535"/>
      <c r="DF191" s="525">
        <f t="shared" si="278"/>
        <v>3850.0177200000003</v>
      </c>
      <c r="DG191" s="525">
        <f t="shared" si="278"/>
        <v>0.19762000000000002</v>
      </c>
      <c r="DH191" s="525">
        <f t="shared" si="278"/>
        <v>4.3249999999999997E-2</v>
      </c>
      <c r="DI191" s="522">
        <f t="shared" si="278"/>
        <v>3850.2585900000004</v>
      </c>
      <c r="DJ191" s="536"/>
      <c r="DK191" s="536"/>
      <c r="DL191" s="536"/>
      <c r="DM191" s="536"/>
      <c r="DN191" s="536"/>
      <c r="DO191" s="536"/>
      <c r="DP191" s="536"/>
      <c r="DQ191" s="536"/>
      <c r="DR191" s="536"/>
      <c r="DS191" s="536"/>
    </row>
    <row r="192" spans="1:123" s="534" customFormat="1" ht="84.6">
      <c r="A192" s="537" t="s">
        <v>812</v>
      </c>
      <c r="B192" s="538" t="s">
        <v>813</v>
      </c>
      <c r="C192" s="576">
        <v>20675.16</v>
      </c>
      <c r="D192" s="576">
        <v>0</v>
      </c>
      <c r="E192" s="576">
        <v>20400</v>
      </c>
      <c r="F192" s="576">
        <v>21128.16</v>
      </c>
      <c r="G192" s="577">
        <v>0</v>
      </c>
      <c r="H192" s="577">
        <v>0</v>
      </c>
      <c r="I192" s="576">
        <f t="shared" si="298"/>
        <v>1680.34</v>
      </c>
      <c r="J192" s="576">
        <v>1680.34</v>
      </c>
      <c r="K192" s="576">
        <v>0</v>
      </c>
      <c r="L192" s="576">
        <v>0</v>
      </c>
      <c r="M192" s="576">
        <f t="shared" si="299"/>
        <v>1680.34</v>
      </c>
      <c r="N192" s="576">
        <v>1680.34</v>
      </c>
      <c r="O192" s="525">
        <f t="shared" si="300"/>
        <v>0</v>
      </c>
      <c r="P192" s="522">
        <v>1680.34</v>
      </c>
      <c r="Q192" s="576">
        <f t="shared" si="219"/>
        <v>0</v>
      </c>
      <c r="R192" s="576">
        <f t="shared" si="220"/>
        <v>0</v>
      </c>
      <c r="S192" s="576">
        <v>0</v>
      </c>
      <c r="T192" s="576">
        <v>0</v>
      </c>
      <c r="U192" s="522">
        <f t="shared" si="301"/>
        <v>0</v>
      </c>
      <c r="V192" s="522">
        <f t="shared" si="217"/>
        <v>0</v>
      </c>
      <c r="W192" s="522">
        <v>0</v>
      </c>
      <c r="X192" s="522">
        <f t="shared" si="221"/>
        <v>-1680.34</v>
      </c>
      <c r="Y192" s="522">
        <f t="shared" si="222"/>
        <v>-100</v>
      </c>
      <c r="Z192" s="524">
        <f t="shared" si="223"/>
        <v>0</v>
      </c>
      <c r="AA192" s="522">
        <f t="shared" si="224"/>
        <v>0</v>
      </c>
      <c r="AB192" s="522">
        <v>0</v>
      </c>
      <c r="AC192" s="522">
        <f t="shared" si="225"/>
        <v>0</v>
      </c>
      <c r="AD192" s="522">
        <v>0</v>
      </c>
      <c r="AE192" s="522">
        <f t="shared" si="227"/>
        <v>-1680.34</v>
      </c>
      <c r="AF192" s="522">
        <f t="shared" si="228"/>
        <v>-100</v>
      </c>
      <c r="AG192" s="522">
        <f t="shared" si="243"/>
        <v>0</v>
      </c>
      <c r="AH192" s="522">
        <f t="shared" si="229"/>
        <v>0</v>
      </c>
      <c r="AI192" s="522">
        <v>0</v>
      </c>
      <c r="AJ192" s="522">
        <f t="shared" si="231"/>
        <v>0</v>
      </c>
      <c r="AK192" s="522">
        <v>0</v>
      </c>
      <c r="AL192" s="522">
        <f t="shared" si="302"/>
        <v>0</v>
      </c>
      <c r="AM192" s="522">
        <f t="shared" si="270"/>
        <v>0</v>
      </c>
      <c r="AN192" s="522">
        <f t="shared" si="270"/>
        <v>0</v>
      </c>
      <c r="AO192" s="522">
        <f t="shared" si="232"/>
        <v>0</v>
      </c>
      <c r="AP192" s="522">
        <v>0</v>
      </c>
      <c r="AQ192" s="578">
        <v>0</v>
      </c>
      <c r="AR192" s="578">
        <v>0</v>
      </c>
      <c r="AS192" s="578">
        <v>0</v>
      </c>
      <c r="AT192" s="578">
        <v>0</v>
      </c>
      <c r="AU192" s="578">
        <f t="shared" si="276"/>
        <v>0</v>
      </c>
      <c r="AV192" s="578">
        <f t="shared" si="276"/>
        <v>0</v>
      </c>
      <c r="AW192" s="578">
        <f t="shared" si="233"/>
        <v>0</v>
      </c>
      <c r="AX192" s="578">
        <v>0</v>
      </c>
      <c r="AY192" s="578">
        <f t="shared" si="277"/>
        <v>0</v>
      </c>
      <c r="AZ192" s="578">
        <f t="shared" si="235"/>
        <v>0</v>
      </c>
      <c r="BA192" s="578">
        <v>0</v>
      </c>
      <c r="BB192" s="578">
        <v>0</v>
      </c>
      <c r="BC192" s="576">
        <f>'[67]Гл инж_Тех дир'!AT88</f>
        <v>0</v>
      </c>
      <c r="BD192" s="576">
        <f t="shared" si="303"/>
        <v>0</v>
      </c>
      <c r="BE192" s="576">
        <f t="shared" si="237"/>
        <v>0</v>
      </c>
      <c r="BF192" s="576">
        <f t="shared" si="238"/>
        <v>0</v>
      </c>
      <c r="BG192" s="576">
        <f t="shared" si="218"/>
        <v>0</v>
      </c>
      <c r="BH192" s="578">
        <f t="shared" si="218"/>
        <v>0</v>
      </c>
      <c r="BI192" s="578"/>
      <c r="BJ192" s="578">
        <f t="shared" si="239"/>
        <v>0</v>
      </c>
      <c r="BK192" s="578">
        <f t="shared" si="240"/>
        <v>0</v>
      </c>
      <c r="BL192" s="576">
        <v>0</v>
      </c>
      <c r="BM192" s="578">
        <f>'[67]Гл инж_Тех дир'!AW88</f>
        <v>0</v>
      </c>
      <c r="BN192" s="522">
        <f t="shared" si="304"/>
        <v>0</v>
      </c>
      <c r="BO192" s="578">
        <f t="shared" si="245"/>
        <v>0</v>
      </c>
      <c r="BP192" s="578">
        <f t="shared" si="241"/>
        <v>0</v>
      </c>
      <c r="BQ192" s="576">
        <v>0</v>
      </c>
      <c r="BR192" s="578">
        <f>'[67]Гл инж_Тех дир'!BB88</f>
        <v>0</v>
      </c>
      <c r="BS192" s="578">
        <f>'[67]Гл инж_Тех дир'!BC88</f>
        <v>0</v>
      </c>
      <c r="BT192" s="536"/>
      <c r="BU192" s="578"/>
      <c r="BV192" s="578"/>
      <c r="BW192" s="578"/>
      <c r="BX192" s="574"/>
      <c r="BY192" s="525"/>
      <c r="BZ192" s="525"/>
      <c r="CA192" s="525"/>
      <c r="CB192" s="522">
        <f t="shared" si="308"/>
        <v>0</v>
      </c>
      <c r="CC192" s="522">
        <f t="shared" si="242"/>
        <v>0</v>
      </c>
      <c r="CD192" s="578"/>
      <c r="CE192" s="578"/>
      <c r="CF192" s="578"/>
      <c r="CG192" s="578"/>
      <c r="CH192" s="578"/>
      <c r="CI192" s="578"/>
      <c r="CJ192" s="578"/>
      <c r="CK192" s="542" t="s">
        <v>79</v>
      </c>
      <c r="CL192" s="542" t="s">
        <v>1912</v>
      </c>
      <c r="CM192" s="509" t="s">
        <v>1925</v>
      </c>
      <c r="CN192" s="528"/>
      <c r="CO192" s="528"/>
      <c r="CP192" s="544">
        <f t="shared" si="305"/>
        <v>0</v>
      </c>
      <c r="CQ192" s="544">
        <f t="shared" si="306"/>
        <v>0</v>
      </c>
      <c r="CR192" s="544">
        <f t="shared" si="307"/>
        <v>0</v>
      </c>
      <c r="CS192" s="1688" t="s">
        <v>1826</v>
      </c>
      <c r="CT192" s="1689"/>
      <c r="CU192" s="1689"/>
      <c r="CV192" s="1689"/>
      <c r="CW192" s="1690"/>
      <c r="CX192" s="528"/>
      <c r="CY192" s="528"/>
      <c r="CZ192" s="528"/>
      <c r="DA192" s="528"/>
      <c r="DB192" s="579"/>
      <c r="DC192" s="628" t="e">
        <f>P192-#REF!</f>
        <v>#REF!</v>
      </c>
      <c r="DD192" s="535"/>
      <c r="DE192" s="535"/>
      <c r="DF192" s="525">
        <f t="shared" si="278"/>
        <v>0</v>
      </c>
      <c r="DG192" s="525">
        <f t="shared" si="278"/>
        <v>0</v>
      </c>
      <c r="DH192" s="525">
        <f t="shared" si="278"/>
        <v>0</v>
      </c>
      <c r="DI192" s="522">
        <f t="shared" si="278"/>
        <v>0</v>
      </c>
      <c r="DJ192" s="536"/>
      <c r="DK192" s="536"/>
      <c r="DL192" s="536"/>
      <c r="DM192" s="536"/>
      <c r="DN192" s="536"/>
      <c r="DO192" s="536"/>
      <c r="DP192" s="536"/>
      <c r="DQ192" s="536"/>
      <c r="DR192" s="536"/>
      <c r="DS192" s="536"/>
    </row>
    <row r="193" spans="1:123" s="534" customFormat="1" ht="91.5" customHeight="1">
      <c r="A193" s="537" t="s">
        <v>817</v>
      </c>
      <c r="B193" s="538" t="s">
        <v>818</v>
      </c>
      <c r="C193" s="576">
        <v>123545.32</v>
      </c>
      <c r="D193" s="576">
        <v>75411.899999999994</v>
      </c>
      <c r="E193" s="576">
        <v>75411.899999999994</v>
      </c>
      <c r="F193" s="576">
        <v>453416.93</v>
      </c>
      <c r="G193" s="577">
        <v>187193.691034488</v>
      </c>
      <c r="H193" s="577">
        <v>0</v>
      </c>
      <c r="I193" s="576">
        <f t="shared" si="298"/>
        <v>545691.92000000004</v>
      </c>
      <c r="J193" s="576">
        <v>139343.04999999999</v>
      </c>
      <c r="K193" s="576">
        <v>329099.76</v>
      </c>
      <c r="L193" s="576">
        <v>77249.11</v>
      </c>
      <c r="M193" s="576">
        <f t="shared" si="299"/>
        <v>468442.81</v>
      </c>
      <c r="N193" s="576">
        <v>459291.02</v>
      </c>
      <c r="O193" s="525">
        <f t="shared" si="300"/>
        <v>78813.559999999939</v>
      </c>
      <c r="P193" s="522">
        <v>538104.57999999996</v>
      </c>
      <c r="Q193" s="576">
        <f t="shared" si="219"/>
        <v>-7587.3400000000838</v>
      </c>
      <c r="R193" s="576">
        <f t="shared" si="220"/>
        <v>-1.3904072466383752</v>
      </c>
      <c r="S193" s="576">
        <v>197489.34404138484</v>
      </c>
      <c r="T193" s="576">
        <v>197489.34404138484</v>
      </c>
      <c r="U193" s="522">
        <f t="shared" si="301"/>
        <v>573522.21</v>
      </c>
      <c r="V193" s="522">
        <f t="shared" si="217"/>
        <v>376032.86595861509</v>
      </c>
      <c r="W193" s="522">
        <f t="shared" si="246"/>
        <v>190.406661070187</v>
      </c>
      <c r="X193" s="522">
        <f t="shared" si="221"/>
        <v>35417.630000000005</v>
      </c>
      <c r="Y193" s="522">
        <f t="shared" si="222"/>
        <v>6.5819231644525473</v>
      </c>
      <c r="Z193" s="524">
        <f t="shared" si="223"/>
        <v>583787.16</v>
      </c>
      <c r="AA193" s="522">
        <f t="shared" si="224"/>
        <v>386297.81595861516</v>
      </c>
      <c r="AB193" s="522">
        <f t="shared" si="247"/>
        <v>195.604384547282</v>
      </c>
      <c r="AC193" s="522">
        <f t="shared" si="225"/>
        <v>10264.95000000007</v>
      </c>
      <c r="AD193" s="522">
        <f t="shared" si="226"/>
        <v>1.789808628335436</v>
      </c>
      <c r="AE193" s="522">
        <f t="shared" si="227"/>
        <v>45682.580000000075</v>
      </c>
      <c r="AF193" s="522">
        <f t="shared" si="228"/>
        <v>8.4895356214957474</v>
      </c>
      <c r="AG193" s="522">
        <f t="shared" si="243"/>
        <v>598417.85</v>
      </c>
      <c r="AH193" s="522">
        <f t="shared" si="229"/>
        <v>24895.640000000014</v>
      </c>
      <c r="AI193" s="522">
        <f t="shared" si="230"/>
        <v>4.3408327639133688</v>
      </c>
      <c r="AJ193" s="522">
        <f t="shared" si="231"/>
        <v>14630.689999999944</v>
      </c>
      <c r="AK193" s="522">
        <f t="shared" ref="AK193:AK208" si="310">AG193/Z193*100-100</f>
        <v>2.5061685152513462</v>
      </c>
      <c r="AL193" s="522">
        <f t="shared" si="302"/>
        <v>598417.85</v>
      </c>
      <c r="AM193" s="522">
        <f t="shared" si="270"/>
        <v>445000</v>
      </c>
      <c r="AN193" s="522">
        <f t="shared" si="270"/>
        <v>455264.95</v>
      </c>
      <c r="AO193" s="522">
        <f t="shared" si="232"/>
        <v>10264.950000000012</v>
      </c>
      <c r="AP193" s="522">
        <f t="shared" si="244"/>
        <v>2.3067303370786476</v>
      </c>
      <c r="AQ193" s="578">
        <v>90000</v>
      </c>
      <c r="AR193" s="578">
        <v>14359.32</v>
      </c>
      <c r="AS193" s="578">
        <v>355000</v>
      </c>
      <c r="AT193" s="578">
        <v>440905.63</v>
      </c>
      <c r="AU193" s="578">
        <f t="shared" si="276"/>
        <v>128522.20999999999</v>
      </c>
      <c r="AV193" s="578">
        <f t="shared" si="276"/>
        <v>128522.20999999999</v>
      </c>
      <c r="AW193" s="578">
        <f t="shared" si="233"/>
        <v>0</v>
      </c>
      <c r="AX193" s="578">
        <f t="shared" si="234"/>
        <v>0</v>
      </c>
      <c r="AY193" s="578">
        <f t="shared" si="277"/>
        <v>143152.89999999997</v>
      </c>
      <c r="AZ193" s="578">
        <f t="shared" si="235"/>
        <v>-14630.689999999973</v>
      </c>
      <c r="BA193" s="578">
        <f t="shared" si="236"/>
        <v>-10.220323863505371</v>
      </c>
      <c r="BB193" s="578">
        <v>10522.21</v>
      </c>
      <c r="BC193" s="576">
        <f>'[67]Дир_ имущ'!AT56</f>
        <v>10522.21</v>
      </c>
      <c r="BD193" s="576">
        <f t="shared" si="303"/>
        <v>72189.830000000016</v>
      </c>
      <c r="BE193" s="576">
        <f t="shared" si="237"/>
        <v>61667.620000000017</v>
      </c>
      <c r="BF193" s="576">
        <f t="shared" si="238"/>
        <v>61667.620000000017</v>
      </c>
      <c r="BG193" s="576">
        <f t="shared" si="218"/>
        <v>455522.21</v>
      </c>
      <c r="BH193" s="578">
        <f t="shared" si="218"/>
        <v>465787.16000000003</v>
      </c>
      <c r="BI193" s="578">
        <v>527454.78</v>
      </c>
      <c r="BJ193" s="578">
        <f t="shared" si="239"/>
        <v>71932.570000000007</v>
      </c>
      <c r="BK193" s="578">
        <f t="shared" si="240"/>
        <v>61667.619999999995</v>
      </c>
      <c r="BL193" s="576">
        <v>118000</v>
      </c>
      <c r="BM193" s="578">
        <f>'[67]Дир_ имущ'!AW56</f>
        <v>118000</v>
      </c>
      <c r="BN193" s="522">
        <f t="shared" si="304"/>
        <v>70963.069999999949</v>
      </c>
      <c r="BO193" s="578">
        <f t="shared" si="245"/>
        <v>-47036.930000000051</v>
      </c>
      <c r="BP193" s="578">
        <f t="shared" si="241"/>
        <v>-47036.930000000051</v>
      </c>
      <c r="BQ193" s="576">
        <v>118000</v>
      </c>
      <c r="BR193" s="578">
        <f>'[67]Дир_ имущ'!BB56</f>
        <v>0</v>
      </c>
      <c r="BS193" s="578">
        <f>'[67]Дир_ имущ'!BC56</f>
        <v>0</v>
      </c>
      <c r="BT193" s="536"/>
      <c r="BU193" s="578">
        <f>596017.85+2400</f>
        <v>598417.85</v>
      </c>
      <c r="BV193" s="578"/>
      <c r="BW193" s="578"/>
      <c r="BX193" s="574"/>
      <c r="BY193" s="525">
        <f>549661.95+2396.72</f>
        <v>552058.66999999993</v>
      </c>
      <c r="BZ193" s="525">
        <f>41182.86+2.33</f>
        <v>41185.19</v>
      </c>
      <c r="CA193" s="525">
        <f>5173.04+0.95</f>
        <v>5173.99</v>
      </c>
      <c r="CB193" s="522">
        <f t="shared" si="308"/>
        <v>598417.84999999986</v>
      </c>
      <c r="CC193" s="522">
        <f t="shared" si="242"/>
        <v>0</v>
      </c>
      <c r="CD193" s="578"/>
      <c r="CE193" s="578"/>
      <c r="CF193" s="578"/>
      <c r="CG193" s="578"/>
      <c r="CH193" s="578"/>
      <c r="CI193" s="578"/>
      <c r="CJ193" s="578"/>
      <c r="CK193" s="543" t="s">
        <v>1815</v>
      </c>
      <c r="CL193" s="543" t="s">
        <v>1897</v>
      </c>
      <c r="CM193" s="509" t="s">
        <v>1925</v>
      </c>
      <c r="CN193" s="528"/>
      <c r="CO193" s="528"/>
      <c r="CP193" s="544">
        <f t="shared" si="305"/>
        <v>529143.31963515875</v>
      </c>
      <c r="CQ193" s="544">
        <f t="shared" si="306"/>
        <v>38867.303112147914</v>
      </c>
      <c r="CR193" s="544">
        <f t="shared" si="307"/>
        <v>5511.5872526933063</v>
      </c>
      <c r="CS193" s="1688" t="s">
        <v>1826</v>
      </c>
      <c r="CT193" s="1689"/>
      <c r="CU193" s="1689"/>
      <c r="CV193" s="1689"/>
      <c r="CW193" s="1690"/>
      <c r="CX193" s="528"/>
      <c r="CY193" s="528"/>
      <c r="CZ193" s="528"/>
      <c r="DA193" s="528"/>
      <c r="DB193" s="579">
        <f>14359.32</f>
        <v>14359.32</v>
      </c>
      <c r="DC193" s="628" t="e">
        <f>P193-#REF!</f>
        <v>#REF!</v>
      </c>
      <c r="DD193" s="535"/>
      <c r="DE193" s="535"/>
      <c r="DF193" s="525">
        <f t="shared" si="278"/>
        <v>552.05866999999989</v>
      </c>
      <c r="DG193" s="525">
        <f t="shared" si="278"/>
        <v>41.185190000000006</v>
      </c>
      <c r="DH193" s="525">
        <f t="shared" si="278"/>
        <v>5.1739899999999999</v>
      </c>
      <c r="DI193" s="522">
        <f t="shared" si="278"/>
        <v>598.41784999999982</v>
      </c>
      <c r="DJ193" s="536"/>
      <c r="DK193" s="536"/>
      <c r="DL193" s="536"/>
      <c r="DM193" s="536"/>
      <c r="DN193" s="536"/>
      <c r="DO193" s="536"/>
      <c r="DP193" s="536"/>
      <c r="DQ193" s="536"/>
      <c r="DR193" s="536"/>
      <c r="DS193" s="536"/>
    </row>
    <row r="194" spans="1:123" s="534" customFormat="1" ht="84.6">
      <c r="A194" s="537" t="s">
        <v>1939</v>
      </c>
      <c r="B194" s="538" t="s">
        <v>821</v>
      </c>
      <c r="C194" s="576">
        <v>837683.19</v>
      </c>
      <c r="D194" s="576">
        <v>854097.58</v>
      </c>
      <c r="E194" s="576">
        <v>1096166.32</v>
      </c>
      <c r="F194" s="576">
        <v>1600700.18</v>
      </c>
      <c r="G194" s="577">
        <v>516718.76422802528</v>
      </c>
      <c r="H194" s="577">
        <v>0</v>
      </c>
      <c r="I194" s="576">
        <f t="shared" si="298"/>
        <v>743012</v>
      </c>
      <c r="J194" s="576">
        <v>484652.62</v>
      </c>
      <c r="K194" s="576">
        <v>129179.69</v>
      </c>
      <c r="L194" s="576">
        <v>129179.69</v>
      </c>
      <c r="M194" s="576">
        <f t="shared" si="299"/>
        <v>613832.31000000006</v>
      </c>
      <c r="N194" s="576">
        <v>755351.47</v>
      </c>
      <c r="O194" s="525">
        <f t="shared" si="300"/>
        <v>399107.78</v>
      </c>
      <c r="P194" s="522">
        <f>847.46+1153611.79</f>
        <v>1154459.25</v>
      </c>
      <c r="Q194" s="576">
        <f t="shared" si="219"/>
        <v>411447.25</v>
      </c>
      <c r="R194" s="576">
        <f t="shared" si="220"/>
        <v>55.375586127814898</v>
      </c>
      <c r="S194" s="576">
        <v>545138.29626056668</v>
      </c>
      <c r="T194" s="576">
        <v>545138.29626056668</v>
      </c>
      <c r="U194" s="522">
        <f t="shared" si="301"/>
        <v>780905.61</v>
      </c>
      <c r="V194" s="522">
        <f t="shared" si="217"/>
        <v>235767.3137394333</v>
      </c>
      <c r="W194" s="522">
        <f t="shared" si="246"/>
        <v>43.249082912850554</v>
      </c>
      <c r="X194" s="522">
        <f t="shared" si="221"/>
        <v>-373553.64</v>
      </c>
      <c r="Y194" s="522">
        <f t="shared" si="222"/>
        <v>-32.357455665931909</v>
      </c>
      <c r="Z194" s="524">
        <f t="shared" si="223"/>
        <v>1328180.1600000001</v>
      </c>
      <c r="AA194" s="522">
        <f t="shared" si="224"/>
        <v>783041.86373943347</v>
      </c>
      <c r="AB194" s="522">
        <f t="shared" si="247"/>
        <v>143.64095663628683</v>
      </c>
      <c r="AC194" s="522">
        <f t="shared" si="225"/>
        <v>547274.55000000016</v>
      </c>
      <c r="AD194" s="522">
        <f t="shared" si="226"/>
        <v>70.082035907002933</v>
      </c>
      <c r="AE194" s="522">
        <f t="shared" si="227"/>
        <v>173720.91000000015</v>
      </c>
      <c r="AF194" s="522">
        <f t="shared" si="228"/>
        <v>15.047816542680053</v>
      </c>
      <c r="AG194" s="522">
        <f t="shared" si="243"/>
        <v>1214171.6599999999</v>
      </c>
      <c r="AH194" s="522">
        <f t="shared" si="229"/>
        <v>433266.04999999993</v>
      </c>
      <c r="AI194" s="522">
        <f t="shared" si="230"/>
        <v>55.482512156622846</v>
      </c>
      <c r="AJ194" s="522">
        <f t="shared" si="231"/>
        <v>-114008.50000000023</v>
      </c>
      <c r="AK194" s="522">
        <f t="shared" si="310"/>
        <v>-8.5838129068273616</v>
      </c>
      <c r="AL194" s="522">
        <f t="shared" si="302"/>
        <v>1214171.6599999999</v>
      </c>
      <c r="AM194" s="522">
        <f t="shared" si="270"/>
        <v>390452.8</v>
      </c>
      <c r="AN194" s="522">
        <f t="shared" si="270"/>
        <v>537727.35</v>
      </c>
      <c r="AO194" s="522">
        <f t="shared" si="232"/>
        <v>147274.54999999999</v>
      </c>
      <c r="AP194" s="522">
        <f t="shared" si="244"/>
        <v>37.718912503636801</v>
      </c>
      <c r="AQ194" s="578">
        <v>195226.4</v>
      </c>
      <c r="AR194" s="578">
        <v>228234.09</v>
      </c>
      <c r="AS194" s="578">
        <v>195226.4</v>
      </c>
      <c r="AT194" s="578">
        <v>309493.26</v>
      </c>
      <c r="AU194" s="578">
        <f t="shared" si="276"/>
        <v>390452.81</v>
      </c>
      <c r="AV194" s="578">
        <f t="shared" si="276"/>
        <v>790452.81</v>
      </c>
      <c r="AW194" s="578">
        <f t="shared" si="233"/>
        <v>400000.00000000006</v>
      </c>
      <c r="AX194" s="578">
        <f t="shared" si="234"/>
        <v>102.44515848150769</v>
      </c>
      <c r="AY194" s="578">
        <f t="shared" si="277"/>
        <v>676444.30999999994</v>
      </c>
      <c r="AZ194" s="578">
        <f t="shared" si="235"/>
        <v>114008.50000000012</v>
      </c>
      <c r="BA194" s="578">
        <f t="shared" si="236"/>
        <v>16.85408515003995</v>
      </c>
      <c r="BB194" s="578">
        <v>195226.4</v>
      </c>
      <c r="BC194" s="576">
        <f>'[67]Гл инж_Тех дир'!AT69</f>
        <v>395226.4</v>
      </c>
      <c r="BD194" s="576">
        <f t="shared" si="303"/>
        <v>264540.80000000005</v>
      </c>
      <c r="BE194" s="576">
        <f t="shared" si="237"/>
        <v>69314.400000000052</v>
      </c>
      <c r="BF194" s="576">
        <f t="shared" si="238"/>
        <v>-130685.59999999998</v>
      </c>
      <c r="BG194" s="576">
        <f t="shared" si="218"/>
        <v>585679.19999999995</v>
      </c>
      <c r="BH194" s="578">
        <f t="shared" si="218"/>
        <v>932953.75</v>
      </c>
      <c r="BI194" s="578">
        <f>801193.42+1074.73</f>
        <v>802268.15</v>
      </c>
      <c r="BJ194" s="578">
        <f t="shared" si="239"/>
        <v>216588.95000000007</v>
      </c>
      <c r="BK194" s="578">
        <f t="shared" si="240"/>
        <v>-130685.59999999998</v>
      </c>
      <c r="BL194" s="576">
        <v>195226.41</v>
      </c>
      <c r="BM194" s="578">
        <f>'[67]Гл инж_Тех дир'!AW69</f>
        <v>395226.41</v>
      </c>
      <c r="BN194" s="522">
        <f t="shared" si="304"/>
        <v>411903.50999999989</v>
      </c>
      <c r="BO194" s="578">
        <f t="shared" si="245"/>
        <v>216677.09999999989</v>
      </c>
      <c r="BP194" s="578">
        <f t="shared" si="241"/>
        <v>16677.099999999919</v>
      </c>
      <c r="BQ194" s="576">
        <v>195226.41</v>
      </c>
      <c r="BR194" s="578">
        <f>'[67]Гл инж_Тех дир'!BB69</f>
        <v>0</v>
      </c>
      <c r="BS194" s="578">
        <f>'[67]Гл инж_Тех дир'!BC69</f>
        <v>0</v>
      </c>
      <c r="BT194" s="536"/>
      <c r="BU194" s="578">
        <v>1213096.93</v>
      </c>
      <c r="BV194" s="578">
        <v>1074.73</v>
      </c>
      <c r="BW194" s="578"/>
      <c r="BX194" s="574"/>
      <c r="BY194" s="525">
        <f>1101274.68+1074.73</f>
        <v>1102349.4099999999</v>
      </c>
      <c r="BZ194" s="525">
        <v>92457.14</v>
      </c>
      <c r="CA194" s="525">
        <v>19365.11</v>
      </c>
      <c r="CB194" s="522">
        <f t="shared" si="308"/>
        <v>1214171.6599999999</v>
      </c>
      <c r="CC194" s="522">
        <f t="shared" si="242"/>
        <v>0</v>
      </c>
      <c r="CD194" s="578"/>
      <c r="CE194" s="578"/>
      <c r="CF194" s="578"/>
      <c r="CG194" s="578"/>
      <c r="CH194" s="578"/>
      <c r="CI194" s="578"/>
      <c r="CJ194" s="578"/>
      <c r="CK194" s="542" t="s">
        <v>79</v>
      </c>
      <c r="CL194" s="543" t="s">
        <v>1911</v>
      </c>
      <c r="CM194" s="509" t="s">
        <v>1925</v>
      </c>
      <c r="CN194" s="528" t="s">
        <v>1849</v>
      </c>
      <c r="CO194" s="528"/>
      <c r="CP194" s="544">
        <f t="shared" si="305"/>
        <v>720479.48552353133</v>
      </c>
      <c r="CQ194" s="544">
        <f t="shared" si="306"/>
        <v>52921.568714569519</v>
      </c>
      <c r="CR194" s="544">
        <f t="shared" si="307"/>
        <v>7504.5557618992498</v>
      </c>
      <c r="CS194" s="1688" t="s">
        <v>1826</v>
      </c>
      <c r="CT194" s="1689"/>
      <c r="CU194" s="1689"/>
      <c r="CV194" s="1689"/>
      <c r="CW194" s="1690"/>
      <c r="CX194" s="528"/>
      <c r="CY194" s="528"/>
      <c r="CZ194" s="528"/>
      <c r="DA194" s="528"/>
      <c r="DB194" s="579">
        <f>228234.09</f>
        <v>228234.09</v>
      </c>
      <c r="DC194" s="628" t="e">
        <f>P194-#REF!</f>
        <v>#REF!</v>
      </c>
      <c r="DD194" s="535"/>
      <c r="DE194" s="535"/>
      <c r="DF194" s="525">
        <f t="shared" si="278"/>
        <v>1102.3494099999998</v>
      </c>
      <c r="DG194" s="525">
        <f t="shared" si="278"/>
        <v>92.457139999999995</v>
      </c>
      <c r="DH194" s="525">
        <f t="shared" si="278"/>
        <v>19.365110000000001</v>
      </c>
      <c r="DI194" s="522">
        <f t="shared" si="278"/>
        <v>1214.17166</v>
      </c>
      <c r="DJ194" s="536"/>
      <c r="DK194" s="536"/>
      <c r="DL194" s="536"/>
      <c r="DM194" s="536"/>
      <c r="DN194" s="536"/>
      <c r="DO194" s="536"/>
      <c r="DP194" s="536"/>
      <c r="DQ194" s="536"/>
      <c r="DR194" s="536"/>
      <c r="DS194" s="536"/>
    </row>
    <row r="195" spans="1:123" s="534" customFormat="1" ht="88.5" customHeight="1">
      <c r="A195" s="537" t="s">
        <v>825</v>
      </c>
      <c r="B195" s="538" t="s">
        <v>826</v>
      </c>
      <c r="C195" s="576">
        <v>3027993.43</v>
      </c>
      <c r="D195" s="576">
        <v>11329083.48</v>
      </c>
      <c r="E195" s="576">
        <v>3000000</v>
      </c>
      <c r="F195" s="576">
        <v>3243039.89</v>
      </c>
      <c r="G195" s="577">
        <v>2359501.3705293178</v>
      </c>
      <c r="H195" s="577">
        <v>0</v>
      </c>
      <c r="I195" s="576">
        <f t="shared" si="298"/>
        <v>1946928.76</v>
      </c>
      <c r="J195" s="576">
        <v>37427.39</v>
      </c>
      <c r="K195" s="576">
        <v>1509501.37</v>
      </c>
      <c r="L195" s="576">
        <v>400000</v>
      </c>
      <c r="M195" s="576">
        <f t="shared" si="299"/>
        <v>1546928.76</v>
      </c>
      <c r="N195" s="576">
        <v>951913.77</v>
      </c>
      <c r="O195" s="525">
        <f t="shared" si="300"/>
        <v>3113623.21</v>
      </c>
      <c r="P195" s="522">
        <v>4065536.98</v>
      </c>
      <c r="Q195" s="576">
        <f t="shared" si="219"/>
        <v>2118608.2199999997</v>
      </c>
      <c r="R195" s="576">
        <f t="shared" si="220"/>
        <v>108.81796311848615</v>
      </c>
      <c r="S195" s="576">
        <v>3678114.8112499998</v>
      </c>
      <c r="T195" s="576">
        <v>3678114.8112499998</v>
      </c>
      <c r="U195" s="522">
        <f t="shared" si="301"/>
        <v>3516949.15</v>
      </c>
      <c r="V195" s="522">
        <f t="shared" si="217"/>
        <v>-161165.66124999989</v>
      </c>
      <c r="W195" s="522">
        <f t="shared" si="246"/>
        <v>-4.3817463434543527</v>
      </c>
      <c r="X195" s="522">
        <f t="shared" si="221"/>
        <v>-548587.83000000007</v>
      </c>
      <c r="Y195" s="522">
        <f t="shared" si="222"/>
        <v>-13.493613087243389</v>
      </c>
      <c r="Z195" s="524">
        <f t="shared" si="223"/>
        <v>1665954.38</v>
      </c>
      <c r="AA195" s="522">
        <f t="shared" si="224"/>
        <v>-2012160.4312499999</v>
      </c>
      <c r="AB195" s="522">
        <f t="shared" si="247"/>
        <v>-54.70629750587289</v>
      </c>
      <c r="AC195" s="522">
        <f t="shared" si="225"/>
        <v>-1850994.77</v>
      </c>
      <c r="AD195" s="522">
        <f t="shared" si="226"/>
        <v>-52.630694703106528</v>
      </c>
      <c r="AE195" s="522">
        <f t="shared" si="227"/>
        <v>-2399582.6</v>
      </c>
      <c r="AF195" s="522">
        <f t="shared" si="228"/>
        <v>-59.022525481984431</v>
      </c>
      <c r="AG195" s="522">
        <f t="shared" si="243"/>
        <v>2668678.8199999994</v>
      </c>
      <c r="AH195" s="522">
        <f t="shared" si="229"/>
        <v>-848270.33000000054</v>
      </c>
      <c r="AI195" s="522">
        <f t="shared" si="230"/>
        <v>-24.119493737917722</v>
      </c>
      <c r="AJ195" s="522">
        <f t="shared" si="231"/>
        <v>1002724.4399999995</v>
      </c>
      <c r="AK195" s="522">
        <f t="shared" si="310"/>
        <v>60.189189574326718</v>
      </c>
      <c r="AL195" s="522">
        <f t="shared" si="302"/>
        <v>2668678.8199999998</v>
      </c>
      <c r="AM195" s="522">
        <f t="shared" si="270"/>
        <v>2415254.2400000002</v>
      </c>
      <c r="AN195" s="522">
        <f t="shared" si="270"/>
        <v>564259.47</v>
      </c>
      <c r="AO195" s="522">
        <f t="shared" si="232"/>
        <v>-1850994.7700000003</v>
      </c>
      <c r="AP195" s="522">
        <f t="shared" si="244"/>
        <v>-76.637678110441911</v>
      </c>
      <c r="AQ195" s="578">
        <v>805084.75</v>
      </c>
      <c r="AR195" s="578">
        <v>0</v>
      </c>
      <c r="AS195" s="578">
        <v>1610169.49</v>
      </c>
      <c r="AT195" s="578">
        <v>564259.47</v>
      </c>
      <c r="AU195" s="578">
        <f t="shared" si="276"/>
        <v>1101694.9099999999</v>
      </c>
      <c r="AV195" s="578">
        <f t="shared" si="276"/>
        <v>1101694.9099999999</v>
      </c>
      <c r="AW195" s="578">
        <f t="shared" si="233"/>
        <v>0</v>
      </c>
      <c r="AX195" s="578">
        <f t="shared" si="234"/>
        <v>0</v>
      </c>
      <c r="AY195" s="578">
        <f t="shared" si="277"/>
        <v>2104419.3499999996</v>
      </c>
      <c r="AZ195" s="578">
        <f t="shared" si="235"/>
        <v>-1002724.4399999997</v>
      </c>
      <c r="BA195" s="578">
        <f t="shared" si="236"/>
        <v>-47.648508839267222</v>
      </c>
      <c r="BB195" s="578">
        <v>762711.86</v>
      </c>
      <c r="BC195" s="576">
        <f>'[67]Дир_ по реал.услуг'!AT30</f>
        <v>762711.86</v>
      </c>
      <c r="BD195" s="576">
        <f t="shared" si="303"/>
        <v>1392886.87</v>
      </c>
      <c r="BE195" s="576">
        <f t="shared" si="237"/>
        <v>630175.01000000013</v>
      </c>
      <c r="BF195" s="576">
        <f t="shared" si="238"/>
        <v>630175.01000000013</v>
      </c>
      <c r="BG195" s="576">
        <f t="shared" si="218"/>
        <v>3177966.1</v>
      </c>
      <c r="BH195" s="578">
        <f t="shared" si="218"/>
        <v>1326971.33</v>
      </c>
      <c r="BI195" s="578">
        <v>1957146.34</v>
      </c>
      <c r="BJ195" s="578">
        <f t="shared" si="239"/>
        <v>-1220819.76</v>
      </c>
      <c r="BK195" s="578">
        <f t="shared" si="240"/>
        <v>630175.01</v>
      </c>
      <c r="BL195" s="576">
        <v>338983.05</v>
      </c>
      <c r="BM195" s="578">
        <f>'[67]Дир_ по реал.услуг'!AW30</f>
        <v>338983.05</v>
      </c>
      <c r="BN195" s="522">
        <f t="shared" si="304"/>
        <v>711532.47999999975</v>
      </c>
      <c r="BO195" s="578">
        <f t="shared" si="245"/>
        <v>372549.42999999976</v>
      </c>
      <c r="BP195" s="578">
        <f t="shared" si="241"/>
        <v>372549.42999999976</v>
      </c>
      <c r="BQ195" s="576">
        <v>338983.05</v>
      </c>
      <c r="BR195" s="578">
        <f>'[67]Дир_ по реал.услуг'!BB30</f>
        <v>0</v>
      </c>
      <c r="BS195" s="578">
        <f>'[67]Дир_ по реал.услуг'!BC30</f>
        <v>0</v>
      </c>
      <c r="BT195" s="536"/>
      <c r="BU195" s="578">
        <v>2668678.8199999998</v>
      </c>
      <c r="BV195" s="578"/>
      <c r="BW195" s="578"/>
      <c r="BX195" s="574"/>
      <c r="BY195" s="525">
        <v>2668678.8199999998</v>
      </c>
      <c r="BZ195" s="525"/>
      <c r="CA195" s="525"/>
      <c r="CB195" s="522">
        <f t="shared" si="308"/>
        <v>2668678.8199999998</v>
      </c>
      <c r="CC195" s="522">
        <f t="shared" si="242"/>
        <v>0</v>
      </c>
      <c r="CD195" s="578"/>
      <c r="CE195" s="578"/>
      <c r="CF195" s="578"/>
      <c r="CG195" s="578"/>
      <c r="CH195" s="578"/>
      <c r="CI195" s="578"/>
      <c r="CJ195" s="578"/>
      <c r="CK195" s="543" t="s">
        <v>78</v>
      </c>
      <c r="CL195" s="543" t="s">
        <v>1833</v>
      </c>
      <c r="CM195" s="509" t="s">
        <v>1925</v>
      </c>
      <c r="CN195" s="528"/>
      <c r="CO195" s="528"/>
      <c r="CP195" s="544">
        <f t="shared" si="305"/>
        <v>3244809.2083810498</v>
      </c>
      <c r="CQ195" s="544">
        <f t="shared" si="306"/>
        <v>238341.82226885509</v>
      </c>
      <c r="CR195" s="544">
        <f t="shared" si="307"/>
        <v>33798.119350095549</v>
      </c>
      <c r="CS195" s="1688" t="s">
        <v>1826</v>
      </c>
      <c r="CT195" s="1689"/>
      <c r="CU195" s="1689"/>
      <c r="CV195" s="1689"/>
      <c r="CW195" s="1690"/>
      <c r="CX195" s="528"/>
      <c r="CY195" s="528"/>
      <c r="CZ195" s="528"/>
      <c r="DA195" s="528"/>
      <c r="DB195" s="579"/>
      <c r="DC195" s="628" t="e">
        <f>P195-#REF!</f>
        <v>#REF!</v>
      </c>
      <c r="DD195" s="535"/>
      <c r="DE195" s="535"/>
      <c r="DF195" s="525">
        <f t="shared" si="278"/>
        <v>2668.6788199999996</v>
      </c>
      <c r="DG195" s="525">
        <f t="shared" si="278"/>
        <v>0</v>
      </c>
      <c r="DH195" s="525">
        <f t="shared" si="278"/>
        <v>0</v>
      </c>
      <c r="DI195" s="522">
        <f t="shared" si="278"/>
        <v>2668.6788199999996</v>
      </c>
      <c r="DJ195" s="536"/>
      <c r="DK195" s="536"/>
      <c r="DL195" s="536"/>
      <c r="DM195" s="536"/>
      <c r="DN195" s="536"/>
      <c r="DO195" s="536"/>
      <c r="DP195" s="536"/>
      <c r="DQ195" s="536"/>
      <c r="DR195" s="536"/>
      <c r="DS195" s="536"/>
    </row>
    <row r="196" spans="1:123" s="623" customFormat="1" ht="141">
      <c r="A196" s="537" t="s">
        <v>729</v>
      </c>
      <c r="B196" s="538" t="s">
        <v>1940</v>
      </c>
      <c r="C196" s="576">
        <v>54665134.640000001</v>
      </c>
      <c r="D196" s="576">
        <v>42421277.859999999</v>
      </c>
      <c r="E196" s="573">
        <v>46514525.00999999</v>
      </c>
      <c r="F196" s="573">
        <v>77689404.909999996</v>
      </c>
      <c r="G196" s="596">
        <v>39539041.493048631</v>
      </c>
      <c r="H196" s="596">
        <v>0</v>
      </c>
      <c r="I196" s="522">
        <f t="shared" si="298"/>
        <v>72470275.969999999</v>
      </c>
      <c r="J196" s="573">
        <v>37724941.259999998</v>
      </c>
      <c r="K196" s="573">
        <v>21124770.199999999</v>
      </c>
      <c r="L196" s="573">
        <v>13620564.51</v>
      </c>
      <c r="M196" s="573">
        <f t="shared" si="299"/>
        <v>58849711.459999993</v>
      </c>
      <c r="N196" s="573">
        <v>52305918.719999999</v>
      </c>
      <c r="O196" s="573">
        <f t="shared" si="300"/>
        <v>14133084.969999999</v>
      </c>
      <c r="P196" s="522">
        <f>63104509.04+3334494.65</f>
        <v>66439003.689999998</v>
      </c>
      <c r="Q196" s="525">
        <f t="shared" si="219"/>
        <v>-6031272.2800000012</v>
      </c>
      <c r="R196" s="525">
        <f t="shared" si="220"/>
        <v>-8.3224083243407563</v>
      </c>
      <c r="S196" s="525">
        <v>79533422.150000006</v>
      </c>
      <c r="T196" s="525">
        <v>79533422.150000006</v>
      </c>
      <c r="U196" s="522">
        <f t="shared" si="301"/>
        <v>74417372.969999999</v>
      </c>
      <c r="V196" s="522">
        <f t="shared" si="217"/>
        <v>-5116049.1800000072</v>
      </c>
      <c r="W196" s="522">
        <f t="shared" si="246"/>
        <v>-6.4325777034353422</v>
      </c>
      <c r="X196" s="522">
        <f t="shared" si="221"/>
        <v>7978369.2800000012</v>
      </c>
      <c r="Y196" s="522">
        <f t="shared" si="222"/>
        <v>12.008562496250775</v>
      </c>
      <c r="Z196" s="524">
        <f t="shared" si="223"/>
        <v>76700949.710000008</v>
      </c>
      <c r="AA196" s="522">
        <f t="shared" si="224"/>
        <v>-2832472.4399999976</v>
      </c>
      <c r="AB196" s="522">
        <f t="shared" si="247"/>
        <v>-3.5613612031655748</v>
      </c>
      <c r="AC196" s="522">
        <f t="shared" si="225"/>
        <v>2283576.7400000095</v>
      </c>
      <c r="AD196" s="522">
        <f t="shared" si="226"/>
        <v>3.0686070320173684</v>
      </c>
      <c r="AE196" s="522">
        <f t="shared" si="227"/>
        <v>10261946.020000011</v>
      </c>
      <c r="AF196" s="522">
        <f t="shared" si="228"/>
        <v>15.445665121472274</v>
      </c>
      <c r="AG196" s="522">
        <f t="shared" si="243"/>
        <v>77463996.799999997</v>
      </c>
      <c r="AH196" s="522">
        <f t="shared" si="229"/>
        <v>3046623.8299999982</v>
      </c>
      <c r="AI196" s="522">
        <f t="shared" si="230"/>
        <v>4.0939685296714146</v>
      </c>
      <c r="AJ196" s="522">
        <f t="shared" si="231"/>
        <v>763047.08999998868</v>
      </c>
      <c r="AK196" s="522">
        <f t="shared" si="310"/>
        <v>0.9948339530149326</v>
      </c>
      <c r="AL196" s="522">
        <f t="shared" si="302"/>
        <v>77463996.799999997</v>
      </c>
      <c r="AM196" s="522">
        <f t="shared" si="270"/>
        <v>36814587.329999998</v>
      </c>
      <c r="AN196" s="522">
        <f t="shared" si="270"/>
        <v>37383607.609999999</v>
      </c>
      <c r="AO196" s="522">
        <f t="shared" si="232"/>
        <v>569020.28000000119</v>
      </c>
      <c r="AP196" s="522">
        <f t="shared" si="244"/>
        <v>1.5456380779156831</v>
      </c>
      <c r="AQ196" s="522">
        <v>18407469.510000002</v>
      </c>
      <c r="AR196" s="522">
        <v>17458128.829999998</v>
      </c>
      <c r="AS196" s="522">
        <v>18407117.82</v>
      </c>
      <c r="AT196" s="522">
        <v>19925478.780000001</v>
      </c>
      <c r="AU196" s="522">
        <f t="shared" si="276"/>
        <v>37602785.640000001</v>
      </c>
      <c r="AV196" s="522">
        <f t="shared" si="276"/>
        <v>39317342.100000001</v>
      </c>
      <c r="AW196" s="522">
        <f t="shared" si="233"/>
        <v>1714556.4600000009</v>
      </c>
      <c r="AX196" s="522">
        <f t="shared" si="234"/>
        <v>4.5596527778945699</v>
      </c>
      <c r="AY196" s="522">
        <f t="shared" si="277"/>
        <v>40080389.189999998</v>
      </c>
      <c r="AZ196" s="522">
        <f t="shared" si="235"/>
        <v>-763047.08999999613</v>
      </c>
      <c r="BA196" s="522">
        <f t="shared" si="236"/>
        <v>-1.9037916183468013</v>
      </c>
      <c r="BB196" s="522">
        <v>18638367.82</v>
      </c>
      <c r="BC196" s="525">
        <f>'[67]Гл инж_Тех дир'!AT70</f>
        <v>18886867.82</v>
      </c>
      <c r="BD196" s="525">
        <f t="shared" si="303"/>
        <v>19999327.480000004</v>
      </c>
      <c r="BE196" s="525">
        <f t="shared" si="237"/>
        <v>1360959.6600000039</v>
      </c>
      <c r="BF196" s="525">
        <f t="shared" si="238"/>
        <v>1112459.6600000039</v>
      </c>
      <c r="BG196" s="525">
        <f t="shared" si="218"/>
        <v>55452955.149999999</v>
      </c>
      <c r="BH196" s="522">
        <f t="shared" si="218"/>
        <v>56270475.43</v>
      </c>
      <c r="BI196" s="522">
        <f>56830329.29+19923.1+532682.7</f>
        <v>57382935.090000004</v>
      </c>
      <c r="BJ196" s="522">
        <f t="shared" si="239"/>
        <v>1929979.9400000051</v>
      </c>
      <c r="BK196" s="522">
        <f t="shared" si="240"/>
        <v>1112459.6600000039</v>
      </c>
      <c r="BL196" s="525">
        <v>18964417.82</v>
      </c>
      <c r="BM196" s="522">
        <f>'[67]Гл инж_Тех дир'!AW70</f>
        <v>20430474.280000001</v>
      </c>
      <c r="BN196" s="522">
        <f t="shared" si="304"/>
        <v>20081061.709999993</v>
      </c>
      <c r="BO196" s="522">
        <f t="shared" si="245"/>
        <v>1116643.8899999931</v>
      </c>
      <c r="BP196" s="522">
        <f t="shared" si="241"/>
        <v>-349412.57000000775</v>
      </c>
      <c r="BQ196" s="525">
        <v>18964417.82</v>
      </c>
      <c r="BR196" s="522">
        <f>'[67]Гл инж_Тех дир'!BB70</f>
        <v>0</v>
      </c>
      <c r="BS196" s="522">
        <f>'[67]Гл инж_Тех дир'!BC70</f>
        <v>0</v>
      </c>
      <c r="BT196" s="621"/>
      <c r="BU196" s="522">
        <f>76693645.6+3454.4+739368.19</f>
        <v>77436468.189999998</v>
      </c>
      <c r="BV196" s="522">
        <v>27528.61</v>
      </c>
      <c r="BW196" s="578"/>
      <c r="BX196" s="625"/>
      <c r="BY196" s="525">
        <f>75339132+3153.43+700416.54+27528.61</f>
        <v>76070230.580000013</v>
      </c>
      <c r="BZ196" s="525">
        <f>1153298.98+259.73+33003.9</f>
        <v>1186562.6099999999</v>
      </c>
      <c r="CA196" s="525">
        <f>201214.62+41.24+5947.75</f>
        <v>207203.61</v>
      </c>
      <c r="CB196" s="522">
        <f t="shared" si="308"/>
        <v>77463996.800000012</v>
      </c>
      <c r="CC196" s="522">
        <f t="shared" si="242"/>
        <v>0</v>
      </c>
      <c r="CD196" s="522"/>
      <c r="CE196" s="522"/>
      <c r="CF196" s="522"/>
      <c r="CG196" s="522"/>
      <c r="CH196" s="522"/>
      <c r="CI196" s="522"/>
      <c r="CJ196" s="522"/>
      <c r="CK196" s="542" t="s">
        <v>79</v>
      </c>
      <c r="CL196" s="543" t="s">
        <v>1911</v>
      </c>
      <c r="CM196" s="509" t="s">
        <v>1925</v>
      </c>
      <c r="CN196" s="528" t="s">
        <v>1849</v>
      </c>
      <c r="CO196" s="622"/>
      <c r="CP196" s="544">
        <f t="shared" si="305"/>
        <v>68658990.158155397</v>
      </c>
      <c r="CQ196" s="544">
        <f t="shared" si="306"/>
        <v>5043226.8212154387</v>
      </c>
      <c r="CR196" s="544">
        <f t="shared" si="307"/>
        <v>715155.99062916066</v>
      </c>
      <c r="CS196" s="1688" t="s">
        <v>1826</v>
      </c>
      <c r="CT196" s="1689"/>
      <c r="CU196" s="1689"/>
      <c r="CV196" s="1689"/>
      <c r="CW196" s="1690"/>
      <c r="CX196" s="622"/>
      <c r="CY196" s="622"/>
      <c r="CZ196" s="622"/>
      <c r="DA196" s="622"/>
      <c r="DB196" s="544">
        <f>17320856.61+132477.45+4794.77</f>
        <v>17458128.829999998</v>
      </c>
      <c r="DC196" s="628" t="e">
        <f>P196-#REF!</f>
        <v>#REF!</v>
      </c>
      <c r="DD196" s="624"/>
      <c r="DE196" s="624"/>
      <c r="DF196" s="525">
        <f t="shared" si="278"/>
        <v>76070.230580000018</v>
      </c>
      <c r="DG196" s="525">
        <f t="shared" si="278"/>
        <v>1186.5626099999999</v>
      </c>
      <c r="DH196" s="525">
        <f t="shared" si="278"/>
        <v>207.20361</v>
      </c>
      <c r="DI196" s="522">
        <f t="shared" si="278"/>
        <v>77463.996800000008</v>
      </c>
      <c r="DJ196" s="621"/>
      <c r="DK196" s="621"/>
      <c r="DL196" s="621"/>
      <c r="DM196" s="621"/>
      <c r="DN196" s="621"/>
      <c r="DO196" s="621"/>
      <c r="DP196" s="621"/>
      <c r="DQ196" s="621"/>
      <c r="DR196" s="621"/>
      <c r="DS196" s="621"/>
    </row>
    <row r="197" spans="1:123" s="534" customFormat="1" ht="113.25" customHeight="1">
      <c r="A197" s="537" t="s">
        <v>831</v>
      </c>
      <c r="B197" s="538" t="s">
        <v>832</v>
      </c>
      <c r="C197" s="576">
        <v>2392671.7799999998</v>
      </c>
      <c r="D197" s="576">
        <v>2644977.0099999998</v>
      </c>
      <c r="E197" s="525">
        <v>8558330</v>
      </c>
      <c r="F197" s="525">
        <v>5421189.4699999997</v>
      </c>
      <c r="G197" s="596">
        <v>2792840.6122244615</v>
      </c>
      <c r="H197" s="596">
        <v>0</v>
      </c>
      <c r="I197" s="525">
        <f t="shared" si="298"/>
        <v>3886113.84</v>
      </c>
      <c r="J197" s="525">
        <v>2489693.5299999998</v>
      </c>
      <c r="K197" s="525">
        <v>698210.15</v>
      </c>
      <c r="L197" s="525">
        <v>698210.16</v>
      </c>
      <c r="M197" s="525">
        <f t="shared" si="299"/>
        <v>3187903.6799999997</v>
      </c>
      <c r="N197" s="525">
        <v>2898443.99</v>
      </c>
      <c r="O197" s="525">
        <f t="shared" si="300"/>
        <v>1739994.6600000001</v>
      </c>
      <c r="P197" s="522">
        <v>4638438.6500000004</v>
      </c>
      <c r="Q197" s="525">
        <f t="shared" si="219"/>
        <v>752324.81000000052</v>
      </c>
      <c r="R197" s="525">
        <f t="shared" si="220"/>
        <v>19.359309607872959</v>
      </c>
      <c r="S197" s="525">
        <v>2597849.4074999997</v>
      </c>
      <c r="T197" s="525">
        <v>2597849.4074999997</v>
      </c>
      <c r="U197" s="522">
        <f t="shared" si="301"/>
        <v>4061686.1799999997</v>
      </c>
      <c r="V197" s="522">
        <f t="shared" ref="V197:V260" si="311">U197-T197</f>
        <v>1463836.7725</v>
      </c>
      <c r="W197" s="522">
        <f t="shared" si="246"/>
        <v>56.348022648037187</v>
      </c>
      <c r="X197" s="522">
        <f t="shared" si="221"/>
        <v>-576752.47000000067</v>
      </c>
      <c r="Y197" s="522">
        <f t="shared" si="222"/>
        <v>-12.434194208863815</v>
      </c>
      <c r="Z197" s="524">
        <f t="shared" si="223"/>
        <v>4061686.1799999997</v>
      </c>
      <c r="AA197" s="522">
        <f t="shared" si="224"/>
        <v>1463836.7725</v>
      </c>
      <c r="AB197" s="522">
        <f t="shared" si="247"/>
        <v>56.348022648037187</v>
      </c>
      <c r="AC197" s="522">
        <f t="shared" si="225"/>
        <v>0</v>
      </c>
      <c r="AD197" s="522">
        <f t="shared" si="226"/>
        <v>0</v>
      </c>
      <c r="AE197" s="522">
        <f t="shared" si="227"/>
        <v>-576752.47000000067</v>
      </c>
      <c r="AF197" s="522">
        <f t="shared" si="228"/>
        <v>-12.434194208863815</v>
      </c>
      <c r="AG197" s="522">
        <f t="shared" si="243"/>
        <v>3775824.76</v>
      </c>
      <c r="AH197" s="522">
        <f t="shared" si="229"/>
        <v>-285861.41999999993</v>
      </c>
      <c r="AI197" s="522">
        <f t="shared" si="230"/>
        <v>-7.0379986865454924</v>
      </c>
      <c r="AJ197" s="522">
        <f t="shared" si="231"/>
        <v>-285861.41999999993</v>
      </c>
      <c r="AK197" s="522">
        <f t="shared" si="310"/>
        <v>-7.0379986865454924</v>
      </c>
      <c r="AL197" s="522">
        <f t="shared" si="302"/>
        <v>3775824.76</v>
      </c>
      <c r="AM197" s="522">
        <f t="shared" si="270"/>
        <v>1561686.18</v>
      </c>
      <c r="AN197" s="522">
        <f t="shared" si="270"/>
        <v>1394854.45</v>
      </c>
      <c r="AO197" s="522">
        <f t="shared" si="232"/>
        <v>-166831.72999999998</v>
      </c>
      <c r="AP197" s="522">
        <f t="shared" si="244"/>
        <v>-10.682794798120071</v>
      </c>
      <c r="AQ197" s="522">
        <v>61686.18</v>
      </c>
      <c r="AR197" s="522">
        <v>619218.74</v>
      </c>
      <c r="AS197" s="522">
        <v>1500000</v>
      </c>
      <c r="AT197" s="522">
        <v>775635.71</v>
      </c>
      <c r="AU197" s="522">
        <f t="shared" si="276"/>
        <v>2500000</v>
      </c>
      <c r="AV197" s="522">
        <f t="shared" si="276"/>
        <v>2666831.73</v>
      </c>
      <c r="AW197" s="522">
        <f t="shared" si="233"/>
        <v>166831.72999999998</v>
      </c>
      <c r="AX197" s="522">
        <f t="shared" si="234"/>
        <v>6.6732691999999929</v>
      </c>
      <c r="AY197" s="522">
        <f t="shared" si="277"/>
        <v>2380970.3099999996</v>
      </c>
      <c r="AZ197" s="522">
        <f t="shared" si="235"/>
        <v>285861.42000000039</v>
      </c>
      <c r="BA197" s="522">
        <f t="shared" si="236"/>
        <v>12.006089231746884</v>
      </c>
      <c r="BB197" s="522">
        <v>1000000</v>
      </c>
      <c r="BC197" s="525">
        <f>'[67]Гл инж_Тех дир'!AT12</f>
        <v>1000000</v>
      </c>
      <c r="BD197" s="525">
        <f t="shared" si="303"/>
        <v>450192.32000000007</v>
      </c>
      <c r="BE197" s="525">
        <f t="shared" si="237"/>
        <v>-549807.67999999993</v>
      </c>
      <c r="BF197" s="525">
        <f t="shared" si="238"/>
        <v>-549807.67999999993</v>
      </c>
      <c r="BG197" s="525">
        <f t="shared" ref="BG197:BH260" si="312">AM197+BB197</f>
        <v>2561686.1799999997</v>
      </c>
      <c r="BH197" s="522">
        <f t="shared" si="312"/>
        <v>2394854.4500000002</v>
      </c>
      <c r="BI197" s="522">
        <f>1841854.77+3192</f>
        <v>1845046.77</v>
      </c>
      <c r="BJ197" s="522">
        <f t="shared" si="239"/>
        <v>-716639.40999999968</v>
      </c>
      <c r="BK197" s="522">
        <f t="shared" si="240"/>
        <v>-549807.68000000017</v>
      </c>
      <c r="BL197" s="525">
        <v>1500000</v>
      </c>
      <c r="BM197" s="522">
        <f>'[67]Гл инж_Тех дир'!AW12</f>
        <v>1666831.73</v>
      </c>
      <c r="BN197" s="522">
        <f t="shared" si="304"/>
        <v>1930777.9899999998</v>
      </c>
      <c r="BO197" s="522">
        <f t="shared" si="245"/>
        <v>430777.98999999976</v>
      </c>
      <c r="BP197" s="522">
        <f t="shared" si="241"/>
        <v>263946.25999999978</v>
      </c>
      <c r="BQ197" s="525">
        <v>1500000</v>
      </c>
      <c r="BR197" s="522">
        <f>'[67]Гл инж_Тех дир'!BB12</f>
        <v>0</v>
      </c>
      <c r="BS197" s="522">
        <f>'[67]Гл инж_Тех дир'!BC12</f>
        <v>0</v>
      </c>
      <c r="BT197" s="536"/>
      <c r="BU197" s="522">
        <v>3771036.76</v>
      </c>
      <c r="BV197" s="522">
        <v>4788</v>
      </c>
      <c r="BW197" s="578"/>
      <c r="BX197" s="574"/>
      <c r="BY197" s="525">
        <f>3470748.46+4788</f>
        <v>3475536.46</v>
      </c>
      <c r="BZ197" s="525">
        <v>270002.71999999997</v>
      </c>
      <c r="CA197" s="525">
        <v>30285.58</v>
      </c>
      <c r="CB197" s="522">
        <f t="shared" si="308"/>
        <v>3775824.76</v>
      </c>
      <c r="CC197" s="522">
        <f t="shared" si="242"/>
        <v>0</v>
      </c>
      <c r="CD197" s="522"/>
      <c r="CE197" s="522"/>
      <c r="CF197" s="522"/>
      <c r="CG197" s="522"/>
      <c r="CH197" s="522"/>
      <c r="CI197" s="522"/>
      <c r="CJ197" s="522"/>
      <c r="CK197" s="542" t="s">
        <v>79</v>
      </c>
      <c r="CL197" s="543" t="s">
        <v>1803</v>
      </c>
      <c r="CM197" s="509" t="s">
        <v>1925</v>
      </c>
      <c r="CN197" s="528" t="s">
        <v>1849</v>
      </c>
      <c r="CO197" s="528"/>
      <c r="CP197" s="544">
        <f t="shared" si="305"/>
        <v>3747394.7322832481</v>
      </c>
      <c r="CQ197" s="544">
        <f t="shared" si="306"/>
        <v>275258.36864187382</v>
      </c>
      <c r="CR197" s="544">
        <f t="shared" si="307"/>
        <v>39033.079074877634</v>
      </c>
      <c r="CS197" s="1688" t="s">
        <v>1826</v>
      </c>
      <c r="CT197" s="1689"/>
      <c r="CU197" s="1689"/>
      <c r="CV197" s="1689"/>
      <c r="CW197" s="1690"/>
      <c r="CX197" s="528"/>
      <c r="CY197" s="528"/>
      <c r="CZ197" s="528"/>
      <c r="DA197" s="528"/>
      <c r="DB197" s="544">
        <f>619218.74</f>
        <v>619218.74</v>
      </c>
      <c r="DC197" s="628" t="e">
        <f>P197-#REF!</f>
        <v>#REF!</v>
      </c>
      <c r="DD197" s="535"/>
      <c r="DE197" s="535"/>
      <c r="DF197" s="525">
        <f t="shared" si="278"/>
        <v>3475.5364599999998</v>
      </c>
      <c r="DG197" s="525">
        <f t="shared" si="278"/>
        <v>270.00271999999995</v>
      </c>
      <c r="DH197" s="525">
        <f t="shared" si="278"/>
        <v>30.285580000000003</v>
      </c>
      <c r="DI197" s="522">
        <f t="shared" si="278"/>
        <v>3775.82476</v>
      </c>
      <c r="DJ197" s="536"/>
      <c r="DK197" s="536"/>
      <c r="DL197" s="536"/>
      <c r="DM197" s="536"/>
      <c r="DN197" s="536"/>
      <c r="DO197" s="536"/>
      <c r="DP197" s="536"/>
      <c r="DQ197" s="536"/>
      <c r="DR197" s="536"/>
      <c r="DS197" s="536"/>
    </row>
    <row r="198" spans="1:123" s="534" customFormat="1" ht="93" customHeight="1">
      <c r="A198" s="537" t="s">
        <v>836</v>
      </c>
      <c r="B198" s="538" t="s">
        <v>837</v>
      </c>
      <c r="C198" s="576">
        <v>214717.14</v>
      </c>
      <c r="D198" s="576">
        <v>0</v>
      </c>
      <c r="E198" s="576">
        <v>441000</v>
      </c>
      <c r="F198" s="576">
        <v>193065.35</v>
      </c>
      <c r="G198" s="576">
        <v>66114.748437349001</v>
      </c>
      <c r="H198" s="576">
        <v>0</v>
      </c>
      <c r="I198" s="576">
        <f t="shared" si="298"/>
        <v>321538.06000000006</v>
      </c>
      <c r="J198" s="576">
        <v>70574.89</v>
      </c>
      <c r="K198" s="576">
        <v>80564.570000000007</v>
      </c>
      <c r="L198" s="576">
        <v>170398.6</v>
      </c>
      <c r="M198" s="576">
        <f t="shared" si="299"/>
        <v>151139.46000000002</v>
      </c>
      <c r="N198" s="576">
        <v>120606.42</v>
      </c>
      <c r="O198" s="525">
        <f t="shared" si="300"/>
        <v>79422.11</v>
      </c>
      <c r="P198" s="522">
        <f>21850.69+178177.84</f>
        <v>200028.53</v>
      </c>
      <c r="Q198" s="576">
        <f t="shared" ref="Q198:Q261" si="313">P198-I198</f>
        <v>-121509.53000000006</v>
      </c>
      <c r="R198" s="576">
        <f t="shared" ref="R198:R261" si="314">P198/I198*100-100</f>
        <v>-37.790092407723066</v>
      </c>
      <c r="S198" s="576">
        <v>69751.059601403234</v>
      </c>
      <c r="T198" s="576">
        <v>69751.059601403234</v>
      </c>
      <c r="U198" s="522">
        <f t="shared" si="301"/>
        <v>169009.8</v>
      </c>
      <c r="V198" s="522">
        <f t="shared" si="311"/>
        <v>99258.740398596754</v>
      </c>
      <c r="W198" s="522">
        <f t="shared" si="246"/>
        <v>142.30427604371459</v>
      </c>
      <c r="X198" s="522">
        <f t="shared" ref="X198:X261" si="315">U198-P198</f>
        <v>-31018.73000000001</v>
      </c>
      <c r="Y198" s="522">
        <f t="shared" ref="Y198:Y261" si="316">U198/P198*100-100</f>
        <v>-15.507152904638161</v>
      </c>
      <c r="Z198" s="524">
        <f t="shared" ref="Z198:Z261" si="317">AN198+AV198</f>
        <v>169009.8</v>
      </c>
      <c r="AA198" s="522">
        <f t="shared" ref="AA198:AA261" si="318">Z198-T198</f>
        <v>99258.740398596754</v>
      </c>
      <c r="AB198" s="522">
        <f t="shared" si="247"/>
        <v>142.30427604371459</v>
      </c>
      <c r="AC198" s="522">
        <f t="shared" ref="AC198:AC261" si="319">Z198-U198</f>
        <v>0</v>
      </c>
      <c r="AD198" s="522">
        <f t="shared" ref="AD198:AD261" si="320">Z198/U198*100-100</f>
        <v>0</v>
      </c>
      <c r="AE198" s="522">
        <f t="shared" ref="AE198:AE261" si="321">Z198-P198</f>
        <v>-31018.73000000001</v>
      </c>
      <c r="AF198" s="522">
        <f t="shared" ref="AF198:AF261" si="322">Z198/P198*100-100</f>
        <v>-15.507152904638161</v>
      </c>
      <c r="AG198" s="522">
        <f t="shared" si="243"/>
        <v>222268.27000000002</v>
      </c>
      <c r="AH198" s="522">
        <f t="shared" ref="AH198:AH261" si="323">AG198-U198</f>
        <v>53258.47000000003</v>
      </c>
      <c r="AI198" s="522">
        <f t="shared" ref="AI198:AI261" si="324">AG198/U198*100-100</f>
        <v>31.512060247393975</v>
      </c>
      <c r="AJ198" s="522">
        <f t="shared" ref="AJ198:AJ261" si="325">AG198-Z198</f>
        <v>53258.47000000003</v>
      </c>
      <c r="AK198" s="522">
        <f t="shared" si="310"/>
        <v>31.512060247393975</v>
      </c>
      <c r="AL198" s="522">
        <f t="shared" si="302"/>
        <v>222268.27000000002</v>
      </c>
      <c r="AM198" s="522">
        <f t="shared" si="270"/>
        <v>69009.8</v>
      </c>
      <c r="AN198" s="522">
        <f t="shared" si="270"/>
        <v>80829.329999999987</v>
      </c>
      <c r="AO198" s="522">
        <f t="shared" ref="AO198:AO261" si="326">AN198-AM198</f>
        <v>11819.529999999984</v>
      </c>
      <c r="AP198" s="522">
        <f t="shared" si="244"/>
        <v>17.12732104715559</v>
      </c>
      <c r="AQ198" s="578">
        <v>9009.7999999999993</v>
      </c>
      <c r="AR198" s="578">
        <v>59044.5</v>
      </c>
      <c r="AS198" s="578">
        <v>60000</v>
      </c>
      <c r="AT198" s="578">
        <v>21784.829999999987</v>
      </c>
      <c r="AU198" s="578">
        <f t="shared" si="276"/>
        <v>100000</v>
      </c>
      <c r="AV198" s="578">
        <f t="shared" si="276"/>
        <v>88180.47</v>
      </c>
      <c r="AW198" s="578">
        <f t="shared" ref="AW198:AW261" si="327">AV198-AU198</f>
        <v>-11819.529999999999</v>
      </c>
      <c r="AX198" s="578">
        <f t="shared" ref="AX198:AX261" si="328">AV198/AU198*100-100</f>
        <v>-11.81953</v>
      </c>
      <c r="AY198" s="578">
        <f t="shared" si="277"/>
        <v>141438.94000000003</v>
      </c>
      <c r="AZ198" s="578">
        <f t="shared" ref="AZ198:AZ261" si="329">AV198-AY198</f>
        <v>-53258.47000000003</v>
      </c>
      <c r="BA198" s="578">
        <f t="shared" ref="BA198:BA261" si="330">AV198/AY198*100-100</f>
        <v>-37.654743453252706</v>
      </c>
      <c r="BB198" s="578">
        <v>50000</v>
      </c>
      <c r="BC198" s="525">
        <f>'[67]Гл инж_Тех дир'!AT13</f>
        <v>38180.47</v>
      </c>
      <c r="BD198" s="525">
        <f t="shared" si="303"/>
        <v>20417.73000000001</v>
      </c>
      <c r="BE198" s="525">
        <f t="shared" ref="BE198:BE261" si="331">BD198-BB198</f>
        <v>-29582.26999999999</v>
      </c>
      <c r="BF198" s="525">
        <f t="shared" ref="BF198:BF261" si="332">BD198-BC198</f>
        <v>-17762.739999999991</v>
      </c>
      <c r="BG198" s="525">
        <f t="shared" si="312"/>
        <v>119009.8</v>
      </c>
      <c r="BH198" s="522">
        <f t="shared" si="312"/>
        <v>119009.79999999999</v>
      </c>
      <c r="BI198" s="522">
        <f>95240.48+6006.58</f>
        <v>101247.06</v>
      </c>
      <c r="BJ198" s="522">
        <f t="shared" ref="BJ198:BJ261" si="333">BI198-BG198</f>
        <v>-17762.740000000005</v>
      </c>
      <c r="BK198" s="522">
        <f t="shared" ref="BK198:BK261" si="334">BI198-BH198</f>
        <v>-17762.739999999991</v>
      </c>
      <c r="BL198" s="525">
        <v>50000</v>
      </c>
      <c r="BM198" s="522">
        <f>'[67]Гл инж_Тех дир'!AW13</f>
        <v>50000</v>
      </c>
      <c r="BN198" s="522">
        <f t="shared" si="304"/>
        <v>121021.21000000002</v>
      </c>
      <c r="BO198" s="522">
        <f t="shared" si="245"/>
        <v>71021.210000000021</v>
      </c>
      <c r="BP198" s="522">
        <f t="shared" ref="BP198:BP261" si="335">BN198-BM198</f>
        <v>71021.210000000021</v>
      </c>
      <c r="BQ198" s="525">
        <v>50000</v>
      </c>
      <c r="BR198" s="522">
        <f>'[67]Гл инж_Тех дир'!BB13</f>
        <v>0</v>
      </c>
      <c r="BS198" s="522">
        <f>'[67]Гл инж_Тех дир'!BC13</f>
        <v>0</v>
      </c>
      <c r="BT198" s="536"/>
      <c r="BU198" s="578">
        <v>181640.42</v>
      </c>
      <c r="BV198" s="578">
        <v>40627.85</v>
      </c>
      <c r="BW198" s="522"/>
      <c r="BX198" s="574"/>
      <c r="BY198" s="525">
        <f>156965.26+40627.85</f>
        <v>197593.11000000002</v>
      </c>
      <c r="BZ198" s="525">
        <v>22747.919999999998</v>
      </c>
      <c r="CA198" s="525">
        <v>1927.24</v>
      </c>
      <c r="CB198" s="522">
        <f t="shared" si="308"/>
        <v>222268.27000000002</v>
      </c>
      <c r="CC198" s="522">
        <f t="shared" ref="CC198:CC261" si="336">AL198-CB198</f>
        <v>0</v>
      </c>
      <c r="CD198" s="522"/>
      <c r="CE198" s="522"/>
      <c r="CF198" s="522"/>
      <c r="CG198" s="522"/>
      <c r="CH198" s="522"/>
      <c r="CI198" s="522"/>
      <c r="CJ198" s="522"/>
      <c r="CK198" s="542" t="s">
        <v>79</v>
      </c>
      <c r="CL198" s="543" t="s">
        <v>1803</v>
      </c>
      <c r="CM198" s="509" t="s">
        <v>1925</v>
      </c>
      <c r="CN198" s="528" t="s">
        <v>1849</v>
      </c>
      <c r="CO198" s="528"/>
      <c r="CP198" s="544">
        <f t="shared" si="305"/>
        <v>155931.89777754946</v>
      </c>
      <c r="CQ198" s="544">
        <f t="shared" si="306"/>
        <v>11453.706606276846</v>
      </c>
      <c r="CR198" s="544">
        <f t="shared" si="307"/>
        <v>1624.195616173688</v>
      </c>
      <c r="CS198" s="1688" t="s">
        <v>1826</v>
      </c>
      <c r="CT198" s="1689"/>
      <c r="CU198" s="1689"/>
      <c r="CV198" s="1689"/>
      <c r="CW198" s="1690"/>
      <c r="CX198" s="528"/>
      <c r="CY198" s="528"/>
      <c r="CZ198" s="528"/>
      <c r="DA198" s="528"/>
      <c r="DB198" s="579">
        <f>59044.5</f>
        <v>59044.5</v>
      </c>
      <c r="DC198" s="628" t="e">
        <f>P198-#REF!</f>
        <v>#REF!</v>
      </c>
      <c r="DD198" s="535"/>
      <c r="DE198" s="535"/>
      <c r="DF198" s="525">
        <f t="shared" si="278"/>
        <v>197.59311000000002</v>
      </c>
      <c r="DG198" s="525">
        <f t="shared" si="278"/>
        <v>22.747919999999997</v>
      </c>
      <c r="DH198" s="525">
        <f t="shared" si="278"/>
        <v>1.9272400000000001</v>
      </c>
      <c r="DI198" s="522">
        <f t="shared" si="278"/>
        <v>222.26827000000003</v>
      </c>
      <c r="DJ198" s="536"/>
      <c r="DK198" s="536"/>
      <c r="DL198" s="536"/>
      <c r="DM198" s="536"/>
      <c r="DN198" s="536"/>
      <c r="DO198" s="536"/>
      <c r="DP198" s="536"/>
      <c r="DQ198" s="536"/>
      <c r="DR198" s="536"/>
      <c r="DS198" s="536"/>
    </row>
    <row r="199" spans="1:123" s="534" customFormat="1" ht="56.4">
      <c r="A199" s="537" t="s">
        <v>841</v>
      </c>
      <c r="B199" s="538" t="s">
        <v>1941</v>
      </c>
      <c r="C199" s="576"/>
      <c r="D199" s="576"/>
      <c r="E199" s="576"/>
      <c r="F199" s="576"/>
      <c r="G199" s="576">
        <v>0</v>
      </c>
      <c r="H199" s="576">
        <v>0</v>
      </c>
      <c r="I199" s="576">
        <f t="shared" si="298"/>
        <v>94544.23000000001</v>
      </c>
      <c r="J199" s="576">
        <v>20209.84</v>
      </c>
      <c r="K199" s="576">
        <v>24778.13</v>
      </c>
      <c r="L199" s="576">
        <v>49556.26</v>
      </c>
      <c r="M199" s="576">
        <f t="shared" si="299"/>
        <v>44987.97</v>
      </c>
      <c r="N199" s="576">
        <v>23518.41</v>
      </c>
      <c r="O199" s="525">
        <f t="shared" si="300"/>
        <v>4658.9000000000015</v>
      </c>
      <c r="P199" s="522">
        <f>7967.47+20209.84</f>
        <v>28177.31</v>
      </c>
      <c r="Q199" s="576">
        <f t="shared" si="313"/>
        <v>-66366.920000000013</v>
      </c>
      <c r="R199" s="576">
        <f t="shared" si="314"/>
        <v>-70.196689951359275</v>
      </c>
      <c r="S199" s="576">
        <v>0</v>
      </c>
      <c r="T199" s="576">
        <v>0</v>
      </c>
      <c r="U199" s="522">
        <f t="shared" si="301"/>
        <v>32957.129999999997</v>
      </c>
      <c r="V199" s="522">
        <f t="shared" si="311"/>
        <v>32957.129999999997</v>
      </c>
      <c r="W199" s="522">
        <v>0</v>
      </c>
      <c r="X199" s="522">
        <f t="shared" si="315"/>
        <v>4779.8199999999961</v>
      </c>
      <c r="Y199" s="522">
        <f t="shared" si="316"/>
        <v>16.963365204130554</v>
      </c>
      <c r="Z199" s="524">
        <f t="shared" si="317"/>
        <v>25811.369999999995</v>
      </c>
      <c r="AA199" s="522">
        <f t="shared" si="318"/>
        <v>25811.369999999995</v>
      </c>
      <c r="AB199" s="522">
        <v>0</v>
      </c>
      <c r="AC199" s="522">
        <f t="shared" si="319"/>
        <v>-7145.760000000002</v>
      </c>
      <c r="AD199" s="522">
        <f t="shared" si="320"/>
        <v>-21.681985051489633</v>
      </c>
      <c r="AE199" s="522">
        <f t="shared" si="321"/>
        <v>-2365.940000000006</v>
      </c>
      <c r="AF199" s="522">
        <f t="shared" si="322"/>
        <v>-8.3966141551482565</v>
      </c>
      <c r="AG199" s="522">
        <f t="shared" ref="AG199:AG262" si="337">AN199+AY199</f>
        <v>25124.14</v>
      </c>
      <c r="AH199" s="522">
        <f t="shared" si="323"/>
        <v>-7832.989999999998</v>
      </c>
      <c r="AI199" s="522">
        <f t="shared" si="324"/>
        <v>-23.767209098607793</v>
      </c>
      <c r="AJ199" s="522">
        <f t="shared" si="325"/>
        <v>-687.22999999999593</v>
      </c>
      <c r="AK199" s="522">
        <f t="shared" si="310"/>
        <v>-2.6625088091023201</v>
      </c>
      <c r="AL199" s="522">
        <f t="shared" si="302"/>
        <v>25124.14</v>
      </c>
      <c r="AM199" s="522">
        <f t="shared" si="270"/>
        <v>15000</v>
      </c>
      <c r="AN199" s="522">
        <f t="shared" si="270"/>
        <v>7854.24</v>
      </c>
      <c r="AO199" s="522">
        <f t="shared" si="326"/>
        <v>-7145.76</v>
      </c>
      <c r="AP199" s="522">
        <f t="shared" si="244"/>
        <v>-47.638400000000004</v>
      </c>
      <c r="AQ199" s="578">
        <v>0</v>
      </c>
      <c r="AR199" s="578">
        <v>3012.71</v>
      </c>
      <c r="AS199" s="578">
        <v>15000</v>
      </c>
      <c r="AT199" s="578">
        <v>4841.53</v>
      </c>
      <c r="AU199" s="578">
        <f t="shared" si="276"/>
        <v>17957.129999999997</v>
      </c>
      <c r="AV199" s="578">
        <f t="shared" si="276"/>
        <v>17957.129999999997</v>
      </c>
      <c r="AW199" s="578">
        <f t="shared" si="327"/>
        <v>0</v>
      </c>
      <c r="AX199" s="578">
        <f t="shared" si="328"/>
        <v>0</v>
      </c>
      <c r="AY199" s="578">
        <f t="shared" si="277"/>
        <v>17269.900000000001</v>
      </c>
      <c r="AZ199" s="578">
        <f t="shared" si="329"/>
        <v>687.22999999999593</v>
      </c>
      <c r="BA199" s="578">
        <f t="shared" si="330"/>
        <v>3.9793513569852621</v>
      </c>
      <c r="BB199" s="578">
        <v>10985.71</v>
      </c>
      <c r="BC199" s="576">
        <f>'[67]Гл инж_Тех дир'!AT38</f>
        <v>10985.71</v>
      </c>
      <c r="BD199" s="576">
        <f t="shared" si="303"/>
        <v>4783.8999999999996</v>
      </c>
      <c r="BE199" s="576">
        <f t="shared" si="331"/>
        <v>-6201.8099999999995</v>
      </c>
      <c r="BF199" s="576">
        <f t="shared" si="332"/>
        <v>-6201.8099999999995</v>
      </c>
      <c r="BG199" s="576">
        <f t="shared" si="312"/>
        <v>25985.71</v>
      </c>
      <c r="BH199" s="578">
        <f t="shared" si="312"/>
        <v>18839.949999999997</v>
      </c>
      <c r="BI199" s="578">
        <f>3150+9488.14</f>
        <v>12638.14</v>
      </c>
      <c r="BJ199" s="578">
        <f t="shared" si="333"/>
        <v>-13347.57</v>
      </c>
      <c r="BK199" s="578">
        <f t="shared" si="334"/>
        <v>-6201.8099999999977</v>
      </c>
      <c r="BL199" s="576">
        <v>6971.42</v>
      </c>
      <c r="BM199" s="578">
        <f>'[67]Гл инж_Тех дир'!AW38</f>
        <v>6971.42</v>
      </c>
      <c r="BN199" s="522">
        <f t="shared" si="304"/>
        <v>12486</v>
      </c>
      <c r="BO199" s="578">
        <f t="shared" si="245"/>
        <v>5514.58</v>
      </c>
      <c r="BP199" s="578">
        <f t="shared" si="335"/>
        <v>5514.58</v>
      </c>
      <c r="BQ199" s="576">
        <v>6971.42</v>
      </c>
      <c r="BR199" s="578">
        <f>'[67]Гл инж_Тех дир'!BB38</f>
        <v>0</v>
      </c>
      <c r="BS199" s="578">
        <f>'[67]Гл инж_Тех дир'!BC38</f>
        <v>0</v>
      </c>
      <c r="BT199" s="536"/>
      <c r="BU199" s="578">
        <v>12450</v>
      </c>
      <c r="BV199" s="578">
        <v>12674.14</v>
      </c>
      <c r="BW199" s="522"/>
      <c r="BX199" s="574"/>
      <c r="BY199" s="525">
        <f>9963.25+12674.14</f>
        <v>22637.39</v>
      </c>
      <c r="BZ199" s="525">
        <v>2346.42</v>
      </c>
      <c r="CA199" s="525">
        <v>140.33000000000001</v>
      </c>
      <c r="CB199" s="522">
        <f t="shared" si="308"/>
        <v>25124.14</v>
      </c>
      <c r="CC199" s="522">
        <f t="shared" si="336"/>
        <v>0</v>
      </c>
      <c r="CD199" s="578"/>
      <c r="CE199" s="578"/>
      <c r="CF199" s="578"/>
      <c r="CG199" s="578"/>
      <c r="CH199" s="578"/>
      <c r="CI199" s="578"/>
      <c r="CJ199" s="578"/>
      <c r="CK199" s="542" t="s">
        <v>79</v>
      </c>
      <c r="CL199" s="543" t="s">
        <v>1806</v>
      </c>
      <c r="CM199" s="509" t="s">
        <v>1925</v>
      </c>
      <c r="CN199" s="528"/>
      <c r="CO199" s="528"/>
      <c r="CP199" s="544">
        <f t="shared" si="305"/>
        <v>30406.922120500756</v>
      </c>
      <c r="CQ199" s="544">
        <f t="shared" si="306"/>
        <v>2233.4876297405526</v>
      </c>
      <c r="CR199" s="544">
        <f t="shared" si="307"/>
        <v>316.72024975869056</v>
      </c>
      <c r="CS199" s="1688" t="s">
        <v>1826</v>
      </c>
      <c r="CT199" s="1689"/>
      <c r="CU199" s="1689"/>
      <c r="CV199" s="1689"/>
      <c r="CW199" s="1690"/>
      <c r="CX199" s="528"/>
      <c r="CY199" s="528"/>
      <c r="CZ199" s="528"/>
      <c r="DA199" s="528"/>
      <c r="DB199" s="579">
        <v>3012.71</v>
      </c>
      <c r="DC199" s="628" t="e">
        <f>P199-#REF!</f>
        <v>#REF!</v>
      </c>
      <c r="DD199" s="535"/>
      <c r="DE199" s="535"/>
      <c r="DF199" s="525">
        <f t="shared" si="278"/>
        <v>22.63739</v>
      </c>
      <c r="DG199" s="525">
        <f t="shared" si="278"/>
        <v>2.3464200000000002</v>
      </c>
      <c r="DH199" s="525">
        <f t="shared" si="278"/>
        <v>0.14033000000000001</v>
      </c>
      <c r="DI199" s="522">
        <f t="shared" si="278"/>
        <v>25.124140000000001</v>
      </c>
      <c r="DJ199" s="536"/>
      <c r="DK199" s="536"/>
      <c r="DL199" s="536"/>
      <c r="DM199" s="536"/>
      <c r="DN199" s="536"/>
      <c r="DO199" s="536"/>
      <c r="DP199" s="536"/>
      <c r="DQ199" s="536"/>
      <c r="DR199" s="536"/>
      <c r="DS199" s="536"/>
    </row>
    <row r="200" spans="1:123" s="534" customFormat="1" ht="60.75" customHeight="1">
      <c r="A200" s="537" t="s">
        <v>846</v>
      </c>
      <c r="B200" s="538" t="s">
        <v>847</v>
      </c>
      <c r="C200" s="576">
        <v>471360.45</v>
      </c>
      <c r="D200" s="576">
        <v>0</v>
      </c>
      <c r="E200" s="576">
        <v>2937360</v>
      </c>
      <c r="F200" s="576">
        <v>200328.35</v>
      </c>
      <c r="G200" s="577">
        <v>0</v>
      </c>
      <c r="H200" s="577">
        <v>0</v>
      </c>
      <c r="I200" s="576">
        <f t="shared" si="298"/>
        <v>28870296.550000001</v>
      </c>
      <c r="J200" s="576">
        <v>234650.75</v>
      </c>
      <c r="K200" s="576">
        <v>11274062.800000001</v>
      </c>
      <c r="L200" s="576">
        <v>17361583</v>
      </c>
      <c r="M200" s="576">
        <f t="shared" si="299"/>
        <v>11508713.550000001</v>
      </c>
      <c r="N200" s="576">
        <v>13727406.23</v>
      </c>
      <c r="O200" s="525">
        <f t="shared" si="300"/>
        <v>12981754.920000002</v>
      </c>
      <c r="P200" s="522">
        <f>346235.64+26362925.51</f>
        <v>26709161.150000002</v>
      </c>
      <c r="Q200" s="576">
        <f t="shared" si="313"/>
        <v>-2161135.3999999985</v>
      </c>
      <c r="R200" s="576">
        <f t="shared" si="314"/>
        <v>-7.4856709429955544</v>
      </c>
      <c r="S200" s="576">
        <v>0</v>
      </c>
      <c r="T200" s="576">
        <v>0</v>
      </c>
      <c r="U200" s="522">
        <f t="shared" si="301"/>
        <v>58328149.880000003</v>
      </c>
      <c r="V200" s="522">
        <f t="shared" si="311"/>
        <v>58328149.880000003</v>
      </c>
      <c r="W200" s="522">
        <v>0</v>
      </c>
      <c r="X200" s="522">
        <f t="shared" si="315"/>
        <v>31618988.73</v>
      </c>
      <c r="Y200" s="522">
        <f t="shared" si="316"/>
        <v>118.38256002285567</v>
      </c>
      <c r="Z200" s="524">
        <f t="shared" si="317"/>
        <v>26054412.090000004</v>
      </c>
      <c r="AA200" s="522">
        <f t="shared" si="318"/>
        <v>26054412.090000004</v>
      </c>
      <c r="AB200" s="522">
        <v>0</v>
      </c>
      <c r="AC200" s="522">
        <f t="shared" si="319"/>
        <v>-32273737.789999999</v>
      </c>
      <c r="AD200" s="522">
        <f t="shared" si="320"/>
        <v>-55.331324337215541</v>
      </c>
      <c r="AE200" s="522">
        <f t="shared" si="321"/>
        <v>-654749.05999999866</v>
      </c>
      <c r="AF200" s="522">
        <f t="shared" si="322"/>
        <v>-2.4514025593050093</v>
      </c>
      <c r="AG200" s="522">
        <f t="shared" si="337"/>
        <v>25971993.84</v>
      </c>
      <c r="AH200" s="522">
        <f t="shared" si="323"/>
        <v>-32356156.040000003</v>
      </c>
      <c r="AI200" s="522">
        <f t="shared" si="324"/>
        <v>-55.472625321679416</v>
      </c>
      <c r="AJ200" s="522">
        <f t="shared" si="325"/>
        <v>-82418.250000003725</v>
      </c>
      <c r="AK200" s="522">
        <f t="shared" si="310"/>
        <v>-0.31633125980853549</v>
      </c>
      <c r="AL200" s="522">
        <f t="shared" si="302"/>
        <v>25971993.84</v>
      </c>
      <c r="AM200" s="522">
        <f t="shared" si="270"/>
        <v>29040120.960000001</v>
      </c>
      <c r="AN200" s="522">
        <f t="shared" si="270"/>
        <v>25958889.84</v>
      </c>
      <c r="AO200" s="522">
        <f t="shared" si="326"/>
        <v>-3081231.120000001</v>
      </c>
      <c r="AP200" s="522">
        <f t="shared" ref="AP200:AP261" si="338">AN200/AM200*100-100</f>
        <v>-10.610255805215502</v>
      </c>
      <c r="AQ200" s="578">
        <v>14368240.199999999</v>
      </c>
      <c r="AR200" s="578">
        <v>12978994.92</v>
      </c>
      <c r="AS200" s="578">
        <v>14671880.76</v>
      </c>
      <c r="AT200" s="578">
        <v>12979894.92</v>
      </c>
      <c r="AU200" s="578">
        <f t="shared" si="276"/>
        <v>29288028.920000002</v>
      </c>
      <c r="AV200" s="578">
        <f t="shared" si="276"/>
        <v>95522.250000001863</v>
      </c>
      <c r="AW200" s="578">
        <f t="shared" si="327"/>
        <v>-29192506.670000002</v>
      </c>
      <c r="AX200" s="578">
        <f t="shared" si="328"/>
        <v>-99.673852240924376</v>
      </c>
      <c r="AY200" s="578">
        <f t="shared" si="277"/>
        <v>13104</v>
      </c>
      <c r="AZ200" s="578">
        <f t="shared" si="329"/>
        <v>82418.250000001863</v>
      </c>
      <c r="BA200" s="578">
        <f t="shared" si="330"/>
        <v>628.95489926741345</v>
      </c>
      <c r="BB200" s="578">
        <v>14360592.460000001</v>
      </c>
      <c r="BC200" s="576">
        <f>'[67]Дир_по корп'!AT37</f>
        <v>21973.38000000082</v>
      </c>
      <c r="BD200" s="576">
        <f t="shared" si="303"/>
        <v>5800</v>
      </c>
      <c r="BE200" s="576">
        <f t="shared" si="331"/>
        <v>-14354792.460000001</v>
      </c>
      <c r="BF200" s="576">
        <f t="shared" si="332"/>
        <v>-16173.38000000082</v>
      </c>
      <c r="BG200" s="576">
        <f t="shared" si="312"/>
        <v>43400713.420000002</v>
      </c>
      <c r="BH200" s="578">
        <f t="shared" si="312"/>
        <v>25980863.219999999</v>
      </c>
      <c r="BI200" s="578">
        <v>25964689.84</v>
      </c>
      <c r="BJ200" s="578">
        <f t="shared" si="333"/>
        <v>-17436023.580000002</v>
      </c>
      <c r="BK200" s="578">
        <f t="shared" si="334"/>
        <v>-16173.379999998957</v>
      </c>
      <c r="BL200" s="576">
        <v>14927436.460000001</v>
      </c>
      <c r="BM200" s="578">
        <f>'[67]Дир_по корп'!AW37</f>
        <v>73548.870000001043</v>
      </c>
      <c r="BN200" s="522">
        <f t="shared" si="304"/>
        <v>7304</v>
      </c>
      <c r="BO200" s="578">
        <f t="shared" ref="BO200:BO263" si="339">BN200-BL200</f>
        <v>-14920132.460000001</v>
      </c>
      <c r="BP200" s="578">
        <f t="shared" si="335"/>
        <v>-66244.870000001043</v>
      </c>
      <c r="BQ200" s="576">
        <v>14927436.460000001</v>
      </c>
      <c r="BR200" s="578">
        <f>'[67]Дир_по корп'!BB37</f>
        <v>0</v>
      </c>
      <c r="BS200" s="578">
        <f>'[67]Дир_по корп'!BC37</f>
        <v>0</v>
      </c>
      <c r="BT200" s="536"/>
      <c r="BU200" s="578">
        <v>25971993.84</v>
      </c>
      <c r="BV200" s="578"/>
      <c r="BW200" s="578"/>
      <c r="BX200" s="574"/>
      <c r="BY200" s="525">
        <f>25937869.22-89378.08</f>
        <v>25848491.140000001</v>
      </c>
      <c r="BZ200" s="525">
        <f>21657.53+86747.4</f>
        <v>108404.93</v>
      </c>
      <c r="CA200" s="525">
        <f>12467.09+2630.68</f>
        <v>15097.77</v>
      </c>
      <c r="CB200" s="522">
        <f t="shared" si="308"/>
        <v>25971993.84</v>
      </c>
      <c r="CC200" s="522">
        <f t="shared" si="336"/>
        <v>0</v>
      </c>
      <c r="CD200" s="578"/>
      <c r="CE200" s="578"/>
      <c r="CF200" s="578"/>
      <c r="CG200" s="578"/>
      <c r="CH200" s="578"/>
      <c r="CI200" s="578"/>
      <c r="CJ200" s="578"/>
      <c r="CK200" s="543" t="s">
        <v>80</v>
      </c>
      <c r="CL200" s="543" t="s">
        <v>1942</v>
      </c>
      <c r="CM200" s="509" t="s">
        <v>1925</v>
      </c>
      <c r="CN200" s="528"/>
      <c r="CO200" s="528"/>
      <c r="CP200" s="544">
        <f t="shared" si="305"/>
        <v>53814743.906221673</v>
      </c>
      <c r="CQ200" s="544">
        <f t="shared" si="306"/>
        <v>3952868.5059236926</v>
      </c>
      <c r="CR200" s="544">
        <f t="shared" si="307"/>
        <v>560537.4678546323</v>
      </c>
      <c r="CS200" s="1688" t="s">
        <v>1826</v>
      </c>
      <c r="CT200" s="1689"/>
      <c r="CU200" s="1689"/>
      <c r="CV200" s="1689"/>
      <c r="CW200" s="1690"/>
      <c r="CX200" s="528"/>
      <c r="CY200" s="528"/>
      <c r="CZ200" s="528"/>
      <c r="DA200" s="528"/>
      <c r="DB200" s="579">
        <f>2300+12976694.92</f>
        <v>12978994.92</v>
      </c>
      <c r="DC200" s="628" t="e">
        <f>P200-#REF!</f>
        <v>#REF!</v>
      </c>
      <c r="DD200" s="535"/>
      <c r="DE200" s="535"/>
      <c r="DF200" s="525">
        <f t="shared" si="278"/>
        <v>25848.491140000002</v>
      </c>
      <c r="DG200" s="525">
        <f t="shared" si="278"/>
        <v>108.40492999999999</v>
      </c>
      <c r="DH200" s="525">
        <f t="shared" si="278"/>
        <v>15.097770000000001</v>
      </c>
      <c r="DI200" s="522">
        <f t="shared" si="278"/>
        <v>25971.993839999999</v>
      </c>
      <c r="DJ200" s="536"/>
      <c r="DK200" s="536"/>
      <c r="DL200" s="536"/>
      <c r="DM200" s="536"/>
      <c r="DN200" s="536"/>
      <c r="DO200" s="536"/>
      <c r="DP200" s="536"/>
      <c r="DQ200" s="536"/>
      <c r="DR200" s="536"/>
      <c r="DS200" s="536"/>
    </row>
    <row r="201" spans="1:123" s="534" customFormat="1" ht="102" customHeight="1">
      <c r="A201" s="537" t="s">
        <v>851</v>
      </c>
      <c r="B201" s="538" t="s">
        <v>852</v>
      </c>
      <c r="C201" s="576">
        <f>189584.48+14169</f>
        <v>203753.48</v>
      </c>
      <c r="D201" s="576">
        <v>0</v>
      </c>
      <c r="E201" s="576">
        <v>508864</v>
      </c>
      <c r="F201" s="576">
        <v>566794</v>
      </c>
      <c r="G201" s="577">
        <v>0</v>
      </c>
      <c r="H201" s="577">
        <v>0</v>
      </c>
      <c r="I201" s="576">
        <f t="shared" si="298"/>
        <v>777559.85</v>
      </c>
      <c r="J201" s="576">
        <v>343874.19999999995</v>
      </c>
      <c r="K201" s="576">
        <v>215455.82</v>
      </c>
      <c r="L201" s="576">
        <v>218229.83</v>
      </c>
      <c r="M201" s="576">
        <f t="shared" si="299"/>
        <v>559330.02</v>
      </c>
      <c r="N201" s="576">
        <v>443966.2</v>
      </c>
      <c r="O201" s="525">
        <f t="shared" si="300"/>
        <v>-115377</v>
      </c>
      <c r="P201" s="522">
        <f>312639.2+15950</f>
        <v>328589.2</v>
      </c>
      <c r="Q201" s="576">
        <f t="shared" si="313"/>
        <v>-448970.64999999997</v>
      </c>
      <c r="R201" s="576">
        <f t="shared" si="314"/>
        <v>-57.740976466313171</v>
      </c>
      <c r="S201" s="576">
        <v>0</v>
      </c>
      <c r="T201" s="576">
        <v>0</v>
      </c>
      <c r="U201" s="522">
        <f t="shared" si="301"/>
        <v>688123.26</v>
      </c>
      <c r="V201" s="522">
        <f t="shared" si="311"/>
        <v>688123.26</v>
      </c>
      <c r="W201" s="522">
        <v>0</v>
      </c>
      <c r="X201" s="522">
        <f t="shared" si="315"/>
        <v>359534.06</v>
      </c>
      <c r="Y201" s="522">
        <f t="shared" si="316"/>
        <v>109.41749150611159</v>
      </c>
      <c r="Z201" s="524">
        <f t="shared" si="317"/>
        <v>753365.25000000012</v>
      </c>
      <c r="AA201" s="522">
        <f t="shared" si="318"/>
        <v>753365.25000000012</v>
      </c>
      <c r="AB201" s="522">
        <v>0</v>
      </c>
      <c r="AC201" s="522">
        <f t="shared" si="319"/>
        <v>65241.990000000107</v>
      </c>
      <c r="AD201" s="522">
        <f t="shared" si="320"/>
        <v>9.4811487697712806</v>
      </c>
      <c r="AE201" s="522">
        <f t="shared" si="321"/>
        <v>424776.0500000001</v>
      </c>
      <c r="AF201" s="522">
        <f t="shared" si="322"/>
        <v>129.27267542572918</v>
      </c>
      <c r="AG201" s="522">
        <f t="shared" si="337"/>
        <v>503036.14</v>
      </c>
      <c r="AH201" s="522">
        <f t="shared" si="323"/>
        <v>-185087.12</v>
      </c>
      <c r="AI201" s="522">
        <f t="shared" si="324"/>
        <v>-26.897378821346635</v>
      </c>
      <c r="AJ201" s="522">
        <f t="shared" si="325"/>
        <v>-250329.1100000001</v>
      </c>
      <c r="AK201" s="522">
        <f t="shared" si="310"/>
        <v>-33.228120091814702</v>
      </c>
      <c r="AL201" s="522">
        <f t="shared" si="302"/>
        <v>503036.14</v>
      </c>
      <c r="AM201" s="522">
        <f t="shared" si="270"/>
        <v>322595.93</v>
      </c>
      <c r="AN201" s="522">
        <f t="shared" si="270"/>
        <v>202170.4</v>
      </c>
      <c r="AO201" s="522">
        <f t="shared" si="326"/>
        <v>-120425.53</v>
      </c>
      <c r="AP201" s="522">
        <f t="shared" si="338"/>
        <v>-37.33014548571645</v>
      </c>
      <c r="AQ201" s="578">
        <v>116826.19</v>
      </c>
      <c r="AR201" s="578">
        <v>89887.52</v>
      </c>
      <c r="AS201" s="578">
        <v>205769.74</v>
      </c>
      <c r="AT201" s="578">
        <v>112282.87999999999</v>
      </c>
      <c r="AU201" s="578">
        <f t="shared" si="276"/>
        <v>365527.33</v>
      </c>
      <c r="AV201" s="578">
        <f t="shared" si="276"/>
        <v>551194.85000000009</v>
      </c>
      <c r="AW201" s="578">
        <f t="shared" si="327"/>
        <v>185667.52000000008</v>
      </c>
      <c r="AX201" s="578">
        <f t="shared" si="328"/>
        <v>50.79442896923743</v>
      </c>
      <c r="AY201" s="578">
        <f t="shared" si="277"/>
        <v>300865.74</v>
      </c>
      <c r="AZ201" s="578">
        <f t="shared" si="329"/>
        <v>250329.1100000001</v>
      </c>
      <c r="BA201" s="578">
        <f t="shared" si="330"/>
        <v>83.202929652276168</v>
      </c>
      <c r="BB201" s="578">
        <v>179953.01</v>
      </c>
      <c r="BC201" s="576">
        <f>'[67]Дир_по корп'!AT38</f>
        <v>239953.01</v>
      </c>
      <c r="BD201" s="576">
        <f t="shared" si="303"/>
        <v>134229.23000000001</v>
      </c>
      <c r="BE201" s="576">
        <f t="shared" si="331"/>
        <v>-45723.78</v>
      </c>
      <c r="BF201" s="576">
        <f t="shared" si="332"/>
        <v>-105723.78</v>
      </c>
      <c r="BG201" s="576">
        <f t="shared" si="312"/>
        <v>502548.94</v>
      </c>
      <c r="BH201" s="578">
        <f t="shared" si="312"/>
        <v>442123.41000000003</v>
      </c>
      <c r="BI201" s="578">
        <v>336399.63</v>
      </c>
      <c r="BJ201" s="578">
        <f t="shared" si="333"/>
        <v>-166149.31</v>
      </c>
      <c r="BK201" s="578">
        <f t="shared" si="334"/>
        <v>-105723.78000000003</v>
      </c>
      <c r="BL201" s="576">
        <v>185574.32</v>
      </c>
      <c r="BM201" s="578">
        <f>'[67]Дир_по корп'!AW38</f>
        <v>311241.84000000003</v>
      </c>
      <c r="BN201" s="522">
        <f t="shared" si="304"/>
        <v>166636.51</v>
      </c>
      <c r="BO201" s="578">
        <f t="shared" si="339"/>
        <v>-18937.809999999998</v>
      </c>
      <c r="BP201" s="578">
        <f t="shared" si="335"/>
        <v>-144605.33000000002</v>
      </c>
      <c r="BQ201" s="576">
        <v>185574.32</v>
      </c>
      <c r="BR201" s="578">
        <f>'[67]Дир_по корп'!BB38</f>
        <v>0</v>
      </c>
      <c r="BS201" s="578">
        <f>'[67]Дир_по корп'!BC38</f>
        <v>0</v>
      </c>
      <c r="BT201" s="536"/>
      <c r="BU201" s="578">
        <f>451186.14+51850</f>
        <v>503036.14</v>
      </c>
      <c r="BV201" s="578"/>
      <c r="BW201" s="578"/>
      <c r="BX201" s="574"/>
      <c r="BY201" s="525">
        <f>411558.92+45779.57</f>
        <v>457338.49</v>
      </c>
      <c r="BZ201" s="525">
        <f>34885.85+5455.51</f>
        <v>40341.360000000001</v>
      </c>
      <c r="CA201" s="525">
        <f>4741.37+614.92</f>
        <v>5356.29</v>
      </c>
      <c r="CB201" s="522">
        <f t="shared" si="308"/>
        <v>503036.13999999996</v>
      </c>
      <c r="CC201" s="522">
        <f t="shared" si="336"/>
        <v>0</v>
      </c>
      <c r="CD201" s="578"/>
      <c r="CE201" s="578"/>
      <c r="CF201" s="578"/>
      <c r="CG201" s="578"/>
      <c r="CH201" s="578"/>
      <c r="CI201" s="578"/>
      <c r="CJ201" s="578"/>
      <c r="CK201" s="543" t="s">
        <v>80</v>
      </c>
      <c r="CL201" s="543" t="s">
        <v>1942</v>
      </c>
      <c r="CM201" s="509" t="s">
        <v>1925</v>
      </c>
      <c r="CN201" s="528" t="s">
        <v>1849</v>
      </c>
      <c r="CO201" s="528"/>
      <c r="CP201" s="544">
        <f t="shared" si="305"/>
        <v>634876.59198859532</v>
      </c>
      <c r="CQ201" s="544">
        <f t="shared" si="306"/>
        <v>46633.75691229006</v>
      </c>
      <c r="CR201" s="544">
        <f t="shared" si="307"/>
        <v>6612.9110991146499</v>
      </c>
      <c r="CS201" s="1688" t="s">
        <v>1826</v>
      </c>
      <c r="CT201" s="1689"/>
      <c r="CU201" s="1689"/>
      <c r="CV201" s="1689"/>
      <c r="CW201" s="1690"/>
      <c r="CX201" s="528"/>
      <c r="CY201" s="528"/>
      <c r="CZ201" s="528"/>
      <c r="DA201" s="528"/>
      <c r="DB201" s="579">
        <f>89887.52</f>
        <v>89887.52</v>
      </c>
      <c r="DC201" s="628" t="e">
        <f>P201-#REF!</f>
        <v>#REF!</v>
      </c>
      <c r="DD201" s="535"/>
      <c r="DE201" s="535"/>
      <c r="DF201" s="525">
        <f t="shared" si="278"/>
        <v>457.33848999999998</v>
      </c>
      <c r="DG201" s="525">
        <f t="shared" si="278"/>
        <v>40.341360000000002</v>
      </c>
      <c r="DH201" s="525">
        <f t="shared" si="278"/>
        <v>5.3562899999999996</v>
      </c>
      <c r="DI201" s="522">
        <f t="shared" si="278"/>
        <v>503.03613999999993</v>
      </c>
      <c r="DJ201" s="536"/>
      <c r="DK201" s="536"/>
      <c r="DL201" s="536"/>
      <c r="DM201" s="536"/>
      <c r="DN201" s="536"/>
      <c r="DO201" s="536"/>
      <c r="DP201" s="536"/>
      <c r="DQ201" s="536"/>
      <c r="DR201" s="536"/>
      <c r="DS201" s="536"/>
    </row>
    <row r="202" spans="1:123" s="534" customFormat="1" ht="56.4">
      <c r="A202" s="537" t="s">
        <v>857</v>
      </c>
      <c r="B202" s="538" t="s">
        <v>858</v>
      </c>
      <c r="C202" s="576"/>
      <c r="D202" s="576">
        <v>3565004.19</v>
      </c>
      <c r="E202" s="576">
        <v>656530</v>
      </c>
      <c r="F202" s="576">
        <v>39148</v>
      </c>
      <c r="G202" s="577">
        <v>3687642.7718153866</v>
      </c>
      <c r="H202" s="577">
        <v>0</v>
      </c>
      <c r="I202" s="576">
        <f t="shared" si="298"/>
        <v>23846.38</v>
      </c>
      <c r="J202" s="576">
        <v>23846.38</v>
      </c>
      <c r="K202" s="576">
        <v>0</v>
      </c>
      <c r="L202" s="576">
        <v>0</v>
      </c>
      <c r="M202" s="576">
        <f t="shared" si="299"/>
        <v>23846.38</v>
      </c>
      <c r="N202" s="576">
        <v>51571.62</v>
      </c>
      <c r="O202" s="525">
        <f t="shared" si="300"/>
        <v>154741.64000000001</v>
      </c>
      <c r="P202" s="522">
        <v>206313.26</v>
      </c>
      <c r="Q202" s="576">
        <f t="shared" si="313"/>
        <v>182466.88</v>
      </c>
      <c r="R202" s="576">
        <f t="shared" si="314"/>
        <v>765.17643348801789</v>
      </c>
      <c r="S202" s="576">
        <v>0</v>
      </c>
      <c r="T202" s="576">
        <v>0</v>
      </c>
      <c r="U202" s="522">
        <f t="shared" si="301"/>
        <v>0</v>
      </c>
      <c r="V202" s="522">
        <f t="shared" si="311"/>
        <v>0</v>
      </c>
      <c r="W202" s="522">
        <v>0</v>
      </c>
      <c r="X202" s="522">
        <f t="shared" si="315"/>
        <v>-206313.26</v>
      </c>
      <c r="Y202" s="522">
        <f t="shared" si="316"/>
        <v>-100</v>
      </c>
      <c r="Z202" s="524">
        <f t="shared" si="317"/>
        <v>1641975.45</v>
      </c>
      <c r="AA202" s="522">
        <f t="shared" si="318"/>
        <v>1641975.45</v>
      </c>
      <c r="AB202" s="522">
        <v>0</v>
      </c>
      <c r="AC202" s="522">
        <f t="shared" si="319"/>
        <v>1641975.45</v>
      </c>
      <c r="AD202" s="522">
        <v>0</v>
      </c>
      <c r="AE202" s="522">
        <f t="shared" si="321"/>
        <v>1435662.19</v>
      </c>
      <c r="AF202" s="522">
        <f t="shared" si="322"/>
        <v>695.86520517391841</v>
      </c>
      <c r="AG202" s="522">
        <f t="shared" si="337"/>
        <v>1774442.46</v>
      </c>
      <c r="AH202" s="522">
        <f t="shared" si="323"/>
        <v>1774442.46</v>
      </c>
      <c r="AI202" s="522">
        <v>0</v>
      </c>
      <c r="AJ202" s="522">
        <f t="shared" si="325"/>
        <v>132467.01</v>
      </c>
      <c r="AK202" s="522">
        <f t="shared" si="310"/>
        <v>8.067539012230668</v>
      </c>
      <c r="AL202" s="522">
        <f t="shared" si="302"/>
        <v>1774442.46</v>
      </c>
      <c r="AM202" s="522">
        <f t="shared" si="270"/>
        <v>0</v>
      </c>
      <c r="AN202" s="522">
        <f t="shared" si="270"/>
        <v>1641975.45</v>
      </c>
      <c r="AO202" s="522">
        <f t="shared" si="326"/>
        <v>1641975.45</v>
      </c>
      <c r="AP202" s="522">
        <v>0</v>
      </c>
      <c r="AQ202" s="578">
        <v>0</v>
      </c>
      <c r="AR202" s="578">
        <v>67493.69</v>
      </c>
      <c r="AS202" s="578">
        <v>0</v>
      </c>
      <c r="AT202" s="578">
        <v>1574481.76</v>
      </c>
      <c r="AU202" s="578">
        <f t="shared" si="276"/>
        <v>0</v>
      </c>
      <c r="AV202" s="578">
        <f t="shared" si="276"/>
        <v>0</v>
      </c>
      <c r="AW202" s="578">
        <f t="shared" si="327"/>
        <v>0</v>
      </c>
      <c r="AX202" s="578">
        <v>0</v>
      </c>
      <c r="AY202" s="578">
        <f t="shared" si="277"/>
        <v>132467.01</v>
      </c>
      <c r="AZ202" s="578">
        <f t="shared" si="329"/>
        <v>-132467.01</v>
      </c>
      <c r="BA202" s="578">
        <v>0</v>
      </c>
      <c r="BB202" s="578">
        <v>0</v>
      </c>
      <c r="BC202" s="576">
        <f>'[67]Дир_ имущ'!AT26</f>
        <v>0</v>
      </c>
      <c r="BD202" s="576">
        <f t="shared" si="303"/>
        <v>55879.75</v>
      </c>
      <c r="BE202" s="576">
        <f t="shared" si="331"/>
        <v>55879.75</v>
      </c>
      <c r="BF202" s="576">
        <f t="shared" si="332"/>
        <v>55879.75</v>
      </c>
      <c r="BG202" s="576">
        <f t="shared" si="312"/>
        <v>0</v>
      </c>
      <c r="BH202" s="578">
        <f t="shared" si="312"/>
        <v>1641975.45</v>
      </c>
      <c r="BI202" s="578">
        <v>1697855.2</v>
      </c>
      <c r="BJ202" s="578">
        <f t="shared" si="333"/>
        <v>1697855.2</v>
      </c>
      <c r="BK202" s="578">
        <f t="shared" si="334"/>
        <v>55879.75</v>
      </c>
      <c r="BL202" s="576">
        <v>0</v>
      </c>
      <c r="BM202" s="578">
        <f>'[67]Дир_ имущ'!AW26</f>
        <v>0</v>
      </c>
      <c r="BN202" s="522">
        <f t="shared" si="304"/>
        <v>76587.260000000009</v>
      </c>
      <c r="BO202" s="578">
        <f t="shared" si="339"/>
        <v>76587.260000000009</v>
      </c>
      <c r="BP202" s="578">
        <f t="shared" si="335"/>
        <v>76587.260000000009</v>
      </c>
      <c r="BQ202" s="576">
        <v>0</v>
      </c>
      <c r="BR202" s="578">
        <f>'[67]Дир_ имущ'!BB26</f>
        <v>0</v>
      </c>
      <c r="BS202" s="578">
        <f>'[67]Дир_ имущ'!BC26</f>
        <v>0</v>
      </c>
      <c r="BT202" s="536"/>
      <c r="BU202" s="578">
        <v>1774442.46</v>
      </c>
      <c r="BV202" s="578"/>
      <c r="BW202" s="578"/>
      <c r="BX202" s="574"/>
      <c r="BY202" s="525">
        <v>1772101.2</v>
      </c>
      <c r="BZ202" s="525">
        <v>2162.3200000000002</v>
      </c>
      <c r="CA202" s="525">
        <v>178.94</v>
      </c>
      <c r="CB202" s="522">
        <f t="shared" si="308"/>
        <v>1774442.46</v>
      </c>
      <c r="CC202" s="522">
        <f t="shared" si="336"/>
        <v>0</v>
      </c>
      <c r="CD202" s="578"/>
      <c r="CE202" s="578"/>
      <c r="CF202" s="578"/>
      <c r="CG202" s="578"/>
      <c r="CH202" s="578"/>
      <c r="CI202" s="578"/>
      <c r="CJ202" s="578"/>
      <c r="CK202" s="543" t="s">
        <v>1815</v>
      </c>
      <c r="CL202" s="543" t="s">
        <v>1816</v>
      </c>
      <c r="CM202" s="509" t="s">
        <v>1925</v>
      </c>
      <c r="CN202" s="528" t="s">
        <v>1849</v>
      </c>
      <c r="CO202" s="528"/>
      <c r="CP202" s="544">
        <f t="shared" si="305"/>
        <v>0</v>
      </c>
      <c r="CQ202" s="544">
        <f t="shared" si="306"/>
        <v>0</v>
      </c>
      <c r="CR202" s="544">
        <f t="shared" si="307"/>
        <v>0</v>
      </c>
      <c r="CS202" s="1688" t="s">
        <v>1826</v>
      </c>
      <c r="CT202" s="1689"/>
      <c r="CU202" s="1689"/>
      <c r="CV202" s="1689"/>
      <c r="CW202" s="1690"/>
      <c r="CX202" s="528"/>
      <c r="CY202" s="528"/>
      <c r="CZ202" s="528"/>
      <c r="DA202" s="528"/>
      <c r="DB202" s="579">
        <f>67493.69</f>
        <v>67493.69</v>
      </c>
      <c r="DC202" s="628" t="e">
        <f>P202-#REF!</f>
        <v>#REF!</v>
      </c>
      <c r="DD202" s="535"/>
      <c r="DE202" s="535"/>
      <c r="DF202" s="525">
        <f t="shared" si="278"/>
        <v>1772.1012000000001</v>
      </c>
      <c r="DG202" s="525">
        <f t="shared" si="278"/>
        <v>2.1623200000000002</v>
      </c>
      <c r="DH202" s="525">
        <f t="shared" si="278"/>
        <v>0.17893999999999999</v>
      </c>
      <c r="DI202" s="522">
        <f t="shared" si="278"/>
        <v>1774.44246</v>
      </c>
      <c r="DJ202" s="536"/>
      <c r="DK202" s="536"/>
      <c r="DL202" s="536"/>
      <c r="DM202" s="536"/>
      <c r="DN202" s="536"/>
      <c r="DO202" s="536"/>
      <c r="DP202" s="536"/>
      <c r="DQ202" s="536"/>
      <c r="DR202" s="536"/>
      <c r="DS202" s="536"/>
    </row>
    <row r="203" spans="1:123" s="534" customFormat="1" ht="55.5" customHeight="1">
      <c r="A203" s="537" t="s">
        <v>862</v>
      </c>
      <c r="B203" s="538" t="s">
        <v>863</v>
      </c>
      <c r="C203" s="576">
        <v>1133999.17</v>
      </c>
      <c r="D203" s="576">
        <v>1458274.11</v>
      </c>
      <c r="E203" s="576">
        <v>26031300</v>
      </c>
      <c r="F203" s="576">
        <v>1986821.69</v>
      </c>
      <c r="G203" s="577">
        <v>1492700.8037944052</v>
      </c>
      <c r="H203" s="577">
        <v>0</v>
      </c>
      <c r="I203" s="576">
        <f t="shared" si="298"/>
        <v>9954290.25</v>
      </c>
      <c r="J203" s="576">
        <v>228957.43</v>
      </c>
      <c r="K203" s="576">
        <v>1500000</v>
      </c>
      <c r="L203" s="576">
        <v>8225332.8200000003</v>
      </c>
      <c r="M203" s="576">
        <f t="shared" si="299"/>
        <v>1728957.43</v>
      </c>
      <c r="N203" s="576">
        <v>490476.58</v>
      </c>
      <c r="O203" s="525">
        <f t="shared" si="300"/>
        <v>216665.81</v>
      </c>
      <c r="P203" s="522">
        <v>707142.39</v>
      </c>
      <c r="Q203" s="576">
        <f t="shared" si="313"/>
        <v>-9247147.8599999994</v>
      </c>
      <c r="R203" s="576">
        <f t="shared" si="314"/>
        <v>-92.896104370675744</v>
      </c>
      <c r="S203" s="576">
        <v>1574798.4999999998</v>
      </c>
      <c r="T203" s="576">
        <v>1574798.4999999998</v>
      </c>
      <c r="U203" s="522">
        <f t="shared" si="301"/>
        <v>10461959.050000001</v>
      </c>
      <c r="V203" s="522">
        <f t="shared" si="311"/>
        <v>8887160.5500000007</v>
      </c>
      <c r="W203" s="522">
        <f t="shared" ref="W203:W246" si="340">U203/T203*100-100</f>
        <v>564.33636112810643</v>
      </c>
      <c r="X203" s="522">
        <f t="shared" si="315"/>
        <v>9754816.6600000001</v>
      </c>
      <c r="Y203" s="522">
        <f t="shared" si="316"/>
        <v>1379.4699339124613</v>
      </c>
      <c r="Z203" s="524">
        <f t="shared" si="317"/>
        <v>5682031.8099999996</v>
      </c>
      <c r="AA203" s="522">
        <f t="shared" si="318"/>
        <v>4107233.3099999996</v>
      </c>
      <c r="AB203" s="522">
        <f t="shared" ref="AB203:AB246" si="341">Z203/T203*100-100</f>
        <v>260.81008522677666</v>
      </c>
      <c r="AC203" s="522">
        <f t="shared" si="319"/>
        <v>-4779927.2400000012</v>
      </c>
      <c r="AD203" s="522">
        <f t="shared" si="320"/>
        <v>-45.688644135918324</v>
      </c>
      <c r="AE203" s="522">
        <f t="shared" si="321"/>
        <v>4974889.42</v>
      </c>
      <c r="AF203" s="522">
        <f t="shared" si="322"/>
        <v>703.52018070929103</v>
      </c>
      <c r="AG203" s="522">
        <f t="shared" si="337"/>
        <v>2056982.29</v>
      </c>
      <c r="AH203" s="522">
        <f t="shared" si="323"/>
        <v>-8404976.7600000016</v>
      </c>
      <c r="AI203" s="522">
        <f t="shared" si="324"/>
        <v>-80.338459745739499</v>
      </c>
      <c r="AJ203" s="522">
        <f t="shared" si="325"/>
        <v>-3625049.5199999996</v>
      </c>
      <c r="AK203" s="522">
        <f t="shared" si="310"/>
        <v>-63.798472821291718</v>
      </c>
      <c r="AL203" s="522">
        <f t="shared" si="302"/>
        <v>2056982.29</v>
      </c>
      <c r="AM203" s="522">
        <f t="shared" si="270"/>
        <v>4000000</v>
      </c>
      <c r="AN203" s="522">
        <f t="shared" si="270"/>
        <v>1720072.76</v>
      </c>
      <c r="AO203" s="522">
        <f t="shared" si="326"/>
        <v>-2279927.2400000002</v>
      </c>
      <c r="AP203" s="522">
        <f t="shared" si="338"/>
        <v>-56.998180999999995</v>
      </c>
      <c r="AQ203" s="578">
        <v>1000000</v>
      </c>
      <c r="AR203" s="578">
        <v>47943.81</v>
      </c>
      <c r="AS203" s="578">
        <v>3000000</v>
      </c>
      <c r="AT203" s="578">
        <v>1672128.95</v>
      </c>
      <c r="AU203" s="578">
        <f t="shared" si="276"/>
        <v>6461959.0499999998</v>
      </c>
      <c r="AV203" s="578">
        <f t="shared" si="276"/>
        <v>3961959.05</v>
      </c>
      <c r="AW203" s="578">
        <f t="shared" si="327"/>
        <v>-2500000</v>
      </c>
      <c r="AX203" s="578">
        <f t="shared" si="328"/>
        <v>-38.687957949841859</v>
      </c>
      <c r="AY203" s="578">
        <f t="shared" si="277"/>
        <v>336909.53</v>
      </c>
      <c r="AZ203" s="578">
        <f t="shared" si="329"/>
        <v>3625049.5199999996</v>
      </c>
      <c r="BA203" s="578">
        <f t="shared" si="330"/>
        <v>1075.9712021206403</v>
      </c>
      <c r="BB203" s="578">
        <v>3461959.05</v>
      </c>
      <c r="BC203" s="576">
        <f>'[67]Дир_ имущ'!AT27</f>
        <v>3461959.05</v>
      </c>
      <c r="BD203" s="576">
        <f t="shared" si="303"/>
        <v>6783.8100000000559</v>
      </c>
      <c r="BE203" s="576">
        <f t="shared" si="331"/>
        <v>-3455175.2399999998</v>
      </c>
      <c r="BF203" s="576">
        <f t="shared" si="332"/>
        <v>-3455175.2399999998</v>
      </c>
      <c r="BG203" s="576">
        <f t="shared" si="312"/>
        <v>7461959.0499999998</v>
      </c>
      <c r="BH203" s="578">
        <f t="shared" si="312"/>
        <v>5182031.8099999996</v>
      </c>
      <c r="BI203" s="578">
        <v>1726856.57</v>
      </c>
      <c r="BJ203" s="578">
        <f t="shared" si="333"/>
        <v>-5735102.4799999995</v>
      </c>
      <c r="BK203" s="578">
        <f t="shared" si="334"/>
        <v>-3455175.2399999993</v>
      </c>
      <c r="BL203" s="576">
        <v>3000000</v>
      </c>
      <c r="BM203" s="578">
        <f>'[67]Дир_ имущ'!AW27</f>
        <v>500000</v>
      </c>
      <c r="BN203" s="522">
        <f t="shared" si="304"/>
        <v>330125.71999999997</v>
      </c>
      <c r="BO203" s="578">
        <f t="shared" si="339"/>
        <v>-2669874.2800000003</v>
      </c>
      <c r="BP203" s="578">
        <f t="shared" si="335"/>
        <v>-169874.28000000003</v>
      </c>
      <c r="BQ203" s="576">
        <v>3000000</v>
      </c>
      <c r="BR203" s="578">
        <f>'[67]Дир_ имущ'!BB27</f>
        <v>0</v>
      </c>
      <c r="BS203" s="578">
        <f>'[67]Дир_ имущ'!BC27</f>
        <v>0</v>
      </c>
      <c r="BT203" s="536"/>
      <c r="BU203" s="578">
        <v>2056982.29</v>
      </c>
      <c r="BV203" s="578"/>
      <c r="BW203" s="578"/>
      <c r="BX203" s="574"/>
      <c r="BY203" s="525">
        <v>2040094.99</v>
      </c>
      <c r="BZ203" s="525">
        <v>12804.22</v>
      </c>
      <c r="CA203" s="525">
        <v>4083.08</v>
      </c>
      <c r="CB203" s="522">
        <f t="shared" si="308"/>
        <v>2056982.29</v>
      </c>
      <c r="CC203" s="522">
        <f t="shared" si="336"/>
        <v>0</v>
      </c>
      <c r="CD203" s="578"/>
      <c r="CE203" s="578"/>
      <c r="CF203" s="578"/>
      <c r="CG203" s="578"/>
      <c r="CH203" s="578"/>
      <c r="CI203" s="578"/>
      <c r="CJ203" s="578"/>
      <c r="CK203" s="543" t="s">
        <v>1815</v>
      </c>
      <c r="CL203" s="543" t="s">
        <v>1816</v>
      </c>
      <c r="CM203" s="509" t="s">
        <v>1925</v>
      </c>
      <c r="CN203" s="528" t="s">
        <v>1849</v>
      </c>
      <c r="CO203" s="528"/>
      <c r="CP203" s="544">
        <f t="shared" si="305"/>
        <v>9652417.3695105761</v>
      </c>
      <c r="CQ203" s="544">
        <f t="shared" si="306"/>
        <v>709001.54597888922</v>
      </c>
      <c r="CR203" s="544">
        <f t="shared" si="307"/>
        <v>100540.13451053515</v>
      </c>
      <c r="CS203" s="1688" t="s">
        <v>1826</v>
      </c>
      <c r="CT203" s="1689"/>
      <c r="CU203" s="1689"/>
      <c r="CV203" s="1689"/>
      <c r="CW203" s="1690"/>
      <c r="CX203" s="528"/>
      <c r="CY203" s="528"/>
      <c r="CZ203" s="528"/>
      <c r="DA203" s="528"/>
      <c r="DB203" s="579">
        <f>47943.81</f>
        <v>47943.81</v>
      </c>
      <c r="DC203" s="628" t="e">
        <f>P203-#REF!</f>
        <v>#REF!</v>
      </c>
      <c r="DD203" s="535"/>
      <c r="DE203" s="535"/>
      <c r="DF203" s="525">
        <f t="shared" si="278"/>
        <v>2040.0949900000001</v>
      </c>
      <c r="DG203" s="525">
        <f t="shared" si="278"/>
        <v>12.804219999999999</v>
      </c>
      <c r="DH203" s="525">
        <f t="shared" si="278"/>
        <v>4.0830799999999998</v>
      </c>
      <c r="DI203" s="522">
        <f t="shared" si="278"/>
        <v>2056.9822899999999</v>
      </c>
      <c r="DJ203" s="536"/>
      <c r="DK203" s="536"/>
      <c r="DL203" s="536"/>
      <c r="DM203" s="536"/>
      <c r="DN203" s="536"/>
      <c r="DO203" s="536"/>
      <c r="DP203" s="536"/>
      <c r="DQ203" s="536"/>
      <c r="DR203" s="536"/>
      <c r="DS203" s="536"/>
    </row>
    <row r="204" spans="1:123" s="534" customFormat="1" ht="56.4">
      <c r="A204" s="537" t="s">
        <v>867</v>
      </c>
      <c r="B204" s="538" t="s">
        <v>868</v>
      </c>
      <c r="C204" s="576">
        <v>14836196.039999999</v>
      </c>
      <c r="D204" s="576">
        <v>0</v>
      </c>
      <c r="E204" s="576">
        <v>701240</v>
      </c>
      <c r="F204" s="576">
        <v>30375</v>
      </c>
      <c r="G204" s="577">
        <v>0</v>
      </c>
      <c r="H204" s="577">
        <v>0</v>
      </c>
      <c r="I204" s="576">
        <f t="shared" si="298"/>
        <v>29951.3</v>
      </c>
      <c r="J204" s="576">
        <v>15187.5</v>
      </c>
      <c r="K204" s="576">
        <v>6000</v>
      </c>
      <c r="L204" s="576">
        <v>8763.7999999999993</v>
      </c>
      <c r="M204" s="576">
        <f t="shared" si="299"/>
        <v>21187.5</v>
      </c>
      <c r="N204" s="576">
        <v>22781.25</v>
      </c>
      <c r="O204" s="525">
        <f t="shared" si="300"/>
        <v>7593.75</v>
      </c>
      <c r="P204" s="522">
        <v>30375</v>
      </c>
      <c r="Q204" s="576">
        <f t="shared" si="313"/>
        <v>423.70000000000073</v>
      </c>
      <c r="R204" s="576">
        <f t="shared" si="314"/>
        <v>1.4146297489591433</v>
      </c>
      <c r="S204" s="576">
        <v>0</v>
      </c>
      <c r="T204" s="576">
        <v>0</v>
      </c>
      <c r="U204" s="522">
        <f t="shared" si="301"/>
        <v>31478.82</v>
      </c>
      <c r="V204" s="522">
        <f t="shared" si="311"/>
        <v>31478.82</v>
      </c>
      <c r="W204" s="522">
        <v>0</v>
      </c>
      <c r="X204" s="522">
        <f t="shared" si="315"/>
        <v>1103.8199999999997</v>
      </c>
      <c r="Y204" s="522">
        <f t="shared" si="316"/>
        <v>3.633975308641979</v>
      </c>
      <c r="Z204" s="524">
        <f t="shared" si="317"/>
        <v>3131303.21</v>
      </c>
      <c r="AA204" s="522">
        <f t="shared" si="318"/>
        <v>3131303.21</v>
      </c>
      <c r="AB204" s="522">
        <v>0</v>
      </c>
      <c r="AC204" s="522">
        <f t="shared" si="319"/>
        <v>3099824.39</v>
      </c>
      <c r="AD204" s="522">
        <f t="shared" si="320"/>
        <v>9847.3335086893348</v>
      </c>
      <c r="AE204" s="522">
        <f t="shared" si="321"/>
        <v>3100928.21</v>
      </c>
      <c r="AF204" s="522">
        <f t="shared" si="322"/>
        <v>10208.817152263375</v>
      </c>
      <c r="AG204" s="522">
        <f t="shared" si="337"/>
        <v>2683814.4900000002</v>
      </c>
      <c r="AH204" s="522">
        <f t="shared" si="323"/>
        <v>2652335.6700000004</v>
      </c>
      <c r="AI204" s="522">
        <f t="shared" si="324"/>
        <v>8425.7785711154374</v>
      </c>
      <c r="AJ204" s="522">
        <f t="shared" si="325"/>
        <v>-447488.71999999974</v>
      </c>
      <c r="AK204" s="522">
        <f t="shared" si="310"/>
        <v>-14.29081407929192</v>
      </c>
      <c r="AL204" s="522">
        <f t="shared" si="302"/>
        <v>2683814.4900000002</v>
      </c>
      <c r="AM204" s="522">
        <f t="shared" si="270"/>
        <v>13800</v>
      </c>
      <c r="AN204" s="522">
        <f t="shared" si="270"/>
        <v>31303.21</v>
      </c>
      <c r="AO204" s="522">
        <f t="shared" si="326"/>
        <v>17503.21</v>
      </c>
      <c r="AP204" s="522">
        <f t="shared" si="338"/>
        <v>126.83485507246374</v>
      </c>
      <c r="AQ204" s="578">
        <v>5000</v>
      </c>
      <c r="AR204" s="578">
        <v>7593.75</v>
      </c>
      <c r="AS204" s="578">
        <v>8800</v>
      </c>
      <c r="AT204" s="578">
        <v>23709.46</v>
      </c>
      <c r="AU204" s="578">
        <f t="shared" si="276"/>
        <v>17678.82</v>
      </c>
      <c r="AV204" s="578">
        <f t="shared" si="276"/>
        <v>3100000</v>
      </c>
      <c r="AW204" s="578">
        <f t="shared" si="327"/>
        <v>3082321.18</v>
      </c>
      <c r="AX204" s="578">
        <f t="shared" si="328"/>
        <v>17435.106981122044</v>
      </c>
      <c r="AY204" s="578">
        <f t="shared" si="277"/>
        <v>2652511.2800000003</v>
      </c>
      <c r="AZ204" s="578">
        <f t="shared" si="329"/>
        <v>447488.71999999974</v>
      </c>
      <c r="BA204" s="578">
        <f t="shared" si="330"/>
        <v>16.870379529545289</v>
      </c>
      <c r="BB204" s="578">
        <v>8800</v>
      </c>
      <c r="BC204" s="576">
        <f>'[67]Дир_ имущ'!AT28</f>
        <v>2800000</v>
      </c>
      <c r="BD204" s="576">
        <f t="shared" si="303"/>
        <v>2305146.7000000002</v>
      </c>
      <c r="BE204" s="576">
        <f t="shared" si="331"/>
        <v>2296346.7000000002</v>
      </c>
      <c r="BF204" s="576">
        <f t="shared" si="332"/>
        <v>-494853.29999999981</v>
      </c>
      <c r="BG204" s="576">
        <f t="shared" si="312"/>
        <v>22600</v>
      </c>
      <c r="BH204" s="578">
        <f t="shared" si="312"/>
        <v>2831303.21</v>
      </c>
      <c r="BI204" s="578">
        <f>2303619.52+32830.39</f>
        <v>2336449.91</v>
      </c>
      <c r="BJ204" s="578">
        <f t="shared" si="333"/>
        <v>2313849.91</v>
      </c>
      <c r="BK204" s="578">
        <f t="shared" si="334"/>
        <v>-494853.29999999981</v>
      </c>
      <c r="BL204" s="576">
        <v>8878.82</v>
      </c>
      <c r="BM204" s="578">
        <f>'[67]Дир_ имущ'!AW28</f>
        <v>300000</v>
      </c>
      <c r="BN204" s="522">
        <f t="shared" si="304"/>
        <v>347364.58000000007</v>
      </c>
      <c r="BO204" s="578">
        <f t="shared" si="339"/>
        <v>338485.76000000007</v>
      </c>
      <c r="BP204" s="578">
        <f t="shared" si="335"/>
        <v>47364.580000000075</v>
      </c>
      <c r="BQ204" s="576">
        <v>8878.82</v>
      </c>
      <c r="BR204" s="578">
        <f>'[67]Дир_ имущ'!BB28</f>
        <v>0</v>
      </c>
      <c r="BS204" s="578">
        <f>'[67]Дир_ имущ'!BC28</f>
        <v>0</v>
      </c>
      <c r="BT204" s="536"/>
      <c r="BU204" s="578">
        <v>2400317.54</v>
      </c>
      <c r="BV204" s="578">
        <v>283496.95</v>
      </c>
      <c r="BW204" s="578"/>
      <c r="BX204" s="574"/>
      <c r="BY204" s="525">
        <f>2293591.05+281698.95</f>
        <v>2575290</v>
      </c>
      <c r="BZ204" s="525">
        <v>78170.23</v>
      </c>
      <c r="CA204" s="525">
        <f>28556.26+1798</f>
        <v>30354.26</v>
      </c>
      <c r="CB204" s="522">
        <f t="shared" si="308"/>
        <v>2683814.4899999998</v>
      </c>
      <c r="CC204" s="522">
        <f t="shared" si="336"/>
        <v>0</v>
      </c>
      <c r="CD204" s="578"/>
      <c r="CE204" s="578"/>
      <c r="CF204" s="578"/>
      <c r="CG204" s="578"/>
      <c r="CH204" s="578"/>
      <c r="CI204" s="578"/>
      <c r="CJ204" s="578"/>
      <c r="CK204" s="543" t="s">
        <v>1815</v>
      </c>
      <c r="CL204" s="543" t="s">
        <v>1816</v>
      </c>
      <c r="CM204" s="509" t="s">
        <v>1925</v>
      </c>
      <c r="CN204" s="528"/>
      <c r="CO204" s="528"/>
      <c r="CP204" s="544">
        <f t="shared" si="305"/>
        <v>29043.003082648935</v>
      </c>
      <c r="CQ204" s="544">
        <f t="shared" si="306"/>
        <v>2133.3033267408146</v>
      </c>
      <c r="CR204" s="544">
        <f t="shared" si="307"/>
        <v>302.51359061025227</v>
      </c>
      <c r="CS204" s="1688" t="s">
        <v>1826</v>
      </c>
      <c r="CT204" s="1689"/>
      <c r="CU204" s="1689"/>
      <c r="CV204" s="1689"/>
      <c r="CW204" s="1690"/>
      <c r="CX204" s="528"/>
      <c r="CY204" s="528"/>
      <c r="CZ204" s="528"/>
      <c r="DA204" s="528"/>
      <c r="DB204" s="579">
        <f>7593.75</f>
        <v>7593.75</v>
      </c>
      <c r="DC204" s="628" t="e">
        <f>P204-#REF!</f>
        <v>#REF!</v>
      </c>
      <c r="DD204" s="535"/>
      <c r="DE204" s="535"/>
      <c r="DF204" s="525">
        <f t="shared" si="278"/>
        <v>2575.29</v>
      </c>
      <c r="DG204" s="525">
        <f t="shared" si="278"/>
        <v>78.170229999999989</v>
      </c>
      <c r="DH204" s="525">
        <f t="shared" si="278"/>
        <v>30.35426</v>
      </c>
      <c r="DI204" s="522">
        <f t="shared" si="278"/>
        <v>2683.8144899999998</v>
      </c>
      <c r="DJ204" s="536"/>
      <c r="DK204" s="536"/>
      <c r="DL204" s="536"/>
      <c r="DM204" s="536"/>
      <c r="DN204" s="536"/>
      <c r="DO204" s="536"/>
      <c r="DP204" s="536"/>
      <c r="DQ204" s="536"/>
      <c r="DR204" s="536"/>
      <c r="DS204" s="536"/>
    </row>
    <row r="205" spans="1:123" s="534" customFormat="1" ht="56.4">
      <c r="A205" s="537" t="s">
        <v>872</v>
      </c>
      <c r="B205" s="538" t="s">
        <v>873</v>
      </c>
      <c r="C205" s="576"/>
      <c r="D205" s="576">
        <v>0</v>
      </c>
      <c r="E205" s="576">
        <v>0</v>
      </c>
      <c r="F205" s="576"/>
      <c r="G205" s="577">
        <v>0</v>
      </c>
      <c r="H205" s="577">
        <v>0</v>
      </c>
      <c r="I205" s="576">
        <f t="shared" si="298"/>
        <v>0</v>
      </c>
      <c r="J205" s="576">
        <v>0</v>
      </c>
      <c r="K205" s="576">
        <v>0</v>
      </c>
      <c r="L205" s="576">
        <v>0</v>
      </c>
      <c r="M205" s="576">
        <f t="shared" si="299"/>
        <v>0</v>
      </c>
      <c r="N205" s="576">
        <v>24173.55</v>
      </c>
      <c r="O205" s="525">
        <f t="shared" si="300"/>
        <v>24173.55</v>
      </c>
      <c r="P205" s="522">
        <v>48347.1</v>
      </c>
      <c r="Q205" s="576">
        <f t="shared" si="313"/>
        <v>48347.1</v>
      </c>
      <c r="R205" s="576">
        <v>0</v>
      </c>
      <c r="S205" s="576">
        <v>0</v>
      </c>
      <c r="T205" s="576">
        <v>0</v>
      </c>
      <c r="U205" s="522">
        <f t="shared" si="301"/>
        <v>0</v>
      </c>
      <c r="V205" s="522">
        <f t="shared" si="311"/>
        <v>0</v>
      </c>
      <c r="W205" s="522">
        <v>0</v>
      </c>
      <c r="X205" s="522">
        <f t="shared" si="315"/>
        <v>-48347.1</v>
      </c>
      <c r="Y205" s="522">
        <f t="shared" si="316"/>
        <v>-100</v>
      </c>
      <c r="Z205" s="524">
        <f t="shared" si="317"/>
        <v>43733.63</v>
      </c>
      <c r="AA205" s="522">
        <f t="shared" si="318"/>
        <v>43733.63</v>
      </c>
      <c r="AB205" s="522">
        <v>0</v>
      </c>
      <c r="AC205" s="522">
        <f t="shared" si="319"/>
        <v>43733.63</v>
      </c>
      <c r="AD205" s="522">
        <v>0</v>
      </c>
      <c r="AE205" s="522">
        <f t="shared" si="321"/>
        <v>-4613.4700000000012</v>
      </c>
      <c r="AF205" s="522">
        <f t="shared" si="322"/>
        <v>-9.5423924082313079</v>
      </c>
      <c r="AG205" s="522">
        <f t="shared" si="337"/>
        <v>85955.38</v>
      </c>
      <c r="AH205" s="522">
        <f t="shared" si="323"/>
        <v>85955.38</v>
      </c>
      <c r="AI205" s="522">
        <v>0</v>
      </c>
      <c r="AJ205" s="522">
        <f t="shared" si="325"/>
        <v>42221.750000000007</v>
      </c>
      <c r="AK205" s="522">
        <f t="shared" si="310"/>
        <v>96.542980767889617</v>
      </c>
      <c r="AL205" s="522">
        <f t="shared" si="302"/>
        <v>85955.38</v>
      </c>
      <c r="AM205" s="522">
        <f t="shared" si="270"/>
        <v>0</v>
      </c>
      <c r="AN205" s="522">
        <f t="shared" si="270"/>
        <v>43733.63</v>
      </c>
      <c r="AO205" s="522">
        <f t="shared" si="326"/>
        <v>43733.63</v>
      </c>
      <c r="AP205" s="522">
        <v>0</v>
      </c>
      <c r="AQ205" s="578">
        <v>0</v>
      </c>
      <c r="AR205" s="578">
        <v>26663.18</v>
      </c>
      <c r="AS205" s="578">
        <v>0</v>
      </c>
      <c r="AT205" s="578">
        <v>17070.449999999997</v>
      </c>
      <c r="AU205" s="578">
        <f t="shared" si="276"/>
        <v>0</v>
      </c>
      <c r="AV205" s="578">
        <f t="shared" si="276"/>
        <v>0</v>
      </c>
      <c r="AW205" s="578">
        <f t="shared" si="327"/>
        <v>0</v>
      </c>
      <c r="AX205" s="578">
        <v>0</v>
      </c>
      <c r="AY205" s="578">
        <f t="shared" si="277"/>
        <v>42221.750000000007</v>
      </c>
      <c r="AZ205" s="578">
        <f t="shared" si="329"/>
        <v>-42221.750000000007</v>
      </c>
      <c r="BA205" s="578">
        <v>0</v>
      </c>
      <c r="BB205" s="578">
        <v>0</v>
      </c>
      <c r="BC205" s="576">
        <f>'[67]Дир_ имущ'!AT29</f>
        <v>0</v>
      </c>
      <c r="BD205" s="576">
        <f t="shared" si="303"/>
        <v>30649.140000000007</v>
      </c>
      <c r="BE205" s="576">
        <f t="shared" si="331"/>
        <v>30649.140000000007</v>
      </c>
      <c r="BF205" s="576">
        <f t="shared" si="332"/>
        <v>30649.140000000007</v>
      </c>
      <c r="BG205" s="576">
        <f t="shared" si="312"/>
        <v>0</v>
      </c>
      <c r="BH205" s="578">
        <f t="shared" si="312"/>
        <v>43733.63</v>
      </c>
      <c r="BI205" s="578">
        <v>74382.77</v>
      </c>
      <c r="BJ205" s="578">
        <f t="shared" si="333"/>
        <v>74382.77</v>
      </c>
      <c r="BK205" s="578">
        <f t="shared" si="334"/>
        <v>30649.140000000007</v>
      </c>
      <c r="BL205" s="576">
        <v>0</v>
      </c>
      <c r="BM205" s="578">
        <f>'[67]Дир_ имущ'!AW29</f>
        <v>0</v>
      </c>
      <c r="BN205" s="522">
        <f t="shared" si="304"/>
        <v>11572.61</v>
      </c>
      <c r="BO205" s="578">
        <f t="shared" si="339"/>
        <v>11572.61</v>
      </c>
      <c r="BP205" s="578">
        <f t="shared" si="335"/>
        <v>11572.61</v>
      </c>
      <c r="BQ205" s="576">
        <v>0</v>
      </c>
      <c r="BR205" s="578">
        <f>'[67]Дир_ имущ'!BB29</f>
        <v>0</v>
      </c>
      <c r="BS205" s="578">
        <f>'[67]Дир_ имущ'!BC29</f>
        <v>0</v>
      </c>
      <c r="BT205" s="536"/>
      <c r="BU205" s="578">
        <v>82955.38</v>
      </c>
      <c r="BV205" s="578">
        <v>3000</v>
      </c>
      <c r="BW205" s="578"/>
      <c r="BX205" s="574"/>
      <c r="BY205" s="525">
        <f>82925.44+3000</f>
        <v>85925.440000000002</v>
      </c>
      <c r="BZ205" s="525">
        <v>27.65</v>
      </c>
      <c r="CA205" s="525">
        <v>2.29</v>
      </c>
      <c r="CB205" s="522">
        <f t="shared" si="308"/>
        <v>85955.37999999999</v>
      </c>
      <c r="CC205" s="522">
        <f t="shared" si="336"/>
        <v>0</v>
      </c>
      <c r="CD205" s="578"/>
      <c r="CE205" s="578"/>
      <c r="CF205" s="578"/>
      <c r="CG205" s="578"/>
      <c r="CH205" s="578"/>
      <c r="CI205" s="578"/>
      <c r="CJ205" s="578"/>
      <c r="CK205" s="543" t="s">
        <v>1815</v>
      </c>
      <c r="CL205" s="543" t="s">
        <v>1816</v>
      </c>
      <c r="CM205" s="509" t="s">
        <v>1925</v>
      </c>
      <c r="CN205" s="528" t="s">
        <v>1849</v>
      </c>
      <c r="CO205" s="528"/>
      <c r="CP205" s="544">
        <f t="shared" si="305"/>
        <v>0</v>
      </c>
      <c r="CQ205" s="544">
        <f t="shared" si="306"/>
        <v>0</v>
      </c>
      <c r="CR205" s="544">
        <f t="shared" si="307"/>
        <v>0</v>
      </c>
      <c r="CS205" s="1688" t="s">
        <v>1826</v>
      </c>
      <c r="CT205" s="1689"/>
      <c r="CU205" s="1689"/>
      <c r="CV205" s="1689"/>
      <c r="CW205" s="1690"/>
      <c r="CX205" s="528"/>
      <c r="CY205" s="528"/>
      <c r="CZ205" s="528"/>
      <c r="DA205" s="528"/>
      <c r="DB205" s="579">
        <v>26663.18</v>
      </c>
      <c r="DC205" s="628" t="e">
        <f>P205-#REF!</f>
        <v>#REF!</v>
      </c>
      <c r="DD205" s="535"/>
      <c r="DE205" s="535"/>
      <c r="DF205" s="525">
        <f t="shared" si="278"/>
        <v>85.925440000000009</v>
      </c>
      <c r="DG205" s="525">
        <f t="shared" si="278"/>
        <v>2.7649999999999997E-2</v>
      </c>
      <c r="DH205" s="525">
        <f t="shared" si="278"/>
        <v>2.2899999999999999E-3</v>
      </c>
      <c r="DI205" s="522">
        <f t="shared" si="278"/>
        <v>85.955379999999991</v>
      </c>
      <c r="DJ205" s="536"/>
      <c r="DK205" s="536"/>
      <c r="DL205" s="536"/>
      <c r="DM205" s="536"/>
      <c r="DN205" s="536"/>
      <c r="DO205" s="536"/>
      <c r="DP205" s="536"/>
      <c r="DQ205" s="536"/>
      <c r="DR205" s="536"/>
      <c r="DS205" s="536"/>
    </row>
    <row r="206" spans="1:123" s="534" customFormat="1" ht="90" customHeight="1">
      <c r="A206" s="537" t="s">
        <v>878</v>
      </c>
      <c r="B206" s="538" t="s">
        <v>879</v>
      </c>
      <c r="C206" s="576">
        <v>55092.2</v>
      </c>
      <c r="D206" s="576">
        <v>0</v>
      </c>
      <c r="E206" s="576">
        <v>135000</v>
      </c>
      <c r="F206" s="576">
        <v>262685.19</v>
      </c>
      <c r="G206" s="577">
        <v>0</v>
      </c>
      <c r="H206" s="577">
        <v>0</v>
      </c>
      <c r="I206" s="576">
        <f t="shared" si="298"/>
        <v>187880.74</v>
      </c>
      <c r="J206" s="576">
        <v>109980.85</v>
      </c>
      <c r="K206" s="576">
        <v>77899.89</v>
      </c>
      <c r="L206" s="576">
        <v>0</v>
      </c>
      <c r="M206" s="576">
        <f t="shared" si="299"/>
        <v>187880.74</v>
      </c>
      <c r="N206" s="576">
        <v>216383.16</v>
      </c>
      <c r="O206" s="525">
        <f t="shared" si="300"/>
        <v>0</v>
      </c>
      <c r="P206" s="522">
        <v>216383.16</v>
      </c>
      <c r="Q206" s="576">
        <f t="shared" si="313"/>
        <v>28502.420000000013</v>
      </c>
      <c r="R206" s="576">
        <f t="shared" si="314"/>
        <v>15.170485276990078</v>
      </c>
      <c r="S206" s="576"/>
      <c r="T206" s="576"/>
      <c r="U206" s="522">
        <f t="shared" si="301"/>
        <v>197462.66</v>
      </c>
      <c r="V206" s="522">
        <f t="shared" si="311"/>
        <v>197462.66</v>
      </c>
      <c r="W206" s="522">
        <v>0</v>
      </c>
      <c r="X206" s="522">
        <f t="shared" si="315"/>
        <v>-18920.5</v>
      </c>
      <c r="Y206" s="522">
        <f t="shared" si="316"/>
        <v>-8.7439798919657079</v>
      </c>
      <c r="Z206" s="524">
        <f t="shared" si="317"/>
        <v>200750.33000000002</v>
      </c>
      <c r="AA206" s="522">
        <f t="shared" si="318"/>
        <v>200750.33000000002</v>
      </c>
      <c r="AB206" s="522">
        <v>0</v>
      </c>
      <c r="AC206" s="522">
        <f t="shared" si="319"/>
        <v>3287.6700000000128</v>
      </c>
      <c r="AD206" s="522">
        <f t="shared" si="320"/>
        <v>1.6649578203798114</v>
      </c>
      <c r="AE206" s="522">
        <f t="shared" si="321"/>
        <v>-15632.829999999987</v>
      </c>
      <c r="AF206" s="522">
        <f t="shared" si="322"/>
        <v>-7.2246056486096109</v>
      </c>
      <c r="AG206" s="522">
        <f t="shared" si="337"/>
        <v>209619</v>
      </c>
      <c r="AH206" s="522">
        <f t="shared" si="323"/>
        <v>12156.339999999997</v>
      </c>
      <c r="AI206" s="522">
        <f t="shared" si="324"/>
        <v>6.1562727859535613</v>
      </c>
      <c r="AJ206" s="522">
        <f t="shared" si="325"/>
        <v>8868.6699999999837</v>
      </c>
      <c r="AK206" s="522">
        <f t="shared" si="310"/>
        <v>4.4177611065446172</v>
      </c>
      <c r="AL206" s="522">
        <f t="shared" si="302"/>
        <v>209619</v>
      </c>
      <c r="AM206" s="522">
        <f t="shared" si="270"/>
        <v>98731.33</v>
      </c>
      <c r="AN206" s="522">
        <f t="shared" si="270"/>
        <v>102019</v>
      </c>
      <c r="AO206" s="522">
        <f t="shared" si="326"/>
        <v>3287.6699999999983</v>
      </c>
      <c r="AP206" s="522">
        <f t="shared" si="338"/>
        <v>3.3299156407596229</v>
      </c>
      <c r="AQ206" s="578">
        <v>0</v>
      </c>
      <c r="AR206" s="578">
        <v>0</v>
      </c>
      <c r="AS206" s="578">
        <v>98731.33</v>
      </c>
      <c r="AT206" s="578">
        <v>102019</v>
      </c>
      <c r="AU206" s="578">
        <f t="shared" si="276"/>
        <v>98731.33</v>
      </c>
      <c r="AV206" s="578">
        <f t="shared" si="276"/>
        <v>98731.33</v>
      </c>
      <c r="AW206" s="578">
        <f t="shared" si="327"/>
        <v>0</v>
      </c>
      <c r="AX206" s="578">
        <f t="shared" si="328"/>
        <v>0</v>
      </c>
      <c r="AY206" s="578">
        <f t="shared" si="277"/>
        <v>107600</v>
      </c>
      <c r="AZ206" s="578">
        <f t="shared" si="329"/>
        <v>-8868.6699999999983</v>
      </c>
      <c r="BA206" s="578">
        <f t="shared" si="330"/>
        <v>-8.2422583643122778</v>
      </c>
      <c r="BB206" s="578">
        <v>98731.33</v>
      </c>
      <c r="BC206" s="576">
        <f>'[67]Гл инж_Тех дир'!AT56</f>
        <v>98731.33</v>
      </c>
      <c r="BD206" s="576">
        <f t="shared" si="303"/>
        <v>102260</v>
      </c>
      <c r="BE206" s="576">
        <f t="shared" si="331"/>
        <v>3528.6699999999983</v>
      </c>
      <c r="BF206" s="576">
        <f t="shared" si="332"/>
        <v>3528.6699999999983</v>
      </c>
      <c r="BG206" s="576">
        <f t="shared" si="312"/>
        <v>197462.66</v>
      </c>
      <c r="BH206" s="578">
        <f t="shared" si="312"/>
        <v>200750.33000000002</v>
      </c>
      <c r="BI206" s="578">
        <v>204279</v>
      </c>
      <c r="BJ206" s="578">
        <f t="shared" si="333"/>
        <v>6816.3399999999965</v>
      </c>
      <c r="BK206" s="578">
        <f t="shared" si="334"/>
        <v>3528.6699999999837</v>
      </c>
      <c r="BL206" s="576">
        <v>0</v>
      </c>
      <c r="BM206" s="578">
        <f>'[67]Гл инж_Тех дир'!AW56</f>
        <v>0</v>
      </c>
      <c r="BN206" s="522">
        <f t="shared" si="304"/>
        <v>5340</v>
      </c>
      <c r="BO206" s="578">
        <f t="shared" si="339"/>
        <v>5340</v>
      </c>
      <c r="BP206" s="578">
        <f t="shared" si="335"/>
        <v>5340</v>
      </c>
      <c r="BQ206" s="576">
        <v>0</v>
      </c>
      <c r="BR206" s="578">
        <f>'[67]Гл инж_Тех дир'!BB56</f>
        <v>0</v>
      </c>
      <c r="BS206" s="578">
        <f>'[67]Гл инж_Тех дир'!BC56</f>
        <v>0</v>
      </c>
      <c r="BT206" s="536"/>
      <c r="BU206" s="578">
        <v>209619</v>
      </c>
      <c r="BV206" s="578"/>
      <c r="BW206" s="578"/>
      <c r="BX206" s="574"/>
      <c r="BY206" s="525">
        <v>200536.25</v>
      </c>
      <c r="BZ206" s="525">
        <v>7061.48</v>
      </c>
      <c r="CA206" s="525">
        <v>2021.27</v>
      </c>
      <c r="CB206" s="522">
        <f t="shared" si="308"/>
        <v>209619</v>
      </c>
      <c r="CC206" s="522">
        <f t="shared" si="336"/>
        <v>0</v>
      </c>
      <c r="CD206" s="578"/>
      <c r="CE206" s="578"/>
      <c r="CF206" s="578"/>
      <c r="CG206" s="578"/>
      <c r="CH206" s="578"/>
      <c r="CI206" s="578"/>
      <c r="CJ206" s="578"/>
      <c r="CK206" s="542" t="s">
        <v>79</v>
      </c>
      <c r="CL206" s="543" t="s">
        <v>1903</v>
      </c>
      <c r="CM206" s="509" t="s">
        <v>1925</v>
      </c>
      <c r="CN206" s="528"/>
      <c r="CO206" s="528"/>
      <c r="CP206" s="544">
        <f t="shared" si="305"/>
        <v>182183.08828247242</v>
      </c>
      <c r="CQ206" s="544">
        <f t="shared" si="306"/>
        <v>13381.94219113329</v>
      </c>
      <c r="CR206" s="544">
        <f t="shared" si="307"/>
        <v>1897.6295263943007</v>
      </c>
      <c r="CS206" s="1688" t="s">
        <v>1826</v>
      </c>
      <c r="CT206" s="1689"/>
      <c r="CU206" s="1689"/>
      <c r="CV206" s="1689"/>
      <c r="CW206" s="1690"/>
      <c r="CX206" s="528"/>
      <c r="CY206" s="528"/>
      <c r="CZ206" s="528"/>
      <c r="DA206" s="528"/>
      <c r="DB206" s="579"/>
      <c r="DC206" s="628" t="e">
        <f>P206-#REF!</f>
        <v>#REF!</v>
      </c>
      <c r="DD206" s="535"/>
      <c r="DE206" s="535"/>
      <c r="DF206" s="525">
        <f t="shared" si="278"/>
        <v>200.53625</v>
      </c>
      <c r="DG206" s="525">
        <f t="shared" si="278"/>
        <v>7.0614799999999995</v>
      </c>
      <c r="DH206" s="525">
        <f t="shared" si="278"/>
        <v>2.0212699999999999</v>
      </c>
      <c r="DI206" s="522">
        <f t="shared" si="278"/>
        <v>209.619</v>
      </c>
      <c r="DJ206" s="536"/>
      <c r="DK206" s="536"/>
      <c r="DL206" s="536"/>
      <c r="DM206" s="536"/>
      <c r="DN206" s="536"/>
      <c r="DO206" s="536"/>
      <c r="DP206" s="536"/>
      <c r="DQ206" s="536"/>
      <c r="DR206" s="536"/>
      <c r="DS206" s="536"/>
    </row>
    <row r="207" spans="1:123" s="534" customFormat="1" ht="79.5" customHeight="1">
      <c r="A207" s="537" t="s">
        <v>1030</v>
      </c>
      <c r="B207" s="538" t="s">
        <v>1031</v>
      </c>
      <c r="C207" s="576">
        <v>261403.82</v>
      </c>
      <c r="D207" s="576">
        <v>1371591.66</v>
      </c>
      <c r="E207" s="576">
        <v>1215640</v>
      </c>
      <c r="F207" s="576">
        <v>911215.13</v>
      </c>
      <c r="G207" s="577">
        <v>660715.83895350026</v>
      </c>
      <c r="H207" s="577">
        <v>0</v>
      </c>
      <c r="I207" s="576">
        <f t="shared" si="298"/>
        <v>688716.42999999993</v>
      </c>
      <c r="J207" s="576">
        <v>28000.590000000004</v>
      </c>
      <c r="K207" s="576">
        <v>330357.92</v>
      </c>
      <c r="L207" s="576">
        <v>330357.92</v>
      </c>
      <c r="M207" s="576">
        <f t="shared" si="299"/>
        <v>358358.51</v>
      </c>
      <c r="N207" s="576">
        <v>42166.51</v>
      </c>
      <c r="O207" s="525">
        <f t="shared" si="300"/>
        <v>603737.88</v>
      </c>
      <c r="P207" s="522">
        <v>645904.39</v>
      </c>
      <c r="Q207" s="576">
        <f t="shared" si="313"/>
        <v>-42812.039999999921</v>
      </c>
      <c r="R207" s="576">
        <f t="shared" si="314"/>
        <v>-6.216207155098644</v>
      </c>
      <c r="S207" s="576">
        <v>990885.01249999995</v>
      </c>
      <c r="T207" s="576"/>
      <c r="U207" s="522">
        <f t="shared" si="301"/>
        <v>296822.03999999998</v>
      </c>
      <c r="V207" s="522">
        <f t="shared" si="311"/>
        <v>296822.03999999998</v>
      </c>
      <c r="W207" s="522">
        <v>0</v>
      </c>
      <c r="X207" s="522">
        <f t="shared" si="315"/>
        <v>-349082.35000000003</v>
      </c>
      <c r="Y207" s="522">
        <f t="shared" si="316"/>
        <v>-54.045514383328467</v>
      </c>
      <c r="Z207" s="524">
        <f t="shared" si="317"/>
        <v>176411.61</v>
      </c>
      <c r="AA207" s="522">
        <f t="shared" si="318"/>
        <v>176411.61</v>
      </c>
      <c r="AB207" s="522">
        <v>0</v>
      </c>
      <c r="AC207" s="522">
        <f t="shared" si="319"/>
        <v>-120410.43</v>
      </c>
      <c r="AD207" s="522">
        <f t="shared" si="320"/>
        <v>-40.566539465869852</v>
      </c>
      <c r="AE207" s="522">
        <f t="shared" si="321"/>
        <v>-469492.78</v>
      </c>
      <c r="AF207" s="522">
        <f t="shared" si="322"/>
        <v>-72.687658927353013</v>
      </c>
      <c r="AG207" s="522">
        <f t="shared" si="337"/>
        <v>56332.39</v>
      </c>
      <c r="AH207" s="522">
        <f t="shared" si="323"/>
        <v>-240489.64999999997</v>
      </c>
      <c r="AI207" s="522">
        <f t="shared" si="324"/>
        <v>-81.021493552163435</v>
      </c>
      <c r="AJ207" s="522">
        <f t="shared" si="325"/>
        <v>-120079.21999999999</v>
      </c>
      <c r="AK207" s="522">
        <f t="shared" si="310"/>
        <v>-68.067640219371043</v>
      </c>
      <c r="AL207" s="522">
        <f t="shared" si="302"/>
        <v>56332.39</v>
      </c>
      <c r="AM207" s="522">
        <f t="shared" si="270"/>
        <v>148411.01999999999</v>
      </c>
      <c r="AN207" s="522">
        <f t="shared" si="270"/>
        <v>28000.59</v>
      </c>
      <c r="AO207" s="522">
        <f t="shared" si="326"/>
        <v>-120410.43</v>
      </c>
      <c r="AP207" s="522">
        <f t="shared" si="338"/>
        <v>-81.133078931739703</v>
      </c>
      <c r="AQ207" s="578">
        <v>74205.509999999995</v>
      </c>
      <c r="AR207" s="578">
        <v>13945.09</v>
      </c>
      <c r="AS207" s="578">
        <v>74205.509999999995</v>
      </c>
      <c r="AT207" s="578">
        <v>14055.5</v>
      </c>
      <c r="AU207" s="578">
        <f t="shared" si="276"/>
        <v>148411.01999999999</v>
      </c>
      <c r="AV207" s="578">
        <f t="shared" si="276"/>
        <v>148411.01999999999</v>
      </c>
      <c r="AW207" s="578">
        <f t="shared" si="327"/>
        <v>0</v>
      </c>
      <c r="AX207" s="578">
        <f t="shared" si="328"/>
        <v>0</v>
      </c>
      <c r="AY207" s="578">
        <f t="shared" si="277"/>
        <v>28331.8</v>
      </c>
      <c r="AZ207" s="578">
        <f t="shared" si="329"/>
        <v>120079.21999999999</v>
      </c>
      <c r="BA207" s="578">
        <f t="shared" si="330"/>
        <v>423.83194855250986</v>
      </c>
      <c r="BB207" s="578">
        <v>74205.509999999995</v>
      </c>
      <c r="BC207" s="576">
        <f>'[67]Гл инж_Тех дир'!AT57</f>
        <v>74205.509999999995</v>
      </c>
      <c r="BD207" s="576">
        <f t="shared" si="303"/>
        <v>14165.91</v>
      </c>
      <c r="BE207" s="576">
        <f t="shared" si="331"/>
        <v>-60039.599999999991</v>
      </c>
      <c r="BF207" s="576">
        <f t="shared" si="332"/>
        <v>-60039.599999999991</v>
      </c>
      <c r="BG207" s="576">
        <f t="shared" si="312"/>
        <v>222616.52999999997</v>
      </c>
      <c r="BH207" s="578">
        <f t="shared" si="312"/>
        <v>102206.09999999999</v>
      </c>
      <c r="BI207" s="578">
        <v>42166.5</v>
      </c>
      <c r="BJ207" s="578">
        <f t="shared" si="333"/>
        <v>-180450.02999999997</v>
      </c>
      <c r="BK207" s="578">
        <f t="shared" si="334"/>
        <v>-60039.599999999991</v>
      </c>
      <c r="BL207" s="576">
        <v>74205.509999999995</v>
      </c>
      <c r="BM207" s="578">
        <f>'[67]Гл инж_Тех дир'!AW57</f>
        <v>74205.509999999995</v>
      </c>
      <c r="BN207" s="522">
        <f t="shared" si="304"/>
        <v>14165.89</v>
      </c>
      <c r="BO207" s="578">
        <f t="shared" si="339"/>
        <v>-60039.619999999995</v>
      </c>
      <c r="BP207" s="578">
        <f t="shared" si="335"/>
        <v>-60039.619999999995</v>
      </c>
      <c r="BQ207" s="576">
        <v>74205.509999999995</v>
      </c>
      <c r="BR207" s="578">
        <f>'[67]Гл инж_Тех дир'!BB57</f>
        <v>0</v>
      </c>
      <c r="BS207" s="578">
        <f>'[67]Гл инж_Тех дир'!BC57</f>
        <v>0</v>
      </c>
      <c r="BT207" s="536"/>
      <c r="BU207" s="578">
        <v>56332.39</v>
      </c>
      <c r="BV207" s="578"/>
      <c r="BW207" s="578"/>
      <c r="BX207" s="574"/>
      <c r="BY207" s="525">
        <v>52432.58</v>
      </c>
      <c r="BZ207" s="525">
        <v>3291.64</v>
      </c>
      <c r="CA207" s="525">
        <v>608.16999999999996</v>
      </c>
      <c r="CB207" s="522">
        <f t="shared" si="308"/>
        <v>56332.39</v>
      </c>
      <c r="CC207" s="522">
        <f t="shared" si="336"/>
        <v>0</v>
      </c>
      <c r="CD207" s="578"/>
      <c r="CE207" s="578"/>
      <c r="CF207" s="578"/>
      <c r="CG207" s="578"/>
      <c r="CH207" s="578"/>
      <c r="CI207" s="578"/>
      <c r="CJ207" s="578"/>
      <c r="CK207" s="542" t="s">
        <v>79</v>
      </c>
      <c r="CL207" s="543" t="s">
        <v>1903</v>
      </c>
      <c r="CM207" s="509" t="s">
        <v>1925</v>
      </c>
      <c r="CN207" s="528"/>
      <c r="CO207" s="528"/>
      <c r="CP207" s="544">
        <f t="shared" si="305"/>
        <v>273854.08419750625</v>
      </c>
      <c r="CQ207" s="544">
        <f t="shared" si="306"/>
        <v>20115.475909897355</v>
      </c>
      <c r="CR207" s="544">
        <f t="shared" si="307"/>
        <v>2852.4798925963528</v>
      </c>
      <c r="CS207" s="1688" t="s">
        <v>1826</v>
      </c>
      <c r="CT207" s="1689"/>
      <c r="CU207" s="1689"/>
      <c r="CV207" s="1689"/>
      <c r="CW207" s="1690"/>
      <c r="CX207" s="528"/>
      <c r="CY207" s="528"/>
      <c r="CZ207" s="528"/>
      <c r="DA207" s="528"/>
      <c r="DB207" s="579">
        <f>13945.09</f>
        <v>13945.09</v>
      </c>
      <c r="DC207" s="628" t="e">
        <f>P207-#REF!</f>
        <v>#REF!</v>
      </c>
      <c r="DD207" s="535"/>
      <c r="DE207" s="535"/>
      <c r="DF207" s="525">
        <f t="shared" si="278"/>
        <v>52.432580000000002</v>
      </c>
      <c r="DG207" s="525">
        <f t="shared" si="278"/>
        <v>3.2916399999999997</v>
      </c>
      <c r="DH207" s="525">
        <f t="shared" si="278"/>
        <v>0.60816999999999999</v>
      </c>
      <c r="DI207" s="522">
        <f t="shared" si="278"/>
        <v>56.332389999999997</v>
      </c>
      <c r="DJ207" s="536"/>
      <c r="DK207" s="536"/>
      <c r="DL207" s="536"/>
      <c r="DM207" s="536"/>
      <c r="DN207" s="536"/>
      <c r="DO207" s="536"/>
      <c r="DP207" s="536"/>
      <c r="DQ207" s="536"/>
      <c r="DR207" s="536"/>
      <c r="DS207" s="536"/>
    </row>
    <row r="208" spans="1:123" s="534" customFormat="1" ht="56.4">
      <c r="A208" s="537" t="s">
        <v>1118</v>
      </c>
      <c r="B208" s="538" t="s">
        <v>1119</v>
      </c>
      <c r="C208" s="576">
        <v>174816.32</v>
      </c>
      <c r="D208" s="576">
        <v>164591</v>
      </c>
      <c r="E208" s="576">
        <v>248460</v>
      </c>
      <c r="F208" s="576">
        <v>198397.21</v>
      </c>
      <c r="G208" s="577">
        <v>154000.45749873112</v>
      </c>
      <c r="H208" s="577">
        <v>0</v>
      </c>
      <c r="I208" s="576">
        <f t="shared" si="298"/>
        <v>220632.08000000002</v>
      </c>
      <c r="J208" s="576">
        <v>92114.420000000013</v>
      </c>
      <c r="K208" s="576">
        <v>55158.03</v>
      </c>
      <c r="L208" s="576">
        <v>73359.63</v>
      </c>
      <c r="M208" s="576">
        <f t="shared" si="299"/>
        <v>147272.45000000001</v>
      </c>
      <c r="N208" s="576">
        <v>139987.97</v>
      </c>
      <c r="O208" s="525">
        <f t="shared" si="300"/>
        <v>58564.320000000007</v>
      </c>
      <c r="P208" s="522">
        <v>198552.29</v>
      </c>
      <c r="Q208" s="576">
        <f t="shared" si="313"/>
        <v>-22079.790000000008</v>
      </c>
      <c r="R208" s="576">
        <f t="shared" si="314"/>
        <v>-10.007515679496834</v>
      </c>
      <c r="S208" s="576">
        <v>162470.48266116134</v>
      </c>
      <c r="T208" s="576">
        <v>162470.48266116134</v>
      </c>
      <c r="U208" s="522">
        <f t="shared" si="301"/>
        <v>196169.81</v>
      </c>
      <c r="V208" s="522">
        <f t="shared" si="311"/>
        <v>33699.327338838659</v>
      </c>
      <c r="W208" s="522">
        <f t="shared" si="340"/>
        <v>20.74181524352332</v>
      </c>
      <c r="X208" s="522">
        <f t="shared" si="315"/>
        <v>-2382.4800000000105</v>
      </c>
      <c r="Y208" s="522">
        <f t="shared" si="316"/>
        <v>-1.19992572233744</v>
      </c>
      <c r="Z208" s="524">
        <f t="shared" si="317"/>
        <v>196169.81</v>
      </c>
      <c r="AA208" s="522">
        <f t="shared" si="318"/>
        <v>33699.327338838659</v>
      </c>
      <c r="AB208" s="522">
        <f t="shared" si="341"/>
        <v>20.74181524352332</v>
      </c>
      <c r="AC208" s="522">
        <f t="shared" si="319"/>
        <v>0</v>
      </c>
      <c r="AD208" s="522">
        <f t="shared" si="320"/>
        <v>0</v>
      </c>
      <c r="AE208" s="522">
        <f t="shared" si="321"/>
        <v>-2382.4800000000105</v>
      </c>
      <c r="AF208" s="522">
        <f t="shared" si="322"/>
        <v>-1.19992572233744</v>
      </c>
      <c r="AG208" s="522">
        <f t="shared" si="337"/>
        <v>177086.35</v>
      </c>
      <c r="AH208" s="522">
        <f t="shared" si="323"/>
        <v>-19083.459999999992</v>
      </c>
      <c r="AI208" s="522">
        <f t="shared" si="324"/>
        <v>-9.7280310359682716</v>
      </c>
      <c r="AJ208" s="522">
        <f t="shared" si="325"/>
        <v>-19083.459999999992</v>
      </c>
      <c r="AK208" s="522">
        <f t="shared" si="310"/>
        <v>-9.7280310359682716</v>
      </c>
      <c r="AL208" s="522">
        <f t="shared" si="302"/>
        <v>177086.35</v>
      </c>
      <c r="AM208" s="522">
        <f t="shared" si="270"/>
        <v>69503.149999999994</v>
      </c>
      <c r="AN208" s="522">
        <f t="shared" si="270"/>
        <v>89564.64</v>
      </c>
      <c r="AO208" s="522">
        <f t="shared" si="326"/>
        <v>20061.490000000005</v>
      </c>
      <c r="AP208" s="522">
        <f t="shared" si="338"/>
        <v>28.864145006377413</v>
      </c>
      <c r="AQ208" s="578">
        <v>6169.81</v>
      </c>
      <c r="AR208" s="578">
        <v>34362.25</v>
      </c>
      <c r="AS208" s="578">
        <v>63333.34</v>
      </c>
      <c r="AT208" s="578">
        <v>55202.39</v>
      </c>
      <c r="AU208" s="578">
        <f t="shared" si="276"/>
        <v>126666.66</v>
      </c>
      <c r="AV208" s="578">
        <f t="shared" si="276"/>
        <v>106605.17</v>
      </c>
      <c r="AW208" s="578">
        <f t="shared" si="327"/>
        <v>-20061.490000000005</v>
      </c>
      <c r="AX208" s="578">
        <f t="shared" si="328"/>
        <v>-15.838019254632599</v>
      </c>
      <c r="AY208" s="578">
        <f t="shared" si="277"/>
        <v>87521.71</v>
      </c>
      <c r="AZ208" s="578">
        <f t="shared" si="329"/>
        <v>19083.459999999992</v>
      </c>
      <c r="BA208" s="578">
        <f t="shared" si="330"/>
        <v>21.804258623374693</v>
      </c>
      <c r="BB208" s="578">
        <v>63333.33</v>
      </c>
      <c r="BC208" s="576">
        <f>'[67]Гл инж_Тех дир'!AT14</f>
        <v>53300</v>
      </c>
      <c r="BD208" s="576">
        <f t="shared" si="303"/>
        <v>36815.61</v>
      </c>
      <c r="BE208" s="576">
        <f t="shared" si="331"/>
        <v>-26517.72</v>
      </c>
      <c r="BF208" s="576">
        <f t="shared" si="332"/>
        <v>-16484.39</v>
      </c>
      <c r="BG208" s="576">
        <f t="shared" si="312"/>
        <v>132836.47999999998</v>
      </c>
      <c r="BH208" s="578">
        <f t="shared" si="312"/>
        <v>142864.64000000001</v>
      </c>
      <c r="BI208" s="578">
        <v>126380.25</v>
      </c>
      <c r="BJ208" s="578">
        <f t="shared" si="333"/>
        <v>-6456.2299999999814</v>
      </c>
      <c r="BK208" s="578">
        <f t="shared" si="334"/>
        <v>-16484.390000000014</v>
      </c>
      <c r="BL208" s="576">
        <v>63333.33</v>
      </c>
      <c r="BM208" s="578">
        <f>'[67]Гл инж_Тех дир'!AW14</f>
        <v>53305.17</v>
      </c>
      <c r="BN208" s="522">
        <f t="shared" si="304"/>
        <v>50706.100000000006</v>
      </c>
      <c r="BO208" s="578">
        <f t="shared" si="339"/>
        <v>-12627.229999999996</v>
      </c>
      <c r="BP208" s="578">
        <f t="shared" si="335"/>
        <v>-2599.0699999999924</v>
      </c>
      <c r="BQ208" s="576">
        <v>63333.33</v>
      </c>
      <c r="BR208" s="578">
        <f>'[67]Гл инж_Тех дир'!BB14</f>
        <v>0</v>
      </c>
      <c r="BS208" s="578">
        <f>'[67]Гл инж_Тех дир'!BC14</f>
        <v>0</v>
      </c>
      <c r="BT208" s="536"/>
      <c r="BU208" s="578">
        <v>177086.35</v>
      </c>
      <c r="BV208" s="578"/>
      <c r="BW208" s="578"/>
      <c r="BX208" s="574"/>
      <c r="BY208" s="525">
        <v>162360.73000000001</v>
      </c>
      <c r="BZ208" s="525">
        <v>12696.11</v>
      </c>
      <c r="CA208" s="525">
        <v>2029.51</v>
      </c>
      <c r="CB208" s="522">
        <f t="shared" si="308"/>
        <v>177086.35000000003</v>
      </c>
      <c r="CC208" s="522">
        <f t="shared" si="336"/>
        <v>0</v>
      </c>
      <c r="CD208" s="578"/>
      <c r="CE208" s="578"/>
      <c r="CF208" s="578"/>
      <c r="CG208" s="578"/>
      <c r="CH208" s="578"/>
      <c r="CI208" s="578"/>
      <c r="CJ208" s="578"/>
      <c r="CK208" s="542" t="s">
        <v>79</v>
      </c>
      <c r="CL208" s="543" t="s">
        <v>1803</v>
      </c>
      <c r="CM208" s="509" t="s">
        <v>1925</v>
      </c>
      <c r="CN208" s="528" t="s">
        <v>1849</v>
      </c>
      <c r="CO208" s="528"/>
      <c r="CP208" s="544">
        <f t="shared" si="305"/>
        <v>180990.27843332931</v>
      </c>
      <c r="CQ208" s="544">
        <f t="shared" si="306"/>
        <v>13294.326416273341</v>
      </c>
      <c r="CR208" s="544">
        <f t="shared" si="307"/>
        <v>1885.2051503973457</v>
      </c>
      <c r="CS208" s="1688" t="s">
        <v>1826</v>
      </c>
      <c r="CT208" s="1689"/>
      <c r="CU208" s="1689"/>
      <c r="CV208" s="1689"/>
      <c r="CW208" s="1690"/>
      <c r="CX208" s="528"/>
      <c r="CY208" s="528"/>
      <c r="CZ208" s="528"/>
      <c r="DA208" s="528"/>
      <c r="DB208" s="579">
        <f>34362.25</f>
        <v>34362.25</v>
      </c>
      <c r="DC208" s="628" t="e">
        <f>P208-#REF!</f>
        <v>#REF!</v>
      </c>
      <c r="DD208" s="535"/>
      <c r="DE208" s="535"/>
      <c r="DF208" s="525">
        <f t="shared" si="278"/>
        <v>162.36073000000002</v>
      </c>
      <c r="DG208" s="525">
        <f t="shared" si="278"/>
        <v>12.696110000000001</v>
      </c>
      <c r="DH208" s="525">
        <f t="shared" si="278"/>
        <v>2.0295100000000001</v>
      </c>
      <c r="DI208" s="522">
        <f t="shared" si="278"/>
        <v>177.08635000000004</v>
      </c>
      <c r="DJ208" s="536"/>
      <c r="DK208" s="536"/>
      <c r="DL208" s="536"/>
      <c r="DM208" s="536"/>
      <c r="DN208" s="536"/>
      <c r="DO208" s="536"/>
      <c r="DP208" s="536"/>
      <c r="DQ208" s="536"/>
      <c r="DR208" s="536"/>
      <c r="DS208" s="536"/>
    </row>
    <row r="209" spans="1:123" s="534" customFormat="1" ht="42" customHeight="1">
      <c r="A209" s="537" t="s">
        <v>883</v>
      </c>
      <c r="B209" s="538" t="s">
        <v>884</v>
      </c>
      <c r="C209" s="576">
        <v>30250</v>
      </c>
      <c r="D209" s="576">
        <v>406814.08</v>
      </c>
      <c r="E209" s="576">
        <v>70000</v>
      </c>
      <c r="F209" s="576"/>
      <c r="G209" s="577">
        <v>9747.3460213460512</v>
      </c>
      <c r="H209" s="577">
        <v>0</v>
      </c>
      <c r="I209" s="576">
        <f t="shared" si="298"/>
        <v>0</v>
      </c>
      <c r="J209" s="576">
        <v>0</v>
      </c>
      <c r="K209" s="576">
        <v>0</v>
      </c>
      <c r="L209" s="576">
        <v>0</v>
      </c>
      <c r="M209" s="576">
        <f t="shared" si="299"/>
        <v>0</v>
      </c>
      <c r="N209" s="576">
        <v>0</v>
      </c>
      <c r="O209" s="525">
        <f t="shared" si="300"/>
        <v>0</v>
      </c>
      <c r="P209" s="522"/>
      <c r="Q209" s="576">
        <f t="shared" si="313"/>
        <v>0</v>
      </c>
      <c r="R209" s="576">
        <v>0</v>
      </c>
      <c r="S209" s="576"/>
      <c r="T209" s="576"/>
      <c r="U209" s="522">
        <f t="shared" si="301"/>
        <v>0</v>
      </c>
      <c r="V209" s="522">
        <f t="shared" si="311"/>
        <v>0</v>
      </c>
      <c r="W209" s="522">
        <v>0</v>
      </c>
      <c r="X209" s="522">
        <f t="shared" si="315"/>
        <v>0</v>
      </c>
      <c r="Y209" s="522">
        <v>0</v>
      </c>
      <c r="Z209" s="524">
        <f t="shared" si="317"/>
        <v>0</v>
      </c>
      <c r="AA209" s="522">
        <f t="shared" si="318"/>
        <v>0</v>
      </c>
      <c r="AB209" s="522">
        <v>0</v>
      </c>
      <c r="AC209" s="522">
        <f t="shared" si="319"/>
        <v>0</v>
      </c>
      <c r="AD209" s="522">
        <v>0</v>
      </c>
      <c r="AE209" s="522">
        <f t="shared" si="321"/>
        <v>0</v>
      </c>
      <c r="AF209" s="522">
        <v>0</v>
      </c>
      <c r="AG209" s="522">
        <f t="shared" si="337"/>
        <v>0</v>
      </c>
      <c r="AH209" s="522">
        <f t="shared" si="323"/>
        <v>0</v>
      </c>
      <c r="AI209" s="522">
        <v>0</v>
      </c>
      <c r="AJ209" s="522">
        <f t="shared" si="325"/>
        <v>0</v>
      </c>
      <c r="AK209" s="522">
        <v>0</v>
      </c>
      <c r="AL209" s="522">
        <f t="shared" si="302"/>
        <v>0</v>
      </c>
      <c r="AM209" s="522">
        <f t="shared" si="270"/>
        <v>0</v>
      </c>
      <c r="AN209" s="522">
        <f t="shared" si="270"/>
        <v>0</v>
      </c>
      <c r="AO209" s="522">
        <f t="shared" si="326"/>
        <v>0</v>
      </c>
      <c r="AP209" s="522">
        <v>0</v>
      </c>
      <c r="AQ209" s="578">
        <v>0</v>
      </c>
      <c r="AR209" s="578">
        <v>0</v>
      </c>
      <c r="AS209" s="578">
        <v>0</v>
      </c>
      <c r="AT209" s="578">
        <v>0</v>
      </c>
      <c r="AU209" s="578">
        <f t="shared" si="276"/>
        <v>0</v>
      </c>
      <c r="AV209" s="578">
        <f t="shared" si="276"/>
        <v>0</v>
      </c>
      <c r="AW209" s="578">
        <f t="shared" si="327"/>
        <v>0</v>
      </c>
      <c r="AX209" s="578">
        <v>0</v>
      </c>
      <c r="AY209" s="578">
        <f t="shared" si="277"/>
        <v>0</v>
      </c>
      <c r="AZ209" s="578">
        <f t="shared" si="329"/>
        <v>0</v>
      </c>
      <c r="BA209" s="578">
        <v>0</v>
      </c>
      <c r="BB209" s="578">
        <v>0</v>
      </c>
      <c r="BC209" s="576">
        <f>'[67]Дир_ имущ'!AT57</f>
        <v>0</v>
      </c>
      <c r="BD209" s="576">
        <f t="shared" si="303"/>
        <v>0</v>
      </c>
      <c r="BE209" s="576">
        <f t="shared" si="331"/>
        <v>0</v>
      </c>
      <c r="BF209" s="576">
        <f t="shared" si="332"/>
        <v>0</v>
      </c>
      <c r="BG209" s="576">
        <f t="shared" si="312"/>
        <v>0</v>
      </c>
      <c r="BH209" s="578">
        <f t="shared" si="312"/>
        <v>0</v>
      </c>
      <c r="BI209" s="578"/>
      <c r="BJ209" s="578">
        <f t="shared" si="333"/>
        <v>0</v>
      </c>
      <c r="BK209" s="578">
        <f t="shared" si="334"/>
        <v>0</v>
      </c>
      <c r="BL209" s="576">
        <v>0</v>
      </c>
      <c r="BM209" s="578">
        <f>'[67]Дир_ имущ'!AW57</f>
        <v>0</v>
      </c>
      <c r="BN209" s="522">
        <f t="shared" si="304"/>
        <v>0</v>
      </c>
      <c r="BO209" s="578">
        <f t="shared" si="339"/>
        <v>0</v>
      </c>
      <c r="BP209" s="578">
        <f t="shared" si="335"/>
        <v>0</v>
      </c>
      <c r="BQ209" s="576">
        <v>0</v>
      </c>
      <c r="BR209" s="578">
        <f>'[67]Дир_ имущ'!BB57</f>
        <v>0</v>
      </c>
      <c r="BS209" s="578">
        <f>'[67]Дир_ имущ'!BC57</f>
        <v>0</v>
      </c>
      <c r="BT209" s="536"/>
      <c r="BU209" s="578"/>
      <c r="BV209" s="578"/>
      <c r="BW209" s="578"/>
      <c r="BX209" s="574"/>
      <c r="BY209" s="525"/>
      <c r="BZ209" s="525"/>
      <c r="CA209" s="525"/>
      <c r="CB209" s="522">
        <f t="shared" si="308"/>
        <v>0</v>
      </c>
      <c r="CC209" s="522">
        <f t="shared" si="336"/>
        <v>0</v>
      </c>
      <c r="CD209" s="578"/>
      <c r="CE209" s="578"/>
      <c r="CF209" s="578"/>
      <c r="CG209" s="578"/>
      <c r="CH209" s="578"/>
      <c r="CI209" s="578"/>
      <c r="CJ209" s="578"/>
      <c r="CK209" s="543" t="s">
        <v>1815</v>
      </c>
      <c r="CL209" s="543" t="s">
        <v>1897</v>
      </c>
      <c r="CM209" s="509" t="s">
        <v>1925</v>
      </c>
      <c r="CN209" s="528"/>
      <c r="CO209" s="528"/>
      <c r="CP209" s="544">
        <f t="shared" si="305"/>
        <v>0</v>
      </c>
      <c r="CQ209" s="544">
        <f t="shared" si="306"/>
        <v>0</v>
      </c>
      <c r="CR209" s="544">
        <f t="shared" si="307"/>
        <v>0</v>
      </c>
      <c r="CS209" s="1688" t="s">
        <v>1826</v>
      </c>
      <c r="CT209" s="1689"/>
      <c r="CU209" s="1689"/>
      <c r="CV209" s="1689"/>
      <c r="CW209" s="1690"/>
      <c r="CX209" s="528"/>
      <c r="CY209" s="528"/>
      <c r="CZ209" s="528"/>
      <c r="DA209" s="528"/>
      <c r="DB209" s="579"/>
      <c r="DC209" s="628" t="e">
        <f>P209-#REF!</f>
        <v>#REF!</v>
      </c>
      <c r="DD209" s="535"/>
      <c r="DE209" s="535"/>
      <c r="DF209" s="525">
        <f t="shared" si="278"/>
        <v>0</v>
      </c>
      <c r="DG209" s="525">
        <f t="shared" si="278"/>
        <v>0</v>
      </c>
      <c r="DH209" s="525">
        <f t="shared" si="278"/>
        <v>0</v>
      </c>
      <c r="DI209" s="522">
        <f t="shared" si="278"/>
        <v>0</v>
      </c>
      <c r="DJ209" s="536"/>
      <c r="DK209" s="536"/>
      <c r="DL209" s="536"/>
      <c r="DM209" s="536"/>
      <c r="DN209" s="536"/>
      <c r="DO209" s="536"/>
      <c r="DP209" s="536"/>
      <c r="DQ209" s="536"/>
      <c r="DR209" s="536"/>
      <c r="DS209" s="536"/>
    </row>
    <row r="210" spans="1:123" s="534" customFormat="1" ht="140.25" customHeight="1">
      <c r="A210" s="537" t="s">
        <v>888</v>
      </c>
      <c r="B210" s="538" t="s">
        <v>889</v>
      </c>
      <c r="C210" s="576">
        <v>1299968</v>
      </c>
      <c r="D210" s="576">
        <v>30436068.039999999</v>
      </c>
      <c r="E210" s="525">
        <v>11000000</v>
      </c>
      <c r="F210" s="525">
        <v>0</v>
      </c>
      <c r="G210" s="596">
        <v>13903355.077053301</v>
      </c>
      <c r="H210" s="596">
        <v>0</v>
      </c>
      <c r="I210" s="525">
        <f t="shared" si="298"/>
        <v>13573419.76</v>
      </c>
      <c r="J210" s="525">
        <v>6903419.7599999998</v>
      </c>
      <c r="K210" s="525">
        <v>3335000</v>
      </c>
      <c r="L210" s="525">
        <v>3335000</v>
      </c>
      <c r="M210" s="525">
        <f t="shared" si="299"/>
        <v>10238419.76</v>
      </c>
      <c r="N210" s="525">
        <v>0</v>
      </c>
      <c r="O210" s="525">
        <f t="shared" si="300"/>
        <v>0</v>
      </c>
      <c r="P210" s="522"/>
      <c r="Q210" s="525">
        <f t="shared" si="313"/>
        <v>-13573419.76</v>
      </c>
      <c r="R210" s="525">
        <f t="shared" si="314"/>
        <v>-100</v>
      </c>
      <c r="S210" s="525">
        <v>18182518.824999999</v>
      </c>
      <c r="T210" s="525">
        <v>18157998.824999999</v>
      </c>
      <c r="U210" s="522">
        <f t="shared" si="301"/>
        <v>13682978.5</v>
      </c>
      <c r="V210" s="522">
        <f t="shared" si="311"/>
        <v>-4475020.3249999993</v>
      </c>
      <c r="W210" s="522">
        <f t="shared" si="340"/>
        <v>-24.644898196814367</v>
      </c>
      <c r="X210" s="522">
        <f t="shared" si="315"/>
        <v>13682978.5</v>
      </c>
      <c r="Y210" s="522">
        <v>0</v>
      </c>
      <c r="Z210" s="524">
        <f t="shared" si="317"/>
        <v>13798366.469999999</v>
      </c>
      <c r="AA210" s="522">
        <f t="shared" si="318"/>
        <v>-4359632.3550000004</v>
      </c>
      <c r="AB210" s="522">
        <f t="shared" si="341"/>
        <v>-24.009431859845932</v>
      </c>
      <c r="AC210" s="522">
        <f t="shared" si="319"/>
        <v>115387.96999999881</v>
      </c>
      <c r="AD210" s="522">
        <f t="shared" si="320"/>
        <v>0.84329570495194162</v>
      </c>
      <c r="AE210" s="522">
        <f t="shared" si="321"/>
        <v>13798366.469999999</v>
      </c>
      <c r="AF210" s="522">
        <v>0</v>
      </c>
      <c r="AG210" s="522">
        <f t="shared" si="337"/>
        <v>13962797.760000002</v>
      </c>
      <c r="AH210" s="522">
        <f t="shared" si="323"/>
        <v>279819.26000000164</v>
      </c>
      <c r="AI210" s="522">
        <f t="shared" si="324"/>
        <v>2.0450171722480093</v>
      </c>
      <c r="AJ210" s="522">
        <f t="shared" si="325"/>
        <v>164431.29000000283</v>
      </c>
      <c r="AK210" s="522">
        <f>AG210/Z210*100-100</f>
        <v>1.1916721472610732</v>
      </c>
      <c r="AL210" s="522">
        <f t="shared" si="302"/>
        <v>13962797.760000002</v>
      </c>
      <c r="AM210" s="522">
        <f t="shared" si="270"/>
        <v>6788978.5</v>
      </c>
      <c r="AN210" s="522">
        <f t="shared" si="270"/>
        <v>6904366.4699999997</v>
      </c>
      <c r="AO210" s="522">
        <f t="shared" si="326"/>
        <v>115387.96999999974</v>
      </c>
      <c r="AP210" s="522">
        <f t="shared" si="338"/>
        <v>1.699636697921477</v>
      </c>
      <c r="AQ210" s="522">
        <v>3341978.5</v>
      </c>
      <c r="AR210" s="522">
        <v>3350120.34</v>
      </c>
      <c r="AS210" s="522">
        <v>3447000</v>
      </c>
      <c r="AT210" s="522">
        <v>3554246.13</v>
      </c>
      <c r="AU210" s="522">
        <f t="shared" si="276"/>
        <v>6894000</v>
      </c>
      <c r="AV210" s="522">
        <f t="shared" si="276"/>
        <v>6894000</v>
      </c>
      <c r="AW210" s="522">
        <f t="shared" si="327"/>
        <v>0</v>
      </c>
      <c r="AX210" s="522">
        <f t="shared" si="328"/>
        <v>0</v>
      </c>
      <c r="AY210" s="522">
        <f t="shared" si="277"/>
        <v>7058431.2900000019</v>
      </c>
      <c r="AZ210" s="522">
        <f t="shared" si="329"/>
        <v>-164431.2900000019</v>
      </c>
      <c r="BA210" s="522">
        <f t="shared" si="330"/>
        <v>-2.3295727229499192</v>
      </c>
      <c r="BB210" s="522">
        <v>3447000</v>
      </c>
      <c r="BC210" s="525">
        <f>'[67]Дир_ по реал.услуг'!AT31</f>
        <v>3447000</v>
      </c>
      <c r="BD210" s="525">
        <f t="shared" si="303"/>
        <v>3526391.6600000011</v>
      </c>
      <c r="BE210" s="525">
        <f t="shared" si="331"/>
        <v>79391.66000000108</v>
      </c>
      <c r="BF210" s="525">
        <f t="shared" si="332"/>
        <v>79391.66000000108</v>
      </c>
      <c r="BG210" s="525">
        <f t="shared" si="312"/>
        <v>10235978.5</v>
      </c>
      <c r="BH210" s="522">
        <f t="shared" si="312"/>
        <v>10351366.469999999</v>
      </c>
      <c r="BI210" s="522">
        <f>8440118.58+1990639.55</f>
        <v>10430758.130000001</v>
      </c>
      <c r="BJ210" s="522">
        <f t="shared" si="333"/>
        <v>194779.63000000082</v>
      </c>
      <c r="BK210" s="522">
        <f t="shared" si="334"/>
        <v>79391.660000002012</v>
      </c>
      <c r="BL210" s="525">
        <v>3447000</v>
      </c>
      <c r="BM210" s="522">
        <f>'[67]Дир_ по реал.услуг'!AW31</f>
        <v>3447000</v>
      </c>
      <c r="BN210" s="522">
        <f t="shared" si="304"/>
        <v>3532039.6300000008</v>
      </c>
      <c r="BO210" s="522">
        <f t="shared" si="339"/>
        <v>85039.63000000082</v>
      </c>
      <c r="BP210" s="522">
        <f t="shared" si="335"/>
        <v>85039.63000000082</v>
      </c>
      <c r="BQ210" s="525">
        <v>3447000</v>
      </c>
      <c r="BR210" s="522">
        <f>'[67]Дир_ по реал.услуг'!BB31</f>
        <v>0</v>
      </c>
      <c r="BS210" s="522">
        <f>'[67]Дир_ по реал.услуг'!BC31</f>
        <v>0</v>
      </c>
      <c r="BT210" s="536"/>
      <c r="BU210" s="522">
        <f>11407315.81+2555481.95</f>
        <v>13962797.760000002</v>
      </c>
      <c r="BV210" s="522"/>
      <c r="BW210" s="578"/>
      <c r="BX210" s="574"/>
      <c r="BY210" s="522">
        <f>11407299.54+2555481.95</f>
        <v>13962781.489999998</v>
      </c>
      <c r="BZ210" s="522">
        <f>10.47</f>
        <v>10.47</v>
      </c>
      <c r="CA210" s="522">
        <v>5.8</v>
      </c>
      <c r="CB210" s="522">
        <f t="shared" si="308"/>
        <v>13962797.76</v>
      </c>
      <c r="CC210" s="522">
        <f t="shared" si="336"/>
        <v>0</v>
      </c>
      <c r="CD210" s="522"/>
      <c r="CE210" s="522"/>
      <c r="CF210" s="522"/>
      <c r="CG210" s="522"/>
      <c r="CH210" s="522"/>
      <c r="CI210" s="522"/>
      <c r="CJ210" s="522"/>
      <c r="CK210" s="543" t="s">
        <v>78</v>
      </c>
      <c r="CL210" s="543" t="s">
        <v>1833</v>
      </c>
      <c r="CM210" s="509" t="s">
        <v>1925</v>
      </c>
      <c r="CN210" s="528"/>
      <c r="CO210" s="528"/>
      <c r="CP210" s="544">
        <f>U210</f>
        <v>13682978.5</v>
      </c>
      <c r="CQ210" s="544"/>
      <c r="CR210" s="544"/>
      <c r="CS210" s="1688"/>
      <c r="CT210" s="1689"/>
      <c r="CU210" s="1689"/>
      <c r="CV210" s="1689"/>
      <c r="CW210" s="1690"/>
      <c r="CX210" s="528"/>
      <c r="CY210" s="528"/>
      <c r="CZ210" s="528"/>
      <c r="DA210" s="528"/>
      <c r="DB210" s="544">
        <f>2751071.9+599048.44</f>
        <v>3350120.34</v>
      </c>
      <c r="DC210" s="628" t="e">
        <f>P210-#REF!</f>
        <v>#REF!</v>
      </c>
      <c r="DD210" s="535"/>
      <c r="DE210" s="535"/>
      <c r="DF210" s="522">
        <f t="shared" si="278"/>
        <v>13962.781489999998</v>
      </c>
      <c r="DG210" s="522">
        <f t="shared" si="278"/>
        <v>1.047E-2</v>
      </c>
      <c r="DH210" s="522">
        <f t="shared" si="278"/>
        <v>5.7999999999999996E-3</v>
      </c>
      <c r="DI210" s="522">
        <f t="shared" si="278"/>
        <v>13962.797759999999</v>
      </c>
      <c r="DJ210" s="536"/>
      <c r="DK210" s="536"/>
      <c r="DL210" s="536"/>
      <c r="DM210" s="536"/>
      <c r="DN210" s="536"/>
      <c r="DO210" s="536"/>
      <c r="DP210" s="536"/>
      <c r="DQ210" s="536"/>
      <c r="DR210" s="536"/>
      <c r="DS210" s="536"/>
    </row>
    <row r="211" spans="1:123" s="658" customFormat="1" ht="64.5" customHeight="1">
      <c r="A211" s="651" t="s">
        <v>893</v>
      </c>
      <c r="B211" s="634" t="s">
        <v>894</v>
      </c>
      <c r="C211" s="635"/>
      <c r="D211" s="635"/>
      <c r="E211" s="635"/>
      <c r="F211" s="635">
        <v>12132272.859999999</v>
      </c>
      <c r="G211" s="652">
        <v>0</v>
      </c>
      <c r="H211" s="652">
        <v>0</v>
      </c>
      <c r="I211" s="635">
        <f t="shared" si="298"/>
        <v>0</v>
      </c>
      <c r="J211" s="635">
        <v>0</v>
      </c>
      <c r="K211" s="635">
        <v>0</v>
      </c>
      <c r="L211" s="635">
        <v>0</v>
      </c>
      <c r="M211" s="635">
        <f t="shared" si="299"/>
        <v>0</v>
      </c>
      <c r="N211" s="635">
        <v>7861833.9800000004</v>
      </c>
      <c r="O211" s="525">
        <f t="shared" si="300"/>
        <v>-7861833.9800000004</v>
      </c>
      <c r="P211" s="522"/>
      <c r="Q211" s="635">
        <f t="shared" si="313"/>
        <v>0</v>
      </c>
      <c r="R211" s="635">
        <v>0</v>
      </c>
      <c r="S211" s="635"/>
      <c r="T211" s="635"/>
      <c r="U211" s="522">
        <f t="shared" si="301"/>
        <v>0</v>
      </c>
      <c r="V211" s="522">
        <f t="shared" si="311"/>
        <v>0</v>
      </c>
      <c r="W211" s="522">
        <v>0</v>
      </c>
      <c r="X211" s="522">
        <f t="shared" si="315"/>
        <v>0</v>
      </c>
      <c r="Y211" s="522">
        <v>0</v>
      </c>
      <c r="Z211" s="524">
        <f t="shared" si="317"/>
        <v>0</v>
      </c>
      <c r="AA211" s="522">
        <f t="shared" si="318"/>
        <v>0</v>
      </c>
      <c r="AB211" s="522">
        <v>0</v>
      </c>
      <c r="AC211" s="522">
        <f t="shared" si="319"/>
        <v>0</v>
      </c>
      <c r="AD211" s="522">
        <v>0</v>
      </c>
      <c r="AE211" s="522">
        <f t="shared" si="321"/>
        <v>0</v>
      </c>
      <c r="AF211" s="522">
        <v>0</v>
      </c>
      <c r="AG211" s="522">
        <f t="shared" si="337"/>
        <v>0</v>
      </c>
      <c r="AH211" s="522">
        <f t="shared" si="323"/>
        <v>0</v>
      </c>
      <c r="AI211" s="522">
        <v>0</v>
      </c>
      <c r="AJ211" s="522">
        <f t="shared" si="325"/>
        <v>0</v>
      </c>
      <c r="AK211" s="522">
        <v>0</v>
      </c>
      <c r="AL211" s="522">
        <f t="shared" si="302"/>
        <v>0</v>
      </c>
      <c r="AM211" s="522">
        <f t="shared" ref="AM211:AN274" si="342">AQ211+AS211</f>
        <v>0</v>
      </c>
      <c r="AN211" s="522">
        <f t="shared" si="342"/>
        <v>0</v>
      </c>
      <c r="AO211" s="522">
        <f t="shared" si="326"/>
        <v>0</v>
      </c>
      <c r="AP211" s="522">
        <v>0</v>
      </c>
      <c r="AQ211" s="639">
        <v>0</v>
      </c>
      <c r="AR211" s="639">
        <v>0</v>
      </c>
      <c r="AS211" s="639">
        <v>0</v>
      </c>
      <c r="AT211" s="639">
        <v>0</v>
      </c>
      <c r="AU211" s="639">
        <f t="shared" si="276"/>
        <v>0</v>
      </c>
      <c r="AV211" s="639">
        <f t="shared" si="276"/>
        <v>0</v>
      </c>
      <c r="AW211" s="639">
        <f t="shared" si="327"/>
        <v>0</v>
      </c>
      <c r="AX211" s="639">
        <v>0</v>
      </c>
      <c r="AY211" s="639">
        <f t="shared" si="277"/>
        <v>0</v>
      </c>
      <c r="AZ211" s="639">
        <f t="shared" si="329"/>
        <v>0</v>
      </c>
      <c r="BA211" s="639">
        <v>0</v>
      </c>
      <c r="BB211" s="639">
        <v>0</v>
      </c>
      <c r="BC211" s="635"/>
      <c r="BD211" s="635">
        <f t="shared" si="303"/>
        <v>0</v>
      </c>
      <c r="BE211" s="635">
        <f t="shared" si="331"/>
        <v>0</v>
      </c>
      <c r="BF211" s="635">
        <f t="shared" si="332"/>
        <v>0</v>
      </c>
      <c r="BG211" s="635">
        <f t="shared" si="312"/>
        <v>0</v>
      </c>
      <c r="BH211" s="639">
        <f t="shared" si="312"/>
        <v>0</v>
      </c>
      <c r="BI211" s="639"/>
      <c r="BJ211" s="639">
        <f t="shared" si="333"/>
        <v>0</v>
      </c>
      <c r="BK211" s="639">
        <f t="shared" si="334"/>
        <v>0</v>
      </c>
      <c r="BL211" s="635">
        <v>0</v>
      </c>
      <c r="BM211" s="639"/>
      <c r="BN211" s="522">
        <f t="shared" si="304"/>
        <v>0</v>
      </c>
      <c r="BO211" s="639">
        <f t="shared" si="339"/>
        <v>0</v>
      </c>
      <c r="BP211" s="639">
        <f t="shared" si="335"/>
        <v>0</v>
      </c>
      <c r="BQ211" s="635">
        <v>0</v>
      </c>
      <c r="BR211" s="639"/>
      <c r="BS211" s="639"/>
      <c r="BT211" s="653"/>
      <c r="BU211" s="639"/>
      <c r="BV211" s="639"/>
      <c r="BW211" s="578"/>
      <c r="BX211" s="654"/>
      <c r="BY211" s="522"/>
      <c r="BZ211" s="522"/>
      <c r="CA211" s="522"/>
      <c r="CB211" s="522">
        <f t="shared" si="308"/>
        <v>0</v>
      </c>
      <c r="CC211" s="522">
        <f t="shared" si="336"/>
        <v>0</v>
      </c>
      <c r="CD211" s="639"/>
      <c r="CE211" s="639"/>
      <c r="CF211" s="639"/>
      <c r="CG211" s="639"/>
      <c r="CH211" s="639"/>
      <c r="CI211" s="639"/>
      <c r="CJ211" s="639"/>
      <c r="CK211" s="642" t="s">
        <v>1891</v>
      </c>
      <c r="CL211" s="642" t="s">
        <v>1892</v>
      </c>
      <c r="CM211" s="509" t="s">
        <v>1925</v>
      </c>
      <c r="CN211" s="655"/>
      <c r="CO211" s="655"/>
      <c r="CP211" s="544">
        <f>U211*$CU$7/100</f>
        <v>0</v>
      </c>
      <c r="CQ211" s="544">
        <f>U211*$CU$8/100</f>
        <v>0</v>
      </c>
      <c r="CR211" s="544">
        <f>U211*$CU$9/100</f>
        <v>0</v>
      </c>
      <c r="CS211" s="1688" t="s">
        <v>1826</v>
      </c>
      <c r="CT211" s="1689"/>
      <c r="CU211" s="1689"/>
      <c r="CV211" s="1689"/>
      <c r="CW211" s="1690"/>
      <c r="CX211" s="655"/>
      <c r="CY211" s="655"/>
      <c r="CZ211" s="655"/>
      <c r="DA211" s="655"/>
      <c r="DB211" s="656"/>
      <c r="DC211" s="628" t="e">
        <f>P211-#REF!</f>
        <v>#REF!</v>
      </c>
      <c r="DD211" s="657"/>
      <c r="DE211" s="657"/>
      <c r="DF211" s="522">
        <f t="shared" si="278"/>
        <v>0</v>
      </c>
      <c r="DG211" s="522">
        <f t="shared" si="278"/>
        <v>0</v>
      </c>
      <c r="DH211" s="522">
        <f t="shared" si="278"/>
        <v>0</v>
      </c>
      <c r="DI211" s="522">
        <f t="shared" si="278"/>
        <v>0</v>
      </c>
      <c r="DJ211" s="653"/>
      <c r="DK211" s="653"/>
      <c r="DL211" s="653"/>
      <c r="DM211" s="653"/>
      <c r="DN211" s="653"/>
      <c r="DO211" s="653"/>
      <c r="DP211" s="653"/>
      <c r="DQ211" s="653"/>
      <c r="DR211" s="653"/>
      <c r="DS211" s="653"/>
    </row>
    <row r="212" spans="1:123" s="534" customFormat="1">
      <c r="A212" s="537" t="s">
        <v>897</v>
      </c>
      <c r="B212" s="538" t="s">
        <v>898</v>
      </c>
      <c r="C212" s="576">
        <v>184828.27</v>
      </c>
      <c r="D212" s="576">
        <v>0</v>
      </c>
      <c r="E212" s="576">
        <v>271367.76</v>
      </c>
      <c r="F212" s="576">
        <v>219360.26</v>
      </c>
      <c r="G212" s="577">
        <v>0</v>
      </c>
      <c r="H212" s="577">
        <v>0</v>
      </c>
      <c r="I212" s="576">
        <f t="shared" si="298"/>
        <v>287381.11</v>
      </c>
      <c r="J212" s="576">
        <v>114837.05</v>
      </c>
      <c r="K212" s="576">
        <v>86272.03</v>
      </c>
      <c r="L212" s="576">
        <v>86272.03</v>
      </c>
      <c r="M212" s="576">
        <f t="shared" si="299"/>
        <v>201109.08000000002</v>
      </c>
      <c r="N212" s="576">
        <v>187034.38</v>
      </c>
      <c r="O212" s="525">
        <f t="shared" si="300"/>
        <v>100699.07</v>
      </c>
      <c r="P212" s="522">
        <f>284079+3654.45</f>
        <v>287733.45</v>
      </c>
      <c r="Q212" s="576">
        <f t="shared" si="313"/>
        <v>352.34000000002561</v>
      </c>
      <c r="R212" s="576">
        <f t="shared" si="314"/>
        <v>0.1226037438577805</v>
      </c>
      <c r="S212" s="576"/>
      <c r="T212" s="576"/>
      <c r="U212" s="522">
        <f t="shared" si="301"/>
        <v>262097.51</v>
      </c>
      <c r="V212" s="522">
        <f t="shared" si="311"/>
        <v>262097.51</v>
      </c>
      <c r="W212" s="522">
        <v>0</v>
      </c>
      <c r="X212" s="522">
        <f t="shared" si="315"/>
        <v>-25635.940000000002</v>
      </c>
      <c r="Y212" s="522">
        <f t="shared" si="316"/>
        <v>-8.909614089011896</v>
      </c>
      <c r="Z212" s="524">
        <f t="shared" si="317"/>
        <v>294462.35000000003</v>
      </c>
      <c r="AA212" s="522">
        <f t="shared" si="318"/>
        <v>294462.35000000003</v>
      </c>
      <c r="AB212" s="522">
        <v>0</v>
      </c>
      <c r="AC212" s="522">
        <f t="shared" si="319"/>
        <v>32364.840000000026</v>
      </c>
      <c r="AD212" s="522">
        <f t="shared" si="320"/>
        <v>12.348396594839841</v>
      </c>
      <c r="AE212" s="522">
        <f t="shared" si="321"/>
        <v>6728.9000000000233</v>
      </c>
      <c r="AF212" s="522">
        <f t="shared" si="322"/>
        <v>2.3385880230470235</v>
      </c>
      <c r="AG212" s="522">
        <f t="shared" si="337"/>
        <v>346450.14999999997</v>
      </c>
      <c r="AH212" s="522">
        <f t="shared" si="323"/>
        <v>84352.639999999956</v>
      </c>
      <c r="AI212" s="522">
        <f t="shared" si="324"/>
        <v>32.183686140322351</v>
      </c>
      <c r="AJ212" s="522">
        <f t="shared" si="325"/>
        <v>51987.79999999993</v>
      </c>
      <c r="AK212" s="522">
        <f t="shared" ref="AK212:AK235" si="343">AG212/Z212*100-100</f>
        <v>17.655160328646403</v>
      </c>
      <c r="AL212" s="522">
        <f t="shared" si="302"/>
        <v>346450.14999999997</v>
      </c>
      <c r="AM212" s="522">
        <f t="shared" si="342"/>
        <v>121121.62</v>
      </c>
      <c r="AN212" s="522">
        <f t="shared" si="342"/>
        <v>153486.46000000002</v>
      </c>
      <c r="AO212" s="522">
        <f t="shared" si="326"/>
        <v>32364.840000000026</v>
      </c>
      <c r="AP212" s="522">
        <f t="shared" si="338"/>
        <v>26.720943791868066</v>
      </c>
      <c r="AQ212" s="578">
        <v>58574.42</v>
      </c>
      <c r="AR212" s="578">
        <v>63829.74</v>
      </c>
      <c r="AS212" s="578">
        <v>62547.199999999997</v>
      </c>
      <c r="AT212" s="578">
        <v>89656.72000000003</v>
      </c>
      <c r="AU212" s="578">
        <f t="shared" si="276"/>
        <v>140975.89000000001</v>
      </c>
      <c r="AV212" s="578">
        <f t="shared" si="276"/>
        <v>140975.89000000001</v>
      </c>
      <c r="AW212" s="578">
        <f t="shared" si="327"/>
        <v>0</v>
      </c>
      <c r="AX212" s="578">
        <f t="shared" si="328"/>
        <v>0</v>
      </c>
      <c r="AY212" s="578">
        <f t="shared" si="277"/>
        <v>192963.68999999994</v>
      </c>
      <c r="AZ212" s="578">
        <f t="shared" si="329"/>
        <v>-51987.79999999993</v>
      </c>
      <c r="BA212" s="578">
        <f t="shared" si="330"/>
        <v>-26.941752616774664</v>
      </c>
      <c r="BB212" s="578">
        <v>70487.95</v>
      </c>
      <c r="BC212" s="576">
        <f>'[67]Дир_по корп'!AT25</f>
        <v>70487.95</v>
      </c>
      <c r="BD212" s="576">
        <f t="shared" si="303"/>
        <v>92193.50999999998</v>
      </c>
      <c r="BE212" s="576">
        <f t="shared" si="331"/>
        <v>21705.559999999983</v>
      </c>
      <c r="BF212" s="576">
        <f t="shared" si="332"/>
        <v>21705.559999999983</v>
      </c>
      <c r="BG212" s="576">
        <f t="shared" si="312"/>
        <v>191609.57</v>
      </c>
      <c r="BH212" s="578">
        <f t="shared" si="312"/>
        <v>223974.41000000003</v>
      </c>
      <c r="BI212" s="578">
        <v>245679.97</v>
      </c>
      <c r="BJ212" s="578">
        <f t="shared" si="333"/>
        <v>54070.399999999994</v>
      </c>
      <c r="BK212" s="578">
        <f t="shared" si="334"/>
        <v>21705.559999999969</v>
      </c>
      <c r="BL212" s="576">
        <v>70487.94</v>
      </c>
      <c r="BM212" s="578">
        <f>'[67]Дир_по корп'!AW25</f>
        <v>70487.94</v>
      </c>
      <c r="BN212" s="522">
        <f t="shared" si="304"/>
        <v>100770.17999999996</v>
      </c>
      <c r="BO212" s="578">
        <f t="shared" si="339"/>
        <v>30282.239999999962</v>
      </c>
      <c r="BP212" s="578">
        <f t="shared" si="335"/>
        <v>30282.239999999962</v>
      </c>
      <c r="BQ212" s="576">
        <v>70487.94</v>
      </c>
      <c r="BR212" s="578">
        <f>'[67]Дир_по корп'!BB25</f>
        <v>0</v>
      </c>
      <c r="BS212" s="578">
        <f>'[67]Дир_по корп'!BC25</f>
        <v>0</v>
      </c>
      <c r="BT212" s="536"/>
      <c r="BU212" s="578">
        <f>341443.72+5006.43</f>
        <v>346450.14999999997</v>
      </c>
      <c r="BV212" s="578"/>
      <c r="BW212" s="522"/>
      <c r="BX212" s="574"/>
      <c r="BY212" s="522">
        <f>329565.39+4667.31</f>
        <v>334232.7</v>
      </c>
      <c r="BZ212" s="522">
        <f>10137.98+279.74</f>
        <v>10417.719999999999</v>
      </c>
      <c r="CA212" s="522">
        <f>1740.35+59.38</f>
        <v>1799.73</v>
      </c>
      <c r="CB212" s="522">
        <f t="shared" si="308"/>
        <v>346450.14999999997</v>
      </c>
      <c r="CC212" s="522">
        <f t="shared" si="336"/>
        <v>0</v>
      </c>
      <c r="CD212" s="578"/>
      <c r="CE212" s="578"/>
      <c r="CF212" s="578"/>
      <c r="CG212" s="578"/>
      <c r="CH212" s="578"/>
      <c r="CI212" s="578"/>
      <c r="CJ212" s="578"/>
      <c r="CK212" s="543" t="s">
        <v>80</v>
      </c>
      <c r="CL212" s="543" t="s">
        <v>1908</v>
      </c>
      <c r="CM212" s="509" t="s">
        <v>1925</v>
      </c>
      <c r="CN212" s="528"/>
      <c r="CO212" s="528"/>
      <c r="CP212" s="544">
        <f>U212*$CU$7/100</f>
        <v>241816.5226931826</v>
      </c>
      <c r="CQ212" s="544">
        <f>U212*$CU$8/100</f>
        <v>17762.212497593111</v>
      </c>
      <c r="CR212" s="544">
        <f>U212*$CU$9/100</f>
        <v>2518.7748092243137</v>
      </c>
      <c r="CS212" s="1688" t="s">
        <v>1826</v>
      </c>
      <c r="CT212" s="1689"/>
      <c r="CU212" s="1689"/>
      <c r="CV212" s="1689"/>
      <c r="CW212" s="1690"/>
      <c r="CX212" s="528"/>
      <c r="CY212" s="528"/>
      <c r="CZ212" s="528"/>
      <c r="DA212" s="528"/>
      <c r="DB212" s="579">
        <f>63040.42+789.32</f>
        <v>63829.74</v>
      </c>
      <c r="DC212" s="628" t="e">
        <f>P212-#REF!</f>
        <v>#REF!</v>
      </c>
      <c r="DD212" s="535"/>
      <c r="DE212" s="535"/>
      <c r="DF212" s="522">
        <f t="shared" si="278"/>
        <v>334.23270000000002</v>
      </c>
      <c r="DG212" s="522">
        <f t="shared" si="278"/>
        <v>10.417719999999999</v>
      </c>
      <c r="DH212" s="522">
        <f t="shared" si="278"/>
        <v>1.7997300000000001</v>
      </c>
      <c r="DI212" s="522">
        <f t="shared" si="278"/>
        <v>346.45014999999995</v>
      </c>
      <c r="DJ212" s="536"/>
      <c r="DK212" s="536"/>
      <c r="DL212" s="536"/>
      <c r="DM212" s="536"/>
      <c r="DN212" s="536"/>
      <c r="DO212" s="536"/>
      <c r="DP212" s="536"/>
      <c r="DQ212" s="536"/>
      <c r="DR212" s="536"/>
      <c r="DS212" s="536"/>
    </row>
    <row r="213" spans="1:123" s="534" customFormat="1" ht="84.6">
      <c r="A213" s="537" t="s">
        <v>902</v>
      </c>
      <c r="B213" s="538" t="s">
        <v>1943</v>
      </c>
      <c r="C213" s="576">
        <v>6581559.4500000002</v>
      </c>
      <c r="D213" s="576">
        <v>6787582.0700000003</v>
      </c>
      <c r="E213" s="576">
        <v>3392050</v>
      </c>
      <c r="F213" s="576">
        <v>3261525.42</v>
      </c>
      <c r="G213" s="577">
        <v>7167037.8440843653</v>
      </c>
      <c r="H213" s="577">
        <v>0</v>
      </c>
      <c r="I213" s="576">
        <f t="shared" si="298"/>
        <v>2567796.6</v>
      </c>
      <c r="J213" s="576">
        <v>1279614.56</v>
      </c>
      <c r="K213" s="576">
        <v>644091.02</v>
      </c>
      <c r="L213" s="576">
        <v>644091.02</v>
      </c>
      <c r="M213" s="576">
        <f t="shared" si="299"/>
        <v>1923705.58</v>
      </c>
      <c r="N213" s="576">
        <v>1923705.58</v>
      </c>
      <c r="O213" s="525">
        <f t="shared" si="300"/>
        <v>644091.0299999998</v>
      </c>
      <c r="P213" s="522">
        <v>2567796.61</v>
      </c>
      <c r="Q213" s="576">
        <f t="shared" si="313"/>
        <v>9.9999997764825821E-3</v>
      </c>
      <c r="R213" s="576">
        <f t="shared" si="314"/>
        <v>3.8943895219745173E-7</v>
      </c>
      <c r="S213" s="576"/>
      <c r="T213" s="576"/>
      <c r="U213" s="522">
        <f t="shared" si="301"/>
        <v>2698754.24</v>
      </c>
      <c r="V213" s="522">
        <f t="shared" si="311"/>
        <v>2698754.24</v>
      </c>
      <c r="W213" s="522">
        <v>0</v>
      </c>
      <c r="X213" s="522">
        <f t="shared" si="315"/>
        <v>130957.63000000035</v>
      </c>
      <c r="Y213" s="522">
        <f t="shared" si="316"/>
        <v>5.1000001125478747</v>
      </c>
      <c r="Z213" s="524">
        <f t="shared" si="317"/>
        <v>2966101.7</v>
      </c>
      <c r="AA213" s="522">
        <f t="shared" si="318"/>
        <v>2966101.7</v>
      </c>
      <c r="AB213" s="522">
        <v>0</v>
      </c>
      <c r="AC213" s="522">
        <f t="shared" si="319"/>
        <v>267347.45999999996</v>
      </c>
      <c r="AD213" s="522">
        <f t="shared" si="320"/>
        <v>9.9063284843602446</v>
      </c>
      <c r="AE213" s="522">
        <f t="shared" si="321"/>
        <v>398305.09000000032</v>
      </c>
      <c r="AF213" s="522">
        <f t="shared" si="322"/>
        <v>15.511551360759853</v>
      </c>
      <c r="AG213" s="522">
        <f t="shared" si="337"/>
        <v>2966101.7</v>
      </c>
      <c r="AH213" s="522">
        <f t="shared" si="323"/>
        <v>267347.45999999996</v>
      </c>
      <c r="AI213" s="522">
        <f t="shared" si="324"/>
        <v>9.9063284843602446</v>
      </c>
      <c r="AJ213" s="522">
        <f t="shared" si="325"/>
        <v>0</v>
      </c>
      <c r="AK213" s="522">
        <f t="shared" si="343"/>
        <v>0</v>
      </c>
      <c r="AL213" s="522">
        <f t="shared" si="302"/>
        <v>2966101.7</v>
      </c>
      <c r="AM213" s="522">
        <f t="shared" si="342"/>
        <v>1349377.12</v>
      </c>
      <c r="AN213" s="522">
        <f t="shared" si="342"/>
        <v>1470861.4</v>
      </c>
      <c r="AO213" s="522">
        <f t="shared" si="326"/>
        <v>121484.2799999998</v>
      </c>
      <c r="AP213" s="522">
        <f t="shared" si="338"/>
        <v>9.0029894682073746</v>
      </c>
      <c r="AQ213" s="578">
        <v>674688.56</v>
      </c>
      <c r="AR213" s="578">
        <v>731367.55</v>
      </c>
      <c r="AS213" s="578">
        <v>674688.56</v>
      </c>
      <c r="AT213" s="578">
        <v>739493.84999999986</v>
      </c>
      <c r="AU213" s="578">
        <f t="shared" si="276"/>
        <v>1349377.12</v>
      </c>
      <c r="AV213" s="578">
        <f t="shared" si="276"/>
        <v>1495240.3</v>
      </c>
      <c r="AW213" s="578">
        <f t="shared" si="327"/>
        <v>145863.17999999993</v>
      </c>
      <c r="AX213" s="578">
        <f t="shared" si="328"/>
        <v>10.809667500513115</v>
      </c>
      <c r="AY213" s="578">
        <f t="shared" si="277"/>
        <v>1495240.3000000003</v>
      </c>
      <c r="AZ213" s="578">
        <f t="shared" si="329"/>
        <v>0</v>
      </c>
      <c r="BA213" s="578">
        <f t="shared" si="330"/>
        <v>0</v>
      </c>
      <c r="BB213" s="578">
        <v>674688.56</v>
      </c>
      <c r="BC213" s="576">
        <f>'[67]Дир_ по реал.услуг'!AT15</f>
        <v>747620.15</v>
      </c>
      <c r="BD213" s="576">
        <f t="shared" si="303"/>
        <v>747620.14999999991</v>
      </c>
      <c r="BE213" s="576">
        <f t="shared" si="331"/>
        <v>72931.589999999851</v>
      </c>
      <c r="BF213" s="576">
        <f t="shared" si="332"/>
        <v>0</v>
      </c>
      <c r="BG213" s="576">
        <f t="shared" si="312"/>
        <v>2024065.6800000002</v>
      </c>
      <c r="BH213" s="578">
        <f t="shared" si="312"/>
        <v>2218481.5499999998</v>
      </c>
      <c r="BI213" s="578">
        <v>2218481.5499999998</v>
      </c>
      <c r="BJ213" s="578">
        <f t="shared" si="333"/>
        <v>194415.86999999965</v>
      </c>
      <c r="BK213" s="578">
        <f t="shared" si="334"/>
        <v>0</v>
      </c>
      <c r="BL213" s="576">
        <v>674688.56</v>
      </c>
      <c r="BM213" s="578">
        <f>'[67]Дир_ по реал.услуг'!AW15</f>
        <v>747620.15</v>
      </c>
      <c r="BN213" s="522">
        <f t="shared" si="304"/>
        <v>747620.15000000037</v>
      </c>
      <c r="BO213" s="578">
        <f t="shared" si="339"/>
        <v>72931.590000000317</v>
      </c>
      <c r="BP213" s="578">
        <f t="shared" si="335"/>
        <v>0</v>
      </c>
      <c r="BQ213" s="576">
        <v>674688.56</v>
      </c>
      <c r="BR213" s="578">
        <f>'[67]Дир_ по реал.услуг'!BB15</f>
        <v>0</v>
      </c>
      <c r="BS213" s="578">
        <f>'[67]Дир_ по реал.услуг'!BC15</f>
        <v>0</v>
      </c>
      <c r="BT213" s="536"/>
      <c r="BU213" s="578">
        <v>2966101.7</v>
      </c>
      <c r="BV213" s="578"/>
      <c r="BW213" s="639"/>
      <c r="BX213" s="574"/>
      <c r="BY213" s="522">
        <v>2966101.7</v>
      </c>
      <c r="BZ213" s="578"/>
      <c r="CA213" s="578"/>
      <c r="CB213" s="522">
        <f t="shared" si="308"/>
        <v>2966101.7</v>
      </c>
      <c r="CC213" s="578">
        <f t="shared" si="336"/>
        <v>0</v>
      </c>
      <c r="CD213" s="578"/>
      <c r="CE213" s="578"/>
      <c r="CF213" s="578"/>
      <c r="CG213" s="578"/>
      <c r="CH213" s="578"/>
      <c r="CI213" s="578"/>
      <c r="CJ213" s="578"/>
      <c r="CK213" s="543" t="s">
        <v>78</v>
      </c>
      <c r="CL213" s="543" t="s">
        <v>1944</v>
      </c>
      <c r="CM213" s="509" t="s">
        <v>1925</v>
      </c>
      <c r="CN213" s="528" t="s">
        <v>1849</v>
      </c>
      <c r="CO213" s="528"/>
      <c r="CP213" s="544">
        <f>U213</f>
        <v>2698754.24</v>
      </c>
      <c r="CQ213" s="579"/>
      <c r="CR213" s="579"/>
      <c r="CS213" s="1688"/>
      <c r="CT213" s="1689"/>
      <c r="CU213" s="1689"/>
      <c r="CV213" s="1689"/>
      <c r="CW213" s="1690"/>
      <c r="CX213" s="528"/>
      <c r="CY213" s="528"/>
      <c r="CZ213" s="528"/>
      <c r="DA213" s="528"/>
      <c r="DB213" s="579">
        <f>731367.55</f>
        <v>731367.55</v>
      </c>
      <c r="DC213" s="628" t="e">
        <f>P213-#REF!</f>
        <v>#REF!</v>
      </c>
      <c r="DD213" s="535"/>
      <c r="DE213" s="535"/>
      <c r="DF213" s="522">
        <f t="shared" si="278"/>
        <v>2966.1017000000002</v>
      </c>
      <c r="DG213" s="578">
        <f t="shared" si="278"/>
        <v>0</v>
      </c>
      <c r="DH213" s="578">
        <f t="shared" si="278"/>
        <v>0</v>
      </c>
      <c r="DI213" s="522">
        <f t="shared" si="278"/>
        <v>2966.1017000000002</v>
      </c>
      <c r="DJ213" s="536"/>
      <c r="DK213" s="536"/>
      <c r="DL213" s="536"/>
      <c r="DM213" s="536"/>
      <c r="DN213" s="536"/>
      <c r="DO213" s="536"/>
      <c r="DP213" s="536"/>
      <c r="DQ213" s="536"/>
      <c r="DR213" s="536"/>
      <c r="DS213" s="536"/>
    </row>
    <row r="214" spans="1:123" s="534" customFormat="1" ht="56.4">
      <c r="A214" s="537" t="s">
        <v>907</v>
      </c>
      <c r="B214" s="538" t="s">
        <v>908</v>
      </c>
      <c r="C214" s="576">
        <v>522994.42</v>
      </c>
      <c r="D214" s="576">
        <v>235244.5</v>
      </c>
      <c r="E214" s="576">
        <v>688020</v>
      </c>
      <c r="F214" s="576">
        <v>800485.08</v>
      </c>
      <c r="G214" s="577">
        <v>297268.77119826694</v>
      </c>
      <c r="H214" s="577">
        <v>0</v>
      </c>
      <c r="I214" s="576">
        <f t="shared" si="298"/>
        <v>564882.75</v>
      </c>
      <c r="J214" s="576">
        <v>239536.04</v>
      </c>
      <c r="K214" s="576">
        <v>141782.23000000001</v>
      </c>
      <c r="L214" s="576">
        <v>183564.48</v>
      </c>
      <c r="M214" s="576">
        <f t="shared" si="299"/>
        <v>381318.27</v>
      </c>
      <c r="N214" s="576">
        <v>311214.53000000003</v>
      </c>
      <c r="O214" s="525">
        <f t="shared" si="300"/>
        <v>154783</v>
      </c>
      <c r="P214" s="522">
        <f>443691.53+22306</f>
        <v>465997.53</v>
      </c>
      <c r="Q214" s="576">
        <f t="shared" si="313"/>
        <v>-98885.219999999972</v>
      </c>
      <c r="R214" s="576">
        <f t="shared" si="314"/>
        <v>-17.505441615981368</v>
      </c>
      <c r="S214" s="576">
        <v>313618.55361417163</v>
      </c>
      <c r="T214" s="576">
        <v>313618.55361417163</v>
      </c>
      <c r="U214" s="522">
        <f t="shared" si="301"/>
        <v>436115.29</v>
      </c>
      <c r="V214" s="522">
        <f t="shared" si="311"/>
        <v>122496.73638582835</v>
      </c>
      <c r="W214" s="522">
        <f t="shared" si="340"/>
        <v>39.05914843817871</v>
      </c>
      <c r="X214" s="522">
        <f t="shared" si="315"/>
        <v>-29882.240000000049</v>
      </c>
      <c r="Y214" s="522">
        <f t="shared" si="316"/>
        <v>-6.412531843248189</v>
      </c>
      <c r="Z214" s="524">
        <f t="shared" si="317"/>
        <v>473100.79000000004</v>
      </c>
      <c r="AA214" s="522">
        <f t="shared" si="318"/>
        <v>159482.23638582841</v>
      </c>
      <c r="AB214" s="522">
        <f t="shared" si="341"/>
        <v>50.852296379770621</v>
      </c>
      <c r="AC214" s="522">
        <f t="shared" si="319"/>
        <v>36985.500000000058</v>
      </c>
      <c r="AD214" s="522">
        <f t="shared" si="320"/>
        <v>8.4806703291691719</v>
      </c>
      <c r="AE214" s="522">
        <f t="shared" si="321"/>
        <v>7103.2600000000093</v>
      </c>
      <c r="AF214" s="522">
        <f t="shared" si="322"/>
        <v>1.5243128005421056</v>
      </c>
      <c r="AG214" s="522">
        <f t="shared" si="337"/>
        <v>537025.69999999995</v>
      </c>
      <c r="AH214" s="522">
        <f t="shared" si="323"/>
        <v>100910.40999999997</v>
      </c>
      <c r="AI214" s="522">
        <f t="shared" si="324"/>
        <v>23.138471022192306</v>
      </c>
      <c r="AJ214" s="522">
        <f t="shared" si="325"/>
        <v>63924.909999999916</v>
      </c>
      <c r="AK214" s="522">
        <f t="shared" si="343"/>
        <v>13.511900920731918</v>
      </c>
      <c r="AL214" s="522">
        <f t="shared" si="302"/>
        <v>537025.69999999995</v>
      </c>
      <c r="AM214" s="522">
        <f t="shared" si="342"/>
        <v>260000</v>
      </c>
      <c r="AN214" s="522">
        <f t="shared" si="342"/>
        <v>232489.5</v>
      </c>
      <c r="AO214" s="522">
        <f t="shared" si="326"/>
        <v>-27510.5</v>
      </c>
      <c r="AP214" s="522">
        <f t="shared" si="338"/>
        <v>-10.580961538461537</v>
      </c>
      <c r="AQ214" s="578">
        <v>120000</v>
      </c>
      <c r="AR214" s="578">
        <v>96420</v>
      </c>
      <c r="AS214" s="578">
        <v>140000</v>
      </c>
      <c r="AT214" s="578">
        <v>136069.5</v>
      </c>
      <c r="AU214" s="578">
        <f t="shared" si="276"/>
        <v>176115.28999999998</v>
      </c>
      <c r="AV214" s="578">
        <f t="shared" si="276"/>
        <v>240611.29</v>
      </c>
      <c r="AW214" s="578">
        <f t="shared" si="327"/>
        <v>64496.000000000029</v>
      </c>
      <c r="AX214" s="578">
        <f t="shared" si="328"/>
        <v>36.621465404849317</v>
      </c>
      <c r="AY214" s="578">
        <f t="shared" si="277"/>
        <v>304536.19999999995</v>
      </c>
      <c r="AZ214" s="578">
        <f t="shared" si="329"/>
        <v>-63924.909999999945</v>
      </c>
      <c r="BA214" s="578">
        <f t="shared" si="330"/>
        <v>-20.99090682815374</v>
      </c>
      <c r="BB214" s="578">
        <v>50000</v>
      </c>
      <c r="BC214" s="576">
        <f>'[67]Гл инж_Тех дир'!AT39</f>
        <v>55000</v>
      </c>
      <c r="BD214" s="576">
        <f t="shared" si="303"/>
        <v>65650</v>
      </c>
      <c r="BE214" s="576">
        <f t="shared" si="331"/>
        <v>15650</v>
      </c>
      <c r="BF214" s="576">
        <f t="shared" si="332"/>
        <v>10650</v>
      </c>
      <c r="BG214" s="576">
        <f t="shared" si="312"/>
        <v>310000</v>
      </c>
      <c r="BH214" s="578">
        <f t="shared" si="312"/>
        <v>287489.5</v>
      </c>
      <c r="BI214" s="578">
        <f>31965+266174.5</f>
        <v>298139.5</v>
      </c>
      <c r="BJ214" s="578">
        <f t="shared" si="333"/>
        <v>-11860.5</v>
      </c>
      <c r="BK214" s="578">
        <f t="shared" si="334"/>
        <v>10650</v>
      </c>
      <c r="BL214" s="576">
        <v>126115.29</v>
      </c>
      <c r="BM214" s="578">
        <f>'[67]Гл инж_Тех дир'!AW39</f>
        <v>185611.29</v>
      </c>
      <c r="BN214" s="522">
        <f t="shared" si="304"/>
        <v>238886.19999999995</v>
      </c>
      <c r="BO214" s="578">
        <f t="shared" si="339"/>
        <v>112770.90999999996</v>
      </c>
      <c r="BP214" s="578">
        <f t="shared" si="335"/>
        <v>53274.909999999945</v>
      </c>
      <c r="BQ214" s="576">
        <v>126115.29</v>
      </c>
      <c r="BR214" s="578">
        <f>'[67]Гл инж_Тех дир'!BB39</f>
        <v>0</v>
      </c>
      <c r="BS214" s="578">
        <f>'[67]Гл инж_Тех дир'!BC39</f>
        <v>0</v>
      </c>
      <c r="BT214" s="536"/>
      <c r="BU214" s="578">
        <v>46023.199999999997</v>
      </c>
      <c r="BV214" s="578">
        <v>491002.5</v>
      </c>
      <c r="BW214" s="578"/>
      <c r="BX214" s="574"/>
      <c r="BY214" s="522">
        <f>43075.19+490351.5</f>
        <v>533426.68999999994</v>
      </c>
      <c r="BZ214" s="522">
        <f>2569.58+651</f>
        <v>3220.58</v>
      </c>
      <c r="CA214" s="522">
        <v>378.43</v>
      </c>
      <c r="CB214" s="522">
        <f t="shared" si="308"/>
        <v>537025.69999999995</v>
      </c>
      <c r="CC214" s="522">
        <f t="shared" si="336"/>
        <v>0</v>
      </c>
      <c r="CD214" s="578"/>
      <c r="CE214" s="578"/>
      <c r="CF214" s="578"/>
      <c r="CG214" s="578"/>
      <c r="CH214" s="578"/>
      <c r="CI214" s="578"/>
      <c r="CJ214" s="578"/>
      <c r="CK214" s="543" t="s">
        <v>79</v>
      </c>
      <c r="CL214" s="543" t="s">
        <v>1806</v>
      </c>
      <c r="CM214" s="509" t="s">
        <v>1925</v>
      </c>
      <c r="CN214" s="528" t="s">
        <v>1849</v>
      </c>
      <c r="CO214" s="528"/>
      <c r="CP214" s="544">
        <f t="shared" ref="CP214:CP229" si="344">U214*$CU$7/100</f>
        <v>402368.88523331983</v>
      </c>
      <c r="CQ214" s="544">
        <f t="shared" ref="CQ214:CQ229" si="345">U214*$CU$8/100</f>
        <v>29555.3073145542</v>
      </c>
      <c r="CR214" s="544">
        <f t="shared" ref="CR214:CR229" si="346">U214*$CU$9/100</f>
        <v>4191.0974521259513</v>
      </c>
      <c r="CS214" s="1688" t="s">
        <v>1826</v>
      </c>
      <c r="CT214" s="1689"/>
      <c r="CU214" s="1689"/>
      <c r="CV214" s="1689"/>
      <c r="CW214" s="1690"/>
      <c r="CX214" s="528"/>
      <c r="CY214" s="528"/>
      <c r="CZ214" s="528"/>
      <c r="DA214" s="528"/>
      <c r="DB214" s="579">
        <f>3401+93019</f>
        <v>96420</v>
      </c>
      <c r="DC214" s="628" t="e">
        <f>P214-#REF!</f>
        <v>#REF!</v>
      </c>
      <c r="DD214" s="535"/>
      <c r="DE214" s="535"/>
      <c r="DF214" s="522">
        <f t="shared" si="278"/>
        <v>533.42668999999989</v>
      </c>
      <c r="DG214" s="522">
        <f t="shared" si="278"/>
        <v>3.22058</v>
      </c>
      <c r="DH214" s="522">
        <f t="shared" si="278"/>
        <v>0.37842999999999999</v>
      </c>
      <c r="DI214" s="522">
        <f t="shared" si="278"/>
        <v>537.02569999999992</v>
      </c>
      <c r="DJ214" s="536"/>
      <c r="DK214" s="536"/>
      <c r="DL214" s="536"/>
      <c r="DM214" s="536"/>
      <c r="DN214" s="536"/>
      <c r="DO214" s="536"/>
      <c r="DP214" s="536"/>
      <c r="DQ214" s="536"/>
      <c r="DR214" s="536"/>
      <c r="DS214" s="536"/>
    </row>
    <row r="215" spans="1:123" s="534" customFormat="1" ht="67.5" customHeight="1">
      <c r="A215" s="537" t="s">
        <v>766</v>
      </c>
      <c r="B215" s="538" t="s">
        <v>767</v>
      </c>
      <c r="C215" s="576">
        <v>43147353.229999997</v>
      </c>
      <c r="D215" s="525">
        <v>60087660</v>
      </c>
      <c r="E215" s="573">
        <v>23416220</v>
      </c>
      <c r="F215" s="573">
        <v>27789149.68</v>
      </c>
      <c r="G215" s="596">
        <v>53221340</v>
      </c>
      <c r="H215" s="596">
        <v>0</v>
      </c>
      <c r="I215" s="525">
        <f t="shared" si="298"/>
        <v>29341691.659999996</v>
      </c>
      <c r="J215" s="525">
        <v>14372446.369999999</v>
      </c>
      <c r="K215" s="525">
        <v>7307436.3700000001</v>
      </c>
      <c r="L215" s="525">
        <v>7661808.9199999999</v>
      </c>
      <c r="M215" s="525">
        <f t="shared" si="299"/>
        <v>21679882.739999998</v>
      </c>
      <c r="N215" s="525">
        <v>17155521.43</v>
      </c>
      <c r="O215" s="525">
        <f t="shared" si="300"/>
        <v>6172170.3200000003</v>
      </c>
      <c r="P215" s="522">
        <v>23327691.75</v>
      </c>
      <c r="Q215" s="525">
        <f t="shared" si="313"/>
        <v>-6013999.9099999964</v>
      </c>
      <c r="R215" s="525">
        <f t="shared" si="314"/>
        <v>-20.496432106532453</v>
      </c>
      <c r="S215" s="525">
        <v>29964650</v>
      </c>
      <c r="T215" s="525">
        <v>31517431.199792694</v>
      </c>
      <c r="U215" s="522">
        <f t="shared" si="301"/>
        <v>25282818.490000002</v>
      </c>
      <c r="V215" s="522">
        <f t="shared" si="311"/>
        <v>-6234612.7097926922</v>
      </c>
      <c r="W215" s="522">
        <f t="shared" si="340"/>
        <v>-19.781474798091097</v>
      </c>
      <c r="X215" s="522">
        <f t="shared" si="315"/>
        <v>1955126.7400000021</v>
      </c>
      <c r="Y215" s="522">
        <f t="shared" si="316"/>
        <v>8.3811410102330655</v>
      </c>
      <c r="Z215" s="524">
        <f t="shared" si="317"/>
        <v>25282818.5</v>
      </c>
      <c r="AA215" s="522">
        <f t="shared" si="318"/>
        <v>-6234612.6997926943</v>
      </c>
      <c r="AB215" s="522">
        <f t="shared" si="341"/>
        <v>-19.781474766362635</v>
      </c>
      <c r="AC215" s="522">
        <f t="shared" si="319"/>
        <v>9.9999979138374329E-3</v>
      </c>
      <c r="AD215" s="522">
        <f t="shared" si="320"/>
        <v>3.9552531916342559E-8</v>
      </c>
      <c r="AE215" s="522">
        <f t="shared" si="321"/>
        <v>1955126.75</v>
      </c>
      <c r="AF215" s="522">
        <f t="shared" si="322"/>
        <v>8.3811410531005492</v>
      </c>
      <c r="AG215" s="522">
        <f t="shared" si="337"/>
        <v>21288788.719999999</v>
      </c>
      <c r="AH215" s="522">
        <f t="shared" si="323"/>
        <v>-3994029.7700000033</v>
      </c>
      <c r="AI215" s="522">
        <f t="shared" si="324"/>
        <v>-15.797407126819124</v>
      </c>
      <c r="AJ215" s="522">
        <f t="shared" si="325"/>
        <v>-3994029.7800000012</v>
      </c>
      <c r="AK215" s="522">
        <f t="shared" si="343"/>
        <v>-15.797407160123385</v>
      </c>
      <c r="AL215" s="522">
        <f t="shared" si="302"/>
        <v>21288788.719999999</v>
      </c>
      <c r="AM215" s="522">
        <f t="shared" si="342"/>
        <v>13436297.17</v>
      </c>
      <c r="AN215" s="522">
        <f t="shared" si="342"/>
        <v>10616735.640000001</v>
      </c>
      <c r="AO215" s="522">
        <f t="shared" si="326"/>
        <v>-2819561.5299999993</v>
      </c>
      <c r="AP215" s="522">
        <f t="shared" si="338"/>
        <v>-20.984661877644371</v>
      </c>
      <c r="AQ215" s="522">
        <v>6975808.9000000004</v>
      </c>
      <c r="AR215" s="522">
        <v>5530024.6900000004</v>
      </c>
      <c r="AS215" s="522">
        <v>6460488.2699999996</v>
      </c>
      <c r="AT215" s="522">
        <v>5086710.95</v>
      </c>
      <c r="AU215" s="522">
        <f t="shared" si="276"/>
        <v>11846521.32</v>
      </c>
      <c r="AV215" s="522">
        <f t="shared" si="276"/>
        <v>14666082.859999999</v>
      </c>
      <c r="AW215" s="522">
        <f t="shared" si="327"/>
        <v>2819561.5399999991</v>
      </c>
      <c r="AX215" s="522">
        <f t="shared" si="328"/>
        <v>23.800755207689946</v>
      </c>
      <c r="AY215" s="522">
        <f t="shared" si="277"/>
        <v>10672053.079999998</v>
      </c>
      <c r="AZ215" s="522">
        <f t="shared" si="329"/>
        <v>3994029.7800000012</v>
      </c>
      <c r="BA215" s="522">
        <f t="shared" si="330"/>
        <v>37.4251303855022</v>
      </c>
      <c r="BB215" s="522">
        <v>5978375.0800000001</v>
      </c>
      <c r="BC215" s="525">
        <f>'[67]Дир_ по реал.услуг'!AT16</f>
        <v>7333041.4299999997</v>
      </c>
      <c r="BD215" s="525">
        <f t="shared" si="303"/>
        <v>4936904.6899999995</v>
      </c>
      <c r="BE215" s="525">
        <f t="shared" si="331"/>
        <v>-1041470.3900000006</v>
      </c>
      <c r="BF215" s="525">
        <f t="shared" si="332"/>
        <v>-2396136.7400000002</v>
      </c>
      <c r="BG215" s="525">
        <f t="shared" si="312"/>
        <v>19414672.25</v>
      </c>
      <c r="BH215" s="522">
        <f t="shared" si="312"/>
        <v>17949777.07</v>
      </c>
      <c r="BI215" s="522">
        <v>15553640.33</v>
      </c>
      <c r="BJ215" s="522">
        <f t="shared" si="333"/>
        <v>-3861031.92</v>
      </c>
      <c r="BK215" s="522">
        <f t="shared" si="334"/>
        <v>-2396136.7400000002</v>
      </c>
      <c r="BL215" s="525">
        <v>5868146.2400000002</v>
      </c>
      <c r="BM215" s="522">
        <f>'[67]Дир_ по реал.услуг'!AW16</f>
        <v>7333041.4299999997</v>
      </c>
      <c r="BN215" s="522">
        <f t="shared" si="304"/>
        <v>5735148.3899999987</v>
      </c>
      <c r="BO215" s="522">
        <f t="shared" si="339"/>
        <v>-132997.85000000149</v>
      </c>
      <c r="BP215" s="522">
        <f t="shared" si="335"/>
        <v>-1597893.040000001</v>
      </c>
      <c r="BQ215" s="525">
        <v>5868146.2400000002</v>
      </c>
      <c r="BR215" s="522">
        <f>'[67]Дир_ по реал.услуг'!BB16</f>
        <v>0</v>
      </c>
      <c r="BS215" s="522">
        <f>'[67]Дир_ по реал.услуг'!BC16</f>
        <v>0</v>
      </c>
      <c r="BT215" s="536"/>
      <c r="BU215" s="522">
        <v>21288788.719999999</v>
      </c>
      <c r="BV215" s="522"/>
      <c r="BW215" s="578"/>
      <c r="BX215" s="574"/>
      <c r="BY215" s="522">
        <v>21288788.719999999</v>
      </c>
      <c r="BZ215" s="522"/>
      <c r="CA215" s="522"/>
      <c r="CB215" s="522">
        <f t="shared" si="308"/>
        <v>21288788.719999999</v>
      </c>
      <c r="CC215" s="522">
        <f t="shared" si="336"/>
        <v>0</v>
      </c>
      <c r="CD215" s="522"/>
      <c r="CE215" s="522"/>
      <c r="CF215" s="522"/>
      <c r="CG215" s="522"/>
      <c r="CH215" s="522"/>
      <c r="CI215" s="522"/>
      <c r="CJ215" s="522"/>
      <c r="CK215" s="543" t="s">
        <v>78</v>
      </c>
      <c r="CL215" s="543" t="s">
        <v>1944</v>
      </c>
      <c r="CM215" s="509" t="s">
        <v>1925</v>
      </c>
      <c r="CN215" s="528" t="s">
        <v>1849</v>
      </c>
      <c r="CO215" s="528"/>
      <c r="CP215" s="544">
        <f t="shared" si="344"/>
        <v>23326445.379563894</v>
      </c>
      <c r="CQ215" s="544">
        <f t="shared" si="345"/>
        <v>1713403.5136673225</v>
      </c>
      <c r="CR215" s="544">
        <f t="shared" si="346"/>
        <v>242969.59676878541</v>
      </c>
      <c r="CS215" s="1688" t="s">
        <v>1826</v>
      </c>
      <c r="CT215" s="1689"/>
      <c r="CU215" s="1689"/>
      <c r="CV215" s="1689"/>
      <c r="CW215" s="1690"/>
      <c r="CX215" s="528"/>
      <c r="CY215" s="528"/>
      <c r="CZ215" s="528"/>
      <c r="DA215" s="528"/>
      <c r="DB215" s="659">
        <f>5530024.69</f>
        <v>5530024.6900000004</v>
      </c>
      <c r="DC215" s="628" t="e">
        <f>P215-#REF!</f>
        <v>#REF!</v>
      </c>
      <c r="DD215" s="535"/>
      <c r="DE215" s="535"/>
      <c r="DF215" s="522">
        <f t="shared" si="278"/>
        <v>21288.78872</v>
      </c>
      <c r="DG215" s="522">
        <f t="shared" si="278"/>
        <v>0</v>
      </c>
      <c r="DH215" s="522">
        <f t="shared" si="278"/>
        <v>0</v>
      </c>
      <c r="DI215" s="522">
        <f t="shared" si="278"/>
        <v>21288.78872</v>
      </c>
      <c r="DJ215" s="536"/>
      <c r="DK215" s="536"/>
      <c r="DL215" s="536"/>
      <c r="DM215" s="536"/>
      <c r="DN215" s="536"/>
      <c r="DO215" s="536"/>
      <c r="DP215" s="536"/>
      <c r="DQ215" s="536"/>
      <c r="DR215" s="536"/>
      <c r="DS215" s="536"/>
    </row>
    <row r="216" spans="1:123" s="623" customFormat="1" ht="60" customHeight="1">
      <c r="A216" s="537" t="s">
        <v>912</v>
      </c>
      <c r="B216" s="538" t="s">
        <v>757</v>
      </c>
      <c r="C216" s="576">
        <f>5184180.13+27891.966+178.08</f>
        <v>5212250.176</v>
      </c>
      <c r="D216" s="576">
        <f>21601240.85+54863.67+41950</f>
        <v>21698054.520000003</v>
      </c>
      <c r="E216" s="576">
        <f>5500000+20000</f>
        <v>5520000</v>
      </c>
      <c r="F216" s="576">
        <f>1742923.24+14948.83</f>
        <v>1757872.07</v>
      </c>
      <c r="G216" s="577">
        <v>6143992.6785235796</v>
      </c>
      <c r="H216" s="577">
        <v>0</v>
      </c>
      <c r="I216" s="576">
        <f t="shared" si="298"/>
        <v>3012534.94</v>
      </c>
      <c r="J216" s="576">
        <v>1536836.9700000002</v>
      </c>
      <c r="K216" s="576">
        <v>769371.9</v>
      </c>
      <c r="L216" s="576">
        <v>706326.07</v>
      </c>
      <c r="M216" s="576">
        <f t="shared" si="299"/>
        <v>2306208.87</v>
      </c>
      <c r="N216" s="576">
        <v>2312085.62</v>
      </c>
      <c r="O216" s="525">
        <f t="shared" si="300"/>
        <v>736714.23</v>
      </c>
      <c r="P216" s="522">
        <f>840150.81+2184264.85+24384.19</f>
        <v>3048799.85</v>
      </c>
      <c r="Q216" s="576">
        <f t="shared" si="313"/>
        <v>36264.910000000149</v>
      </c>
      <c r="R216" s="576">
        <f t="shared" si="314"/>
        <v>1.2038004777464835</v>
      </c>
      <c r="S216" s="576">
        <v>3974011.4524999997</v>
      </c>
      <c r="T216" s="576">
        <v>2026661.4524999997</v>
      </c>
      <c r="U216" s="522">
        <f t="shared" si="301"/>
        <v>5170911.6499999994</v>
      </c>
      <c r="V216" s="522">
        <f t="shared" si="311"/>
        <v>3144250.1974999998</v>
      </c>
      <c r="W216" s="522">
        <f t="shared" si="340"/>
        <v>155.14432337090108</v>
      </c>
      <c r="X216" s="522">
        <f t="shared" si="315"/>
        <v>2122111.7999999993</v>
      </c>
      <c r="Y216" s="522">
        <f t="shared" si="316"/>
        <v>69.604824993677425</v>
      </c>
      <c r="Z216" s="524">
        <f t="shared" si="317"/>
        <v>5116546.47</v>
      </c>
      <c r="AA216" s="522">
        <f t="shared" si="318"/>
        <v>3089885.0175000001</v>
      </c>
      <c r="AB216" s="522">
        <f t="shared" si="341"/>
        <v>152.46182403521095</v>
      </c>
      <c r="AC216" s="522">
        <f t="shared" si="319"/>
        <v>-54365.179999999702</v>
      </c>
      <c r="AD216" s="522">
        <f t="shared" si="320"/>
        <v>-1.0513654782711228</v>
      </c>
      <c r="AE216" s="522">
        <f t="shared" si="321"/>
        <v>2067746.6199999996</v>
      </c>
      <c r="AF216" s="522">
        <f t="shared" si="322"/>
        <v>67.821658414211726</v>
      </c>
      <c r="AG216" s="522">
        <f t="shared" si="337"/>
        <v>4841515.0599999996</v>
      </c>
      <c r="AH216" s="522">
        <f t="shared" si="323"/>
        <v>-329396.58999999985</v>
      </c>
      <c r="AI216" s="522">
        <f t="shared" si="324"/>
        <v>-6.3701840660920936</v>
      </c>
      <c r="AJ216" s="522">
        <f t="shared" si="325"/>
        <v>-275031.41000000015</v>
      </c>
      <c r="AK216" s="522">
        <f t="shared" si="343"/>
        <v>-5.3753329831479135</v>
      </c>
      <c r="AL216" s="522">
        <f t="shared" si="302"/>
        <v>4841515.0599999996</v>
      </c>
      <c r="AM216" s="522">
        <f t="shared" si="342"/>
        <v>2312727.5099999998</v>
      </c>
      <c r="AN216" s="522">
        <f t="shared" si="342"/>
        <v>1940080.14</v>
      </c>
      <c r="AO216" s="522">
        <f t="shared" si="326"/>
        <v>-372647.36999999988</v>
      </c>
      <c r="AP216" s="522">
        <f t="shared" si="338"/>
        <v>-16.112895634643948</v>
      </c>
      <c r="AQ216" s="578">
        <f>681893.26+74909+185600</f>
        <v>942402.26</v>
      </c>
      <c r="AR216" s="578">
        <v>803244.1100000001</v>
      </c>
      <c r="AS216" s="578">
        <f>813525.25+556800</f>
        <v>1370325.25</v>
      </c>
      <c r="AT216" s="578">
        <v>1136836.0299999998</v>
      </c>
      <c r="AU216" s="578">
        <f t="shared" si="276"/>
        <v>2858184.1399999997</v>
      </c>
      <c r="AV216" s="578">
        <f t="shared" si="276"/>
        <v>3176466.33</v>
      </c>
      <c r="AW216" s="578">
        <f t="shared" si="327"/>
        <v>318282.19000000041</v>
      </c>
      <c r="AX216" s="578">
        <f t="shared" si="328"/>
        <v>11.135818212188411</v>
      </c>
      <c r="AY216" s="578">
        <f t="shared" si="277"/>
        <v>2901434.92</v>
      </c>
      <c r="AZ216" s="578">
        <f t="shared" si="329"/>
        <v>275031.41000000015</v>
      </c>
      <c r="BA216" s="578">
        <f t="shared" si="330"/>
        <v>9.479151440005424</v>
      </c>
      <c r="BB216" s="578">
        <f>853885.65+556800</f>
        <v>1410685.65</v>
      </c>
      <c r="BC216" s="576">
        <f>'[67]Дир_по экон'!AT27</f>
        <v>1585597.56</v>
      </c>
      <c r="BD216" s="576">
        <f t="shared" si="303"/>
        <v>1585978.36</v>
      </c>
      <c r="BE216" s="576">
        <f t="shared" si="331"/>
        <v>175292.7100000002</v>
      </c>
      <c r="BF216" s="576">
        <f t="shared" si="332"/>
        <v>380.80000000004657</v>
      </c>
      <c r="BG216" s="576">
        <f t="shared" si="312"/>
        <v>3723413.1599999997</v>
      </c>
      <c r="BH216" s="578">
        <f t="shared" si="312"/>
        <v>3525677.7</v>
      </c>
      <c r="BI216" s="578">
        <f>290362.56+2604817.65+630878.29</f>
        <v>3526058.5</v>
      </c>
      <c r="BJ216" s="578">
        <f t="shared" si="333"/>
        <v>-197354.65999999968</v>
      </c>
      <c r="BK216" s="578">
        <f t="shared" si="334"/>
        <v>380.79999999981374</v>
      </c>
      <c r="BL216" s="576">
        <f>890698.49+556800</f>
        <v>1447498.49</v>
      </c>
      <c r="BM216" s="578">
        <f>'[67]Дир_по экон'!AW27</f>
        <v>1590868.77</v>
      </c>
      <c r="BN216" s="522">
        <f t="shared" si="304"/>
        <v>1315456.5599999996</v>
      </c>
      <c r="BO216" s="578">
        <f t="shared" si="339"/>
        <v>-132041.9300000004</v>
      </c>
      <c r="BP216" s="578">
        <f t="shared" si="335"/>
        <v>-275412.21000000043</v>
      </c>
      <c r="BQ216" s="576">
        <f>890698.49+556800</f>
        <v>1447498.49</v>
      </c>
      <c r="BR216" s="578">
        <f>'[67]Дир_по экон'!BB27</f>
        <v>0</v>
      </c>
      <c r="BS216" s="578">
        <f>'[67]Дир_по экон'!BC27</f>
        <v>0</v>
      </c>
      <c r="BT216" s="621"/>
      <c r="BU216" s="578">
        <f>(71562.56+291950+27000)+(3349557.25+188308.65)</f>
        <v>3928378.46</v>
      </c>
      <c r="BV216" s="578">
        <v>913136.6</v>
      </c>
      <c r="BW216" s="578"/>
      <c r="BX216" s="625"/>
      <c r="BY216" s="522">
        <f>(71317.91+291074.44+26922.54-18.32)+0.42+3296514.98+179247.25+913136.6</f>
        <v>4778195.8199999994</v>
      </c>
      <c r="BZ216" s="522">
        <f>(207.39+743.18+67.02+18.9)+0.03+46722.28+6486</f>
        <v>54244.799999999996</v>
      </c>
      <c r="CA216" s="522">
        <f>(37.26+132.38+10.44-0.58)-0.45+6319.99+2575.4</f>
        <v>9074.44</v>
      </c>
      <c r="CB216" s="522">
        <f t="shared" si="308"/>
        <v>4841515.0599999996</v>
      </c>
      <c r="CC216" s="522">
        <f t="shared" si="336"/>
        <v>0</v>
      </c>
      <c r="CD216" s="578"/>
      <c r="CE216" s="578"/>
      <c r="CF216" s="578"/>
      <c r="CG216" s="578"/>
      <c r="CH216" s="578"/>
      <c r="CI216" s="578"/>
      <c r="CJ216" s="578"/>
      <c r="CK216" s="543" t="s">
        <v>77</v>
      </c>
      <c r="CL216" s="542" t="s">
        <v>1800</v>
      </c>
      <c r="CM216" s="509" t="s">
        <v>1925</v>
      </c>
      <c r="CN216" s="622"/>
      <c r="CO216" s="622"/>
      <c r="CP216" s="544">
        <f t="shared" si="344"/>
        <v>4770788.8348754905</v>
      </c>
      <c r="CQ216" s="544">
        <f t="shared" si="345"/>
        <v>350430.00421324035</v>
      </c>
      <c r="CR216" s="544">
        <f t="shared" si="346"/>
        <v>49692.810911269356</v>
      </c>
      <c r="CS216" s="1688" t="s">
        <v>1826</v>
      </c>
      <c r="CT216" s="1689"/>
      <c r="CU216" s="1689"/>
      <c r="CV216" s="1689"/>
      <c r="CW216" s="1690"/>
      <c r="CX216" s="622"/>
      <c r="CY216" s="622"/>
      <c r="CZ216" s="622"/>
      <c r="DA216" s="622"/>
      <c r="DB216" s="579">
        <f>70350+540315.55+192578.56</f>
        <v>803244.1100000001</v>
      </c>
      <c r="DC216" s="628" t="e">
        <f>P216-#REF!</f>
        <v>#REF!</v>
      </c>
      <c r="DD216" s="624"/>
      <c r="DE216" s="624"/>
      <c r="DF216" s="522">
        <f t="shared" si="278"/>
        <v>4778.195819999999</v>
      </c>
      <c r="DG216" s="522">
        <f t="shared" si="278"/>
        <v>54.244799999999998</v>
      </c>
      <c r="DH216" s="522">
        <f t="shared" si="278"/>
        <v>9.0744400000000009</v>
      </c>
      <c r="DI216" s="522">
        <f t="shared" si="278"/>
        <v>4841.5150599999997</v>
      </c>
      <c r="DJ216" s="621"/>
      <c r="DK216" s="621"/>
      <c r="DL216" s="621"/>
      <c r="DM216" s="621"/>
      <c r="DN216" s="621"/>
      <c r="DO216" s="621"/>
      <c r="DP216" s="621"/>
      <c r="DQ216" s="621"/>
      <c r="DR216" s="621"/>
      <c r="DS216" s="621"/>
    </row>
    <row r="217" spans="1:123" s="534" customFormat="1" ht="56.4">
      <c r="A217" s="537" t="s">
        <v>916</v>
      </c>
      <c r="B217" s="538" t="s">
        <v>917</v>
      </c>
      <c r="C217" s="576"/>
      <c r="D217" s="576">
        <v>0</v>
      </c>
      <c r="E217" s="576">
        <v>300000</v>
      </c>
      <c r="F217" s="576">
        <v>0</v>
      </c>
      <c r="G217" s="577">
        <v>0</v>
      </c>
      <c r="H217" s="577">
        <v>0</v>
      </c>
      <c r="I217" s="576">
        <f t="shared" si="298"/>
        <v>542028.34</v>
      </c>
      <c r="J217" s="576">
        <v>9415.34</v>
      </c>
      <c r="K217" s="576">
        <v>185270</v>
      </c>
      <c r="L217" s="576">
        <v>347343</v>
      </c>
      <c r="M217" s="576">
        <f t="shared" si="299"/>
        <v>194685.34</v>
      </c>
      <c r="N217" s="576">
        <v>367109.01</v>
      </c>
      <c r="O217" s="525">
        <f t="shared" si="300"/>
        <v>103370.88</v>
      </c>
      <c r="P217" s="522">
        <v>470479.89</v>
      </c>
      <c r="Q217" s="576">
        <f t="shared" si="313"/>
        <v>-71548.449999999953</v>
      </c>
      <c r="R217" s="576">
        <f t="shared" si="314"/>
        <v>-13.200130827107671</v>
      </c>
      <c r="S217" s="576"/>
      <c r="T217" s="576"/>
      <c r="U217" s="522">
        <f t="shared" si="301"/>
        <v>514442.08999999997</v>
      </c>
      <c r="V217" s="522">
        <f t="shared" si="311"/>
        <v>514442.08999999997</v>
      </c>
      <c r="W217" s="522">
        <v>0</v>
      </c>
      <c r="X217" s="522">
        <f t="shared" si="315"/>
        <v>43962.199999999953</v>
      </c>
      <c r="Y217" s="522">
        <f t="shared" si="316"/>
        <v>9.344118831519026</v>
      </c>
      <c r="Z217" s="524">
        <f t="shared" si="317"/>
        <v>725463.95</v>
      </c>
      <c r="AA217" s="522">
        <f t="shared" si="318"/>
        <v>725463.95</v>
      </c>
      <c r="AB217" s="522">
        <v>0</v>
      </c>
      <c r="AC217" s="522">
        <f t="shared" si="319"/>
        <v>211021.86</v>
      </c>
      <c r="AD217" s="522">
        <f t="shared" si="320"/>
        <v>41.019555767686114</v>
      </c>
      <c r="AE217" s="522">
        <f t="shared" si="321"/>
        <v>254984.05999999994</v>
      </c>
      <c r="AF217" s="522">
        <f t="shared" si="322"/>
        <v>54.196590634298929</v>
      </c>
      <c r="AG217" s="522">
        <f t="shared" si="337"/>
        <v>640543.8600000001</v>
      </c>
      <c r="AH217" s="522">
        <f t="shared" si="323"/>
        <v>126101.77000000014</v>
      </c>
      <c r="AI217" s="522">
        <f t="shared" si="324"/>
        <v>24.512335295115562</v>
      </c>
      <c r="AJ217" s="522">
        <f t="shared" si="325"/>
        <v>-84920.089999999851</v>
      </c>
      <c r="AK217" s="522">
        <f t="shared" si="343"/>
        <v>-11.705625069309079</v>
      </c>
      <c r="AL217" s="522">
        <f t="shared" si="302"/>
        <v>640543.8600000001</v>
      </c>
      <c r="AM217" s="522">
        <f t="shared" si="342"/>
        <v>120000</v>
      </c>
      <c r="AN217" s="522">
        <f t="shared" si="342"/>
        <v>115463.95</v>
      </c>
      <c r="AO217" s="522">
        <f t="shared" si="326"/>
        <v>-4536.0500000000029</v>
      </c>
      <c r="AP217" s="522">
        <f t="shared" si="338"/>
        <v>-3.7800416666666621</v>
      </c>
      <c r="AQ217" s="578">
        <v>0</v>
      </c>
      <c r="AR217" s="578">
        <v>1578.89</v>
      </c>
      <c r="AS217" s="578">
        <v>120000</v>
      </c>
      <c r="AT217" s="578">
        <v>113885.06</v>
      </c>
      <c r="AU217" s="578">
        <f t="shared" si="276"/>
        <v>394442.08999999997</v>
      </c>
      <c r="AV217" s="578">
        <f t="shared" si="276"/>
        <v>610000</v>
      </c>
      <c r="AW217" s="578">
        <f t="shared" si="327"/>
        <v>215557.91000000003</v>
      </c>
      <c r="AX217" s="578">
        <f t="shared" si="328"/>
        <v>54.648810424871272</v>
      </c>
      <c r="AY217" s="578">
        <f t="shared" si="277"/>
        <v>525079.91000000015</v>
      </c>
      <c r="AZ217" s="578">
        <f t="shared" si="329"/>
        <v>84920.089999999851</v>
      </c>
      <c r="BA217" s="578">
        <f t="shared" si="330"/>
        <v>16.172793584884971</v>
      </c>
      <c r="BB217" s="578">
        <v>315000</v>
      </c>
      <c r="BC217" s="576">
        <f>'[67]Гл инж_Тех дир'!AT103</f>
        <v>366720.27</v>
      </c>
      <c r="BD217" s="576">
        <f t="shared" si="303"/>
        <v>385669.47</v>
      </c>
      <c r="BE217" s="576">
        <f t="shared" si="331"/>
        <v>70669.469999999972</v>
      </c>
      <c r="BF217" s="576">
        <f t="shared" si="332"/>
        <v>18949.199999999953</v>
      </c>
      <c r="BG217" s="576">
        <f t="shared" si="312"/>
        <v>435000</v>
      </c>
      <c r="BH217" s="578">
        <f t="shared" si="312"/>
        <v>482184.22000000003</v>
      </c>
      <c r="BI217" s="578">
        <f>466688.24+34445.18</f>
        <v>501133.42</v>
      </c>
      <c r="BJ217" s="578">
        <f t="shared" si="333"/>
        <v>66133.419999999984</v>
      </c>
      <c r="BK217" s="578">
        <f t="shared" si="334"/>
        <v>18949.199999999953</v>
      </c>
      <c r="BL217" s="576">
        <v>79442.09</v>
      </c>
      <c r="BM217" s="578">
        <f>'[67]Гл инж_Тех дир'!AW103</f>
        <v>243279.73</v>
      </c>
      <c r="BN217" s="522">
        <f t="shared" si="304"/>
        <v>139410.44000000012</v>
      </c>
      <c r="BO217" s="578">
        <f t="shared" si="339"/>
        <v>59968.350000000122</v>
      </c>
      <c r="BP217" s="578">
        <f t="shared" si="335"/>
        <v>-103869.28999999989</v>
      </c>
      <c r="BQ217" s="576">
        <v>79442.09</v>
      </c>
      <c r="BR217" s="578">
        <f>'[67]Гл инж_Тех дир'!BB103</f>
        <v>0</v>
      </c>
      <c r="BS217" s="578">
        <f>'[67]Гл инж_Тех дир'!BC103</f>
        <v>0</v>
      </c>
      <c r="BT217" s="536"/>
      <c r="BU217" s="578">
        <v>606098.68000000005</v>
      </c>
      <c r="BV217" s="578">
        <v>34445.18</v>
      </c>
      <c r="BW217" s="522"/>
      <c r="BX217" s="574"/>
      <c r="BY217" s="522">
        <f>578122.72+34445.18</f>
        <v>612567.9</v>
      </c>
      <c r="BZ217" s="522">
        <v>22577.279999999999</v>
      </c>
      <c r="CA217" s="522">
        <v>5398.68</v>
      </c>
      <c r="CB217" s="522">
        <f t="shared" si="308"/>
        <v>640543.8600000001</v>
      </c>
      <c r="CC217" s="522">
        <f t="shared" si="336"/>
        <v>0</v>
      </c>
      <c r="CD217" s="578"/>
      <c r="CE217" s="578"/>
      <c r="CF217" s="578"/>
      <c r="CG217" s="578"/>
      <c r="CH217" s="578"/>
      <c r="CI217" s="578"/>
      <c r="CJ217" s="578"/>
      <c r="CK217" s="543" t="s">
        <v>79</v>
      </c>
      <c r="CL217" s="543" t="s">
        <v>1945</v>
      </c>
      <c r="CM217" s="509" t="s">
        <v>1925</v>
      </c>
      <c r="CN217" s="528"/>
      <c r="CO217" s="528"/>
      <c r="CP217" s="544">
        <f t="shared" si="344"/>
        <v>474634.79271822638</v>
      </c>
      <c r="CQ217" s="544">
        <f t="shared" si="345"/>
        <v>34863.473980679628</v>
      </c>
      <c r="CR217" s="544">
        <f t="shared" si="346"/>
        <v>4943.8233010939593</v>
      </c>
      <c r="CS217" s="1688" t="s">
        <v>1826</v>
      </c>
      <c r="CT217" s="1689"/>
      <c r="CU217" s="1689"/>
      <c r="CV217" s="1689"/>
      <c r="CW217" s="1690"/>
      <c r="CX217" s="528"/>
      <c r="CY217" s="528"/>
      <c r="CZ217" s="528"/>
      <c r="DA217" s="528"/>
      <c r="DB217" s="579">
        <f>1578.89</f>
        <v>1578.89</v>
      </c>
      <c r="DC217" s="628" t="e">
        <f>P217-#REF!</f>
        <v>#REF!</v>
      </c>
      <c r="DD217" s="535"/>
      <c r="DE217" s="535"/>
      <c r="DF217" s="522">
        <f t="shared" si="278"/>
        <v>612.56790000000001</v>
      </c>
      <c r="DG217" s="522">
        <f t="shared" si="278"/>
        <v>22.577279999999998</v>
      </c>
      <c r="DH217" s="522">
        <f t="shared" si="278"/>
        <v>5.3986800000000006</v>
      </c>
      <c r="DI217" s="522">
        <f t="shared" si="278"/>
        <v>640.54386000000011</v>
      </c>
      <c r="DJ217" s="536"/>
      <c r="DK217" s="536"/>
      <c r="DL217" s="536"/>
      <c r="DM217" s="536"/>
      <c r="DN217" s="536"/>
      <c r="DO217" s="536"/>
      <c r="DP217" s="536"/>
      <c r="DQ217" s="536"/>
      <c r="DR217" s="536"/>
      <c r="DS217" s="536"/>
    </row>
    <row r="218" spans="1:123" s="534" customFormat="1" ht="56.4">
      <c r="A218" s="537" t="s">
        <v>920</v>
      </c>
      <c r="B218" s="538" t="s">
        <v>921</v>
      </c>
      <c r="C218" s="576">
        <v>97749840.549999997</v>
      </c>
      <c r="D218" s="525">
        <v>22147414.370000001</v>
      </c>
      <c r="E218" s="649">
        <v>107186420</v>
      </c>
      <c r="F218" s="649">
        <v>112861239.15000001</v>
      </c>
      <c r="G218" s="577">
        <v>45185307.212915063</v>
      </c>
      <c r="H218" s="577">
        <v>0</v>
      </c>
      <c r="I218" s="578">
        <f t="shared" si="298"/>
        <v>85928788.430000007</v>
      </c>
      <c r="J218" s="649">
        <v>40713988.700000003</v>
      </c>
      <c r="K218" s="649">
        <v>22500000</v>
      </c>
      <c r="L218" s="649">
        <v>22714799.73</v>
      </c>
      <c r="M218" s="649">
        <f t="shared" si="299"/>
        <v>63213988.700000003</v>
      </c>
      <c r="N218" s="649">
        <v>62602613.880000003</v>
      </c>
      <c r="O218" s="573">
        <f t="shared" si="300"/>
        <v>21335194.539999999</v>
      </c>
      <c r="P218" s="522">
        <f>175270+83762538.42</f>
        <v>83937808.420000002</v>
      </c>
      <c r="Q218" s="576">
        <f t="shared" si="313"/>
        <v>-1990980.0100000054</v>
      </c>
      <c r="R218" s="576">
        <f t="shared" si="314"/>
        <v>-2.3170116166852779</v>
      </c>
      <c r="S218" s="576">
        <v>47670499.109625384</v>
      </c>
      <c r="T218" s="576">
        <v>49617849.109625399</v>
      </c>
      <c r="U218" s="522">
        <f t="shared" si="301"/>
        <v>47670499</v>
      </c>
      <c r="V218" s="522">
        <f t="shared" si="311"/>
        <v>-1947350.1096253991</v>
      </c>
      <c r="W218" s="522">
        <f t="shared" si="340"/>
        <v>-3.9246967463723195</v>
      </c>
      <c r="X218" s="522">
        <f t="shared" si="315"/>
        <v>-36267309.420000002</v>
      </c>
      <c r="Y218" s="522">
        <f t="shared" si="316"/>
        <v>-43.207358046006036</v>
      </c>
      <c r="Z218" s="524">
        <f t="shared" si="317"/>
        <v>28658921.41</v>
      </c>
      <c r="AA218" s="522">
        <f t="shared" si="318"/>
        <v>-20958927.699625399</v>
      </c>
      <c r="AB218" s="522">
        <f t="shared" si="341"/>
        <v>-42.240701835581106</v>
      </c>
      <c r="AC218" s="522">
        <f t="shared" si="319"/>
        <v>-19011577.59</v>
      </c>
      <c r="AD218" s="522">
        <f t="shared" si="320"/>
        <v>-39.881222116009319</v>
      </c>
      <c r="AE218" s="522">
        <f t="shared" si="321"/>
        <v>-55278887.010000005</v>
      </c>
      <c r="AF218" s="522">
        <f t="shared" si="322"/>
        <v>-65.85695772922827</v>
      </c>
      <c r="AG218" s="522">
        <f t="shared" si="337"/>
        <v>26655112.030000001</v>
      </c>
      <c r="AH218" s="522">
        <f t="shared" si="323"/>
        <v>-21015386.969999999</v>
      </c>
      <c r="AI218" s="522">
        <f t="shared" si="324"/>
        <v>-44.084680065967</v>
      </c>
      <c r="AJ218" s="522">
        <f t="shared" si="325"/>
        <v>-2003809.379999999</v>
      </c>
      <c r="AK218" s="522">
        <f t="shared" si="343"/>
        <v>-6.9919218219454962</v>
      </c>
      <c r="AL218" s="522">
        <f t="shared" si="302"/>
        <v>26655112.030000001</v>
      </c>
      <c r="AM218" s="522">
        <f t="shared" si="342"/>
        <v>44100000</v>
      </c>
      <c r="AN218" s="522">
        <f t="shared" si="342"/>
        <v>26488422.41</v>
      </c>
      <c r="AO218" s="522">
        <f t="shared" si="326"/>
        <v>-17611577.59</v>
      </c>
      <c r="AP218" s="522">
        <f t="shared" si="338"/>
        <v>-39.935550090702939</v>
      </c>
      <c r="AQ218" s="578">
        <v>21600000</v>
      </c>
      <c r="AR218" s="578">
        <v>19121176.539999999</v>
      </c>
      <c r="AS218" s="578">
        <v>22500000</v>
      </c>
      <c r="AT218" s="578">
        <v>7367245.870000001</v>
      </c>
      <c r="AU218" s="578">
        <f t="shared" si="276"/>
        <v>3570499</v>
      </c>
      <c r="AV218" s="578">
        <f t="shared" si="276"/>
        <v>2170499</v>
      </c>
      <c r="AW218" s="578">
        <f t="shared" si="327"/>
        <v>-1400000</v>
      </c>
      <c r="AX218" s="578">
        <f t="shared" si="328"/>
        <v>-39.21020563232198</v>
      </c>
      <c r="AY218" s="578">
        <f t="shared" si="277"/>
        <v>166689.62000000104</v>
      </c>
      <c r="AZ218" s="578">
        <f t="shared" si="329"/>
        <v>2003809.379999999</v>
      </c>
      <c r="BA218" s="578">
        <f t="shared" si="330"/>
        <v>1202.1200720236727</v>
      </c>
      <c r="BB218" s="578">
        <v>3570499</v>
      </c>
      <c r="BC218" s="576">
        <f>'[67]Гл инж_Тех дир'!AT40</f>
        <v>300000</v>
      </c>
      <c r="BD218" s="576">
        <f t="shared" si="303"/>
        <v>83719.489999998361</v>
      </c>
      <c r="BE218" s="576">
        <f t="shared" si="331"/>
        <v>-3486779.5100000016</v>
      </c>
      <c r="BF218" s="576">
        <f t="shared" si="332"/>
        <v>-216280.51000000164</v>
      </c>
      <c r="BG218" s="576">
        <f t="shared" si="312"/>
        <v>47670499</v>
      </c>
      <c r="BH218" s="578">
        <f t="shared" si="312"/>
        <v>26788422.41</v>
      </c>
      <c r="BI218" s="578">
        <f>26542081.9+30060</f>
        <v>26572141.899999999</v>
      </c>
      <c r="BJ218" s="578">
        <f t="shared" si="333"/>
        <v>-21098357.100000001</v>
      </c>
      <c r="BK218" s="578">
        <f t="shared" si="334"/>
        <v>-216280.51000000164</v>
      </c>
      <c r="BL218" s="576">
        <v>0</v>
      </c>
      <c r="BM218" s="578">
        <f>'[67]Гл инж_Тех дир'!AW40</f>
        <v>1870499</v>
      </c>
      <c r="BN218" s="522">
        <f t="shared" si="304"/>
        <v>82970.130000002682</v>
      </c>
      <c r="BO218" s="578">
        <f t="shared" si="339"/>
        <v>82970.130000002682</v>
      </c>
      <c r="BP218" s="578">
        <f t="shared" si="335"/>
        <v>-1787528.8699999973</v>
      </c>
      <c r="BQ218" s="576">
        <v>0</v>
      </c>
      <c r="BR218" s="578">
        <f>'[67]Гл инж_Тех дир'!BB40</f>
        <v>0</v>
      </c>
      <c r="BS218" s="578">
        <f>'[67]Гл инж_Тех дир'!BC40</f>
        <v>0</v>
      </c>
      <c r="BT218" s="536"/>
      <c r="BU218" s="578">
        <v>26625052.030000001</v>
      </c>
      <c r="BV218" s="578">
        <v>30060</v>
      </c>
      <c r="BW218" s="578"/>
      <c r="BX218" s="574"/>
      <c r="BY218" s="525">
        <f>25853041.83+30060</f>
        <v>25883101.829999998</v>
      </c>
      <c r="BZ218" s="525">
        <v>570084.15</v>
      </c>
      <c r="CA218" s="525">
        <v>201926.05</v>
      </c>
      <c r="CB218" s="522">
        <f t="shared" si="308"/>
        <v>26655112.029999997</v>
      </c>
      <c r="CC218" s="522">
        <f t="shared" si="336"/>
        <v>0</v>
      </c>
      <c r="CD218" s="578"/>
      <c r="CE218" s="578"/>
      <c r="CF218" s="578"/>
      <c r="CG218" s="578"/>
      <c r="CH218" s="578"/>
      <c r="CI218" s="578"/>
      <c r="CJ218" s="578"/>
      <c r="CK218" s="543" t="s">
        <v>79</v>
      </c>
      <c r="CL218" s="543" t="s">
        <v>1806</v>
      </c>
      <c r="CM218" s="509" t="s">
        <v>1925</v>
      </c>
      <c r="CN218" s="528" t="s">
        <v>1849</v>
      </c>
      <c r="CO218" s="528"/>
      <c r="CP218" s="544">
        <f t="shared" si="344"/>
        <v>43981777.252400599</v>
      </c>
      <c r="CQ218" s="544">
        <f t="shared" si="345"/>
        <v>3230605.0259855576</v>
      </c>
      <c r="CR218" s="544">
        <f t="shared" si="346"/>
        <v>458116.72161384835</v>
      </c>
      <c r="CS218" s="1688" t="s">
        <v>1826</v>
      </c>
      <c r="CT218" s="1689"/>
      <c r="CU218" s="1689"/>
      <c r="CV218" s="1689"/>
      <c r="CW218" s="1690"/>
      <c r="CX218" s="528"/>
      <c r="CY218" s="528"/>
      <c r="CZ218" s="528"/>
      <c r="DA218" s="528"/>
      <c r="DB218" s="579">
        <f>19121176.54</f>
        <v>19121176.539999999</v>
      </c>
      <c r="DC218" s="628" t="e">
        <f>P218-#REF!</f>
        <v>#REF!</v>
      </c>
      <c r="DD218" s="535"/>
      <c r="DE218" s="535"/>
      <c r="DF218" s="525">
        <f t="shared" si="278"/>
        <v>25883.10183</v>
      </c>
      <c r="DG218" s="525">
        <f t="shared" si="278"/>
        <v>570.08415000000002</v>
      </c>
      <c r="DH218" s="525">
        <f t="shared" si="278"/>
        <v>201.92604999999998</v>
      </c>
      <c r="DI218" s="522">
        <f t="shared" si="278"/>
        <v>26655.112029999997</v>
      </c>
      <c r="DJ218" s="536"/>
      <c r="DK218" s="536"/>
      <c r="DL218" s="536"/>
      <c r="DM218" s="536"/>
      <c r="DN218" s="536"/>
      <c r="DO218" s="536"/>
      <c r="DP218" s="536"/>
      <c r="DQ218" s="536"/>
      <c r="DR218" s="536"/>
      <c r="DS218" s="536"/>
    </row>
    <row r="219" spans="1:123" s="534" customFormat="1" ht="84.6">
      <c r="A219" s="520" t="s">
        <v>925</v>
      </c>
      <c r="B219" s="521" t="s">
        <v>926</v>
      </c>
      <c r="C219" s="578">
        <v>264038.09000000003</v>
      </c>
      <c r="D219" s="578">
        <v>0</v>
      </c>
      <c r="E219" s="578">
        <v>330000</v>
      </c>
      <c r="F219" s="578">
        <v>328867.62</v>
      </c>
      <c r="G219" s="593">
        <v>0</v>
      </c>
      <c r="H219" s="593">
        <v>0</v>
      </c>
      <c r="I219" s="578">
        <f t="shared" si="298"/>
        <v>191981.42</v>
      </c>
      <c r="J219" s="578">
        <v>104159.61</v>
      </c>
      <c r="K219" s="578">
        <v>39273.93</v>
      </c>
      <c r="L219" s="578">
        <v>48547.88</v>
      </c>
      <c r="M219" s="578">
        <f t="shared" si="299"/>
        <v>143433.54</v>
      </c>
      <c r="N219" s="578">
        <v>153154.66</v>
      </c>
      <c r="O219" s="522">
        <f t="shared" si="300"/>
        <v>47579.010000000009</v>
      </c>
      <c r="P219" s="522">
        <v>200733.67</v>
      </c>
      <c r="Q219" s="578">
        <f t="shared" si="313"/>
        <v>8752.25</v>
      </c>
      <c r="R219" s="578">
        <f t="shared" si="314"/>
        <v>4.5589047106746108</v>
      </c>
      <c r="S219" s="578"/>
      <c r="T219" s="578"/>
      <c r="U219" s="522">
        <f t="shared" si="301"/>
        <v>130135.8</v>
      </c>
      <c r="V219" s="522">
        <f t="shared" si="311"/>
        <v>130135.8</v>
      </c>
      <c r="W219" s="522">
        <v>0</v>
      </c>
      <c r="X219" s="522">
        <f t="shared" si="315"/>
        <v>-70597.87000000001</v>
      </c>
      <c r="Y219" s="522">
        <f t="shared" si="316"/>
        <v>-35.169919426073363</v>
      </c>
      <c r="Z219" s="524">
        <f t="shared" si="317"/>
        <v>861007.56</v>
      </c>
      <c r="AA219" s="522">
        <f t="shared" si="318"/>
        <v>861007.56</v>
      </c>
      <c r="AB219" s="522">
        <v>0</v>
      </c>
      <c r="AC219" s="522">
        <f t="shared" si="319"/>
        <v>730871.76</v>
      </c>
      <c r="AD219" s="522">
        <f t="shared" si="320"/>
        <v>561.62236678915406</v>
      </c>
      <c r="AE219" s="522">
        <f t="shared" si="321"/>
        <v>660273.89</v>
      </c>
      <c r="AF219" s="522">
        <f t="shared" si="322"/>
        <v>328.93031348452899</v>
      </c>
      <c r="AG219" s="522">
        <f t="shared" si="337"/>
        <v>899108.26</v>
      </c>
      <c r="AH219" s="522">
        <f t="shared" si="323"/>
        <v>768972.46</v>
      </c>
      <c r="AI219" s="522">
        <f t="shared" si="324"/>
        <v>590.90001367801938</v>
      </c>
      <c r="AJ219" s="522">
        <f t="shared" si="325"/>
        <v>38100.699999999953</v>
      </c>
      <c r="AK219" s="522">
        <f t="shared" si="343"/>
        <v>4.4251295540308462</v>
      </c>
      <c r="AL219" s="522">
        <f t="shared" si="302"/>
        <v>899108.26</v>
      </c>
      <c r="AM219" s="522">
        <f t="shared" si="342"/>
        <v>63392.679999999993</v>
      </c>
      <c r="AN219" s="522">
        <f t="shared" si="342"/>
        <v>96007.56</v>
      </c>
      <c r="AO219" s="522">
        <f t="shared" si="326"/>
        <v>32614.880000000005</v>
      </c>
      <c r="AP219" s="522">
        <f t="shared" si="338"/>
        <v>51.448968555991001</v>
      </c>
      <c r="AQ219" s="578">
        <v>30416.55</v>
      </c>
      <c r="AR219" s="578">
        <v>42762.12</v>
      </c>
      <c r="AS219" s="578">
        <v>32976.129999999997</v>
      </c>
      <c r="AT219" s="578">
        <v>53245.439999999995</v>
      </c>
      <c r="AU219" s="578">
        <f t="shared" ref="AU219:AV239" si="347">BB219+BL219</f>
        <v>66743.12</v>
      </c>
      <c r="AV219" s="578">
        <f t="shared" si="347"/>
        <v>765000</v>
      </c>
      <c r="AW219" s="578">
        <f t="shared" si="327"/>
        <v>698256.88</v>
      </c>
      <c r="AX219" s="578">
        <f t="shared" si="328"/>
        <v>1046.1855544062071</v>
      </c>
      <c r="AY219" s="578">
        <f t="shared" si="277"/>
        <v>803100.7</v>
      </c>
      <c r="AZ219" s="578">
        <f t="shared" si="329"/>
        <v>-38100.699999999953</v>
      </c>
      <c r="BA219" s="578">
        <f t="shared" si="330"/>
        <v>-4.744199575470418</v>
      </c>
      <c r="BB219" s="578">
        <v>33460.32</v>
      </c>
      <c r="BC219" s="576">
        <f>'[67]Гл инж_Тех дир'!AT41</f>
        <v>306000</v>
      </c>
      <c r="BD219" s="576">
        <f t="shared" si="303"/>
        <v>267356.37999999995</v>
      </c>
      <c r="BE219" s="576">
        <f t="shared" si="331"/>
        <v>233896.05999999994</v>
      </c>
      <c r="BF219" s="576">
        <f t="shared" si="332"/>
        <v>-38643.620000000054</v>
      </c>
      <c r="BG219" s="576">
        <f t="shared" si="312"/>
        <v>96853</v>
      </c>
      <c r="BH219" s="578">
        <f t="shared" si="312"/>
        <v>402007.56</v>
      </c>
      <c r="BI219" s="578">
        <f>264603.72+98760.22</f>
        <v>363363.93999999994</v>
      </c>
      <c r="BJ219" s="578">
        <f t="shared" si="333"/>
        <v>266510.93999999994</v>
      </c>
      <c r="BK219" s="578">
        <f t="shared" si="334"/>
        <v>-38643.620000000054</v>
      </c>
      <c r="BL219" s="576">
        <v>33282.800000000003</v>
      </c>
      <c r="BM219" s="578">
        <f>'[67]Гл инж_Тех дир'!AW41</f>
        <v>459000</v>
      </c>
      <c r="BN219" s="522">
        <f t="shared" si="304"/>
        <v>535744.32000000007</v>
      </c>
      <c r="BO219" s="578">
        <f t="shared" si="339"/>
        <v>502461.52000000008</v>
      </c>
      <c r="BP219" s="578">
        <f t="shared" si="335"/>
        <v>76744.320000000065</v>
      </c>
      <c r="BQ219" s="576">
        <v>33282.800000000003</v>
      </c>
      <c r="BR219" s="578">
        <f>'[67]Гл инж_Тех дир'!BB41</f>
        <v>0</v>
      </c>
      <c r="BS219" s="578">
        <f>'[67]Гл инж_Тех дир'!BC41</f>
        <v>0</v>
      </c>
      <c r="BT219" s="536"/>
      <c r="BU219" s="578">
        <v>590879.98</v>
      </c>
      <c r="BV219" s="578">
        <v>308228.28000000003</v>
      </c>
      <c r="BW219" s="578"/>
      <c r="BX219" s="574"/>
      <c r="BY219" s="522">
        <f>535999.34+308228.28</f>
        <v>844227.62</v>
      </c>
      <c r="BZ219" s="522">
        <v>48137.97</v>
      </c>
      <c r="CA219" s="522">
        <v>6742.67</v>
      </c>
      <c r="CB219" s="522">
        <f t="shared" si="308"/>
        <v>899108.26</v>
      </c>
      <c r="CC219" s="522">
        <f t="shared" si="336"/>
        <v>0</v>
      </c>
      <c r="CD219" s="578"/>
      <c r="CE219" s="578"/>
      <c r="CF219" s="578"/>
      <c r="CG219" s="578"/>
      <c r="CH219" s="578"/>
      <c r="CI219" s="578"/>
      <c r="CJ219" s="578"/>
      <c r="CK219" s="605" t="s">
        <v>79</v>
      </c>
      <c r="CL219" s="605" t="s">
        <v>1806</v>
      </c>
      <c r="CM219" s="527" t="s">
        <v>1925</v>
      </c>
      <c r="CN219" s="528" t="s">
        <v>1849</v>
      </c>
      <c r="CO219" s="528"/>
      <c r="CP219" s="529">
        <f t="shared" si="344"/>
        <v>120065.95039340692</v>
      </c>
      <c r="CQ219" s="529">
        <f t="shared" si="345"/>
        <v>8819.2357613175245</v>
      </c>
      <c r="CR219" s="529">
        <f t="shared" si="346"/>
        <v>1250.6138452755749</v>
      </c>
      <c r="CS219" s="1695" t="s">
        <v>1826</v>
      </c>
      <c r="CT219" s="1696"/>
      <c r="CU219" s="1696"/>
      <c r="CV219" s="1696"/>
      <c r="CW219" s="1697"/>
      <c r="CX219" s="528"/>
      <c r="CY219" s="528"/>
      <c r="CZ219" s="528"/>
      <c r="DA219" s="528"/>
      <c r="DB219" s="630">
        <f>42762.12</f>
        <v>42762.12</v>
      </c>
      <c r="DC219" s="571" t="e">
        <f>P219-#REF!</f>
        <v>#REF!</v>
      </c>
      <c r="DD219" s="535"/>
      <c r="DE219" s="535"/>
      <c r="DF219" s="522">
        <f t="shared" si="278"/>
        <v>844.22762</v>
      </c>
      <c r="DG219" s="522">
        <f t="shared" si="278"/>
        <v>48.137970000000003</v>
      </c>
      <c r="DH219" s="522">
        <f t="shared" si="278"/>
        <v>6.7426700000000004</v>
      </c>
      <c r="DI219" s="522">
        <f t="shared" ref="DI219:DI282" si="348">CB219/1000</f>
        <v>899.10825999999997</v>
      </c>
      <c r="DJ219" s="536"/>
      <c r="DK219" s="536"/>
      <c r="DL219" s="536"/>
      <c r="DM219" s="536"/>
      <c r="DN219" s="536"/>
      <c r="DO219" s="536"/>
      <c r="DP219" s="536"/>
      <c r="DQ219" s="536"/>
      <c r="DR219" s="536"/>
      <c r="DS219" s="536"/>
    </row>
    <row r="220" spans="1:123" s="534" customFormat="1" ht="124.5" customHeight="1">
      <c r="A220" s="537" t="s">
        <v>930</v>
      </c>
      <c r="B220" s="538" t="s">
        <v>931</v>
      </c>
      <c r="C220" s="576">
        <v>29317683.899999999</v>
      </c>
      <c r="D220" s="576"/>
      <c r="E220" s="649">
        <v>36671440</v>
      </c>
      <c r="F220" s="649">
        <v>29603268.539999999</v>
      </c>
      <c r="G220" s="577">
        <v>0</v>
      </c>
      <c r="H220" s="577">
        <v>0</v>
      </c>
      <c r="I220" s="576">
        <f t="shared" si="298"/>
        <v>35986060</v>
      </c>
      <c r="J220" s="576">
        <v>24016035.559999999</v>
      </c>
      <c r="K220" s="576">
        <v>11970024.439999999</v>
      </c>
      <c r="L220" s="576">
        <v>0</v>
      </c>
      <c r="M220" s="576">
        <f t="shared" si="299"/>
        <v>35986060</v>
      </c>
      <c r="N220" s="576">
        <v>36245171.189999998</v>
      </c>
      <c r="O220" s="525">
        <f t="shared" si="300"/>
        <v>-178863.75999999791</v>
      </c>
      <c r="P220" s="522">
        <v>36066307.43</v>
      </c>
      <c r="Q220" s="576">
        <f t="shared" si="313"/>
        <v>80247.429999999702</v>
      </c>
      <c r="R220" s="576">
        <f t="shared" si="314"/>
        <v>0.22299587673670374</v>
      </c>
      <c r="S220" s="576"/>
      <c r="T220" s="576">
        <v>33574330.881563552</v>
      </c>
      <c r="U220" s="522">
        <f t="shared" si="301"/>
        <v>41545779.910000004</v>
      </c>
      <c r="V220" s="522">
        <f t="shared" si="311"/>
        <v>7971449.0284364522</v>
      </c>
      <c r="W220" s="522">
        <f t="shared" si="340"/>
        <v>23.742689188822411</v>
      </c>
      <c r="X220" s="522">
        <f t="shared" si="315"/>
        <v>5479472.4800000042</v>
      </c>
      <c r="Y220" s="522">
        <f t="shared" si="316"/>
        <v>15.192773728319551</v>
      </c>
      <c r="Z220" s="524">
        <f t="shared" si="317"/>
        <v>39493310.359999999</v>
      </c>
      <c r="AA220" s="522">
        <f t="shared" si="318"/>
        <v>5918979.4784364477</v>
      </c>
      <c r="AB220" s="522">
        <f t="shared" si="341"/>
        <v>17.629478601721587</v>
      </c>
      <c r="AC220" s="522">
        <f t="shared" si="319"/>
        <v>-2052469.5500000045</v>
      </c>
      <c r="AD220" s="522">
        <f t="shared" si="320"/>
        <v>-4.9402600082276393</v>
      </c>
      <c r="AE220" s="522">
        <f t="shared" si="321"/>
        <v>3427002.9299999997</v>
      </c>
      <c r="AF220" s="522">
        <f t="shared" si="322"/>
        <v>9.5019511954512268</v>
      </c>
      <c r="AG220" s="522">
        <f t="shared" si="337"/>
        <v>39452004.539999999</v>
      </c>
      <c r="AH220" s="522">
        <f t="shared" si="323"/>
        <v>-2093775.3700000048</v>
      </c>
      <c r="AI220" s="522">
        <f t="shared" si="324"/>
        <v>-5.0396824287225286</v>
      </c>
      <c r="AJ220" s="522">
        <f t="shared" si="325"/>
        <v>-41305.820000000298</v>
      </c>
      <c r="AK220" s="522">
        <f t="shared" si="343"/>
        <v>-0.10458940925305171</v>
      </c>
      <c r="AL220" s="522">
        <f t="shared" si="302"/>
        <v>39452004.539999999</v>
      </c>
      <c r="AM220" s="522">
        <f t="shared" si="342"/>
        <v>22850178.950000003</v>
      </c>
      <c r="AN220" s="522">
        <f t="shared" si="342"/>
        <v>21796393.050000001</v>
      </c>
      <c r="AO220" s="522">
        <f t="shared" si="326"/>
        <v>-1053785.9000000022</v>
      </c>
      <c r="AP220" s="522">
        <f t="shared" si="338"/>
        <v>-4.6117183690589911</v>
      </c>
      <c r="AQ220" s="578">
        <v>8309155.9800000004</v>
      </c>
      <c r="AR220" s="578">
        <v>10692326.029999999</v>
      </c>
      <c r="AS220" s="578">
        <v>14541022.970000001</v>
      </c>
      <c r="AT220" s="578">
        <v>11104067.020000001</v>
      </c>
      <c r="AU220" s="578">
        <f t="shared" si="347"/>
        <v>18695600.960000001</v>
      </c>
      <c r="AV220" s="578">
        <f t="shared" si="347"/>
        <v>17696917.310000002</v>
      </c>
      <c r="AW220" s="578">
        <f t="shared" si="327"/>
        <v>-998683.64999999851</v>
      </c>
      <c r="AX220" s="578">
        <f t="shared" si="328"/>
        <v>-5.3418109005253314</v>
      </c>
      <c r="AY220" s="578">
        <f t="shared" ref="AY220:AY239" si="349">BD220+BN220</f>
        <v>17655611.489999998</v>
      </c>
      <c r="AZ220" s="578">
        <f t="shared" si="329"/>
        <v>41305.820000004023</v>
      </c>
      <c r="BA220" s="578">
        <f t="shared" si="330"/>
        <v>0.23395292778955934</v>
      </c>
      <c r="BB220" s="578">
        <v>12463733.970000001</v>
      </c>
      <c r="BC220" s="576">
        <f>'[67]Дир_ по реал.услуг'!AT17</f>
        <v>12463733.970000001</v>
      </c>
      <c r="BD220" s="576">
        <f t="shared" si="303"/>
        <v>13788020.050000001</v>
      </c>
      <c r="BE220" s="576">
        <f t="shared" si="331"/>
        <v>1324286.08</v>
      </c>
      <c r="BF220" s="576">
        <f t="shared" si="332"/>
        <v>1324286.08</v>
      </c>
      <c r="BG220" s="576">
        <f t="shared" si="312"/>
        <v>35313912.920000002</v>
      </c>
      <c r="BH220" s="578">
        <f t="shared" si="312"/>
        <v>34260127.020000003</v>
      </c>
      <c r="BI220" s="578">
        <v>35584413.100000001</v>
      </c>
      <c r="BJ220" s="578">
        <f t="shared" si="333"/>
        <v>270500.1799999997</v>
      </c>
      <c r="BK220" s="578">
        <f t="shared" si="334"/>
        <v>1324286.0799999982</v>
      </c>
      <c r="BL220" s="576">
        <v>6231866.9900000002</v>
      </c>
      <c r="BM220" s="578">
        <f>'[67]Дир_ по реал.услуг'!AW17</f>
        <v>5233183.34</v>
      </c>
      <c r="BN220" s="522">
        <f t="shared" si="304"/>
        <v>3867591.4399999976</v>
      </c>
      <c r="BO220" s="578">
        <f t="shared" si="339"/>
        <v>-2364275.5500000026</v>
      </c>
      <c r="BP220" s="578">
        <f t="shared" si="335"/>
        <v>-1365591.9000000022</v>
      </c>
      <c r="BQ220" s="576">
        <v>6231866.9900000002</v>
      </c>
      <c r="BR220" s="578">
        <f>'[67]Дир_ по реал.услуг'!BB17</f>
        <v>0</v>
      </c>
      <c r="BS220" s="578">
        <f>'[67]Дир_ по реал.услуг'!BC17</f>
        <v>0</v>
      </c>
      <c r="BT220" s="536"/>
      <c r="BU220" s="578">
        <v>39452004.539999999</v>
      </c>
      <c r="BV220" s="578"/>
      <c r="BW220" s="578"/>
      <c r="BX220" s="574"/>
      <c r="BY220" s="525">
        <v>39452004.539999999</v>
      </c>
      <c r="BZ220" s="525"/>
      <c r="CA220" s="525"/>
      <c r="CB220" s="522">
        <f t="shared" si="308"/>
        <v>39452004.539999999</v>
      </c>
      <c r="CC220" s="522">
        <f t="shared" si="336"/>
        <v>0</v>
      </c>
      <c r="CD220" s="578"/>
      <c r="CE220" s="578"/>
      <c r="CF220" s="578"/>
      <c r="CG220" s="578"/>
      <c r="CH220" s="578"/>
      <c r="CI220" s="578"/>
      <c r="CJ220" s="578"/>
      <c r="CK220" s="543" t="s">
        <v>78</v>
      </c>
      <c r="CL220" s="543" t="s">
        <v>1944</v>
      </c>
      <c r="CM220" s="509" t="s">
        <v>1925</v>
      </c>
      <c r="CN220" s="528" t="s">
        <v>1849</v>
      </c>
      <c r="CO220" s="528"/>
      <c r="CP220" s="544">
        <f t="shared" si="344"/>
        <v>38330986.167752929</v>
      </c>
      <c r="CQ220" s="544">
        <f t="shared" si="345"/>
        <v>2815535.9855942731</v>
      </c>
      <c r="CR220" s="544">
        <f t="shared" si="346"/>
        <v>399257.75665280293</v>
      </c>
      <c r="CS220" s="1688" t="s">
        <v>1826</v>
      </c>
      <c r="CT220" s="1689"/>
      <c r="CU220" s="1689"/>
      <c r="CV220" s="1689"/>
      <c r="CW220" s="1690"/>
      <c r="CX220" s="528"/>
      <c r="CY220" s="528"/>
      <c r="CZ220" s="528"/>
      <c r="DA220" s="528"/>
      <c r="DB220" s="660">
        <f>10692326.03</f>
        <v>10692326.029999999</v>
      </c>
      <c r="DC220" s="628" t="e">
        <f>P220-#REF!</f>
        <v>#REF!</v>
      </c>
      <c r="DD220" s="535"/>
      <c r="DE220" s="535"/>
      <c r="DF220" s="525">
        <f t="shared" ref="DF220:DI283" si="350">BY220/1000</f>
        <v>39452.004540000002</v>
      </c>
      <c r="DG220" s="525">
        <f t="shared" si="350"/>
        <v>0</v>
      </c>
      <c r="DH220" s="525">
        <f t="shared" si="350"/>
        <v>0</v>
      </c>
      <c r="DI220" s="522">
        <f t="shared" si="348"/>
        <v>39452.004540000002</v>
      </c>
      <c r="DJ220" s="536"/>
      <c r="DK220" s="536"/>
      <c r="DL220" s="536"/>
      <c r="DM220" s="536"/>
      <c r="DN220" s="536"/>
      <c r="DO220" s="536"/>
      <c r="DP220" s="536"/>
      <c r="DQ220" s="536"/>
      <c r="DR220" s="536"/>
      <c r="DS220" s="536"/>
    </row>
    <row r="221" spans="1:123" s="534" customFormat="1" ht="112.8">
      <c r="A221" s="537" t="s">
        <v>934</v>
      </c>
      <c r="B221" s="538" t="s">
        <v>935</v>
      </c>
      <c r="C221" s="576"/>
      <c r="D221" s="576">
        <v>0</v>
      </c>
      <c r="E221" s="576">
        <v>57500</v>
      </c>
      <c r="F221" s="576">
        <v>0</v>
      </c>
      <c r="G221" s="577">
        <v>0</v>
      </c>
      <c r="H221" s="577">
        <v>0</v>
      </c>
      <c r="I221" s="576">
        <f t="shared" si="298"/>
        <v>60605</v>
      </c>
      <c r="J221" s="576">
        <v>0</v>
      </c>
      <c r="K221" s="576">
        <v>60605</v>
      </c>
      <c r="L221" s="576">
        <v>0</v>
      </c>
      <c r="M221" s="576">
        <f t="shared" si="299"/>
        <v>60605</v>
      </c>
      <c r="N221" s="576">
        <v>0</v>
      </c>
      <c r="O221" s="525">
        <f t="shared" si="300"/>
        <v>3013</v>
      </c>
      <c r="P221" s="522">
        <v>3013</v>
      </c>
      <c r="Q221" s="576">
        <f t="shared" si="313"/>
        <v>-57592</v>
      </c>
      <c r="R221" s="576">
        <f t="shared" si="314"/>
        <v>-95.028462998102469</v>
      </c>
      <c r="S221" s="576"/>
      <c r="T221" s="576"/>
      <c r="U221" s="522">
        <f t="shared" si="301"/>
        <v>63695.86</v>
      </c>
      <c r="V221" s="522">
        <f t="shared" si="311"/>
        <v>63695.86</v>
      </c>
      <c r="W221" s="522">
        <v>0</v>
      </c>
      <c r="X221" s="522">
        <f t="shared" si="315"/>
        <v>60682.86</v>
      </c>
      <c r="Y221" s="522">
        <f t="shared" si="316"/>
        <v>2014.0345170925984</v>
      </c>
      <c r="Z221" s="524">
        <f t="shared" si="317"/>
        <v>70744.86</v>
      </c>
      <c r="AA221" s="522">
        <f t="shared" si="318"/>
        <v>70744.86</v>
      </c>
      <c r="AB221" s="522">
        <v>0</v>
      </c>
      <c r="AC221" s="522">
        <f t="shared" si="319"/>
        <v>7049</v>
      </c>
      <c r="AD221" s="522">
        <f t="shared" si="320"/>
        <v>11.066653311533912</v>
      </c>
      <c r="AE221" s="522">
        <f t="shared" si="321"/>
        <v>67731.86</v>
      </c>
      <c r="AF221" s="522">
        <f t="shared" si="322"/>
        <v>2247.9873879853967</v>
      </c>
      <c r="AG221" s="522">
        <f t="shared" si="337"/>
        <v>33124</v>
      </c>
      <c r="AH221" s="522">
        <f t="shared" si="323"/>
        <v>-30571.86</v>
      </c>
      <c r="AI221" s="522">
        <f t="shared" si="324"/>
        <v>-47.99662018850205</v>
      </c>
      <c r="AJ221" s="522">
        <f t="shared" si="325"/>
        <v>-37620.86</v>
      </c>
      <c r="AK221" s="522">
        <f t="shared" si="343"/>
        <v>-53.178223831385061</v>
      </c>
      <c r="AL221" s="522">
        <f t="shared" si="302"/>
        <v>33124</v>
      </c>
      <c r="AM221" s="522">
        <f t="shared" si="342"/>
        <v>0</v>
      </c>
      <c r="AN221" s="522">
        <f t="shared" si="342"/>
        <v>7049</v>
      </c>
      <c r="AO221" s="522">
        <f t="shared" si="326"/>
        <v>7049</v>
      </c>
      <c r="AP221" s="522">
        <v>0</v>
      </c>
      <c r="AQ221" s="578">
        <v>0</v>
      </c>
      <c r="AR221" s="578">
        <v>0</v>
      </c>
      <c r="AS221" s="578">
        <v>0</v>
      </c>
      <c r="AT221" s="578">
        <v>7049</v>
      </c>
      <c r="AU221" s="578">
        <f t="shared" si="347"/>
        <v>63695.86</v>
      </c>
      <c r="AV221" s="578">
        <f t="shared" si="347"/>
        <v>63695.86</v>
      </c>
      <c r="AW221" s="578">
        <f t="shared" si="327"/>
        <v>0</v>
      </c>
      <c r="AX221" s="578">
        <f t="shared" si="328"/>
        <v>0</v>
      </c>
      <c r="AY221" s="578">
        <f t="shared" si="349"/>
        <v>26075</v>
      </c>
      <c r="AZ221" s="578">
        <f t="shared" si="329"/>
        <v>37620.86</v>
      </c>
      <c r="BA221" s="578">
        <f t="shared" si="330"/>
        <v>144.27942473633749</v>
      </c>
      <c r="BB221" s="578">
        <v>63695.86</v>
      </c>
      <c r="BC221" s="576">
        <f>'[67]Гл инж_Тех дир'!AT58</f>
        <v>63695.86</v>
      </c>
      <c r="BD221" s="576">
        <f t="shared" si="303"/>
        <v>26075</v>
      </c>
      <c r="BE221" s="576">
        <f t="shared" si="331"/>
        <v>-37620.86</v>
      </c>
      <c r="BF221" s="576">
        <f t="shared" si="332"/>
        <v>-37620.86</v>
      </c>
      <c r="BG221" s="576">
        <f t="shared" si="312"/>
        <v>63695.86</v>
      </c>
      <c r="BH221" s="578">
        <f t="shared" si="312"/>
        <v>70744.86</v>
      </c>
      <c r="BI221" s="578">
        <f>33124</f>
        <v>33124</v>
      </c>
      <c r="BJ221" s="578">
        <f t="shared" si="333"/>
        <v>-30571.86</v>
      </c>
      <c r="BK221" s="578">
        <f t="shared" si="334"/>
        <v>-37620.86</v>
      </c>
      <c r="BL221" s="576">
        <v>0</v>
      </c>
      <c r="BM221" s="578">
        <f>'[67]Гл инж_Тех дир'!AW58</f>
        <v>0</v>
      </c>
      <c r="BN221" s="522">
        <f t="shared" si="304"/>
        <v>0</v>
      </c>
      <c r="BO221" s="578">
        <f t="shared" si="339"/>
        <v>0</v>
      </c>
      <c r="BP221" s="578">
        <f t="shared" si="335"/>
        <v>0</v>
      </c>
      <c r="BQ221" s="576">
        <v>0</v>
      </c>
      <c r="BR221" s="578">
        <f>'[67]Гл инж_Тех дир'!BB58</f>
        <v>0</v>
      </c>
      <c r="BS221" s="578">
        <f>'[67]Гл инж_Тех дир'!BC58</f>
        <v>0</v>
      </c>
      <c r="BT221" s="536"/>
      <c r="BU221" s="578">
        <v>33124</v>
      </c>
      <c r="BV221" s="578"/>
      <c r="BW221" s="578"/>
      <c r="BX221" s="574"/>
      <c r="BY221" s="525">
        <v>33489.33</v>
      </c>
      <c r="BZ221" s="525">
        <v>-588.92999999999995</v>
      </c>
      <c r="CA221" s="525">
        <v>223.6</v>
      </c>
      <c r="CB221" s="522">
        <f t="shared" si="308"/>
        <v>33124</v>
      </c>
      <c r="CC221" s="522">
        <f t="shared" si="336"/>
        <v>0</v>
      </c>
      <c r="CD221" s="578"/>
      <c r="CE221" s="578"/>
      <c r="CF221" s="578"/>
      <c r="CG221" s="578"/>
      <c r="CH221" s="578"/>
      <c r="CI221" s="578"/>
      <c r="CJ221" s="578"/>
      <c r="CK221" s="542" t="s">
        <v>79</v>
      </c>
      <c r="CL221" s="543" t="s">
        <v>1903</v>
      </c>
      <c r="CM221" s="509" t="s">
        <v>1925</v>
      </c>
      <c r="CN221" s="528" t="s">
        <v>1849</v>
      </c>
      <c r="CO221" s="528"/>
      <c r="CP221" s="544">
        <f t="shared" si="344"/>
        <v>58767.103034102765</v>
      </c>
      <c r="CQ221" s="544">
        <f t="shared" si="345"/>
        <v>4316.6354405157881</v>
      </c>
      <c r="CR221" s="544">
        <f t="shared" si="346"/>
        <v>612.12152538144517</v>
      </c>
      <c r="CS221" s="1688" t="s">
        <v>1826</v>
      </c>
      <c r="CT221" s="1689"/>
      <c r="CU221" s="1689"/>
      <c r="CV221" s="1689"/>
      <c r="CW221" s="1690"/>
      <c r="CX221" s="528"/>
      <c r="CY221" s="528"/>
      <c r="CZ221" s="528"/>
      <c r="DA221" s="528"/>
      <c r="DB221" s="579"/>
      <c r="DC221" s="628" t="e">
        <f>P221-#REF!</f>
        <v>#REF!</v>
      </c>
      <c r="DD221" s="535"/>
      <c r="DE221" s="535"/>
      <c r="DF221" s="525">
        <f t="shared" si="350"/>
        <v>33.489330000000002</v>
      </c>
      <c r="DG221" s="525">
        <f t="shared" si="350"/>
        <v>-0.58892999999999995</v>
      </c>
      <c r="DH221" s="525">
        <f t="shared" si="350"/>
        <v>0.22359999999999999</v>
      </c>
      <c r="DI221" s="522">
        <f t="shared" si="348"/>
        <v>33.124000000000002</v>
      </c>
      <c r="DJ221" s="536"/>
      <c r="DK221" s="536"/>
      <c r="DL221" s="536"/>
      <c r="DM221" s="536"/>
      <c r="DN221" s="536"/>
      <c r="DO221" s="536"/>
      <c r="DP221" s="536"/>
      <c r="DQ221" s="536"/>
      <c r="DR221" s="536"/>
      <c r="DS221" s="536"/>
    </row>
    <row r="222" spans="1:123" s="534" customFormat="1" ht="141">
      <c r="A222" s="537" t="s">
        <v>938</v>
      </c>
      <c r="B222" s="538" t="s">
        <v>939</v>
      </c>
      <c r="C222" s="576">
        <v>98672215.719999999</v>
      </c>
      <c r="D222" s="576"/>
      <c r="E222" s="525">
        <v>61524000</v>
      </c>
      <c r="F222" s="525">
        <v>14489326.82</v>
      </c>
      <c r="G222" s="596">
        <v>0</v>
      </c>
      <c r="H222" s="596">
        <v>0</v>
      </c>
      <c r="I222" s="525">
        <f t="shared" si="298"/>
        <v>28928940.050000004</v>
      </c>
      <c r="J222" s="525">
        <v>599525.97</v>
      </c>
      <c r="K222" s="525">
        <v>10257510.32</v>
      </c>
      <c r="L222" s="525">
        <v>18071903.760000002</v>
      </c>
      <c r="M222" s="525">
        <f t="shared" si="299"/>
        <v>10857036.290000001</v>
      </c>
      <c r="N222" s="525">
        <v>633194.87</v>
      </c>
      <c r="O222" s="525">
        <f t="shared" si="300"/>
        <v>1892238.1599999997</v>
      </c>
      <c r="P222" s="522">
        <v>2525433.0299999998</v>
      </c>
      <c r="Q222" s="525">
        <f t="shared" si="313"/>
        <v>-26403507.020000003</v>
      </c>
      <c r="R222" s="525">
        <f t="shared" si="314"/>
        <v>-91.270219283405794</v>
      </c>
      <c r="S222" s="525"/>
      <c r="T222" s="525"/>
      <c r="U222" s="522">
        <f t="shared" si="301"/>
        <v>11390585.780000001</v>
      </c>
      <c r="V222" s="522">
        <f t="shared" si="311"/>
        <v>11390585.780000001</v>
      </c>
      <c r="W222" s="522">
        <v>0</v>
      </c>
      <c r="X222" s="522">
        <f t="shared" si="315"/>
        <v>8865152.7500000019</v>
      </c>
      <c r="Y222" s="522">
        <f t="shared" si="316"/>
        <v>351.03495696340053</v>
      </c>
      <c r="Z222" s="524">
        <f t="shared" si="317"/>
        <v>9323174.4199999999</v>
      </c>
      <c r="AA222" s="522">
        <f t="shared" si="318"/>
        <v>9323174.4199999999</v>
      </c>
      <c r="AB222" s="522">
        <v>0</v>
      </c>
      <c r="AC222" s="522">
        <f t="shared" si="319"/>
        <v>-2067411.3600000013</v>
      </c>
      <c r="AD222" s="522">
        <f t="shared" si="320"/>
        <v>-18.150175942926808</v>
      </c>
      <c r="AE222" s="522">
        <f t="shared" si="321"/>
        <v>6797741.3900000006</v>
      </c>
      <c r="AF222" s="522">
        <f t="shared" si="322"/>
        <v>269.17131871043915</v>
      </c>
      <c r="AG222" s="522">
        <f t="shared" si="337"/>
        <v>7859189.25</v>
      </c>
      <c r="AH222" s="522">
        <f t="shared" si="323"/>
        <v>-3531396.5300000012</v>
      </c>
      <c r="AI222" s="522">
        <f t="shared" si="324"/>
        <v>-31.002764899067387</v>
      </c>
      <c r="AJ222" s="522">
        <f t="shared" si="325"/>
        <v>-1463985.17</v>
      </c>
      <c r="AK222" s="522">
        <f t="shared" si="343"/>
        <v>-15.702647017516597</v>
      </c>
      <c r="AL222" s="522">
        <f t="shared" si="302"/>
        <v>7859189.25</v>
      </c>
      <c r="AM222" s="522">
        <f t="shared" si="342"/>
        <v>4780503.42</v>
      </c>
      <c r="AN222" s="522">
        <f t="shared" si="342"/>
        <v>2713092.06</v>
      </c>
      <c r="AO222" s="522">
        <f t="shared" si="326"/>
        <v>-2067411.3599999999</v>
      </c>
      <c r="AP222" s="522">
        <f t="shared" si="338"/>
        <v>-43.246729023362981</v>
      </c>
      <c r="AQ222" s="522">
        <v>3256812.21</v>
      </c>
      <c r="AR222" s="522">
        <v>151892.06</v>
      </c>
      <c r="AS222" s="522">
        <v>1523691.21</v>
      </c>
      <c r="AT222" s="522">
        <v>2561200</v>
      </c>
      <c r="AU222" s="522">
        <f t="shared" si="347"/>
        <v>6610082.3599999994</v>
      </c>
      <c r="AV222" s="522">
        <f t="shared" si="347"/>
        <v>6610082.3599999994</v>
      </c>
      <c r="AW222" s="522">
        <f t="shared" si="327"/>
        <v>0</v>
      </c>
      <c r="AX222" s="522">
        <f t="shared" si="328"/>
        <v>0</v>
      </c>
      <c r="AY222" s="522">
        <f t="shared" si="349"/>
        <v>5146097.1899999995</v>
      </c>
      <c r="AZ222" s="522">
        <f t="shared" si="329"/>
        <v>1463985.17</v>
      </c>
      <c r="BA222" s="522">
        <f t="shared" si="330"/>
        <v>28.448455517801847</v>
      </c>
      <c r="BB222" s="522">
        <v>3021568.32</v>
      </c>
      <c r="BC222" s="525">
        <f>'[67]Дир_ по кап.стр.'!AT9</f>
        <v>3021568.32</v>
      </c>
      <c r="BD222" s="525">
        <f t="shared" si="303"/>
        <v>480005.08000000007</v>
      </c>
      <c r="BE222" s="525">
        <f t="shared" si="331"/>
        <v>-2541563.2399999998</v>
      </c>
      <c r="BF222" s="525">
        <f t="shared" si="332"/>
        <v>-2541563.2399999998</v>
      </c>
      <c r="BG222" s="525">
        <f t="shared" si="312"/>
        <v>7802071.7400000002</v>
      </c>
      <c r="BH222" s="522">
        <f t="shared" si="312"/>
        <v>5734660.3799999999</v>
      </c>
      <c r="BI222" s="522">
        <v>3193097.14</v>
      </c>
      <c r="BJ222" s="522">
        <f t="shared" si="333"/>
        <v>-4608974.5999999996</v>
      </c>
      <c r="BK222" s="522">
        <f t="shared" si="334"/>
        <v>-2541563.2399999998</v>
      </c>
      <c r="BL222" s="525">
        <v>3588514.04</v>
      </c>
      <c r="BM222" s="522">
        <f>'[67]Дир_ по кап.стр.'!AW9</f>
        <v>3588514.04</v>
      </c>
      <c r="BN222" s="522">
        <f t="shared" si="304"/>
        <v>4666092.1099999994</v>
      </c>
      <c r="BO222" s="522">
        <f t="shared" si="339"/>
        <v>1077578.0699999994</v>
      </c>
      <c r="BP222" s="522">
        <f t="shared" si="335"/>
        <v>1077578.0699999994</v>
      </c>
      <c r="BQ222" s="525">
        <v>3588514.04</v>
      </c>
      <c r="BR222" s="522">
        <f>'[67]Дир_ по кап.стр.'!BB9</f>
        <v>0</v>
      </c>
      <c r="BS222" s="522">
        <f>'[67]Дир_ по кап.стр.'!BC9</f>
        <v>0</v>
      </c>
      <c r="BT222" s="536"/>
      <c r="BU222" s="522">
        <v>7859189.25</v>
      </c>
      <c r="BV222" s="522"/>
      <c r="BW222" s="578"/>
      <c r="BX222" s="574"/>
      <c r="BY222" s="525"/>
      <c r="BZ222" s="525">
        <v>7859189.25</v>
      </c>
      <c r="CA222" s="525"/>
      <c r="CB222" s="522">
        <f t="shared" si="308"/>
        <v>7859189.25</v>
      </c>
      <c r="CC222" s="522">
        <f t="shared" si="336"/>
        <v>0</v>
      </c>
      <c r="CD222" s="522"/>
      <c r="CE222" s="522"/>
      <c r="CF222" s="522"/>
      <c r="CG222" s="522"/>
      <c r="CH222" s="522"/>
      <c r="CI222" s="522"/>
      <c r="CJ222" s="522"/>
      <c r="CK222" s="542" t="s">
        <v>1791</v>
      </c>
      <c r="CL222" s="543" t="s">
        <v>1792</v>
      </c>
      <c r="CM222" s="509" t="s">
        <v>1925</v>
      </c>
      <c r="CN222" s="528" t="s">
        <v>1849</v>
      </c>
      <c r="CO222" s="528"/>
      <c r="CP222" s="544">
        <f t="shared" si="344"/>
        <v>10509187.381284215</v>
      </c>
      <c r="CQ222" s="544">
        <f t="shared" si="345"/>
        <v>771934.09848274558</v>
      </c>
      <c r="CR222" s="544">
        <f t="shared" si="346"/>
        <v>109464.30023304182</v>
      </c>
      <c r="CS222" s="1688" t="s">
        <v>1826</v>
      </c>
      <c r="CT222" s="1689"/>
      <c r="CU222" s="1689"/>
      <c r="CV222" s="1689"/>
      <c r="CW222" s="1690"/>
      <c r="CX222" s="528"/>
      <c r="CY222" s="528"/>
      <c r="CZ222" s="528"/>
      <c r="DA222" s="528"/>
      <c r="DB222" s="544">
        <f>151892.06</f>
        <v>151892.06</v>
      </c>
      <c r="DC222" s="628" t="e">
        <f>P222-#REF!</f>
        <v>#REF!</v>
      </c>
      <c r="DD222" s="535"/>
      <c r="DE222" s="535"/>
      <c r="DF222" s="525">
        <f t="shared" si="350"/>
        <v>0</v>
      </c>
      <c r="DG222" s="525">
        <f t="shared" si="350"/>
        <v>7859.1892500000004</v>
      </c>
      <c r="DH222" s="525">
        <f t="shared" si="350"/>
        <v>0</v>
      </c>
      <c r="DI222" s="522">
        <f t="shared" si="348"/>
        <v>7859.1892500000004</v>
      </c>
      <c r="DJ222" s="536"/>
      <c r="DK222" s="536"/>
      <c r="DL222" s="536"/>
      <c r="DM222" s="536"/>
      <c r="DN222" s="536"/>
      <c r="DO222" s="536"/>
      <c r="DP222" s="536"/>
      <c r="DQ222" s="536"/>
      <c r="DR222" s="536"/>
      <c r="DS222" s="536"/>
    </row>
    <row r="223" spans="1:123" s="534" customFormat="1" ht="141">
      <c r="A223" s="537" t="s">
        <v>942</v>
      </c>
      <c r="B223" s="538" t="s">
        <v>943</v>
      </c>
      <c r="C223" s="576"/>
      <c r="D223" s="576">
        <v>2093827.88</v>
      </c>
      <c r="E223" s="576">
        <v>0</v>
      </c>
      <c r="F223" s="576"/>
      <c r="G223" s="577">
        <v>0</v>
      </c>
      <c r="H223" s="577">
        <v>0</v>
      </c>
      <c r="I223" s="576">
        <f t="shared" si="298"/>
        <v>96086.39</v>
      </c>
      <c r="J223" s="576">
        <v>96086.39</v>
      </c>
      <c r="K223" s="576">
        <v>0</v>
      </c>
      <c r="L223" s="576">
        <v>0</v>
      </c>
      <c r="M223" s="576">
        <f t="shared" si="299"/>
        <v>96086.39</v>
      </c>
      <c r="N223" s="576">
        <v>144129.57999999999</v>
      </c>
      <c r="O223" s="525">
        <f t="shared" si="300"/>
        <v>44528.900000000023</v>
      </c>
      <c r="P223" s="522">
        <v>188658.48</v>
      </c>
      <c r="Q223" s="576">
        <f t="shared" si="313"/>
        <v>92572.090000000011</v>
      </c>
      <c r="R223" s="576">
        <f t="shared" si="314"/>
        <v>96.342562146418459</v>
      </c>
      <c r="S223" s="576"/>
      <c r="T223" s="576"/>
      <c r="U223" s="522">
        <f t="shared" si="301"/>
        <v>0</v>
      </c>
      <c r="V223" s="522">
        <f t="shared" si="311"/>
        <v>0</v>
      </c>
      <c r="W223" s="522">
        <v>0</v>
      </c>
      <c r="X223" s="522">
        <f t="shared" si="315"/>
        <v>-188658.48</v>
      </c>
      <c r="Y223" s="522">
        <f t="shared" si="316"/>
        <v>-100</v>
      </c>
      <c r="Z223" s="524">
        <f t="shared" si="317"/>
        <v>44528.92</v>
      </c>
      <c r="AA223" s="522">
        <f t="shared" si="318"/>
        <v>44528.92</v>
      </c>
      <c r="AB223" s="522">
        <v>0</v>
      </c>
      <c r="AC223" s="522">
        <f t="shared" si="319"/>
        <v>44528.92</v>
      </c>
      <c r="AD223" s="522">
        <v>0</v>
      </c>
      <c r="AE223" s="522">
        <f t="shared" si="321"/>
        <v>-144129.56</v>
      </c>
      <c r="AF223" s="522">
        <f t="shared" si="322"/>
        <v>-76.397074756459403</v>
      </c>
      <c r="AG223" s="522">
        <f t="shared" si="337"/>
        <v>44528.92</v>
      </c>
      <c r="AH223" s="522">
        <f t="shared" si="323"/>
        <v>44528.92</v>
      </c>
      <c r="AI223" s="522">
        <v>0</v>
      </c>
      <c r="AJ223" s="522">
        <f t="shared" si="325"/>
        <v>0</v>
      </c>
      <c r="AK223" s="522">
        <f t="shared" si="343"/>
        <v>0</v>
      </c>
      <c r="AL223" s="522">
        <f t="shared" si="302"/>
        <v>44528.92</v>
      </c>
      <c r="AM223" s="522">
        <f t="shared" si="342"/>
        <v>0</v>
      </c>
      <c r="AN223" s="522">
        <f t="shared" si="342"/>
        <v>44528.92</v>
      </c>
      <c r="AO223" s="522">
        <f t="shared" si="326"/>
        <v>44528.92</v>
      </c>
      <c r="AP223" s="522">
        <v>0</v>
      </c>
      <c r="AQ223" s="578">
        <v>0</v>
      </c>
      <c r="AR223" s="578">
        <v>44528.92</v>
      </c>
      <c r="AS223" s="578">
        <v>0</v>
      </c>
      <c r="AT223" s="578">
        <v>0</v>
      </c>
      <c r="AU223" s="578">
        <f t="shared" si="347"/>
        <v>0</v>
      </c>
      <c r="AV223" s="578">
        <f t="shared" si="347"/>
        <v>0</v>
      </c>
      <c r="AW223" s="578">
        <f t="shared" si="327"/>
        <v>0</v>
      </c>
      <c r="AX223" s="578">
        <v>0</v>
      </c>
      <c r="AY223" s="578">
        <f t="shared" si="349"/>
        <v>0</v>
      </c>
      <c r="AZ223" s="578">
        <f t="shared" si="329"/>
        <v>0</v>
      </c>
      <c r="BA223" s="578">
        <v>0</v>
      </c>
      <c r="BB223" s="578">
        <v>0</v>
      </c>
      <c r="BC223" s="576">
        <f>'[67]Гл инж_Тех дир'!AT15</f>
        <v>0</v>
      </c>
      <c r="BD223" s="576">
        <f t="shared" si="303"/>
        <v>0</v>
      </c>
      <c r="BE223" s="576">
        <f t="shared" si="331"/>
        <v>0</v>
      </c>
      <c r="BF223" s="576">
        <f t="shared" si="332"/>
        <v>0</v>
      </c>
      <c r="BG223" s="576">
        <f t="shared" si="312"/>
        <v>0</v>
      </c>
      <c r="BH223" s="578">
        <f t="shared" si="312"/>
        <v>44528.92</v>
      </c>
      <c r="BI223" s="578">
        <v>44528.92</v>
      </c>
      <c r="BJ223" s="578">
        <f t="shared" si="333"/>
        <v>44528.92</v>
      </c>
      <c r="BK223" s="578">
        <f t="shared" si="334"/>
        <v>0</v>
      </c>
      <c r="BL223" s="576">
        <v>0</v>
      </c>
      <c r="BM223" s="578">
        <f>'[67]Гл инж_Тех дир'!AW15</f>
        <v>0</v>
      </c>
      <c r="BN223" s="522">
        <f t="shared" si="304"/>
        <v>0</v>
      </c>
      <c r="BO223" s="578">
        <f t="shared" si="339"/>
        <v>0</v>
      </c>
      <c r="BP223" s="578">
        <f t="shared" si="335"/>
        <v>0</v>
      </c>
      <c r="BQ223" s="576">
        <v>0</v>
      </c>
      <c r="BR223" s="578">
        <f>'[67]Гл инж_Тех дир'!BB15</f>
        <v>0</v>
      </c>
      <c r="BS223" s="578">
        <f>'[67]Гл инж_Тех дир'!BC15</f>
        <v>0</v>
      </c>
      <c r="BT223" s="536"/>
      <c r="BU223" s="578">
        <v>44528.92</v>
      </c>
      <c r="BV223" s="578"/>
      <c r="BW223" s="578"/>
      <c r="BX223" s="574"/>
      <c r="BY223" s="525">
        <v>44528.92</v>
      </c>
      <c r="BZ223" s="525"/>
      <c r="CA223" s="525"/>
      <c r="CB223" s="522">
        <f t="shared" si="308"/>
        <v>44528.92</v>
      </c>
      <c r="CC223" s="522">
        <f t="shared" si="336"/>
        <v>0</v>
      </c>
      <c r="CD223" s="578"/>
      <c r="CE223" s="578"/>
      <c r="CF223" s="578"/>
      <c r="CG223" s="578"/>
      <c r="CH223" s="578"/>
      <c r="CI223" s="578"/>
      <c r="CJ223" s="578"/>
      <c r="CK223" s="542" t="s">
        <v>79</v>
      </c>
      <c r="CL223" s="543" t="s">
        <v>1803</v>
      </c>
      <c r="CM223" s="509" t="s">
        <v>1925</v>
      </c>
      <c r="CN223" s="528"/>
      <c r="CO223" s="528"/>
      <c r="CP223" s="544">
        <f t="shared" si="344"/>
        <v>0</v>
      </c>
      <c r="CQ223" s="544">
        <f t="shared" si="345"/>
        <v>0</v>
      </c>
      <c r="CR223" s="544">
        <f t="shared" si="346"/>
        <v>0</v>
      </c>
      <c r="CS223" s="1688" t="s">
        <v>1826</v>
      </c>
      <c r="CT223" s="1689"/>
      <c r="CU223" s="1689"/>
      <c r="CV223" s="1689"/>
      <c r="CW223" s="1690"/>
      <c r="CX223" s="528"/>
      <c r="CY223" s="528"/>
      <c r="CZ223" s="528"/>
      <c r="DA223" s="528"/>
      <c r="DB223" s="579">
        <f>44528.92</f>
        <v>44528.92</v>
      </c>
      <c r="DC223" s="628" t="e">
        <f>P223-#REF!</f>
        <v>#REF!</v>
      </c>
      <c r="DD223" s="535"/>
      <c r="DE223" s="535"/>
      <c r="DF223" s="525">
        <f t="shared" si="350"/>
        <v>44.528919999999999</v>
      </c>
      <c r="DG223" s="525">
        <f t="shared" si="350"/>
        <v>0</v>
      </c>
      <c r="DH223" s="525">
        <f t="shared" si="350"/>
        <v>0</v>
      </c>
      <c r="DI223" s="522">
        <f t="shared" si="348"/>
        <v>44.528919999999999</v>
      </c>
      <c r="DJ223" s="536"/>
      <c r="DK223" s="536"/>
      <c r="DL223" s="536"/>
      <c r="DM223" s="536"/>
      <c r="DN223" s="536"/>
      <c r="DO223" s="536"/>
      <c r="DP223" s="536"/>
      <c r="DQ223" s="536"/>
      <c r="DR223" s="536"/>
      <c r="DS223" s="536"/>
    </row>
    <row r="224" spans="1:123" s="534" customFormat="1" ht="36" customHeight="1">
      <c r="A224" s="537" t="s">
        <v>1283</v>
      </c>
      <c r="B224" s="538" t="s">
        <v>1284</v>
      </c>
      <c r="C224" s="576">
        <v>6241652.9800000004</v>
      </c>
      <c r="D224" s="576">
        <v>22823285.300000001</v>
      </c>
      <c r="E224" s="576">
        <v>29200000</v>
      </c>
      <c r="F224" s="576">
        <v>11685545.140000001</v>
      </c>
      <c r="G224" s="626">
        <v>20800000</v>
      </c>
      <c r="H224" s="626">
        <v>0</v>
      </c>
      <c r="I224" s="576">
        <f t="shared" si="298"/>
        <v>14513707.42</v>
      </c>
      <c r="J224" s="576">
        <v>4113707.42</v>
      </c>
      <c r="K224" s="576">
        <v>0</v>
      </c>
      <c r="L224" s="576">
        <v>10400000</v>
      </c>
      <c r="M224" s="576">
        <f t="shared" si="299"/>
        <v>4113707.42</v>
      </c>
      <c r="N224" s="576">
        <v>5573123.4800000004</v>
      </c>
      <c r="O224" s="525">
        <f t="shared" si="300"/>
        <v>1987712.8599999994</v>
      </c>
      <c r="P224" s="522">
        <v>7560836.3399999999</v>
      </c>
      <c r="Q224" s="576">
        <f t="shared" si="313"/>
        <v>-6952871.0800000001</v>
      </c>
      <c r="R224" s="576">
        <f t="shared" si="314"/>
        <v>-47.905548036740022</v>
      </c>
      <c r="S224" s="576">
        <v>20800000</v>
      </c>
      <c r="T224" s="576">
        <v>20800000</v>
      </c>
      <c r="U224" s="522">
        <f t="shared" si="301"/>
        <v>11342095.66</v>
      </c>
      <c r="V224" s="522">
        <f t="shared" si="311"/>
        <v>-9457904.3399999999</v>
      </c>
      <c r="W224" s="522">
        <f t="shared" si="340"/>
        <v>-45.47069394230769</v>
      </c>
      <c r="X224" s="522">
        <f t="shared" si="315"/>
        <v>3781259.3200000003</v>
      </c>
      <c r="Y224" s="522">
        <f t="shared" si="316"/>
        <v>50.011125092015959</v>
      </c>
      <c r="Z224" s="524">
        <f t="shared" si="317"/>
        <v>9631153.9600000009</v>
      </c>
      <c r="AA224" s="522">
        <f t="shared" si="318"/>
        <v>-11168846.039999999</v>
      </c>
      <c r="AB224" s="522">
        <f t="shared" si="341"/>
        <v>-53.696375192307691</v>
      </c>
      <c r="AC224" s="522">
        <f t="shared" si="319"/>
        <v>-1710941.6999999993</v>
      </c>
      <c r="AD224" s="522">
        <f t="shared" si="320"/>
        <v>-15.084881588805075</v>
      </c>
      <c r="AE224" s="522">
        <f t="shared" si="321"/>
        <v>2070317.620000001</v>
      </c>
      <c r="AF224" s="522">
        <f t="shared" si="322"/>
        <v>27.382124501851095</v>
      </c>
      <c r="AG224" s="522">
        <f t="shared" si="337"/>
        <v>9631023.0399999991</v>
      </c>
      <c r="AH224" s="522">
        <f t="shared" si="323"/>
        <v>-1711072.620000001</v>
      </c>
      <c r="AI224" s="522">
        <f t="shared" si="324"/>
        <v>-15.086035872845045</v>
      </c>
      <c r="AJ224" s="522">
        <f t="shared" si="325"/>
        <v>-130.92000000178814</v>
      </c>
      <c r="AK224" s="522">
        <f t="shared" si="343"/>
        <v>-1.3593386685073483E-3</v>
      </c>
      <c r="AL224" s="522">
        <f t="shared" si="302"/>
        <v>9631023.0399999991</v>
      </c>
      <c r="AM224" s="522">
        <f t="shared" si="342"/>
        <v>5291440.54</v>
      </c>
      <c r="AN224" s="522">
        <f t="shared" si="342"/>
        <v>4775865.96</v>
      </c>
      <c r="AO224" s="522">
        <f t="shared" si="326"/>
        <v>-515574.58000000007</v>
      </c>
      <c r="AP224" s="522">
        <f t="shared" si="338"/>
        <v>-9.7435580368441634</v>
      </c>
      <c r="AQ224" s="578">
        <v>2631103.06</v>
      </c>
      <c r="AR224" s="578">
        <v>2374674.16</v>
      </c>
      <c r="AS224" s="578">
        <v>2660337.48</v>
      </c>
      <c r="AT224" s="578">
        <v>2401191.7999999998</v>
      </c>
      <c r="AU224" s="578">
        <f t="shared" si="347"/>
        <v>6050655.1200000001</v>
      </c>
      <c r="AV224" s="578">
        <f t="shared" si="347"/>
        <v>4855288</v>
      </c>
      <c r="AW224" s="578">
        <f t="shared" si="327"/>
        <v>-1195367.1200000001</v>
      </c>
      <c r="AX224" s="578">
        <f t="shared" si="328"/>
        <v>-19.755994950840957</v>
      </c>
      <c r="AY224" s="578">
        <f t="shared" si="349"/>
        <v>4855157.0799999991</v>
      </c>
      <c r="AZ224" s="578">
        <f t="shared" si="329"/>
        <v>130.92000000085682</v>
      </c>
      <c r="BA224" s="578">
        <f t="shared" si="330"/>
        <v>2.6965141980639373E-3</v>
      </c>
      <c r="BB224" s="578">
        <v>3025327.56</v>
      </c>
      <c r="BC224" s="576">
        <f>'[67]Гл инж_Тех дир'!AT16</f>
        <v>2427644</v>
      </c>
      <c r="BD224" s="576">
        <f t="shared" si="303"/>
        <v>2427578.54</v>
      </c>
      <c r="BE224" s="576">
        <f t="shared" si="331"/>
        <v>-597749.02</v>
      </c>
      <c r="BF224" s="576">
        <f t="shared" si="332"/>
        <v>-65.459999999962747</v>
      </c>
      <c r="BG224" s="576">
        <f t="shared" si="312"/>
        <v>8316768.0999999996</v>
      </c>
      <c r="BH224" s="578">
        <f t="shared" si="312"/>
        <v>7203509.96</v>
      </c>
      <c r="BI224" s="578">
        <v>7203444.5</v>
      </c>
      <c r="BJ224" s="578">
        <f t="shared" si="333"/>
        <v>-1113323.5999999996</v>
      </c>
      <c r="BK224" s="578">
        <f t="shared" si="334"/>
        <v>-65.459999999962747</v>
      </c>
      <c r="BL224" s="576">
        <v>3025327.56</v>
      </c>
      <c r="BM224" s="578">
        <f>'[67]Гл инж_Тех дир'!AW16</f>
        <v>2427644</v>
      </c>
      <c r="BN224" s="522">
        <f t="shared" si="304"/>
        <v>2427578.5399999991</v>
      </c>
      <c r="BO224" s="578">
        <f t="shared" si="339"/>
        <v>-597749.02000000095</v>
      </c>
      <c r="BP224" s="578">
        <f t="shared" si="335"/>
        <v>-65.46000000089407</v>
      </c>
      <c r="BQ224" s="576">
        <v>3025327.56</v>
      </c>
      <c r="BR224" s="578">
        <f>'[67]Гл инж_Тех дир'!BB16</f>
        <v>0</v>
      </c>
      <c r="BS224" s="578">
        <f>'[67]Гл инж_Тех дир'!BC16</f>
        <v>0</v>
      </c>
      <c r="BT224" s="536"/>
      <c r="BU224" s="578">
        <v>9631023.0399999991</v>
      </c>
      <c r="BV224" s="578"/>
      <c r="BW224" s="522"/>
      <c r="BX224" s="574"/>
      <c r="BY224" s="525">
        <v>8964020.6199999992</v>
      </c>
      <c r="BZ224" s="525">
        <v>562967.53</v>
      </c>
      <c r="CA224" s="525">
        <v>104034.89</v>
      </c>
      <c r="CB224" s="522">
        <f t="shared" si="308"/>
        <v>9631023.0399999991</v>
      </c>
      <c r="CC224" s="522">
        <f t="shared" si="336"/>
        <v>0</v>
      </c>
      <c r="CD224" s="578"/>
      <c r="CE224" s="578"/>
      <c r="CF224" s="578"/>
      <c r="CG224" s="578"/>
      <c r="CH224" s="578"/>
      <c r="CI224" s="578"/>
      <c r="CJ224" s="578"/>
      <c r="CK224" s="542" t="s">
        <v>79</v>
      </c>
      <c r="CL224" s="543" t="s">
        <v>1803</v>
      </c>
      <c r="CM224" s="509" t="s">
        <v>1925</v>
      </c>
      <c r="CN224" s="528"/>
      <c r="CO224" s="528"/>
      <c r="CP224" s="544">
        <f t="shared" si="344"/>
        <v>10464449.404935734</v>
      </c>
      <c r="CQ224" s="544">
        <f t="shared" si="345"/>
        <v>768647.948166118</v>
      </c>
      <c r="CR224" s="544">
        <f t="shared" si="346"/>
        <v>108998.306898148</v>
      </c>
      <c r="CS224" s="1688" t="s">
        <v>1826</v>
      </c>
      <c r="CT224" s="1689"/>
      <c r="CU224" s="1689"/>
      <c r="CV224" s="1689"/>
      <c r="CW224" s="1690"/>
      <c r="CX224" s="528"/>
      <c r="CY224" s="528"/>
      <c r="CZ224" s="528"/>
      <c r="DA224" s="528"/>
      <c r="DB224" s="579">
        <f>2374674.16</f>
        <v>2374674.16</v>
      </c>
      <c r="DC224" s="628" t="e">
        <f>P224-#REF!</f>
        <v>#REF!</v>
      </c>
      <c r="DD224" s="535"/>
      <c r="DE224" s="535"/>
      <c r="DF224" s="525">
        <f t="shared" si="350"/>
        <v>8964.0206199999993</v>
      </c>
      <c r="DG224" s="525">
        <f t="shared" si="350"/>
        <v>562.96753000000001</v>
      </c>
      <c r="DH224" s="525">
        <f t="shared" si="350"/>
        <v>104.03489</v>
      </c>
      <c r="DI224" s="522">
        <f t="shared" si="348"/>
        <v>9631.0230399999982</v>
      </c>
      <c r="DJ224" s="536"/>
      <c r="DK224" s="536"/>
      <c r="DL224" s="536"/>
      <c r="DM224" s="536"/>
      <c r="DN224" s="536"/>
      <c r="DO224" s="536"/>
      <c r="DP224" s="536"/>
      <c r="DQ224" s="536"/>
      <c r="DR224" s="536"/>
      <c r="DS224" s="536"/>
    </row>
    <row r="225" spans="1:123" s="534" customFormat="1" ht="37.5" customHeight="1">
      <c r="A225" s="537" t="s">
        <v>947</v>
      </c>
      <c r="B225" s="538" t="s">
        <v>948</v>
      </c>
      <c r="C225" s="576"/>
      <c r="D225" s="576"/>
      <c r="E225" s="576"/>
      <c r="F225" s="576"/>
      <c r="G225" s="577">
        <v>0</v>
      </c>
      <c r="H225" s="577">
        <v>0</v>
      </c>
      <c r="I225" s="576">
        <f t="shared" si="298"/>
        <v>36755.4</v>
      </c>
      <c r="J225" s="576">
        <v>36755.4</v>
      </c>
      <c r="K225" s="576">
        <v>0</v>
      </c>
      <c r="L225" s="576">
        <v>0</v>
      </c>
      <c r="M225" s="576">
        <f t="shared" si="299"/>
        <v>36755.4</v>
      </c>
      <c r="N225" s="576">
        <v>51938.54</v>
      </c>
      <c r="O225" s="525">
        <f t="shared" si="300"/>
        <v>22403.719999999994</v>
      </c>
      <c r="P225" s="522">
        <v>74342.259999999995</v>
      </c>
      <c r="Q225" s="576">
        <f t="shared" si="313"/>
        <v>37586.859999999993</v>
      </c>
      <c r="R225" s="576">
        <f t="shared" si="314"/>
        <v>102.26214379383708</v>
      </c>
      <c r="S225" s="576"/>
      <c r="T225" s="576"/>
      <c r="U225" s="522">
        <f t="shared" si="301"/>
        <v>568919.38</v>
      </c>
      <c r="V225" s="522">
        <f t="shared" si="311"/>
        <v>568919.38</v>
      </c>
      <c r="W225" s="522">
        <v>0</v>
      </c>
      <c r="X225" s="522">
        <f t="shared" si="315"/>
        <v>494577.12</v>
      </c>
      <c r="Y225" s="522">
        <f t="shared" si="316"/>
        <v>665.27049352548613</v>
      </c>
      <c r="Z225" s="524">
        <f t="shared" si="317"/>
        <v>620933.04</v>
      </c>
      <c r="AA225" s="522">
        <f t="shared" si="318"/>
        <v>620933.04</v>
      </c>
      <c r="AB225" s="522">
        <v>0</v>
      </c>
      <c r="AC225" s="522">
        <f t="shared" si="319"/>
        <v>52013.660000000033</v>
      </c>
      <c r="AD225" s="522">
        <f t="shared" si="320"/>
        <v>9.1425361533650005</v>
      </c>
      <c r="AE225" s="522">
        <f t="shared" si="321"/>
        <v>546590.78</v>
      </c>
      <c r="AF225" s="522">
        <f t="shared" si="322"/>
        <v>735.23562506708856</v>
      </c>
      <c r="AG225" s="522">
        <f t="shared" si="337"/>
        <v>454112.14</v>
      </c>
      <c r="AH225" s="522">
        <f t="shared" si="323"/>
        <v>-114807.23999999999</v>
      </c>
      <c r="AI225" s="522">
        <f t="shared" si="324"/>
        <v>-20.179878562055663</v>
      </c>
      <c r="AJ225" s="522">
        <f t="shared" si="325"/>
        <v>-166820.90000000002</v>
      </c>
      <c r="AK225" s="522">
        <f t="shared" si="343"/>
        <v>-26.86616579462418</v>
      </c>
      <c r="AL225" s="522">
        <f t="shared" si="302"/>
        <v>454112.14</v>
      </c>
      <c r="AM225" s="522">
        <f t="shared" si="342"/>
        <v>242342.83999999997</v>
      </c>
      <c r="AN225" s="522">
        <f t="shared" si="342"/>
        <v>294356.5</v>
      </c>
      <c r="AO225" s="522">
        <f t="shared" si="326"/>
        <v>52013.660000000033</v>
      </c>
      <c r="AP225" s="522">
        <f t="shared" si="338"/>
        <v>21.462841650283565</v>
      </c>
      <c r="AQ225" s="578">
        <v>5788.27</v>
      </c>
      <c r="AR225" s="578">
        <v>106366.84</v>
      </c>
      <c r="AS225" s="578">
        <f>5788.27+230766.3</f>
        <v>236554.56999999998</v>
      </c>
      <c r="AT225" s="578">
        <v>187989.66</v>
      </c>
      <c r="AU225" s="578">
        <f t="shared" si="347"/>
        <v>326576.54000000004</v>
      </c>
      <c r="AV225" s="578">
        <f t="shared" si="347"/>
        <v>326576.54000000004</v>
      </c>
      <c r="AW225" s="578">
        <f t="shared" si="327"/>
        <v>0</v>
      </c>
      <c r="AX225" s="578">
        <f t="shared" si="328"/>
        <v>0</v>
      </c>
      <c r="AY225" s="578">
        <f t="shared" si="349"/>
        <v>159755.64000000001</v>
      </c>
      <c r="AZ225" s="578">
        <f t="shared" si="329"/>
        <v>166820.90000000002</v>
      </c>
      <c r="BA225" s="578">
        <f t="shared" si="330"/>
        <v>104.42254182700529</v>
      </c>
      <c r="BB225" s="578">
        <v>5788.27</v>
      </c>
      <c r="BC225" s="576">
        <f>'[67]Дир_по корп'!AT26</f>
        <v>5788.27</v>
      </c>
      <c r="BD225" s="576">
        <f t="shared" si="303"/>
        <v>72601.669999999984</v>
      </c>
      <c r="BE225" s="576">
        <f t="shared" si="331"/>
        <v>66813.39999999998</v>
      </c>
      <c r="BF225" s="576">
        <f t="shared" si="332"/>
        <v>66813.39999999998</v>
      </c>
      <c r="BG225" s="576">
        <f t="shared" si="312"/>
        <v>248131.10999999996</v>
      </c>
      <c r="BH225" s="578">
        <f t="shared" si="312"/>
        <v>300144.77</v>
      </c>
      <c r="BI225" s="578">
        <v>366958.17</v>
      </c>
      <c r="BJ225" s="578">
        <f t="shared" si="333"/>
        <v>118827.06000000003</v>
      </c>
      <c r="BK225" s="578">
        <f t="shared" si="334"/>
        <v>66813.399999999965</v>
      </c>
      <c r="BL225" s="576">
        <f>5788.27+315000</f>
        <v>320788.27</v>
      </c>
      <c r="BM225" s="578">
        <f>'[67]Дир_по корп'!AW26</f>
        <v>320788.27</v>
      </c>
      <c r="BN225" s="522">
        <f t="shared" si="304"/>
        <v>87153.97000000003</v>
      </c>
      <c r="BO225" s="578">
        <f t="shared" si="339"/>
        <v>-233634.3</v>
      </c>
      <c r="BP225" s="578">
        <f t="shared" si="335"/>
        <v>-233634.3</v>
      </c>
      <c r="BQ225" s="576">
        <f>5788.27+315000</f>
        <v>320788.27</v>
      </c>
      <c r="BR225" s="578">
        <f>'[67]Дир_по корп'!BB26</f>
        <v>0</v>
      </c>
      <c r="BS225" s="578">
        <f>'[67]Дир_по корп'!BC26</f>
        <v>0</v>
      </c>
      <c r="BT225" s="536"/>
      <c r="BU225" s="578">
        <f>451412.14+2700</f>
        <v>454112.14</v>
      </c>
      <c r="BV225" s="578"/>
      <c r="BW225" s="578"/>
      <c r="BX225" s="574"/>
      <c r="BY225" s="525">
        <f>432796.16+2131.01</f>
        <v>434927.17</v>
      </c>
      <c r="BZ225" s="525">
        <f>15941.85+539.17</f>
        <v>16481.02</v>
      </c>
      <c r="CA225" s="525">
        <f>2674.13+29.82</f>
        <v>2703.9500000000003</v>
      </c>
      <c r="CB225" s="522">
        <f t="shared" si="308"/>
        <v>454112.14</v>
      </c>
      <c r="CC225" s="522">
        <f t="shared" si="336"/>
        <v>0</v>
      </c>
      <c r="CD225" s="578"/>
      <c r="CE225" s="578"/>
      <c r="CF225" s="578"/>
      <c r="CG225" s="578"/>
      <c r="CH225" s="578"/>
      <c r="CI225" s="578"/>
      <c r="CJ225" s="578"/>
      <c r="CK225" s="543" t="s">
        <v>80</v>
      </c>
      <c r="CL225" s="543" t="s">
        <v>1908</v>
      </c>
      <c r="CM225" s="509" t="s">
        <v>1925</v>
      </c>
      <c r="CN225" s="528"/>
      <c r="CO225" s="528"/>
      <c r="CP225" s="544">
        <f t="shared" si="344"/>
        <v>524896.65454800148</v>
      </c>
      <c r="CQ225" s="544">
        <f t="shared" si="345"/>
        <v>38555.371707113598</v>
      </c>
      <c r="CR225" s="544">
        <f t="shared" si="346"/>
        <v>5467.3537448849274</v>
      </c>
      <c r="CS225" s="1688" t="s">
        <v>1826</v>
      </c>
      <c r="CT225" s="1689"/>
      <c r="CU225" s="1689"/>
      <c r="CV225" s="1689"/>
      <c r="CW225" s="1690"/>
      <c r="CX225" s="528"/>
      <c r="CY225" s="528"/>
      <c r="CZ225" s="528"/>
      <c r="DA225" s="528"/>
      <c r="DB225" s="579">
        <f>106366.84</f>
        <v>106366.84</v>
      </c>
      <c r="DC225" s="628" t="e">
        <f>P225-#REF!</f>
        <v>#REF!</v>
      </c>
      <c r="DD225" s="535"/>
      <c r="DE225" s="535"/>
      <c r="DF225" s="525">
        <f t="shared" si="350"/>
        <v>434.92716999999999</v>
      </c>
      <c r="DG225" s="525">
        <f t="shared" si="350"/>
        <v>16.481020000000001</v>
      </c>
      <c r="DH225" s="525">
        <f t="shared" si="350"/>
        <v>2.7039500000000003</v>
      </c>
      <c r="DI225" s="522">
        <f t="shared" si="348"/>
        <v>454.11214000000001</v>
      </c>
      <c r="DJ225" s="536"/>
      <c r="DK225" s="536"/>
      <c r="DL225" s="536"/>
      <c r="DM225" s="536"/>
      <c r="DN225" s="536"/>
      <c r="DO225" s="536"/>
      <c r="DP225" s="536"/>
      <c r="DQ225" s="536"/>
      <c r="DR225" s="536"/>
      <c r="DS225" s="536"/>
    </row>
    <row r="226" spans="1:123" s="534" customFormat="1" ht="112.8">
      <c r="A226" s="537" t="s">
        <v>951</v>
      </c>
      <c r="B226" s="538" t="s">
        <v>952</v>
      </c>
      <c r="C226" s="576"/>
      <c r="D226" s="576">
        <v>0</v>
      </c>
      <c r="E226" s="576">
        <v>164000</v>
      </c>
      <c r="F226" s="576">
        <v>0</v>
      </c>
      <c r="G226" s="577">
        <v>0</v>
      </c>
      <c r="H226" s="577">
        <v>0</v>
      </c>
      <c r="I226" s="576">
        <f t="shared" si="298"/>
        <v>161305.5</v>
      </c>
      <c r="J226" s="576">
        <v>89305.5</v>
      </c>
      <c r="K226" s="576">
        <v>36000</v>
      </c>
      <c r="L226" s="576">
        <v>36000</v>
      </c>
      <c r="M226" s="576">
        <f t="shared" si="299"/>
        <v>125305.5</v>
      </c>
      <c r="N226" s="576">
        <v>127574</v>
      </c>
      <c r="O226" s="525">
        <f t="shared" si="300"/>
        <v>38268.47</v>
      </c>
      <c r="P226" s="522">
        <v>165842.47</v>
      </c>
      <c r="Q226" s="576">
        <f t="shared" si="313"/>
        <v>4536.9700000000012</v>
      </c>
      <c r="R226" s="576">
        <f t="shared" si="314"/>
        <v>2.8126567290017874</v>
      </c>
      <c r="S226" s="576"/>
      <c r="T226" s="576"/>
      <c r="U226" s="522">
        <f t="shared" si="301"/>
        <v>169532.08000000002</v>
      </c>
      <c r="V226" s="522">
        <f t="shared" si="311"/>
        <v>169532.08000000002</v>
      </c>
      <c r="W226" s="522">
        <v>0</v>
      </c>
      <c r="X226" s="522">
        <f t="shared" si="315"/>
        <v>3689.6100000000151</v>
      </c>
      <c r="Y226" s="522">
        <f t="shared" si="316"/>
        <v>2.2247678776130329</v>
      </c>
      <c r="Z226" s="524">
        <f t="shared" si="317"/>
        <v>169532.08000000002</v>
      </c>
      <c r="AA226" s="522">
        <f t="shared" si="318"/>
        <v>169532.08000000002</v>
      </c>
      <c r="AB226" s="522">
        <v>0</v>
      </c>
      <c r="AC226" s="522">
        <f t="shared" si="319"/>
        <v>0</v>
      </c>
      <c r="AD226" s="522">
        <f t="shared" si="320"/>
        <v>0</v>
      </c>
      <c r="AE226" s="522">
        <f t="shared" si="321"/>
        <v>3689.6100000000151</v>
      </c>
      <c r="AF226" s="522">
        <f t="shared" si="322"/>
        <v>2.2247678776130329</v>
      </c>
      <c r="AG226" s="522">
        <f t="shared" si="337"/>
        <v>177125</v>
      </c>
      <c r="AH226" s="522">
        <f t="shared" si="323"/>
        <v>7592.9199999999837</v>
      </c>
      <c r="AI226" s="522">
        <f t="shared" si="324"/>
        <v>4.4787511602523864</v>
      </c>
      <c r="AJ226" s="522">
        <f t="shared" si="325"/>
        <v>7592.9199999999837</v>
      </c>
      <c r="AK226" s="522">
        <f t="shared" si="343"/>
        <v>4.4787511602523864</v>
      </c>
      <c r="AL226" s="522">
        <f t="shared" si="302"/>
        <v>177125</v>
      </c>
      <c r="AM226" s="522">
        <f t="shared" si="342"/>
        <v>97532.08</v>
      </c>
      <c r="AN226" s="522">
        <f t="shared" si="342"/>
        <v>76620.740000000005</v>
      </c>
      <c r="AO226" s="522">
        <f t="shared" si="326"/>
        <v>-20911.339999999997</v>
      </c>
      <c r="AP226" s="522">
        <f t="shared" si="338"/>
        <v>-21.440473739512171</v>
      </c>
      <c r="AQ226" s="578">
        <v>45000</v>
      </c>
      <c r="AR226" s="578">
        <v>38219.19</v>
      </c>
      <c r="AS226" s="578">
        <v>52532.08</v>
      </c>
      <c r="AT226" s="578">
        <v>38401.550000000003</v>
      </c>
      <c r="AU226" s="578">
        <f t="shared" si="347"/>
        <v>72000</v>
      </c>
      <c r="AV226" s="578">
        <f t="shared" si="347"/>
        <v>92911.34</v>
      </c>
      <c r="AW226" s="578">
        <f t="shared" si="327"/>
        <v>20911.339999999997</v>
      </c>
      <c r="AX226" s="578">
        <f t="shared" si="328"/>
        <v>29.043527777777769</v>
      </c>
      <c r="AY226" s="578">
        <f t="shared" si="349"/>
        <v>100504.26</v>
      </c>
      <c r="AZ226" s="578">
        <f t="shared" si="329"/>
        <v>-7592.9199999999983</v>
      </c>
      <c r="BA226" s="578">
        <f t="shared" si="330"/>
        <v>-7.5548240442743406</v>
      </c>
      <c r="BB226" s="578">
        <v>36000</v>
      </c>
      <c r="BC226" s="576">
        <f>'[67]Гл инж_Тех дир'!AT17</f>
        <v>46455.67</v>
      </c>
      <c r="BD226" s="576">
        <f t="shared" si="303"/>
        <v>38752.14</v>
      </c>
      <c r="BE226" s="576">
        <f t="shared" si="331"/>
        <v>2752.1399999999994</v>
      </c>
      <c r="BF226" s="576">
        <f t="shared" si="332"/>
        <v>-7703.5299999999988</v>
      </c>
      <c r="BG226" s="576">
        <f t="shared" si="312"/>
        <v>133532.08000000002</v>
      </c>
      <c r="BH226" s="578">
        <f t="shared" si="312"/>
        <v>123076.41</v>
      </c>
      <c r="BI226" s="578">
        <v>115372.88</v>
      </c>
      <c r="BJ226" s="578">
        <f t="shared" si="333"/>
        <v>-18159.200000000012</v>
      </c>
      <c r="BK226" s="578">
        <f t="shared" si="334"/>
        <v>-7703.5299999999988</v>
      </c>
      <c r="BL226" s="576">
        <v>36000</v>
      </c>
      <c r="BM226" s="578">
        <f>'[67]Гл инж_Тех дир'!AW17</f>
        <v>46455.67</v>
      </c>
      <c r="BN226" s="522">
        <f t="shared" si="304"/>
        <v>61752.119999999995</v>
      </c>
      <c r="BO226" s="578">
        <f t="shared" si="339"/>
        <v>25752.119999999995</v>
      </c>
      <c r="BP226" s="578">
        <f t="shared" si="335"/>
        <v>15296.449999999997</v>
      </c>
      <c r="BQ226" s="576">
        <v>36000</v>
      </c>
      <c r="BR226" s="578">
        <f>'[67]Гл инж_Тех дир'!BB17</f>
        <v>0</v>
      </c>
      <c r="BS226" s="578">
        <f>'[67]Гл инж_Тех дир'!BC17</f>
        <v>0</v>
      </c>
      <c r="BT226" s="536"/>
      <c r="BU226" s="578">
        <v>177125</v>
      </c>
      <c r="BV226" s="578"/>
      <c r="BW226" s="578"/>
      <c r="BX226" s="574"/>
      <c r="BY226" s="525">
        <v>177125</v>
      </c>
      <c r="BZ226" s="525"/>
      <c r="CA226" s="525"/>
      <c r="CB226" s="522">
        <f t="shared" si="308"/>
        <v>177125</v>
      </c>
      <c r="CC226" s="522">
        <f t="shared" si="336"/>
        <v>0</v>
      </c>
      <c r="CD226" s="578"/>
      <c r="CE226" s="578"/>
      <c r="CF226" s="578"/>
      <c r="CG226" s="578"/>
      <c r="CH226" s="578"/>
      <c r="CI226" s="578"/>
      <c r="CJ226" s="578"/>
      <c r="CK226" s="542" t="s">
        <v>79</v>
      </c>
      <c r="CL226" s="543" t="s">
        <v>1803</v>
      </c>
      <c r="CM226" s="509" t="s">
        <v>1925</v>
      </c>
      <c r="CN226" s="528" t="s">
        <v>1849</v>
      </c>
      <c r="CO226" s="528"/>
      <c r="CP226" s="544">
        <f t="shared" si="344"/>
        <v>156413.76398632114</v>
      </c>
      <c r="CQ226" s="544">
        <f t="shared" si="345"/>
        <v>11489.101251358532</v>
      </c>
      <c r="CR226" s="544">
        <f t="shared" si="346"/>
        <v>1629.2147623203332</v>
      </c>
      <c r="CS226" s="1688" t="s">
        <v>1826</v>
      </c>
      <c r="CT226" s="1689"/>
      <c r="CU226" s="1689"/>
      <c r="CV226" s="1689"/>
      <c r="CW226" s="1690"/>
      <c r="CX226" s="528"/>
      <c r="CY226" s="528"/>
      <c r="CZ226" s="528"/>
      <c r="DA226" s="528"/>
      <c r="DB226" s="579">
        <f>38219.19</f>
        <v>38219.19</v>
      </c>
      <c r="DC226" s="628" t="e">
        <f>P226-#REF!</f>
        <v>#REF!</v>
      </c>
      <c r="DD226" s="535"/>
      <c r="DE226" s="535"/>
      <c r="DF226" s="525">
        <f t="shared" si="350"/>
        <v>177.125</v>
      </c>
      <c r="DG226" s="525">
        <f t="shared" si="350"/>
        <v>0</v>
      </c>
      <c r="DH226" s="525">
        <f t="shared" si="350"/>
        <v>0</v>
      </c>
      <c r="DI226" s="522">
        <f t="shared" si="348"/>
        <v>177.125</v>
      </c>
      <c r="DJ226" s="536"/>
      <c r="DK226" s="536"/>
      <c r="DL226" s="536"/>
      <c r="DM226" s="536"/>
      <c r="DN226" s="536"/>
      <c r="DO226" s="536"/>
      <c r="DP226" s="536"/>
      <c r="DQ226" s="536"/>
      <c r="DR226" s="536"/>
      <c r="DS226" s="536"/>
    </row>
    <row r="227" spans="1:123" s="534" customFormat="1" ht="84.6">
      <c r="A227" s="537" t="s">
        <v>955</v>
      </c>
      <c r="B227" s="538" t="s">
        <v>956</v>
      </c>
      <c r="C227" s="576">
        <v>743766.03</v>
      </c>
      <c r="D227" s="576"/>
      <c r="E227" s="576">
        <v>31784410</v>
      </c>
      <c r="F227" s="576">
        <v>18512837.010000002</v>
      </c>
      <c r="G227" s="577">
        <v>0</v>
      </c>
      <c r="H227" s="577">
        <v>0</v>
      </c>
      <c r="I227" s="576">
        <f t="shared" si="298"/>
        <v>2665516.88</v>
      </c>
      <c r="J227" s="576">
        <v>475516.87999999995</v>
      </c>
      <c r="K227" s="576">
        <v>1365000</v>
      </c>
      <c r="L227" s="576">
        <v>825000</v>
      </c>
      <c r="M227" s="576">
        <f t="shared" si="299"/>
        <v>1840516.88</v>
      </c>
      <c r="N227" s="576">
        <v>554272.81000000006</v>
      </c>
      <c r="O227" s="525">
        <f t="shared" si="300"/>
        <v>902358.44</v>
      </c>
      <c r="P227" s="522">
        <f>2800+1453831.25</f>
        <v>1456631.25</v>
      </c>
      <c r="Q227" s="576">
        <f t="shared" si="313"/>
        <v>-1208885.6299999999</v>
      </c>
      <c r="R227" s="576">
        <f t="shared" si="314"/>
        <v>-45.352765877063206</v>
      </c>
      <c r="S227" s="576"/>
      <c r="T227" s="576"/>
      <c r="U227" s="522">
        <f t="shared" si="301"/>
        <v>776720.96</v>
      </c>
      <c r="V227" s="522">
        <f t="shared" si="311"/>
        <v>776720.96</v>
      </c>
      <c r="W227" s="522">
        <v>0</v>
      </c>
      <c r="X227" s="522">
        <f t="shared" si="315"/>
        <v>-679910.29</v>
      </c>
      <c r="Y227" s="522">
        <f t="shared" si="316"/>
        <v>-46.67689849438559</v>
      </c>
      <c r="Z227" s="524">
        <f t="shared" si="317"/>
        <v>555737.85</v>
      </c>
      <c r="AA227" s="522">
        <f t="shared" si="318"/>
        <v>555737.85</v>
      </c>
      <c r="AB227" s="522">
        <v>0</v>
      </c>
      <c r="AC227" s="522">
        <f t="shared" si="319"/>
        <v>-220983.11</v>
      </c>
      <c r="AD227" s="522">
        <f t="shared" si="320"/>
        <v>-28.450772076499646</v>
      </c>
      <c r="AE227" s="522">
        <f t="shared" si="321"/>
        <v>-900893.4</v>
      </c>
      <c r="AF227" s="522">
        <f t="shared" si="322"/>
        <v>-61.847732567868505</v>
      </c>
      <c r="AG227" s="522">
        <f t="shared" si="337"/>
        <v>535880.5</v>
      </c>
      <c r="AH227" s="522">
        <f t="shared" si="323"/>
        <v>-240840.45999999996</v>
      </c>
      <c r="AI227" s="522">
        <f t="shared" si="324"/>
        <v>-31.007333701925589</v>
      </c>
      <c r="AJ227" s="522">
        <f t="shared" si="325"/>
        <v>-19857.349999999977</v>
      </c>
      <c r="AK227" s="522">
        <f t="shared" si="343"/>
        <v>-3.5731505421126144</v>
      </c>
      <c r="AL227" s="522">
        <f t="shared" si="302"/>
        <v>535880.5</v>
      </c>
      <c r="AM227" s="522">
        <f t="shared" si="342"/>
        <v>380000</v>
      </c>
      <c r="AN227" s="522">
        <f t="shared" si="342"/>
        <v>159016.89000000001</v>
      </c>
      <c r="AO227" s="522">
        <f t="shared" si="326"/>
        <v>-220983.11</v>
      </c>
      <c r="AP227" s="522">
        <f t="shared" si="338"/>
        <v>-58.153449999999992</v>
      </c>
      <c r="AQ227" s="578">
        <v>190000</v>
      </c>
      <c r="AR227" s="578">
        <v>141058.45000000001</v>
      </c>
      <c r="AS227" s="578">
        <v>190000</v>
      </c>
      <c r="AT227" s="578">
        <v>17958.440000000002</v>
      </c>
      <c r="AU227" s="578">
        <f t="shared" si="347"/>
        <v>396720.95999999996</v>
      </c>
      <c r="AV227" s="578">
        <f t="shared" si="347"/>
        <v>396720.95999999996</v>
      </c>
      <c r="AW227" s="578">
        <f t="shared" si="327"/>
        <v>0</v>
      </c>
      <c r="AX227" s="578">
        <f t="shared" si="328"/>
        <v>0</v>
      </c>
      <c r="AY227" s="578">
        <f t="shared" si="349"/>
        <v>376863.61</v>
      </c>
      <c r="AZ227" s="578">
        <f t="shared" si="329"/>
        <v>19857.349999999977</v>
      </c>
      <c r="BA227" s="578">
        <f t="shared" si="330"/>
        <v>5.2691078345293221</v>
      </c>
      <c r="BB227" s="578">
        <v>206720.96</v>
      </c>
      <c r="BC227" s="576">
        <f>'[67]Дир_ имущ'!AT30</f>
        <v>206720.96</v>
      </c>
      <c r="BD227" s="576">
        <f t="shared" si="303"/>
        <v>159697.79999999999</v>
      </c>
      <c r="BE227" s="576">
        <f t="shared" si="331"/>
        <v>-47023.16</v>
      </c>
      <c r="BF227" s="576">
        <f t="shared" si="332"/>
        <v>-47023.16</v>
      </c>
      <c r="BG227" s="576">
        <f t="shared" si="312"/>
        <v>586720.96</v>
      </c>
      <c r="BH227" s="578">
        <f t="shared" si="312"/>
        <v>365737.85</v>
      </c>
      <c r="BI227" s="578">
        <f>307414.69+11300</f>
        <v>318714.69</v>
      </c>
      <c r="BJ227" s="578">
        <f t="shared" si="333"/>
        <v>-268006.26999999996</v>
      </c>
      <c r="BK227" s="578">
        <f t="shared" si="334"/>
        <v>-47023.159999999974</v>
      </c>
      <c r="BL227" s="576">
        <v>190000</v>
      </c>
      <c r="BM227" s="578">
        <f>'[67]Дир_ имущ'!AW30</f>
        <v>190000</v>
      </c>
      <c r="BN227" s="522">
        <f t="shared" si="304"/>
        <v>217165.81</v>
      </c>
      <c r="BO227" s="578">
        <f t="shared" si="339"/>
        <v>27165.809999999998</v>
      </c>
      <c r="BP227" s="578">
        <f t="shared" si="335"/>
        <v>27165.809999999998</v>
      </c>
      <c r="BQ227" s="576">
        <v>190000</v>
      </c>
      <c r="BR227" s="578">
        <f>'[67]Дир_ имущ'!BB30</f>
        <v>0</v>
      </c>
      <c r="BS227" s="578">
        <f>'[67]Дир_ имущ'!BC30</f>
        <v>0</v>
      </c>
      <c r="BT227" s="536"/>
      <c r="BU227" s="578">
        <v>425080.5</v>
      </c>
      <c r="BV227" s="578">
        <v>110800</v>
      </c>
      <c r="BW227" s="578"/>
      <c r="BX227" s="574"/>
      <c r="BY227" s="525">
        <f>405758.35+110800</f>
        <v>516558.35</v>
      </c>
      <c r="BZ227" s="525">
        <v>14954.82</v>
      </c>
      <c r="CA227" s="525">
        <v>4367.33</v>
      </c>
      <c r="CB227" s="522">
        <f t="shared" si="308"/>
        <v>535880.49999999988</v>
      </c>
      <c r="CC227" s="522">
        <f t="shared" si="336"/>
        <v>0</v>
      </c>
      <c r="CD227" s="578"/>
      <c r="CE227" s="578"/>
      <c r="CF227" s="578"/>
      <c r="CG227" s="578"/>
      <c r="CH227" s="578"/>
      <c r="CI227" s="578"/>
      <c r="CJ227" s="578"/>
      <c r="CK227" s="543" t="s">
        <v>1815</v>
      </c>
      <c r="CL227" s="543" t="s">
        <v>1816</v>
      </c>
      <c r="CM227" s="509" t="s">
        <v>1925</v>
      </c>
      <c r="CN227" s="528"/>
      <c r="CO227" s="528"/>
      <c r="CP227" s="544">
        <f t="shared" si="344"/>
        <v>716618.64185627166</v>
      </c>
      <c r="CQ227" s="544">
        <f t="shared" si="345"/>
        <v>52637.97715153615</v>
      </c>
      <c r="CR227" s="544">
        <f t="shared" si="346"/>
        <v>7464.3409921922776</v>
      </c>
      <c r="CS227" s="1688" t="s">
        <v>1826</v>
      </c>
      <c r="CT227" s="1689"/>
      <c r="CU227" s="1689"/>
      <c r="CV227" s="1689"/>
      <c r="CW227" s="1690"/>
      <c r="CX227" s="528"/>
      <c r="CY227" s="528"/>
      <c r="CZ227" s="528"/>
      <c r="DA227" s="528"/>
      <c r="DB227" s="579">
        <f>140658.45+400</f>
        <v>141058.45000000001</v>
      </c>
      <c r="DC227" s="628" t="e">
        <f>P227-#REF!</f>
        <v>#REF!</v>
      </c>
      <c r="DD227" s="535"/>
      <c r="DE227" s="535"/>
      <c r="DF227" s="525">
        <f t="shared" si="350"/>
        <v>516.55835000000002</v>
      </c>
      <c r="DG227" s="525">
        <f t="shared" si="350"/>
        <v>14.95482</v>
      </c>
      <c r="DH227" s="525">
        <f t="shared" si="350"/>
        <v>4.3673299999999999</v>
      </c>
      <c r="DI227" s="522">
        <f t="shared" si="348"/>
        <v>535.88049999999987</v>
      </c>
      <c r="DJ227" s="536"/>
      <c r="DK227" s="536"/>
      <c r="DL227" s="536"/>
      <c r="DM227" s="536"/>
      <c r="DN227" s="536"/>
      <c r="DO227" s="536"/>
      <c r="DP227" s="536"/>
      <c r="DQ227" s="536"/>
      <c r="DR227" s="536"/>
      <c r="DS227" s="536"/>
    </row>
    <row r="228" spans="1:123" s="534" customFormat="1" ht="84.6">
      <c r="A228" s="537" t="s">
        <v>960</v>
      </c>
      <c r="B228" s="538" t="s">
        <v>961</v>
      </c>
      <c r="C228" s="576"/>
      <c r="D228" s="576"/>
      <c r="E228" s="576">
        <v>120000</v>
      </c>
      <c r="F228" s="576">
        <v>120000</v>
      </c>
      <c r="G228" s="577">
        <v>0</v>
      </c>
      <c r="H228" s="577">
        <v>0</v>
      </c>
      <c r="I228" s="576">
        <f t="shared" si="298"/>
        <v>626849.31000000006</v>
      </c>
      <c r="J228" s="576">
        <v>366849.31</v>
      </c>
      <c r="K228" s="576">
        <v>130000</v>
      </c>
      <c r="L228" s="576">
        <v>130000</v>
      </c>
      <c r="M228" s="576">
        <f t="shared" si="299"/>
        <v>496849.31</v>
      </c>
      <c r="N228" s="576">
        <v>572465.75</v>
      </c>
      <c r="O228" s="525">
        <f t="shared" si="300"/>
        <v>205616.43999999994</v>
      </c>
      <c r="P228" s="522">
        <v>778082.19</v>
      </c>
      <c r="Q228" s="576">
        <f t="shared" si="313"/>
        <v>151232.87999999989</v>
      </c>
      <c r="R228" s="576">
        <f t="shared" si="314"/>
        <v>24.12587484542334</v>
      </c>
      <c r="S228" s="576"/>
      <c r="T228" s="576"/>
      <c r="U228" s="522">
        <f t="shared" si="301"/>
        <v>520000</v>
      </c>
      <c r="V228" s="522">
        <f t="shared" si="311"/>
        <v>520000</v>
      </c>
      <c r="W228" s="522">
        <v>0</v>
      </c>
      <c r="X228" s="522">
        <f t="shared" si="315"/>
        <v>-258082.18999999994</v>
      </c>
      <c r="Y228" s="522">
        <f t="shared" si="316"/>
        <v>-33.16901393154879</v>
      </c>
      <c r="Z228" s="524">
        <f t="shared" si="317"/>
        <v>561917.81000000006</v>
      </c>
      <c r="AA228" s="522">
        <f t="shared" si="318"/>
        <v>561917.81000000006</v>
      </c>
      <c r="AB228" s="522">
        <v>0</v>
      </c>
      <c r="AC228" s="522">
        <f t="shared" si="319"/>
        <v>41917.810000000056</v>
      </c>
      <c r="AD228" s="522">
        <f t="shared" si="320"/>
        <v>8.0611173076923279</v>
      </c>
      <c r="AE228" s="522">
        <f t="shared" si="321"/>
        <v>-216164.37999999989</v>
      </c>
      <c r="AF228" s="522">
        <f t="shared" si="322"/>
        <v>-27.78168974668344</v>
      </c>
      <c r="AG228" s="522">
        <f t="shared" si="337"/>
        <v>561917.81000000006</v>
      </c>
      <c r="AH228" s="522">
        <f t="shared" si="323"/>
        <v>41917.810000000056</v>
      </c>
      <c r="AI228" s="522">
        <f t="shared" si="324"/>
        <v>8.0611173076923279</v>
      </c>
      <c r="AJ228" s="522">
        <f t="shared" si="325"/>
        <v>0</v>
      </c>
      <c r="AK228" s="522">
        <f t="shared" si="343"/>
        <v>0</v>
      </c>
      <c r="AL228" s="522">
        <f t="shared" si="302"/>
        <v>561917.81000000006</v>
      </c>
      <c r="AM228" s="522">
        <f t="shared" si="342"/>
        <v>260000</v>
      </c>
      <c r="AN228" s="522">
        <f t="shared" si="342"/>
        <v>301917.81</v>
      </c>
      <c r="AO228" s="522">
        <f t="shared" si="326"/>
        <v>41917.81</v>
      </c>
      <c r="AP228" s="522">
        <f t="shared" si="338"/>
        <v>16.122234615384627</v>
      </c>
      <c r="AQ228" s="578">
        <v>130000</v>
      </c>
      <c r="AR228" s="578">
        <v>171917.81</v>
      </c>
      <c r="AS228" s="578">
        <v>130000</v>
      </c>
      <c r="AT228" s="578">
        <v>130000</v>
      </c>
      <c r="AU228" s="578">
        <f t="shared" si="347"/>
        <v>260000</v>
      </c>
      <c r="AV228" s="578">
        <f t="shared" si="347"/>
        <v>260000</v>
      </c>
      <c r="AW228" s="578">
        <f t="shared" si="327"/>
        <v>0</v>
      </c>
      <c r="AX228" s="578">
        <f t="shared" si="328"/>
        <v>0</v>
      </c>
      <c r="AY228" s="578">
        <f t="shared" si="349"/>
        <v>260000.00000000006</v>
      </c>
      <c r="AZ228" s="578">
        <f t="shared" si="329"/>
        <v>0</v>
      </c>
      <c r="BA228" s="578">
        <f t="shared" si="330"/>
        <v>0</v>
      </c>
      <c r="BB228" s="578">
        <v>130000</v>
      </c>
      <c r="BC228" s="576">
        <f>'[67]Дир_по корп'!AT46</f>
        <v>130000</v>
      </c>
      <c r="BD228" s="576">
        <f t="shared" si="303"/>
        <v>130000</v>
      </c>
      <c r="BE228" s="576">
        <f t="shared" si="331"/>
        <v>0</v>
      </c>
      <c r="BF228" s="576">
        <f t="shared" si="332"/>
        <v>0</v>
      </c>
      <c r="BG228" s="576">
        <f t="shared" si="312"/>
        <v>390000</v>
      </c>
      <c r="BH228" s="578">
        <f t="shared" si="312"/>
        <v>431917.81</v>
      </c>
      <c r="BI228" s="578">
        <v>431917.81</v>
      </c>
      <c r="BJ228" s="578">
        <f t="shared" si="333"/>
        <v>41917.81</v>
      </c>
      <c r="BK228" s="578">
        <f t="shared" si="334"/>
        <v>0</v>
      </c>
      <c r="BL228" s="576">
        <v>130000</v>
      </c>
      <c r="BM228" s="578">
        <f>'[67]Дир_по корп'!AW46</f>
        <v>130000</v>
      </c>
      <c r="BN228" s="522">
        <f t="shared" si="304"/>
        <v>130000.00000000006</v>
      </c>
      <c r="BO228" s="578">
        <f t="shared" si="339"/>
        <v>0</v>
      </c>
      <c r="BP228" s="578">
        <f t="shared" si="335"/>
        <v>0</v>
      </c>
      <c r="BQ228" s="576">
        <v>130000</v>
      </c>
      <c r="BR228" s="578">
        <f>'[67]Дир_по корп'!BB46</f>
        <v>0</v>
      </c>
      <c r="BS228" s="578">
        <f>'[67]Дир_по корп'!BC46</f>
        <v>0</v>
      </c>
      <c r="BT228" s="536"/>
      <c r="BU228" s="578">
        <v>561917.81000000006</v>
      </c>
      <c r="BV228" s="578"/>
      <c r="BW228" s="578"/>
      <c r="BX228" s="574"/>
      <c r="BY228" s="525">
        <v>561866.86</v>
      </c>
      <c r="BZ228" s="525">
        <v>40.119999999999997</v>
      </c>
      <c r="CA228" s="525">
        <v>10.83</v>
      </c>
      <c r="CB228" s="522">
        <f t="shared" si="308"/>
        <v>561917.80999999994</v>
      </c>
      <c r="CC228" s="522">
        <f t="shared" si="336"/>
        <v>0</v>
      </c>
      <c r="CD228" s="578"/>
      <c r="CE228" s="578"/>
      <c r="CF228" s="578"/>
      <c r="CG228" s="578"/>
      <c r="CH228" s="578"/>
      <c r="CI228" s="578"/>
      <c r="CJ228" s="578"/>
      <c r="CK228" s="543" t="s">
        <v>80</v>
      </c>
      <c r="CL228" s="543" t="s">
        <v>1821</v>
      </c>
      <c r="CM228" s="509" t="s">
        <v>1925</v>
      </c>
      <c r="CN228" s="528" t="s">
        <v>1849</v>
      </c>
      <c r="CO228" s="528"/>
      <c r="CP228" s="544">
        <f t="shared" si="344"/>
        <v>479762.63414503611</v>
      </c>
      <c r="CQ228" s="544">
        <f t="shared" si="345"/>
        <v>35240.130662624062</v>
      </c>
      <c r="CR228" s="544">
        <f t="shared" si="346"/>
        <v>4997.2351923398392</v>
      </c>
      <c r="CS228" s="1688" t="s">
        <v>1826</v>
      </c>
      <c r="CT228" s="1689"/>
      <c r="CU228" s="1689"/>
      <c r="CV228" s="1689"/>
      <c r="CW228" s="1690"/>
      <c r="CX228" s="528"/>
      <c r="CY228" s="528"/>
      <c r="CZ228" s="528"/>
      <c r="DA228" s="528"/>
      <c r="DB228" s="579">
        <f>171917.81</f>
        <v>171917.81</v>
      </c>
      <c r="DC228" s="628" t="e">
        <f>P228-#REF!</f>
        <v>#REF!</v>
      </c>
      <c r="DD228" s="535"/>
      <c r="DE228" s="535"/>
      <c r="DF228" s="525">
        <f t="shared" si="350"/>
        <v>561.86685999999997</v>
      </c>
      <c r="DG228" s="525">
        <f t="shared" si="350"/>
        <v>4.0119999999999996E-2</v>
      </c>
      <c r="DH228" s="525">
        <f t="shared" si="350"/>
        <v>1.0829999999999999E-2</v>
      </c>
      <c r="DI228" s="522">
        <f t="shared" si="348"/>
        <v>561.91780999999992</v>
      </c>
      <c r="DJ228" s="536"/>
      <c r="DK228" s="536"/>
      <c r="DL228" s="536"/>
      <c r="DM228" s="536"/>
      <c r="DN228" s="536"/>
      <c r="DO228" s="536"/>
      <c r="DP228" s="536"/>
      <c r="DQ228" s="536"/>
      <c r="DR228" s="536"/>
      <c r="DS228" s="536"/>
    </row>
    <row r="229" spans="1:123" s="534" customFormat="1" ht="84.6">
      <c r="A229" s="537" t="s">
        <v>964</v>
      </c>
      <c r="B229" s="538" t="s">
        <v>1946</v>
      </c>
      <c r="C229" s="576"/>
      <c r="D229" s="576"/>
      <c r="E229" s="576"/>
      <c r="F229" s="576"/>
      <c r="G229" s="577">
        <v>0</v>
      </c>
      <c r="H229" s="577">
        <v>0</v>
      </c>
      <c r="I229" s="576">
        <f t="shared" si="298"/>
        <v>3443223.1399999997</v>
      </c>
      <c r="J229" s="576">
        <v>0</v>
      </c>
      <c r="K229" s="576">
        <v>1960317.63</v>
      </c>
      <c r="L229" s="576">
        <v>1482905.51</v>
      </c>
      <c r="M229" s="576">
        <f t="shared" si="299"/>
        <v>1960317.63</v>
      </c>
      <c r="N229" s="576">
        <v>2021470.3</v>
      </c>
      <c r="O229" s="525">
        <f t="shared" si="300"/>
        <v>1095085.1199999999</v>
      </c>
      <c r="P229" s="522">
        <v>3116555.42</v>
      </c>
      <c r="Q229" s="576">
        <f t="shared" si="313"/>
        <v>-326667.71999999974</v>
      </c>
      <c r="R229" s="576">
        <f t="shared" si="314"/>
        <v>-9.4872654695274719</v>
      </c>
      <c r="S229" s="576"/>
      <c r="T229" s="576"/>
      <c r="U229" s="522">
        <f t="shared" si="301"/>
        <v>2832753.71</v>
      </c>
      <c r="V229" s="522">
        <f t="shared" si="311"/>
        <v>2832753.71</v>
      </c>
      <c r="W229" s="522">
        <v>0</v>
      </c>
      <c r="X229" s="522">
        <f t="shared" si="315"/>
        <v>-283801.70999999996</v>
      </c>
      <c r="Y229" s="522">
        <f t="shared" si="316"/>
        <v>-9.1062622592477425</v>
      </c>
      <c r="Z229" s="524">
        <f t="shared" si="317"/>
        <v>2832753.71</v>
      </c>
      <c r="AA229" s="522">
        <f t="shared" si="318"/>
        <v>2832753.71</v>
      </c>
      <c r="AB229" s="522">
        <v>0</v>
      </c>
      <c r="AC229" s="522">
        <f t="shared" si="319"/>
        <v>0</v>
      </c>
      <c r="AD229" s="522">
        <f t="shared" si="320"/>
        <v>0</v>
      </c>
      <c r="AE229" s="522">
        <f t="shared" si="321"/>
        <v>-283801.70999999996</v>
      </c>
      <c r="AF229" s="522">
        <f t="shared" si="322"/>
        <v>-9.1062622592477425</v>
      </c>
      <c r="AG229" s="522">
        <f t="shared" si="337"/>
        <v>2826226.26</v>
      </c>
      <c r="AH229" s="522">
        <f t="shared" si="323"/>
        <v>-6527.4500000001863</v>
      </c>
      <c r="AI229" s="522">
        <f t="shared" si="324"/>
        <v>-0.23042772751324492</v>
      </c>
      <c r="AJ229" s="522">
        <f t="shared" si="325"/>
        <v>-6527.4500000001863</v>
      </c>
      <c r="AK229" s="522">
        <f t="shared" si="343"/>
        <v>-0.23042772751324492</v>
      </c>
      <c r="AL229" s="522">
        <f>SUM(BU229:BV229)</f>
        <v>2826226.26</v>
      </c>
      <c r="AM229" s="522">
        <f t="shared" si="342"/>
        <v>1762799.12</v>
      </c>
      <c r="AN229" s="522">
        <f t="shared" si="342"/>
        <v>2021470.31</v>
      </c>
      <c r="AO229" s="522">
        <f t="shared" si="326"/>
        <v>258671.18999999994</v>
      </c>
      <c r="AP229" s="522">
        <f t="shared" si="338"/>
        <v>14.673889217734583</v>
      </c>
      <c r="AQ229" s="578">
        <v>0</v>
      </c>
      <c r="AR229" s="578">
        <v>0</v>
      </c>
      <c r="AS229" s="578">
        <v>1762799.12</v>
      </c>
      <c r="AT229" s="578">
        <v>2021470.31</v>
      </c>
      <c r="AU229" s="578">
        <f t="shared" si="347"/>
        <v>1069954.5900000001</v>
      </c>
      <c r="AV229" s="578">
        <f t="shared" si="347"/>
        <v>811283.4</v>
      </c>
      <c r="AW229" s="578">
        <f t="shared" si="327"/>
        <v>-258671.19000000006</v>
      </c>
      <c r="AX229" s="578">
        <f t="shared" si="328"/>
        <v>-24.175903577365844</v>
      </c>
      <c r="AY229" s="578">
        <f t="shared" si="349"/>
        <v>804755.94999999972</v>
      </c>
      <c r="AZ229" s="578">
        <f t="shared" si="329"/>
        <v>6527.4500000003027</v>
      </c>
      <c r="BA229" s="578">
        <f t="shared" si="330"/>
        <v>0.81110925616644636</v>
      </c>
      <c r="BB229" s="578">
        <v>1004555.5</v>
      </c>
      <c r="BC229" s="576">
        <f>'[67]Гл инж_Тех дир'!AT112</f>
        <v>811283.4</v>
      </c>
      <c r="BD229" s="576">
        <f t="shared" si="303"/>
        <v>804755.94999999972</v>
      </c>
      <c r="BE229" s="576">
        <f t="shared" si="331"/>
        <v>-199799.55000000028</v>
      </c>
      <c r="BF229" s="576">
        <f t="shared" si="332"/>
        <v>-6527.4500000003027</v>
      </c>
      <c r="BG229" s="576">
        <f t="shared" si="312"/>
        <v>2767354.62</v>
      </c>
      <c r="BH229" s="578">
        <f t="shared" si="312"/>
        <v>2832753.71</v>
      </c>
      <c r="BI229" s="578">
        <v>2826226.26</v>
      </c>
      <c r="BJ229" s="578">
        <f t="shared" si="333"/>
        <v>58871.639999999665</v>
      </c>
      <c r="BK229" s="578">
        <f t="shared" si="334"/>
        <v>-6527.4500000001863</v>
      </c>
      <c r="BL229" s="576">
        <v>65399.09</v>
      </c>
      <c r="BM229" s="578">
        <f>'[67]Гл инж_Тех дир'!AW112</f>
        <v>0</v>
      </c>
      <c r="BN229" s="522">
        <f t="shared" si="304"/>
        <v>0</v>
      </c>
      <c r="BO229" s="578">
        <f t="shared" si="339"/>
        <v>-65399.09</v>
      </c>
      <c r="BP229" s="578">
        <f t="shared" si="335"/>
        <v>0</v>
      </c>
      <c r="BQ229" s="576">
        <v>65399.09</v>
      </c>
      <c r="BR229" s="578">
        <f>'[67]Гл инж_Тех дир'!BB112</f>
        <v>0</v>
      </c>
      <c r="BS229" s="578">
        <f>'[67]Гл инж_Тех дир'!BC112</f>
        <v>0</v>
      </c>
      <c r="BT229" s="536"/>
      <c r="BU229" s="578">
        <v>2826226.26</v>
      </c>
      <c r="BV229" s="578"/>
      <c r="BW229" s="578"/>
      <c r="BX229" s="574"/>
      <c r="BY229" s="525">
        <v>2823809.34</v>
      </c>
      <c r="BZ229" s="525">
        <v>2388.4299999999998</v>
      </c>
      <c r="CA229" s="525">
        <v>28.49</v>
      </c>
      <c r="CB229" s="522">
        <f t="shared" si="308"/>
        <v>2826226.2600000002</v>
      </c>
      <c r="CC229" s="522">
        <f t="shared" si="336"/>
        <v>0</v>
      </c>
      <c r="CD229" s="578"/>
      <c r="CE229" s="578"/>
      <c r="CF229" s="578"/>
      <c r="CG229" s="578"/>
      <c r="CH229" s="578"/>
      <c r="CI229" s="578"/>
      <c r="CJ229" s="578"/>
      <c r="CK229" s="542" t="s">
        <v>79</v>
      </c>
      <c r="CL229" s="543" t="s">
        <v>1931</v>
      </c>
      <c r="CM229" s="509" t="s">
        <v>1925</v>
      </c>
      <c r="CN229" s="528"/>
      <c r="CO229" s="528"/>
      <c r="CP229" s="544">
        <f t="shared" si="344"/>
        <v>2613556.5034494684</v>
      </c>
      <c r="CQ229" s="544">
        <f t="shared" si="345"/>
        <v>191974.25168352516</v>
      </c>
      <c r="CR229" s="544">
        <f t="shared" si="346"/>
        <v>27222.954867006236</v>
      </c>
      <c r="CS229" s="1688" t="s">
        <v>1826</v>
      </c>
      <c r="CT229" s="1689"/>
      <c r="CU229" s="1689"/>
      <c r="CV229" s="1689"/>
      <c r="CW229" s="1690"/>
      <c r="CX229" s="528"/>
      <c r="CY229" s="528"/>
      <c r="CZ229" s="528"/>
      <c r="DA229" s="528"/>
      <c r="DB229" s="579"/>
      <c r="DC229" s="628" t="e">
        <f>P229-#REF!</f>
        <v>#REF!</v>
      </c>
      <c r="DD229" s="535"/>
      <c r="DE229" s="535"/>
      <c r="DF229" s="525">
        <f t="shared" si="350"/>
        <v>2823.8093399999998</v>
      </c>
      <c r="DG229" s="525">
        <f t="shared" si="350"/>
        <v>2.3884300000000001</v>
      </c>
      <c r="DH229" s="525">
        <f t="shared" si="350"/>
        <v>2.8489999999999998E-2</v>
      </c>
      <c r="DI229" s="522">
        <f t="shared" si="348"/>
        <v>2826.2262600000004</v>
      </c>
      <c r="DJ229" s="536"/>
      <c r="DK229" s="536"/>
      <c r="DL229" s="536"/>
      <c r="DM229" s="536"/>
      <c r="DN229" s="536"/>
      <c r="DO229" s="536"/>
      <c r="DP229" s="536"/>
      <c r="DQ229" s="536"/>
      <c r="DR229" s="536"/>
      <c r="DS229" s="536"/>
    </row>
    <row r="230" spans="1:123" ht="55.2">
      <c r="A230" s="505" t="s">
        <v>1947</v>
      </c>
      <c r="B230" s="506" t="s">
        <v>1948</v>
      </c>
      <c r="C230" s="580">
        <f t="shared" ref="C230:T230" si="351">SUM(C231:C237)</f>
        <v>8008037.5999999996</v>
      </c>
      <c r="D230" s="580">
        <f t="shared" si="351"/>
        <v>8274609.6899999995</v>
      </c>
      <c r="E230" s="594">
        <f t="shared" si="351"/>
        <v>32826983.390000001</v>
      </c>
      <c r="F230" s="594">
        <f t="shared" si="351"/>
        <v>23030544.579999998</v>
      </c>
      <c r="G230" s="580">
        <f t="shared" si="351"/>
        <v>22999781.28876204</v>
      </c>
      <c r="H230" s="580">
        <f t="shared" si="351"/>
        <v>0</v>
      </c>
      <c r="I230" s="580">
        <f t="shared" si="351"/>
        <v>34686420.439999998</v>
      </c>
      <c r="J230" s="580">
        <f t="shared" si="351"/>
        <v>14905948.59</v>
      </c>
      <c r="K230" s="580">
        <f t="shared" si="351"/>
        <v>10066088.279999999</v>
      </c>
      <c r="L230" s="580">
        <f t="shared" si="351"/>
        <v>9714383.5700000003</v>
      </c>
      <c r="M230" s="580">
        <f t="shared" si="351"/>
        <v>24972036.870000001</v>
      </c>
      <c r="N230" s="580">
        <f t="shared" si="351"/>
        <v>22257652.82</v>
      </c>
      <c r="O230" s="580">
        <f>SUM(O231:O237)</f>
        <v>17179024.189999998</v>
      </c>
      <c r="P230" s="580">
        <f>SUM(P231:P237)</f>
        <v>39436677.009999998</v>
      </c>
      <c r="Q230" s="580">
        <f t="shared" si="313"/>
        <v>4750256.57</v>
      </c>
      <c r="R230" s="580">
        <f t="shared" si="314"/>
        <v>13.694859572543436</v>
      </c>
      <c r="S230" s="580">
        <f t="shared" si="351"/>
        <v>49202400</v>
      </c>
      <c r="T230" s="580">
        <f t="shared" si="351"/>
        <v>49202400</v>
      </c>
      <c r="U230" s="580">
        <f>SUM(U231:U237)</f>
        <v>46966102.130000003</v>
      </c>
      <c r="V230" s="580">
        <f t="shared" si="311"/>
        <v>-2236297.8699999973</v>
      </c>
      <c r="W230" s="580">
        <f t="shared" si="340"/>
        <v>-4.5450991618294978</v>
      </c>
      <c r="X230" s="580">
        <f t="shared" si="315"/>
        <v>7529425.1200000048</v>
      </c>
      <c r="Y230" s="580">
        <f t="shared" si="316"/>
        <v>19.092443103385108</v>
      </c>
      <c r="Z230" s="580">
        <f t="shared" si="317"/>
        <v>47130047.805652514</v>
      </c>
      <c r="AA230" s="580">
        <f t="shared" si="318"/>
        <v>-2072352.1943474859</v>
      </c>
      <c r="AB230" s="580">
        <f t="shared" si="341"/>
        <v>-4.2118924978202017</v>
      </c>
      <c r="AC230" s="580">
        <f t="shared" si="319"/>
        <v>163945.67565251142</v>
      </c>
      <c r="AD230" s="580">
        <f t="shared" si="320"/>
        <v>0.3490723483901661</v>
      </c>
      <c r="AE230" s="580">
        <f t="shared" si="321"/>
        <v>7693370.7956525162</v>
      </c>
      <c r="AF230" s="580">
        <f t="shared" si="322"/>
        <v>19.508161891281304</v>
      </c>
      <c r="AG230" s="580">
        <f t="shared" si="337"/>
        <v>46551236.009999998</v>
      </c>
      <c r="AH230" s="580">
        <f t="shared" si="323"/>
        <v>-414866.12000000477</v>
      </c>
      <c r="AI230" s="580">
        <f t="shared" si="324"/>
        <v>-0.88333095825511521</v>
      </c>
      <c r="AJ230" s="580">
        <f t="shared" si="325"/>
        <v>-578811.79565251619</v>
      </c>
      <c r="AK230" s="580">
        <f t="shared" si="343"/>
        <v>-1.2281162922629107</v>
      </c>
      <c r="AL230" s="580">
        <f>SUM(AL231:AL237)</f>
        <v>46551236.00999999</v>
      </c>
      <c r="AM230" s="580">
        <f t="shared" si="342"/>
        <v>18609027.709999997</v>
      </c>
      <c r="AN230" s="580">
        <f t="shared" si="342"/>
        <v>18471686.73</v>
      </c>
      <c r="AO230" s="580">
        <f t="shared" si="326"/>
        <v>-137340.97999999672</v>
      </c>
      <c r="AP230" s="580">
        <f t="shared" si="338"/>
        <v>-0.73803415277947693</v>
      </c>
      <c r="AQ230" s="580">
        <f>SUM(AQ231:AQ237)</f>
        <v>9406025.7299999986</v>
      </c>
      <c r="AR230" s="580">
        <f>SUM(AR231:AR237)</f>
        <v>9212555.1899999995</v>
      </c>
      <c r="AS230" s="580">
        <f>SUM(AS231:AS237)</f>
        <v>9203001.9799999986</v>
      </c>
      <c r="AT230" s="580">
        <f>SUM(AT231:AT237)</f>
        <v>9259131.540000001</v>
      </c>
      <c r="AU230" s="580">
        <f t="shared" si="347"/>
        <v>28357074.419999998</v>
      </c>
      <c r="AV230" s="580">
        <f t="shared" si="347"/>
        <v>28658361.075652514</v>
      </c>
      <c r="AW230" s="580">
        <f t="shared" si="327"/>
        <v>301286.65565251559</v>
      </c>
      <c r="AX230" s="580">
        <f t="shared" si="328"/>
        <v>1.0624743977115685</v>
      </c>
      <c r="AY230" s="580">
        <f t="shared" si="349"/>
        <v>28079549.279999997</v>
      </c>
      <c r="AZ230" s="580">
        <f t="shared" si="329"/>
        <v>578811.79565251619</v>
      </c>
      <c r="BA230" s="580">
        <f t="shared" si="330"/>
        <v>2.061328655530744</v>
      </c>
      <c r="BB230" s="580">
        <f t="shared" ref="BB230:BN230" si="352">SUM(BB231:BB237)</f>
        <v>9091530.8299999982</v>
      </c>
      <c r="BC230" s="580">
        <f t="shared" si="352"/>
        <v>9221917.0891810879</v>
      </c>
      <c r="BD230" s="580">
        <f t="shared" si="352"/>
        <v>9100642.5599999987</v>
      </c>
      <c r="BE230" s="580">
        <f t="shared" si="331"/>
        <v>9111.730000000447</v>
      </c>
      <c r="BF230" s="580">
        <f t="shared" si="332"/>
        <v>-121274.52918108925</v>
      </c>
      <c r="BG230" s="580">
        <f t="shared" si="312"/>
        <v>27700558.539999995</v>
      </c>
      <c r="BH230" s="580">
        <f t="shared" si="352"/>
        <v>27693603.819181088</v>
      </c>
      <c r="BI230" s="580">
        <f t="shared" si="352"/>
        <v>27572329.289999999</v>
      </c>
      <c r="BJ230" s="580">
        <f t="shared" si="333"/>
        <v>-128229.24999999627</v>
      </c>
      <c r="BK230" s="580">
        <f t="shared" si="334"/>
        <v>-121274.52918108925</v>
      </c>
      <c r="BL230" s="580">
        <f t="shared" si="352"/>
        <v>19265543.59</v>
      </c>
      <c r="BM230" s="580">
        <f t="shared" si="352"/>
        <v>19436443.986471426</v>
      </c>
      <c r="BN230" s="580">
        <f t="shared" si="352"/>
        <v>18978906.719999999</v>
      </c>
      <c r="BO230" s="580">
        <f t="shared" si="339"/>
        <v>-286636.87000000104</v>
      </c>
      <c r="BP230" s="580">
        <f t="shared" si="335"/>
        <v>-457537.26647142693</v>
      </c>
      <c r="BQ230" s="580">
        <f t="shared" ref="BQ230:BS230" si="353">SUM(BQ231:BQ237)</f>
        <v>19265543.59</v>
      </c>
      <c r="BR230" s="580">
        <f t="shared" si="353"/>
        <v>0</v>
      </c>
      <c r="BS230" s="580">
        <f t="shared" si="353"/>
        <v>0</v>
      </c>
      <c r="BU230" s="580">
        <f>SUM(BU231:BU237)</f>
        <v>45112255.009999998</v>
      </c>
      <c r="BV230" s="580">
        <f t="shared" ref="BV230:BW230" si="354">SUM(BV231:BV237)</f>
        <v>1438981</v>
      </c>
      <c r="BW230" s="580">
        <f t="shared" si="354"/>
        <v>0</v>
      </c>
      <c r="BX230" s="581"/>
      <c r="BY230" s="580">
        <f>SUM(BY231:BY237)</f>
        <v>45265698.190000005</v>
      </c>
      <c r="BZ230" s="580">
        <f>SUM(BZ231:BZ237)</f>
        <v>1185059.8700000001</v>
      </c>
      <c r="CA230" s="580">
        <f>SUM(CA231:CA237)</f>
        <v>100477.95</v>
      </c>
      <c r="CB230" s="580">
        <f>SUM(CB231:CB237)</f>
        <v>46551236.009999998</v>
      </c>
      <c r="CC230" s="580">
        <f t="shared" si="336"/>
        <v>0</v>
      </c>
      <c r="CD230" s="580"/>
      <c r="CE230" s="580"/>
      <c r="CF230" s="580"/>
      <c r="CG230" s="580"/>
      <c r="CH230" s="580"/>
      <c r="CI230" s="580"/>
      <c r="CJ230" s="580"/>
      <c r="CK230" s="508"/>
      <c r="CL230" s="508"/>
      <c r="CM230" s="510"/>
      <c r="CN230" s="510"/>
      <c r="CO230" s="510"/>
      <c r="CP230" s="582">
        <f>SUM(CP231:CP237)</f>
        <v>43331886.295026138</v>
      </c>
      <c r="CQ230" s="582">
        <f>SUM(CQ231:CQ237)</f>
        <v>3182868.4149525892</v>
      </c>
      <c r="CR230" s="582">
        <f>SUM(CR231:CR237)</f>
        <v>451347.42002127523</v>
      </c>
      <c r="CS230" s="1679"/>
      <c r="CT230" s="1680"/>
      <c r="CU230" s="1680"/>
      <c r="CV230" s="1680"/>
      <c r="CW230" s="1681"/>
      <c r="CX230" s="510"/>
      <c r="CY230" s="510"/>
      <c r="CZ230" s="510"/>
      <c r="DA230" s="510"/>
      <c r="DB230" s="582">
        <f>SUM(DB231:DB237)</f>
        <v>9212555.1899999995</v>
      </c>
      <c r="DC230" s="628" t="e">
        <f>P230-#REF!</f>
        <v>#REF!</v>
      </c>
      <c r="DD230" s="517"/>
      <c r="DE230" s="517"/>
      <c r="DF230" s="580">
        <f t="shared" si="350"/>
        <v>45265.698190000003</v>
      </c>
      <c r="DG230" s="580">
        <f t="shared" si="350"/>
        <v>1185.05987</v>
      </c>
      <c r="DH230" s="580">
        <f t="shared" si="350"/>
        <v>100.47794999999999</v>
      </c>
      <c r="DI230" s="580">
        <f t="shared" si="348"/>
        <v>46551.236010000001</v>
      </c>
    </row>
    <row r="231" spans="1:123" s="534" customFormat="1" ht="68.25" customHeight="1">
      <c r="A231" s="598" t="s">
        <v>1949</v>
      </c>
      <c r="B231" s="538" t="s">
        <v>1220</v>
      </c>
      <c r="C231" s="576">
        <v>600243.93999999994</v>
      </c>
      <c r="D231" s="576">
        <v>412642.16</v>
      </c>
      <c r="E231" s="576">
        <v>316450.40000000002</v>
      </c>
      <c r="F231" s="576">
        <v>1276402.75</v>
      </c>
      <c r="G231" s="577">
        <v>434099.5536153164</v>
      </c>
      <c r="H231" s="577">
        <v>0</v>
      </c>
      <c r="I231" s="576">
        <f t="shared" ref="I231:I237" si="355">J231+K231+L231</f>
        <v>4653982.97</v>
      </c>
      <c r="J231" s="576">
        <v>0</v>
      </c>
      <c r="K231" s="576">
        <v>2326994.3199999998</v>
      </c>
      <c r="L231" s="576">
        <v>2326988.65</v>
      </c>
      <c r="M231" s="576">
        <f t="shared" ref="M231:M237" si="356">J231+K231</f>
        <v>2326994.3199999998</v>
      </c>
      <c r="N231" s="576"/>
      <c r="O231" s="525">
        <f t="shared" ref="O231:O237" si="357">P231-N231</f>
        <v>9193961</v>
      </c>
      <c r="P231" s="522">
        <f>6942+9187019</f>
        <v>9193961</v>
      </c>
      <c r="Q231" s="576">
        <f t="shared" si="313"/>
        <v>4539978.03</v>
      </c>
      <c r="R231" s="576">
        <f t="shared" si="314"/>
        <v>97.550379089590876</v>
      </c>
      <c r="S231" s="576">
        <v>8260750</v>
      </c>
      <c r="T231" s="576">
        <v>8260750</v>
      </c>
      <c r="U231" s="522">
        <f t="shared" ref="U231:U237" si="358">AQ231+AS231+BB231+BL231</f>
        <v>9765435.2699999996</v>
      </c>
      <c r="V231" s="522">
        <f t="shared" si="311"/>
        <v>1504685.2699999996</v>
      </c>
      <c r="W231" s="522">
        <f t="shared" si="340"/>
        <v>18.214874799503676</v>
      </c>
      <c r="X231" s="522">
        <f t="shared" si="315"/>
        <v>571474.26999999955</v>
      </c>
      <c r="Y231" s="522">
        <f t="shared" si="316"/>
        <v>6.2157569517643054</v>
      </c>
      <c r="Z231" s="524">
        <f t="shared" si="317"/>
        <v>9780869.2000000011</v>
      </c>
      <c r="AA231" s="522">
        <f t="shared" si="318"/>
        <v>1520119.2000000011</v>
      </c>
      <c r="AB231" s="522">
        <f t="shared" si="341"/>
        <v>18.401709287897589</v>
      </c>
      <c r="AC231" s="522">
        <f t="shared" si="319"/>
        <v>15433.930000001565</v>
      </c>
      <c r="AD231" s="522">
        <f t="shared" si="320"/>
        <v>0.1580465137833329</v>
      </c>
      <c r="AE231" s="522">
        <f t="shared" si="321"/>
        <v>586908.20000000112</v>
      </c>
      <c r="AF231" s="522">
        <f t="shared" si="322"/>
        <v>6.3836272527151294</v>
      </c>
      <c r="AG231" s="522">
        <f t="shared" si="337"/>
        <v>9587691.6400000006</v>
      </c>
      <c r="AH231" s="522">
        <f t="shared" si="323"/>
        <v>-177743.62999999896</v>
      </c>
      <c r="AI231" s="522">
        <f t="shared" si="324"/>
        <v>-1.8201301333289024</v>
      </c>
      <c r="AJ231" s="522">
        <f t="shared" si="325"/>
        <v>-193177.56000000052</v>
      </c>
      <c r="AK231" s="522">
        <f t="shared" si="343"/>
        <v>-1.9750551413160764</v>
      </c>
      <c r="AL231" s="522">
        <f t="shared" ref="AL231:AL238" si="359">SUM(BU231:BV231)</f>
        <v>9587691.6400000006</v>
      </c>
      <c r="AM231" s="522">
        <f t="shared" si="342"/>
        <v>0</v>
      </c>
      <c r="AN231" s="522">
        <f t="shared" si="342"/>
        <v>0</v>
      </c>
      <c r="AO231" s="522">
        <f t="shared" si="326"/>
        <v>0</v>
      </c>
      <c r="AP231" s="522">
        <v>0</v>
      </c>
      <c r="AQ231" s="578">
        <v>0</v>
      </c>
      <c r="AR231" s="578">
        <v>0</v>
      </c>
      <c r="AS231" s="578">
        <v>0</v>
      </c>
      <c r="AT231" s="578">
        <v>0</v>
      </c>
      <c r="AU231" s="578">
        <f t="shared" si="347"/>
        <v>9765435.2699999996</v>
      </c>
      <c r="AV231" s="578">
        <f t="shared" si="347"/>
        <v>9780869.2000000011</v>
      </c>
      <c r="AW231" s="578">
        <f t="shared" si="327"/>
        <v>15433.930000001565</v>
      </c>
      <c r="AX231" s="578">
        <f t="shared" si="328"/>
        <v>0.1580465137833329</v>
      </c>
      <c r="AY231" s="578">
        <f t="shared" si="349"/>
        <v>9587691.6400000006</v>
      </c>
      <c r="AZ231" s="578">
        <f t="shared" si="329"/>
        <v>193177.56000000052</v>
      </c>
      <c r="BA231" s="578">
        <f t="shared" si="330"/>
        <v>2.0148495305591752</v>
      </c>
      <c r="BB231" s="578">
        <v>0</v>
      </c>
      <c r="BC231" s="576">
        <f>'[67]Дир_по экон'!AT28</f>
        <v>0</v>
      </c>
      <c r="BD231" s="576">
        <f t="shared" ref="BD231:BD238" si="360">BI231-AN231</f>
        <v>0</v>
      </c>
      <c r="BE231" s="576">
        <f t="shared" si="331"/>
        <v>0</v>
      </c>
      <c r="BF231" s="576">
        <f t="shared" si="332"/>
        <v>0</v>
      </c>
      <c r="BG231" s="576">
        <f t="shared" si="312"/>
        <v>0</v>
      </c>
      <c r="BH231" s="578">
        <f t="shared" si="312"/>
        <v>0</v>
      </c>
      <c r="BI231" s="578"/>
      <c r="BJ231" s="578">
        <f t="shared" si="333"/>
        <v>0</v>
      </c>
      <c r="BK231" s="578">
        <f t="shared" si="334"/>
        <v>0</v>
      </c>
      <c r="BL231" s="576">
        <v>9765435.2699999996</v>
      </c>
      <c r="BM231" s="578">
        <f>'[67]Дир_по экон'!AW28</f>
        <v>9780869.2000000011</v>
      </c>
      <c r="BN231" s="522">
        <f t="shared" ref="BN231:BN238" si="361">AL231-BI231</f>
        <v>9587691.6400000006</v>
      </c>
      <c r="BO231" s="578">
        <f t="shared" si="339"/>
        <v>-177743.62999999896</v>
      </c>
      <c r="BP231" s="578">
        <f t="shared" si="335"/>
        <v>-193177.56000000052</v>
      </c>
      <c r="BQ231" s="576">
        <v>9765435.2699999996</v>
      </c>
      <c r="BR231" s="578">
        <f>'[67]Дир_по экон'!BB28</f>
        <v>0</v>
      </c>
      <c r="BS231" s="578">
        <f>'[67]Дир_по экон'!BC28</f>
        <v>0</v>
      </c>
      <c r="BT231" s="536"/>
      <c r="BU231" s="578">
        <v>9580749.6400000006</v>
      </c>
      <c r="BV231" s="578">
        <v>6942</v>
      </c>
      <c r="BW231" s="578"/>
      <c r="BX231" s="574"/>
      <c r="BY231" s="525">
        <f>8849539.85+6942</f>
        <v>8856481.8499999996</v>
      </c>
      <c r="BZ231" s="525">
        <v>692887.7</v>
      </c>
      <c r="CA231" s="525">
        <v>38322.089999999997</v>
      </c>
      <c r="CB231" s="522">
        <f t="shared" si="308"/>
        <v>9587691.6399999987</v>
      </c>
      <c r="CC231" s="522">
        <f t="shared" si="336"/>
        <v>0</v>
      </c>
      <c r="CD231" s="578"/>
      <c r="CE231" s="578"/>
      <c r="CF231" s="578"/>
      <c r="CG231" s="578"/>
      <c r="CH231" s="578"/>
      <c r="CI231" s="578"/>
      <c r="CJ231" s="578"/>
      <c r="CK231" s="543" t="s">
        <v>77</v>
      </c>
      <c r="CL231" s="542" t="s">
        <v>1800</v>
      </c>
      <c r="CM231" s="528" t="s">
        <v>1305</v>
      </c>
      <c r="CN231" s="528" t="s">
        <v>1849</v>
      </c>
      <c r="CO231" s="528"/>
      <c r="CP231" s="544">
        <f t="shared" ref="CP231:CP237" si="362">U231*$CU$7/100</f>
        <v>9009790.2859770041</v>
      </c>
      <c r="CQ231" s="544">
        <f t="shared" ref="CQ231:CQ237" si="363">U231*$CU$8/100</f>
        <v>661798.49017730285</v>
      </c>
      <c r="CR231" s="544">
        <f t="shared" ref="CR231:CR237" si="364">U231*$CU$9/100</f>
        <v>93846.493845693651</v>
      </c>
      <c r="CS231" s="1688" t="s">
        <v>1826</v>
      </c>
      <c r="CT231" s="1689"/>
      <c r="CU231" s="1689"/>
      <c r="CV231" s="1689"/>
      <c r="CW231" s="1690"/>
      <c r="CX231" s="528"/>
      <c r="CY231" s="528"/>
      <c r="CZ231" s="528"/>
      <c r="DA231" s="528"/>
      <c r="DB231" s="579"/>
      <c r="DC231" s="628" t="e">
        <f>P231-#REF!</f>
        <v>#REF!</v>
      </c>
      <c r="DD231" s="535"/>
      <c r="DE231" s="535"/>
      <c r="DF231" s="525">
        <f t="shared" si="350"/>
        <v>8856.4818500000001</v>
      </c>
      <c r="DG231" s="525">
        <f t="shared" si="350"/>
        <v>692.8877</v>
      </c>
      <c r="DH231" s="525">
        <f t="shared" si="350"/>
        <v>38.322089999999996</v>
      </c>
      <c r="DI231" s="522">
        <f t="shared" si="348"/>
        <v>9587.6916399999991</v>
      </c>
      <c r="DJ231" s="536"/>
      <c r="DK231" s="536"/>
      <c r="DL231" s="536"/>
      <c r="DM231" s="536"/>
      <c r="DN231" s="536"/>
      <c r="DO231" s="536"/>
      <c r="DP231" s="536"/>
      <c r="DQ231" s="536"/>
      <c r="DR231" s="536"/>
      <c r="DS231" s="536"/>
    </row>
    <row r="232" spans="1:123" s="602" customFormat="1" ht="68.25" customHeight="1">
      <c r="A232" s="598" t="s">
        <v>1224</v>
      </c>
      <c r="B232" s="610" t="s">
        <v>1225</v>
      </c>
      <c r="C232" s="525">
        <v>879069.5</v>
      </c>
      <c r="D232" s="525">
        <v>1812299.65</v>
      </c>
      <c r="E232" s="525">
        <v>936048.31018999999</v>
      </c>
      <c r="F232" s="525">
        <v>935737</v>
      </c>
      <c r="G232" s="596">
        <v>80421.355146722679</v>
      </c>
      <c r="H232" s="596">
        <v>0</v>
      </c>
      <c r="I232" s="525">
        <f t="shared" si="355"/>
        <v>487398.96</v>
      </c>
      <c r="J232" s="525">
        <v>0</v>
      </c>
      <c r="K232" s="525">
        <v>233485.48</v>
      </c>
      <c r="L232" s="525">
        <v>253913.48</v>
      </c>
      <c r="M232" s="525">
        <f t="shared" si="356"/>
        <v>233485.48</v>
      </c>
      <c r="N232" s="525"/>
      <c r="O232" s="525">
        <f t="shared" si="357"/>
        <v>946836</v>
      </c>
      <c r="P232" s="522">
        <v>946836</v>
      </c>
      <c r="Q232" s="525">
        <f t="shared" si="313"/>
        <v>459437.04</v>
      </c>
      <c r="R232" s="525">
        <f t="shared" si="314"/>
        <v>94.263032485748425</v>
      </c>
      <c r="S232" s="576">
        <v>978110</v>
      </c>
      <c r="T232" s="576">
        <v>978110</v>
      </c>
      <c r="U232" s="522">
        <f t="shared" si="358"/>
        <v>975873.14</v>
      </c>
      <c r="V232" s="522">
        <f t="shared" si="311"/>
        <v>-2236.859999999986</v>
      </c>
      <c r="W232" s="522">
        <f t="shared" si="340"/>
        <v>-0.22869206939914477</v>
      </c>
      <c r="X232" s="522">
        <f t="shared" si="315"/>
        <v>29037.140000000014</v>
      </c>
      <c r="Y232" s="522">
        <f t="shared" si="316"/>
        <v>3.0667549607323821</v>
      </c>
      <c r="Z232" s="524">
        <f t="shared" si="317"/>
        <v>949698.04</v>
      </c>
      <c r="AA232" s="522">
        <f t="shared" si="318"/>
        <v>-28411.959999999963</v>
      </c>
      <c r="AB232" s="522">
        <f t="shared" si="341"/>
        <v>-2.9047816707732323</v>
      </c>
      <c r="AC232" s="522">
        <f t="shared" si="319"/>
        <v>-26175.099999999977</v>
      </c>
      <c r="AD232" s="522">
        <f t="shared" si="320"/>
        <v>-2.682223634108837</v>
      </c>
      <c r="AE232" s="522">
        <f t="shared" si="321"/>
        <v>2862.0400000000373</v>
      </c>
      <c r="AF232" s="522">
        <f t="shared" si="322"/>
        <v>0.30227410026657253</v>
      </c>
      <c r="AG232" s="522">
        <f t="shared" si="337"/>
        <v>991990</v>
      </c>
      <c r="AH232" s="522">
        <f t="shared" si="323"/>
        <v>16116.859999999986</v>
      </c>
      <c r="AI232" s="522">
        <f t="shared" si="324"/>
        <v>1.6515322883054182</v>
      </c>
      <c r="AJ232" s="522">
        <f t="shared" si="325"/>
        <v>42291.959999999963</v>
      </c>
      <c r="AK232" s="522">
        <f t="shared" si="343"/>
        <v>4.4532007247271963</v>
      </c>
      <c r="AL232" s="522">
        <f t="shared" si="359"/>
        <v>991990</v>
      </c>
      <c r="AM232" s="522">
        <f t="shared" si="342"/>
        <v>0</v>
      </c>
      <c r="AN232" s="522">
        <f t="shared" si="342"/>
        <v>0</v>
      </c>
      <c r="AO232" s="522">
        <f t="shared" si="326"/>
        <v>0</v>
      </c>
      <c r="AP232" s="522">
        <v>0</v>
      </c>
      <c r="AQ232" s="578">
        <v>0</v>
      </c>
      <c r="AR232" s="578">
        <v>0</v>
      </c>
      <c r="AS232" s="578">
        <v>0</v>
      </c>
      <c r="AT232" s="578">
        <v>0</v>
      </c>
      <c r="AU232" s="578">
        <f t="shared" si="347"/>
        <v>975873.14</v>
      </c>
      <c r="AV232" s="578">
        <f t="shared" si="347"/>
        <v>949698.04</v>
      </c>
      <c r="AW232" s="578">
        <f t="shared" si="327"/>
        <v>-26175.099999999977</v>
      </c>
      <c r="AX232" s="578">
        <f t="shared" si="328"/>
        <v>-2.682223634108837</v>
      </c>
      <c r="AY232" s="578">
        <f t="shared" si="349"/>
        <v>991990</v>
      </c>
      <c r="AZ232" s="578">
        <f t="shared" si="329"/>
        <v>-42291.959999999963</v>
      </c>
      <c r="BA232" s="578">
        <f t="shared" si="330"/>
        <v>-4.2633453966269883</v>
      </c>
      <c r="BB232" s="578">
        <v>0</v>
      </c>
      <c r="BC232" s="576">
        <f>'[67]Дир_по экон'!AT29</f>
        <v>0</v>
      </c>
      <c r="BD232" s="576">
        <f t="shared" si="360"/>
        <v>0</v>
      </c>
      <c r="BE232" s="576">
        <f t="shared" si="331"/>
        <v>0</v>
      </c>
      <c r="BF232" s="576">
        <f t="shared" si="332"/>
        <v>0</v>
      </c>
      <c r="BG232" s="576">
        <f t="shared" si="312"/>
        <v>0</v>
      </c>
      <c r="BH232" s="578">
        <f t="shared" si="312"/>
        <v>0</v>
      </c>
      <c r="BI232" s="578"/>
      <c r="BJ232" s="578">
        <f t="shared" si="333"/>
        <v>0</v>
      </c>
      <c r="BK232" s="578">
        <f t="shared" si="334"/>
        <v>0</v>
      </c>
      <c r="BL232" s="576">
        <v>975873.14</v>
      </c>
      <c r="BM232" s="578">
        <f>'[67]Дир_по экон'!AW29</f>
        <v>949698.04</v>
      </c>
      <c r="BN232" s="522">
        <f t="shared" si="361"/>
        <v>991990</v>
      </c>
      <c r="BO232" s="578">
        <f t="shared" si="339"/>
        <v>16116.859999999986</v>
      </c>
      <c r="BP232" s="578">
        <f t="shared" si="335"/>
        <v>42291.959999999963</v>
      </c>
      <c r="BQ232" s="576">
        <v>975873.14</v>
      </c>
      <c r="BR232" s="578">
        <f>'[67]Дир_по экон'!BB29</f>
        <v>0</v>
      </c>
      <c r="BS232" s="578">
        <f>'[67]Дир_по экон'!BC29</f>
        <v>0</v>
      </c>
      <c r="BT232" s="600"/>
      <c r="BU232" s="578">
        <v>194144</v>
      </c>
      <c r="BV232" s="578">
        <v>797846</v>
      </c>
      <c r="BW232" s="578"/>
      <c r="BX232" s="595"/>
      <c r="BY232" s="525">
        <f>186666.22+797846</f>
        <v>984512.22</v>
      </c>
      <c r="BZ232" s="525">
        <v>7085.89</v>
      </c>
      <c r="CA232" s="525">
        <v>391.89</v>
      </c>
      <c r="CB232" s="522">
        <f t="shared" si="308"/>
        <v>991990</v>
      </c>
      <c r="CC232" s="522">
        <f t="shared" si="336"/>
        <v>0</v>
      </c>
      <c r="CD232" s="578"/>
      <c r="CE232" s="578"/>
      <c r="CF232" s="578"/>
      <c r="CG232" s="578"/>
      <c r="CH232" s="578"/>
      <c r="CI232" s="578"/>
      <c r="CJ232" s="578"/>
      <c r="CK232" s="543" t="s">
        <v>77</v>
      </c>
      <c r="CL232" s="612" t="s">
        <v>1800</v>
      </c>
      <c r="CM232" s="528" t="s">
        <v>1305</v>
      </c>
      <c r="CN232" s="528" t="s">
        <v>1849</v>
      </c>
      <c r="CO232" s="601"/>
      <c r="CP232" s="544">
        <f t="shared" si="362"/>
        <v>900360.51584189921</v>
      </c>
      <c r="CQ232" s="544">
        <f t="shared" si="363"/>
        <v>66134.417237971589</v>
      </c>
      <c r="CR232" s="544">
        <f t="shared" si="364"/>
        <v>9378.2069201291997</v>
      </c>
      <c r="CS232" s="1688" t="s">
        <v>1826</v>
      </c>
      <c r="CT232" s="1689"/>
      <c r="CU232" s="1689"/>
      <c r="CV232" s="1689"/>
      <c r="CW232" s="1690"/>
      <c r="CX232" s="601"/>
      <c r="CY232" s="601"/>
      <c r="CZ232" s="601"/>
      <c r="DA232" s="601"/>
      <c r="DB232" s="579"/>
      <c r="DC232" s="628" t="e">
        <f>P232-#REF!</f>
        <v>#REF!</v>
      </c>
      <c r="DD232" s="603"/>
      <c r="DE232" s="603"/>
      <c r="DF232" s="525">
        <f t="shared" si="350"/>
        <v>984.51221999999996</v>
      </c>
      <c r="DG232" s="525">
        <f t="shared" si="350"/>
        <v>7.08589</v>
      </c>
      <c r="DH232" s="525">
        <f t="shared" si="350"/>
        <v>0.39188999999999996</v>
      </c>
      <c r="DI232" s="522">
        <f t="shared" si="348"/>
        <v>991.99</v>
      </c>
      <c r="DJ232" s="600"/>
      <c r="DK232" s="600"/>
      <c r="DL232" s="600"/>
      <c r="DM232" s="600"/>
      <c r="DN232" s="600"/>
      <c r="DO232" s="600"/>
      <c r="DP232" s="600"/>
      <c r="DQ232" s="600"/>
      <c r="DR232" s="600"/>
      <c r="DS232" s="600"/>
    </row>
    <row r="233" spans="1:123" s="602" customFormat="1" ht="95.25" customHeight="1">
      <c r="A233" s="598" t="s">
        <v>1234</v>
      </c>
      <c r="B233" s="610" t="s">
        <v>1235</v>
      </c>
      <c r="C233" s="525">
        <v>2181199.7999999998</v>
      </c>
      <c r="D233" s="525"/>
      <c r="E233" s="525">
        <v>2325444.05981</v>
      </c>
      <c r="F233" s="525">
        <v>1584112.76</v>
      </c>
      <c r="G233" s="661">
        <v>1194140.3800000001</v>
      </c>
      <c r="H233" s="661">
        <v>0</v>
      </c>
      <c r="I233" s="525">
        <f t="shared" si="355"/>
        <v>1398081.46</v>
      </c>
      <c r="J233" s="525">
        <v>678747.59</v>
      </c>
      <c r="K233" s="525">
        <v>363247.09</v>
      </c>
      <c r="L233" s="525">
        <v>356086.78</v>
      </c>
      <c r="M233" s="525">
        <f t="shared" si="356"/>
        <v>1041994.6799999999</v>
      </c>
      <c r="N233" s="525">
        <v>1006593.82</v>
      </c>
      <c r="O233" s="525">
        <f t="shared" si="357"/>
        <v>438257.19000000006</v>
      </c>
      <c r="P233" s="522">
        <f>358493.76+1086357.25</f>
        <v>1444851.01</v>
      </c>
      <c r="Q233" s="525">
        <f t="shared" si="313"/>
        <v>46769.550000000047</v>
      </c>
      <c r="R233" s="525">
        <f t="shared" si="314"/>
        <v>3.3452664482082497</v>
      </c>
      <c r="S233" s="525">
        <v>1351720</v>
      </c>
      <c r="T233" s="525">
        <v>1351720</v>
      </c>
      <c r="U233" s="522">
        <f t="shared" si="358"/>
        <v>1660171.1500000001</v>
      </c>
      <c r="V233" s="522">
        <f t="shared" si="311"/>
        <v>308451.15000000014</v>
      </c>
      <c r="W233" s="522">
        <f t="shared" si="340"/>
        <v>22.819160033142964</v>
      </c>
      <c r="X233" s="522">
        <f t="shared" si="315"/>
        <v>215320.14000000013</v>
      </c>
      <c r="Y233" s="522">
        <f t="shared" si="316"/>
        <v>14.902584315596684</v>
      </c>
      <c r="Z233" s="524">
        <f t="shared" si="317"/>
        <v>1662384.44</v>
      </c>
      <c r="AA233" s="522">
        <f t="shared" si="318"/>
        <v>310664.43999999994</v>
      </c>
      <c r="AB233" s="522">
        <f t="shared" si="341"/>
        <v>22.982898825200479</v>
      </c>
      <c r="AC233" s="522">
        <f t="shared" si="319"/>
        <v>2213.2899999998044</v>
      </c>
      <c r="AD233" s="522">
        <f t="shared" si="320"/>
        <v>0.13331697758991368</v>
      </c>
      <c r="AE233" s="522">
        <f t="shared" si="321"/>
        <v>217533.42999999993</v>
      </c>
      <c r="AF233" s="522">
        <f t="shared" si="322"/>
        <v>15.055768968178924</v>
      </c>
      <c r="AG233" s="522">
        <f t="shared" si="337"/>
        <v>1818331.16</v>
      </c>
      <c r="AH233" s="522">
        <f t="shared" si="323"/>
        <v>158160.00999999978</v>
      </c>
      <c r="AI233" s="522">
        <f t="shared" si="324"/>
        <v>9.5267292170448741</v>
      </c>
      <c r="AJ233" s="522">
        <f t="shared" si="325"/>
        <v>155946.71999999997</v>
      </c>
      <c r="AK233" s="522">
        <f t="shared" si="343"/>
        <v>9.3809058992395222</v>
      </c>
      <c r="AL233" s="522">
        <f t="shared" si="359"/>
        <v>1818331.16</v>
      </c>
      <c r="AM233" s="522">
        <f t="shared" si="342"/>
        <v>830085.57000000007</v>
      </c>
      <c r="AN233" s="522">
        <f t="shared" si="342"/>
        <v>818638.65999999992</v>
      </c>
      <c r="AO233" s="522">
        <f t="shared" si="326"/>
        <v>-11446.910000000149</v>
      </c>
      <c r="AP233" s="522">
        <f t="shared" si="338"/>
        <v>-1.3790036128444143</v>
      </c>
      <c r="AQ233" s="522">
        <v>415042.78</v>
      </c>
      <c r="AR233" s="522">
        <v>368763.43</v>
      </c>
      <c r="AS233" s="522">
        <v>415042.79</v>
      </c>
      <c r="AT233" s="522">
        <v>449875.22999999992</v>
      </c>
      <c r="AU233" s="522">
        <f t="shared" si="347"/>
        <v>830085.58</v>
      </c>
      <c r="AV233" s="522">
        <f t="shared" si="347"/>
        <v>843745.78</v>
      </c>
      <c r="AW233" s="522">
        <f t="shared" si="327"/>
        <v>13660.20000000007</v>
      </c>
      <c r="AX233" s="522">
        <f t="shared" si="328"/>
        <v>1.6456375498054285</v>
      </c>
      <c r="AY233" s="522">
        <f t="shared" si="349"/>
        <v>999692.5</v>
      </c>
      <c r="AZ233" s="522">
        <f t="shared" si="329"/>
        <v>-155946.71999999997</v>
      </c>
      <c r="BA233" s="522">
        <f t="shared" si="330"/>
        <v>-15.59946883666727</v>
      </c>
      <c r="BB233" s="522">
        <v>415042.79</v>
      </c>
      <c r="BC233" s="525">
        <f>'[67]Гл инж_Тех дир'!AT18</f>
        <v>428702.99</v>
      </c>
      <c r="BD233" s="525">
        <f t="shared" si="360"/>
        <v>416069.5</v>
      </c>
      <c r="BE233" s="525">
        <f t="shared" si="331"/>
        <v>1026.710000000021</v>
      </c>
      <c r="BF233" s="525">
        <f t="shared" si="332"/>
        <v>-12633.489999999991</v>
      </c>
      <c r="BG233" s="525">
        <f t="shared" si="312"/>
        <v>1245128.3600000001</v>
      </c>
      <c r="BH233" s="522">
        <f t="shared" si="312"/>
        <v>1247341.6499999999</v>
      </c>
      <c r="BI233" s="522">
        <v>1234708.1599999999</v>
      </c>
      <c r="BJ233" s="522">
        <f t="shared" si="333"/>
        <v>-10420.200000000186</v>
      </c>
      <c r="BK233" s="522">
        <f t="shared" si="334"/>
        <v>-12633.489999999991</v>
      </c>
      <c r="BL233" s="525">
        <v>415042.79</v>
      </c>
      <c r="BM233" s="522">
        <f>'[67]Гл инж_Тех дир'!AW18</f>
        <v>415042.79</v>
      </c>
      <c r="BN233" s="522">
        <f t="shared" si="361"/>
        <v>583623</v>
      </c>
      <c r="BO233" s="522">
        <f t="shared" si="339"/>
        <v>168580.21000000002</v>
      </c>
      <c r="BP233" s="522">
        <f t="shared" si="335"/>
        <v>168580.21000000002</v>
      </c>
      <c r="BQ233" s="525">
        <v>415042.79</v>
      </c>
      <c r="BR233" s="522">
        <f>'[67]Гл инж_Тех дир'!BB18</f>
        <v>0</v>
      </c>
      <c r="BS233" s="522">
        <f>'[67]Гл инж_Тех дир'!BC18</f>
        <v>0</v>
      </c>
      <c r="BT233" s="600"/>
      <c r="BU233" s="522">
        <f>205616.43+1612714.73</f>
        <v>1818331.16</v>
      </c>
      <c r="BV233" s="522"/>
      <c r="BW233" s="522"/>
      <c r="BX233" s="595"/>
      <c r="BY233" s="525">
        <f>186895.91+1404922.49</f>
        <v>1591818.4</v>
      </c>
      <c r="BZ233" s="525">
        <f>15957.39+187692.56</f>
        <v>203649.95</v>
      </c>
      <c r="CA233" s="525">
        <f>2763.13+20099.68</f>
        <v>22862.81</v>
      </c>
      <c r="CB233" s="522">
        <f t="shared" si="308"/>
        <v>1818331.16</v>
      </c>
      <c r="CC233" s="522">
        <f t="shared" si="336"/>
        <v>0</v>
      </c>
      <c r="CD233" s="522"/>
      <c r="CE233" s="522"/>
      <c r="CF233" s="522"/>
      <c r="CG233" s="522"/>
      <c r="CH233" s="522"/>
      <c r="CI233" s="522"/>
      <c r="CJ233" s="522"/>
      <c r="CK233" s="612" t="s">
        <v>79</v>
      </c>
      <c r="CL233" s="543" t="s">
        <v>1803</v>
      </c>
      <c r="CM233" s="528" t="s">
        <v>1305</v>
      </c>
      <c r="CN233" s="528" t="s">
        <v>1849</v>
      </c>
      <c r="CO233" s="601"/>
      <c r="CP233" s="544">
        <f t="shared" si="362"/>
        <v>1531707.8539530654</v>
      </c>
      <c r="CQ233" s="544">
        <f t="shared" si="363"/>
        <v>112508.93893907472</v>
      </c>
      <c r="CR233" s="544">
        <f t="shared" si="364"/>
        <v>15954.3571078602</v>
      </c>
      <c r="CS233" s="1688" t="s">
        <v>1826</v>
      </c>
      <c r="CT233" s="1689"/>
      <c r="CU233" s="1689"/>
      <c r="CV233" s="1689"/>
      <c r="CW233" s="1690"/>
      <c r="CX233" s="601"/>
      <c r="CY233" s="601"/>
      <c r="CZ233" s="601"/>
      <c r="DA233" s="601"/>
      <c r="DB233" s="544">
        <f>86092.61+282670.82</f>
        <v>368763.43</v>
      </c>
      <c r="DC233" s="628" t="e">
        <f>P233-#REF!</f>
        <v>#REF!</v>
      </c>
      <c r="DD233" s="603">
        <f>174548.44+1060159.72</f>
        <v>1234708.1599999999</v>
      </c>
      <c r="DE233" s="603"/>
      <c r="DF233" s="525">
        <f t="shared" si="350"/>
        <v>1591.8183999999999</v>
      </c>
      <c r="DG233" s="525">
        <f t="shared" si="350"/>
        <v>203.64995000000002</v>
      </c>
      <c r="DH233" s="525">
        <f t="shared" si="350"/>
        <v>22.86281</v>
      </c>
      <c r="DI233" s="522">
        <f t="shared" si="348"/>
        <v>1818.33116</v>
      </c>
      <c r="DJ233" s="600"/>
      <c r="DK233" s="600"/>
      <c r="DL233" s="600"/>
      <c r="DM233" s="600"/>
      <c r="DN233" s="600"/>
      <c r="DO233" s="600"/>
      <c r="DP233" s="600"/>
      <c r="DQ233" s="600"/>
      <c r="DR233" s="600"/>
      <c r="DS233" s="600"/>
    </row>
    <row r="234" spans="1:123" s="602" customFormat="1" ht="68.25" customHeight="1">
      <c r="A234" s="598" t="s">
        <v>1229</v>
      </c>
      <c r="B234" s="610" t="s">
        <v>1230</v>
      </c>
      <c r="C234" s="525">
        <v>4332784.3600000003</v>
      </c>
      <c r="D234" s="525">
        <v>6049667.8799999999</v>
      </c>
      <c r="E234" s="525">
        <v>28775000.620000001</v>
      </c>
      <c r="F234" s="525">
        <v>19234292.07</v>
      </c>
      <c r="G234" s="596">
        <v>21291120</v>
      </c>
      <c r="H234" s="596">
        <v>0</v>
      </c>
      <c r="I234" s="525">
        <f t="shared" si="355"/>
        <v>28146957.050000001</v>
      </c>
      <c r="J234" s="525">
        <v>14227201</v>
      </c>
      <c r="K234" s="525">
        <v>7142361.3899999997</v>
      </c>
      <c r="L234" s="525">
        <v>6777394.6600000001</v>
      </c>
      <c r="M234" s="525">
        <f t="shared" si="356"/>
        <v>21369562.390000001</v>
      </c>
      <c r="N234" s="525">
        <v>21251059</v>
      </c>
      <c r="O234" s="525">
        <f t="shared" si="357"/>
        <v>6599970</v>
      </c>
      <c r="P234" s="522">
        <v>27851029</v>
      </c>
      <c r="Q234" s="525">
        <f t="shared" si="313"/>
        <v>-295928.05000000075</v>
      </c>
      <c r="R234" s="525">
        <f t="shared" si="314"/>
        <v>-1.0513678245016536</v>
      </c>
      <c r="S234" s="525">
        <v>38611820</v>
      </c>
      <c r="T234" s="525">
        <v>38611820</v>
      </c>
      <c r="U234" s="522">
        <f t="shared" si="358"/>
        <v>34564622.57</v>
      </c>
      <c r="V234" s="522">
        <f t="shared" si="311"/>
        <v>-4047197.4299999997</v>
      </c>
      <c r="W234" s="522">
        <f t="shared" si="340"/>
        <v>-10.481757736361558</v>
      </c>
      <c r="X234" s="522">
        <f t="shared" si="315"/>
        <v>6713593.5700000003</v>
      </c>
      <c r="Y234" s="522">
        <f t="shared" si="316"/>
        <v>24.105369930856057</v>
      </c>
      <c r="Z234" s="524">
        <f t="shared" si="317"/>
        <v>34678157.07565251</v>
      </c>
      <c r="AA234" s="522">
        <f t="shared" si="318"/>
        <v>-3933662.9243474901</v>
      </c>
      <c r="AB234" s="522">
        <f t="shared" si="341"/>
        <v>-10.187716933176134</v>
      </c>
      <c r="AC234" s="522">
        <f t="shared" si="319"/>
        <v>113534.50565250963</v>
      </c>
      <c r="AD234" s="522">
        <f t="shared" si="320"/>
        <v>0.328470260083364</v>
      </c>
      <c r="AE234" s="522">
        <f t="shared" si="321"/>
        <v>6827128.0756525099</v>
      </c>
      <c r="AF234" s="522">
        <f t="shared" si="322"/>
        <v>24.513019162245357</v>
      </c>
      <c r="AG234" s="522">
        <f t="shared" si="337"/>
        <v>34094284.159999996</v>
      </c>
      <c r="AH234" s="522">
        <f t="shared" si="323"/>
        <v>-470338.41000000387</v>
      </c>
      <c r="AI234" s="522">
        <f t="shared" si="324"/>
        <v>-1.3607508921802349</v>
      </c>
      <c r="AJ234" s="522">
        <f t="shared" si="325"/>
        <v>-583872.9156525135</v>
      </c>
      <c r="AK234" s="522">
        <f t="shared" si="343"/>
        <v>-1.6836907289472123</v>
      </c>
      <c r="AL234" s="522">
        <f t="shared" si="359"/>
        <v>34094284.159999996</v>
      </c>
      <c r="AM234" s="522">
        <f t="shared" si="342"/>
        <v>17778942.140000001</v>
      </c>
      <c r="AN234" s="522">
        <f t="shared" si="342"/>
        <v>17594109.02</v>
      </c>
      <c r="AO234" s="522">
        <f t="shared" si="326"/>
        <v>-184833.12000000104</v>
      </c>
      <c r="AP234" s="522">
        <f t="shared" si="338"/>
        <v>-1.0396182098155009</v>
      </c>
      <c r="AQ234" s="522">
        <v>8990982.9499999993</v>
      </c>
      <c r="AR234" s="522">
        <v>8843791.7599999998</v>
      </c>
      <c r="AS234" s="522">
        <v>8787959.1899999995</v>
      </c>
      <c r="AT234" s="522">
        <v>8750317.2599999998</v>
      </c>
      <c r="AU234" s="522">
        <f t="shared" si="347"/>
        <v>16785680.43</v>
      </c>
      <c r="AV234" s="522">
        <f t="shared" si="347"/>
        <v>17084048.05565251</v>
      </c>
      <c r="AW234" s="522">
        <f t="shared" si="327"/>
        <v>298367.62565251067</v>
      </c>
      <c r="AX234" s="522">
        <f t="shared" si="328"/>
        <v>1.7775128443363997</v>
      </c>
      <c r="AY234" s="522">
        <f t="shared" si="349"/>
        <v>16500175.139999997</v>
      </c>
      <c r="AZ234" s="522">
        <f t="shared" si="329"/>
        <v>583872.9156525135</v>
      </c>
      <c r="BA234" s="522">
        <f t="shared" si="330"/>
        <v>3.5385861707436135</v>
      </c>
      <c r="BB234" s="522">
        <v>8676488.0399999991</v>
      </c>
      <c r="BC234" s="525">
        <f>'[67]Дир_по экон'!AT30</f>
        <v>8793214.0991810877</v>
      </c>
      <c r="BD234" s="525">
        <f t="shared" si="360"/>
        <v>8684573.0599999987</v>
      </c>
      <c r="BE234" s="525">
        <f t="shared" si="331"/>
        <v>8085.019999999553</v>
      </c>
      <c r="BF234" s="525">
        <f t="shared" si="332"/>
        <v>-108641.03918108903</v>
      </c>
      <c r="BG234" s="525">
        <f t="shared" si="312"/>
        <v>26455430.18</v>
      </c>
      <c r="BH234" s="522">
        <f t="shared" si="312"/>
        <v>26387323.119181089</v>
      </c>
      <c r="BI234" s="522">
        <f>25770731.08+507951</f>
        <v>26278682.079999998</v>
      </c>
      <c r="BJ234" s="522">
        <f t="shared" si="333"/>
        <v>-176748.10000000149</v>
      </c>
      <c r="BK234" s="522">
        <f t="shared" si="334"/>
        <v>-108641.03918109089</v>
      </c>
      <c r="BL234" s="525">
        <v>8109192.3899999997</v>
      </c>
      <c r="BM234" s="522">
        <f>'[67]Дир_по экон'!AW30</f>
        <v>8290833.9564714236</v>
      </c>
      <c r="BN234" s="522">
        <f t="shared" si="361"/>
        <v>7815602.0799999982</v>
      </c>
      <c r="BO234" s="522">
        <f t="shared" si="339"/>
        <v>-293590.31000000145</v>
      </c>
      <c r="BP234" s="522">
        <f t="shared" si="335"/>
        <v>-475231.87647142541</v>
      </c>
      <c r="BQ234" s="525">
        <v>8109192.3899999997</v>
      </c>
      <c r="BR234" s="522">
        <f>'[67]Дир_по экон'!BB30</f>
        <v>0</v>
      </c>
      <c r="BS234" s="522">
        <f>'[67]Дир_по экон'!BC30</f>
        <v>0</v>
      </c>
      <c r="BT234" s="600"/>
      <c r="BU234" s="522">
        <v>33460091.16</v>
      </c>
      <c r="BV234" s="522">
        <v>634193</v>
      </c>
      <c r="BW234" s="522"/>
      <c r="BX234" s="595"/>
      <c r="BY234" s="525">
        <f>33140205.51+634193</f>
        <v>33774398.510000005</v>
      </c>
      <c r="BZ234" s="525">
        <v>281016.73</v>
      </c>
      <c r="CA234" s="525">
        <v>38868.92</v>
      </c>
      <c r="CB234" s="522">
        <f t="shared" si="308"/>
        <v>34094284.160000004</v>
      </c>
      <c r="CC234" s="522">
        <f t="shared" si="336"/>
        <v>0</v>
      </c>
      <c r="CD234" s="522"/>
      <c r="CE234" s="522"/>
      <c r="CF234" s="522"/>
      <c r="CG234" s="522"/>
      <c r="CH234" s="522"/>
      <c r="CI234" s="522"/>
      <c r="CJ234" s="522"/>
      <c r="CK234" s="543" t="s">
        <v>77</v>
      </c>
      <c r="CL234" s="542" t="s">
        <v>1800</v>
      </c>
      <c r="CM234" s="528" t="s">
        <v>1305</v>
      </c>
      <c r="CN234" s="528" t="s">
        <v>1849</v>
      </c>
      <c r="CO234" s="601"/>
      <c r="CP234" s="544">
        <f t="shared" si="362"/>
        <v>31890027.639254168</v>
      </c>
      <c r="CQ234" s="544">
        <f t="shared" si="363"/>
        <v>2342426.5685982401</v>
      </c>
      <c r="CR234" s="544">
        <f t="shared" si="364"/>
        <v>332168.36214759218</v>
      </c>
      <c r="CS234" s="1688" t="s">
        <v>1826</v>
      </c>
      <c r="CT234" s="1689"/>
      <c r="CU234" s="1689"/>
      <c r="CV234" s="1689"/>
      <c r="CW234" s="1690"/>
      <c r="CX234" s="601"/>
      <c r="CY234" s="601"/>
      <c r="CZ234" s="601"/>
      <c r="DA234" s="601"/>
      <c r="DB234" s="544">
        <f>8669655.76+174136</f>
        <v>8843791.7599999998</v>
      </c>
      <c r="DC234" s="628" t="e">
        <f>P234-#REF!</f>
        <v>#REF!</v>
      </c>
      <c r="DD234" s="603">
        <f>25770731.08</f>
        <v>25770731.079999998</v>
      </c>
      <c r="DE234" s="603"/>
      <c r="DF234" s="525">
        <f t="shared" si="350"/>
        <v>33774.398510000006</v>
      </c>
      <c r="DG234" s="525">
        <f t="shared" si="350"/>
        <v>281.01673</v>
      </c>
      <c r="DH234" s="525">
        <f t="shared" si="350"/>
        <v>38.868919999999996</v>
      </c>
      <c r="DI234" s="522">
        <f t="shared" si="348"/>
        <v>34094.284160000003</v>
      </c>
      <c r="DJ234" s="662"/>
      <c r="DK234" s="600"/>
      <c r="DL234" s="600"/>
      <c r="DM234" s="600"/>
      <c r="DN234" s="600"/>
      <c r="DO234" s="600"/>
      <c r="DP234" s="600"/>
      <c r="DQ234" s="600"/>
      <c r="DR234" s="600"/>
      <c r="DS234" s="600"/>
    </row>
    <row r="235" spans="1:123" s="534" customFormat="1" ht="68.25" customHeight="1">
      <c r="A235" s="598" t="s">
        <v>1126</v>
      </c>
      <c r="B235" s="538" t="s">
        <v>1127</v>
      </c>
      <c r="C235" s="576">
        <v>14740</v>
      </c>
      <c r="D235" s="576">
        <v>0</v>
      </c>
      <c r="E235" s="576">
        <v>200000</v>
      </c>
      <c r="F235" s="576">
        <v>0</v>
      </c>
      <c r="G235" s="577">
        <v>0</v>
      </c>
      <c r="H235" s="577">
        <v>0</v>
      </c>
      <c r="I235" s="576">
        <f t="shared" si="355"/>
        <v>0</v>
      </c>
      <c r="J235" s="576">
        <v>0</v>
      </c>
      <c r="K235" s="576">
        <v>0</v>
      </c>
      <c r="L235" s="576">
        <v>0</v>
      </c>
      <c r="M235" s="576">
        <f t="shared" si="356"/>
        <v>0</v>
      </c>
      <c r="N235" s="576"/>
      <c r="O235" s="525">
        <f t="shared" si="357"/>
        <v>0</v>
      </c>
      <c r="P235" s="522"/>
      <c r="Q235" s="576">
        <f t="shared" si="313"/>
        <v>0</v>
      </c>
      <c r="R235" s="576">
        <v>0</v>
      </c>
      <c r="S235" s="576">
        <v>0</v>
      </c>
      <c r="T235" s="576">
        <v>0</v>
      </c>
      <c r="U235" s="522">
        <f t="shared" si="358"/>
        <v>0</v>
      </c>
      <c r="V235" s="522">
        <f t="shared" si="311"/>
        <v>0</v>
      </c>
      <c r="W235" s="522">
        <v>0</v>
      </c>
      <c r="X235" s="522">
        <f t="shared" si="315"/>
        <v>0</v>
      </c>
      <c r="Y235" s="522">
        <v>0</v>
      </c>
      <c r="Z235" s="524">
        <f t="shared" si="317"/>
        <v>58939.05</v>
      </c>
      <c r="AA235" s="522">
        <f t="shared" si="318"/>
        <v>58939.05</v>
      </c>
      <c r="AB235" s="522">
        <v>0</v>
      </c>
      <c r="AC235" s="522">
        <f t="shared" si="319"/>
        <v>58939.05</v>
      </c>
      <c r="AD235" s="522">
        <v>0</v>
      </c>
      <c r="AE235" s="522">
        <f t="shared" si="321"/>
        <v>58939.05</v>
      </c>
      <c r="AF235" s="522">
        <v>0</v>
      </c>
      <c r="AG235" s="522">
        <f t="shared" si="337"/>
        <v>58939.05</v>
      </c>
      <c r="AH235" s="522">
        <f t="shared" si="323"/>
        <v>58939.05</v>
      </c>
      <c r="AI235" s="522">
        <v>0</v>
      </c>
      <c r="AJ235" s="522">
        <f t="shared" si="325"/>
        <v>0</v>
      </c>
      <c r="AK235" s="522">
        <f t="shared" si="343"/>
        <v>0</v>
      </c>
      <c r="AL235" s="522">
        <f t="shared" si="359"/>
        <v>58939.05</v>
      </c>
      <c r="AM235" s="522">
        <f t="shared" si="342"/>
        <v>0</v>
      </c>
      <c r="AN235" s="522">
        <f t="shared" si="342"/>
        <v>58939.05</v>
      </c>
      <c r="AO235" s="522">
        <f t="shared" si="326"/>
        <v>58939.05</v>
      </c>
      <c r="AP235" s="522">
        <v>0</v>
      </c>
      <c r="AQ235" s="578">
        <v>0</v>
      </c>
      <c r="AR235" s="578">
        <v>0</v>
      </c>
      <c r="AS235" s="578">
        <v>0</v>
      </c>
      <c r="AT235" s="578">
        <v>58939.05</v>
      </c>
      <c r="AU235" s="578">
        <f t="shared" si="347"/>
        <v>0</v>
      </c>
      <c r="AV235" s="578">
        <f t="shared" si="347"/>
        <v>0</v>
      </c>
      <c r="AW235" s="578">
        <f t="shared" si="327"/>
        <v>0</v>
      </c>
      <c r="AX235" s="578">
        <v>0</v>
      </c>
      <c r="AY235" s="578">
        <f t="shared" si="349"/>
        <v>0</v>
      </c>
      <c r="AZ235" s="578">
        <f t="shared" si="329"/>
        <v>0</v>
      </c>
      <c r="BA235" s="578">
        <v>0</v>
      </c>
      <c r="BB235" s="578">
        <v>0</v>
      </c>
      <c r="BC235" s="576">
        <f>'[67]Дир_ имущ'!AT58</f>
        <v>0</v>
      </c>
      <c r="BD235" s="576">
        <f t="shared" si="360"/>
        <v>0</v>
      </c>
      <c r="BE235" s="576">
        <f t="shared" si="331"/>
        <v>0</v>
      </c>
      <c r="BF235" s="576">
        <f t="shared" si="332"/>
        <v>0</v>
      </c>
      <c r="BG235" s="576">
        <f t="shared" si="312"/>
        <v>0</v>
      </c>
      <c r="BH235" s="578">
        <f t="shared" si="312"/>
        <v>58939.05</v>
      </c>
      <c r="BI235" s="578">
        <v>58939.05</v>
      </c>
      <c r="BJ235" s="578">
        <f t="shared" si="333"/>
        <v>58939.05</v>
      </c>
      <c r="BK235" s="578">
        <f t="shared" si="334"/>
        <v>0</v>
      </c>
      <c r="BL235" s="576">
        <v>0</v>
      </c>
      <c r="BM235" s="578">
        <f>'[67]Дир_ имущ'!AW58</f>
        <v>0</v>
      </c>
      <c r="BN235" s="522">
        <f t="shared" si="361"/>
        <v>0</v>
      </c>
      <c r="BO235" s="578">
        <f t="shared" si="339"/>
        <v>0</v>
      </c>
      <c r="BP235" s="578">
        <f t="shared" si="335"/>
        <v>0</v>
      </c>
      <c r="BQ235" s="576">
        <v>0</v>
      </c>
      <c r="BR235" s="578">
        <f>'[67]Дир_ имущ'!BB58</f>
        <v>0</v>
      </c>
      <c r="BS235" s="578">
        <f>'[67]Дир_ имущ'!BC58</f>
        <v>0</v>
      </c>
      <c r="BT235" s="536"/>
      <c r="BU235" s="578">
        <v>58939.05</v>
      </c>
      <c r="BV235" s="578"/>
      <c r="BW235" s="578"/>
      <c r="BX235" s="574"/>
      <c r="BY235" s="525">
        <v>58487.21</v>
      </c>
      <c r="BZ235" s="525">
        <v>419.6</v>
      </c>
      <c r="CA235" s="525">
        <v>32.24</v>
      </c>
      <c r="CB235" s="522">
        <f t="shared" si="308"/>
        <v>58939.049999999996</v>
      </c>
      <c r="CC235" s="522">
        <f t="shared" si="336"/>
        <v>0</v>
      </c>
      <c r="CD235" s="578"/>
      <c r="CE235" s="578"/>
      <c r="CF235" s="578"/>
      <c r="CG235" s="578"/>
      <c r="CH235" s="578"/>
      <c r="CI235" s="578"/>
      <c r="CJ235" s="578"/>
      <c r="CK235" s="543" t="s">
        <v>1815</v>
      </c>
      <c r="CL235" s="543" t="s">
        <v>1897</v>
      </c>
      <c r="CM235" s="528" t="s">
        <v>1305</v>
      </c>
      <c r="CN235" s="528"/>
      <c r="CO235" s="528"/>
      <c r="CP235" s="544">
        <f t="shared" si="362"/>
        <v>0</v>
      </c>
      <c r="CQ235" s="544">
        <f t="shared" si="363"/>
        <v>0</v>
      </c>
      <c r="CR235" s="544">
        <f t="shared" si="364"/>
        <v>0</v>
      </c>
      <c r="CS235" s="1688" t="s">
        <v>1826</v>
      </c>
      <c r="CT235" s="1689"/>
      <c r="CU235" s="1689"/>
      <c r="CV235" s="1689"/>
      <c r="CW235" s="1690"/>
      <c r="CX235" s="528"/>
      <c r="CY235" s="528"/>
      <c r="CZ235" s="528"/>
      <c r="DA235" s="528"/>
      <c r="DB235" s="579"/>
      <c r="DC235" s="628" t="e">
        <f>P235-#REF!</f>
        <v>#REF!</v>
      </c>
      <c r="DD235" s="535">
        <f>58939.05</f>
        <v>58939.05</v>
      </c>
      <c r="DE235" s="535"/>
      <c r="DF235" s="525">
        <f t="shared" si="350"/>
        <v>58.487209999999997</v>
      </c>
      <c r="DG235" s="525">
        <f t="shared" si="350"/>
        <v>0.41960000000000003</v>
      </c>
      <c r="DH235" s="525">
        <f t="shared" si="350"/>
        <v>3.2240000000000005E-2</v>
      </c>
      <c r="DI235" s="522">
        <f t="shared" si="348"/>
        <v>58.939049999999995</v>
      </c>
      <c r="DJ235" s="597"/>
      <c r="DK235" s="536"/>
      <c r="DL235" s="536"/>
      <c r="DM235" s="536"/>
      <c r="DN235" s="536"/>
      <c r="DO235" s="536"/>
      <c r="DP235" s="536"/>
      <c r="DQ235" s="536"/>
      <c r="DR235" s="536"/>
      <c r="DS235" s="536"/>
    </row>
    <row r="236" spans="1:123" s="534" customFormat="1" ht="84.6">
      <c r="A236" s="598" t="s">
        <v>1950</v>
      </c>
      <c r="B236" s="538" t="s">
        <v>1951</v>
      </c>
      <c r="C236" s="576"/>
      <c r="D236" s="576"/>
      <c r="E236" s="576">
        <v>274040</v>
      </c>
      <c r="F236" s="576">
        <v>0</v>
      </c>
      <c r="G236" s="577">
        <v>0</v>
      </c>
      <c r="H236" s="577">
        <v>0</v>
      </c>
      <c r="I236" s="576">
        <f t="shared" si="355"/>
        <v>0</v>
      </c>
      <c r="J236" s="576">
        <v>0</v>
      </c>
      <c r="K236" s="576">
        <v>0</v>
      </c>
      <c r="L236" s="576">
        <v>0</v>
      </c>
      <c r="M236" s="576">
        <f t="shared" si="356"/>
        <v>0</v>
      </c>
      <c r="N236" s="576"/>
      <c r="O236" s="525">
        <f t="shared" si="357"/>
        <v>0</v>
      </c>
      <c r="P236" s="522"/>
      <c r="Q236" s="576">
        <f t="shared" si="313"/>
        <v>0</v>
      </c>
      <c r="R236" s="576">
        <v>0</v>
      </c>
      <c r="S236" s="576"/>
      <c r="T236" s="576"/>
      <c r="U236" s="522">
        <f t="shared" si="358"/>
        <v>0</v>
      </c>
      <c r="V236" s="522">
        <f t="shared" si="311"/>
        <v>0</v>
      </c>
      <c r="W236" s="522">
        <v>0</v>
      </c>
      <c r="X236" s="522">
        <f t="shared" si="315"/>
        <v>0</v>
      </c>
      <c r="Y236" s="522">
        <v>0</v>
      </c>
      <c r="Z236" s="524">
        <f t="shared" si="317"/>
        <v>0</v>
      </c>
      <c r="AA236" s="522">
        <f t="shared" si="318"/>
        <v>0</v>
      </c>
      <c r="AB236" s="522">
        <v>0</v>
      </c>
      <c r="AC236" s="522">
        <f t="shared" si="319"/>
        <v>0</v>
      </c>
      <c r="AD236" s="522">
        <v>0</v>
      </c>
      <c r="AE236" s="522">
        <f t="shared" si="321"/>
        <v>0</v>
      </c>
      <c r="AF236" s="522">
        <v>0</v>
      </c>
      <c r="AG236" s="522">
        <f t="shared" si="337"/>
        <v>0</v>
      </c>
      <c r="AH236" s="522">
        <f t="shared" si="323"/>
        <v>0</v>
      </c>
      <c r="AI236" s="522">
        <v>0</v>
      </c>
      <c r="AJ236" s="522">
        <f t="shared" si="325"/>
        <v>0</v>
      </c>
      <c r="AK236" s="522">
        <v>0</v>
      </c>
      <c r="AL236" s="522">
        <f t="shared" si="359"/>
        <v>0</v>
      </c>
      <c r="AM236" s="522">
        <f t="shared" si="342"/>
        <v>0</v>
      </c>
      <c r="AN236" s="522">
        <f t="shared" si="342"/>
        <v>0</v>
      </c>
      <c r="AO236" s="522">
        <f t="shared" si="326"/>
        <v>0</v>
      </c>
      <c r="AP236" s="522">
        <v>0</v>
      </c>
      <c r="AQ236" s="578">
        <v>0</v>
      </c>
      <c r="AR236" s="578">
        <v>0</v>
      </c>
      <c r="AS236" s="578">
        <v>0</v>
      </c>
      <c r="AT236" s="578">
        <v>0</v>
      </c>
      <c r="AU236" s="578">
        <f t="shared" si="347"/>
        <v>0</v>
      </c>
      <c r="AV236" s="578">
        <f t="shared" si="347"/>
        <v>0</v>
      </c>
      <c r="AW236" s="578">
        <f t="shared" si="327"/>
        <v>0</v>
      </c>
      <c r="AX236" s="578">
        <v>0</v>
      </c>
      <c r="AY236" s="578">
        <f t="shared" si="349"/>
        <v>0</v>
      </c>
      <c r="AZ236" s="578">
        <f t="shared" si="329"/>
        <v>0</v>
      </c>
      <c r="BA236" s="578">
        <v>0</v>
      </c>
      <c r="BB236" s="578">
        <v>0</v>
      </c>
      <c r="BC236" s="576">
        <f>'[67]Гл инж_Тех дир'!AT120</f>
        <v>0</v>
      </c>
      <c r="BD236" s="576">
        <f t="shared" si="360"/>
        <v>0</v>
      </c>
      <c r="BE236" s="576">
        <f t="shared" si="331"/>
        <v>0</v>
      </c>
      <c r="BF236" s="576">
        <f t="shared" si="332"/>
        <v>0</v>
      </c>
      <c r="BG236" s="576">
        <f t="shared" si="312"/>
        <v>0</v>
      </c>
      <c r="BH236" s="578">
        <f t="shared" si="312"/>
        <v>0</v>
      </c>
      <c r="BI236" s="578"/>
      <c r="BJ236" s="578">
        <f t="shared" si="333"/>
        <v>0</v>
      </c>
      <c r="BK236" s="578">
        <f t="shared" si="334"/>
        <v>0</v>
      </c>
      <c r="BL236" s="576">
        <v>0</v>
      </c>
      <c r="BM236" s="578">
        <f>'[67]Гл инж_Тех дир'!AW120</f>
        <v>0</v>
      </c>
      <c r="BN236" s="522">
        <f t="shared" si="361"/>
        <v>0</v>
      </c>
      <c r="BO236" s="578">
        <f t="shared" si="339"/>
        <v>0</v>
      </c>
      <c r="BP236" s="578">
        <f t="shared" si="335"/>
        <v>0</v>
      </c>
      <c r="BQ236" s="576">
        <v>0</v>
      </c>
      <c r="BR236" s="578">
        <f>'[67]Гл инж_Тех дир'!BB120</f>
        <v>0</v>
      </c>
      <c r="BS236" s="578">
        <f>'[67]Гл инж_Тех дир'!BC120</f>
        <v>0</v>
      </c>
      <c r="BT236" s="536"/>
      <c r="BU236" s="578"/>
      <c r="BV236" s="578"/>
      <c r="BW236" s="578"/>
      <c r="BX236" s="574"/>
      <c r="BY236" s="525"/>
      <c r="BZ236" s="525"/>
      <c r="CA236" s="525"/>
      <c r="CB236" s="522"/>
      <c r="CC236" s="522">
        <f t="shared" si="336"/>
        <v>0</v>
      </c>
      <c r="CD236" s="578"/>
      <c r="CE236" s="578"/>
      <c r="CF236" s="578"/>
      <c r="CG236" s="578"/>
      <c r="CH236" s="578"/>
      <c r="CI236" s="578"/>
      <c r="CJ236" s="578"/>
      <c r="CK236" s="542" t="s">
        <v>79</v>
      </c>
      <c r="CL236" s="542"/>
      <c r="CM236" s="528" t="s">
        <v>1305</v>
      </c>
      <c r="CN236" s="528"/>
      <c r="CO236" s="528"/>
      <c r="CP236" s="544">
        <f t="shared" si="362"/>
        <v>0</v>
      </c>
      <c r="CQ236" s="544">
        <f t="shared" si="363"/>
        <v>0</v>
      </c>
      <c r="CR236" s="544">
        <f t="shared" si="364"/>
        <v>0</v>
      </c>
      <c r="CS236" s="1688" t="s">
        <v>1826</v>
      </c>
      <c r="CT236" s="1689"/>
      <c r="CU236" s="1689"/>
      <c r="CV236" s="1689"/>
      <c r="CW236" s="1690"/>
      <c r="CX236" s="528"/>
      <c r="CY236" s="528"/>
      <c r="CZ236" s="528"/>
      <c r="DA236" s="528"/>
      <c r="DB236" s="579"/>
      <c r="DC236" s="628" t="e">
        <f>P236-#REF!</f>
        <v>#REF!</v>
      </c>
      <c r="DD236" s="535"/>
      <c r="DE236" s="535"/>
      <c r="DF236" s="525">
        <f t="shared" si="350"/>
        <v>0</v>
      </c>
      <c r="DG236" s="525">
        <f t="shared" si="350"/>
        <v>0</v>
      </c>
      <c r="DH236" s="525">
        <f t="shared" si="350"/>
        <v>0</v>
      </c>
      <c r="DI236" s="522">
        <f t="shared" si="348"/>
        <v>0</v>
      </c>
      <c r="DJ236" s="536"/>
      <c r="DK236" s="536"/>
      <c r="DL236" s="536"/>
      <c r="DM236" s="536"/>
      <c r="DN236" s="536"/>
      <c r="DO236" s="536"/>
      <c r="DP236" s="536"/>
      <c r="DQ236" s="536"/>
      <c r="DR236" s="536"/>
      <c r="DS236" s="536"/>
    </row>
    <row r="237" spans="1:123" s="534" customFormat="1" ht="87.75" customHeight="1">
      <c r="A237" s="537" t="s">
        <v>1952</v>
      </c>
      <c r="B237" s="538" t="s">
        <v>1953</v>
      </c>
      <c r="C237" s="576"/>
      <c r="D237" s="576"/>
      <c r="E237" s="576">
        <v>0</v>
      </c>
      <c r="F237" s="576">
        <v>0</v>
      </c>
      <c r="G237" s="577">
        <v>0</v>
      </c>
      <c r="H237" s="577">
        <v>0</v>
      </c>
      <c r="I237" s="576">
        <f t="shared" si="355"/>
        <v>0</v>
      </c>
      <c r="J237" s="576">
        <v>0</v>
      </c>
      <c r="K237" s="576">
        <v>0</v>
      </c>
      <c r="L237" s="576">
        <v>0</v>
      </c>
      <c r="M237" s="576">
        <f t="shared" si="356"/>
        <v>0</v>
      </c>
      <c r="N237" s="576"/>
      <c r="O237" s="525">
        <f t="shared" si="357"/>
        <v>0</v>
      </c>
      <c r="P237" s="522"/>
      <c r="Q237" s="576">
        <f t="shared" si="313"/>
        <v>0</v>
      </c>
      <c r="R237" s="576">
        <v>0</v>
      </c>
      <c r="S237" s="576"/>
      <c r="T237" s="576"/>
      <c r="U237" s="522">
        <f t="shared" si="358"/>
        <v>0</v>
      </c>
      <c r="V237" s="522">
        <f t="shared" si="311"/>
        <v>0</v>
      </c>
      <c r="W237" s="522">
        <v>0</v>
      </c>
      <c r="X237" s="522">
        <f t="shared" si="315"/>
        <v>0</v>
      </c>
      <c r="Y237" s="522">
        <v>0</v>
      </c>
      <c r="Z237" s="524">
        <f t="shared" si="317"/>
        <v>0</v>
      </c>
      <c r="AA237" s="522">
        <f t="shared" si="318"/>
        <v>0</v>
      </c>
      <c r="AB237" s="522">
        <v>0</v>
      </c>
      <c r="AC237" s="522">
        <f t="shared" si="319"/>
        <v>0</v>
      </c>
      <c r="AD237" s="522">
        <v>0</v>
      </c>
      <c r="AE237" s="522">
        <f t="shared" si="321"/>
        <v>0</v>
      </c>
      <c r="AF237" s="522">
        <v>0</v>
      </c>
      <c r="AG237" s="522">
        <f t="shared" si="337"/>
        <v>0</v>
      </c>
      <c r="AH237" s="522">
        <f t="shared" si="323"/>
        <v>0</v>
      </c>
      <c r="AI237" s="522">
        <v>0</v>
      </c>
      <c r="AJ237" s="522">
        <f t="shared" si="325"/>
        <v>0</v>
      </c>
      <c r="AK237" s="522">
        <v>0</v>
      </c>
      <c r="AL237" s="522">
        <f t="shared" si="359"/>
        <v>0</v>
      </c>
      <c r="AM237" s="522">
        <f t="shared" si="342"/>
        <v>0</v>
      </c>
      <c r="AN237" s="522">
        <f t="shared" si="342"/>
        <v>0</v>
      </c>
      <c r="AO237" s="522">
        <f t="shared" si="326"/>
        <v>0</v>
      </c>
      <c r="AP237" s="522">
        <v>0</v>
      </c>
      <c r="AQ237" s="578">
        <v>0</v>
      </c>
      <c r="AR237" s="578">
        <v>0</v>
      </c>
      <c r="AS237" s="578">
        <v>0</v>
      </c>
      <c r="AT237" s="578">
        <v>0</v>
      </c>
      <c r="AU237" s="578">
        <f t="shared" si="347"/>
        <v>0</v>
      </c>
      <c r="AV237" s="578">
        <f t="shared" si="347"/>
        <v>0</v>
      </c>
      <c r="AW237" s="578">
        <f t="shared" si="327"/>
        <v>0</v>
      </c>
      <c r="AX237" s="578">
        <v>0</v>
      </c>
      <c r="AY237" s="578">
        <f t="shared" si="349"/>
        <v>0</v>
      </c>
      <c r="AZ237" s="578">
        <f t="shared" si="329"/>
        <v>0</v>
      </c>
      <c r="BA237" s="578">
        <v>0</v>
      </c>
      <c r="BB237" s="578">
        <v>0</v>
      </c>
      <c r="BC237" s="576">
        <f>'[67]Дир_ по реал.услуг'!AT37</f>
        <v>0</v>
      </c>
      <c r="BD237" s="576">
        <f t="shared" si="360"/>
        <v>0</v>
      </c>
      <c r="BE237" s="576">
        <f t="shared" si="331"/>
        <v>0</v>
      </c>
      <c r="BF237" s="576">
        <f t="shared" si="332"/>
        <v>0</v>
      </c>
      <c r="BG237" s="576">
        <f t="shared" si="312"/>
        <v>0</v>
      </c>
      <c r="BH237" s="578">
        <f t="shared" si="312"/>
        <v>0</v>
      </c>
      <c r="BI237" s="578"/>
      <c r="BJ237" s="578">
        <f t="shared" si="333"/>
        <v>0</v>
      </c>
      <c r="BK237" s="578">
        <f t="shared" si="334"/>
        <v>0</v>
      </c>
      <c r="BL237" s="576">
        <v>0</v>
      </c>
      <c r="BM237" s="578">
        <f>'[67]Дир_ по реал.услуг'!AW37</f>
        <v>0</v>
      </c>
      <c r="BN237" s="522">
        <f t="shared" si="361"/>
        <v>0</v>
      </c>
      <c r="BO237" s="578">
        <f t="shared" si="339"/>
        <v>0</v>
      </c>
      <c r="BP237" s="578">
        <f t="shared" si="335"/>
        <v>0</v>
      </c>
      <c r="BQ237" s="576">
        <v>0</v>
      </c>
      <c r="BR237" s="578">
        <f>'[67]Дир_ по реал.услуг'!BB37</f>
        <v>0</v>
      </c>
      <c r="BS237" s="578">
        <f>'[67]Дир_ по реал.услуг'!BC37</f>
        <v>0</v>
      </c>
      <c r="BT237" s="536"/>
      <c r="BU237" s="578"/>
      <c r="BV237" s="578"/>
      <c r="BW237" s="578"/>
      <c r="BX237" s="574"/>
      <c r="BY237" s="525"/>
      <c r="BZ237" s="525"/>
      <c r="CA237" s="525"/>
      <c r="CB237" s="522"/>
      <c r="CC237" s="522">
        <f t="shared" si="336"/>
        <v>0</v>
      </c>
      <c r="CD237" s="578"/>
      <c r="CE237" s="578"/>
      <c r="CF237" s="578"/>
      <c r="CG237" s="578"/>
      <c r="CH237" s="578"/>
      <c r="CI237" s="578"/>
      <c r="CJ237" s="578"/>
      <c r="CK237" s="543" t="s">
        <v>78</v>
      </c>
      <c r="CL237" s="543"/>
      <c r="CM237" s="528" t="s">
        <v>1305</v>
      </c>
      <c r="CN237" s="528"/>
      <c r="CO237" s="528"/>
      <c r="CP237" s="544">
        <f t="shared" si="362"/>
        <v>0</v>
      </c>
      <c r="CQ237" s="544">
        <f t="shared" si="363"/>
        <v>0</v>
      </c>
      <c r="CR237" s="544">
        <f t="shared" si="364"/>
        <v>0</v>
      </c>
      <c r="CS237" s="1688" t="s">
        <v>1826</v>
      </c>
      <c r="CT237" s="1689"/>
      <c r="CU237" s="1689"/>
      <c r="CV237" s="1689"/>
      <c r="CW237" s="1690"/>
      <c r="CX237" s="528"/>
      <c r="CY237" s="528"/>
      <c r="CZ237" s="528"/>
      <c r="DA237" s="528"/>
      <c r="DB237" s="579"/>
      <c r="DC237" s="628" t="e">
        <f>P237-#REF!</f>
        <v>#REF!</v>
      </c>
      <c r="DD237" s="535"/>
      <c r="DE237" s="535"/>
      <c r="DF237" s="525">
        <f t="shared" si="350"/>
        <v>0</v>
      </c>
      <c r="DG237" s="525">
        <f t="shared" si="350"/>
        <v>0</v>
      </c>
      <c r="DH237" s="525">
        <f t="shared" si="350"/>
        <v>0</v>
      </c>
      <c r="DI237" s="522">
        <f t="shared" si="348"/>
        <v>0</v>
      </c>
      <c r="DJ237" s="536"/>
      <c r="DK237" s="536"/>
      <c r="DL237" s="536"/>
      <c r="DM237" s="536"/>
      <c r="DN237" s="536"/>
      <c r="DO237" s="536"/>
      <c r="DP237" s="536"/>
      <c r="DQ237" s="536"/>
      <c r="DR237" s="536"/>
      <c r="DS237" s="536"/>
    </row>
    <row r="238" spans="1:123" s="534" customFormat="1" ht="84.75" customHeight="1">
      <c r="A238" s="537" t="s">
        <v>1954</v>
      </c>
      <c r="B238" s="663" t="s">
        <v>1955</v>
      </c>
      <c r="C238" s="576"/>
      <c r="D238" s="576"/>
      <c r="E238" s="576"/>
      <c r="F238" s="576"/>
      <c r="G238" s="577"/>
      <c r="H238" s="577"/>
      <c r="I238" s="576"/>
      <c r="J238" s="576"/>
      <c r="K238" s="576"/>
      <c r="L238" s="576"/>
      <c r="M238" s="576"/>
      <c r="N238" s="576"/>
      <c r="O238" s="525"/>
      <c r="P238" s="522"/>
      <c r="Q238" s="576">
        <f t="shared" si="313"/>
        <v>0</v>
      </c>
      <c r="R238" s="576">
        <v>0</v>
      </c>
      <c r="S238" s="576"/>
      <c r="T238" s="576"/>
      <c r="U238" s="522"/>
      <c r="V238" s="522">
        <f t="shared" si="311"/>
        <v>0</v>
      </c>
      <c r="W238" s="522">
        <v>0</v>
      </c>
      <c r="X238" s="522">
        <f t="shared" si="315"/>
        <v>0</v>
      </c>
      <c r="Y238" s="522">
        <v>0</v>
      </c>
      <c r="Z238" s="524">
        <f t="shared" si="317"/>
        <v>0</v>
      </c>
      <c r="AA238" s="522">
        <f t="shared" si="318"/>
        <v>0</v>
      </c>
      <c r="AB238" s="522">
        <v>0</v>
      </c>
      <c r="AC238" s="522">
        <f t="shared" si="319"/>
        <v>0</v>
      </c>
      <c r="AD238" s="522">
        <v>0</v>
      </c>
      <c r="AE238" s="522">
        <f t="shared" si="321"/>
        <v>0</v>
      </c>
      <c r="AF238" s="522">
        <v>0</v>
      </c>
      <c r="AG238" s="522">
        <f t="shared" si="337"/>
        <v>0</v>
      </c>
      <c r="AH238" s="522">
        <f t="shared" si="323"/>
        <v>0</v>
      </c>
      <c r="AI238" s="522">
        <v>0</v>
      </c>
      <c r="AJ238" s="522">
        <f t="shared" si="325"/>
        <v>0</v>
      </c>
      <c r="AK238" s="522">
        <v>0</v>
      </c>
      <c r="AL238" s="522">
        <f t="shared" si="359"/>
        <v>0</v>
      </c>
      <c r="AM238" s="522">
        <f t="shared" si="342"/>
        <v>0</v>
      </c>
      <c r="AN238" s="522">
        <f t="shared" si="342"/>
        <v>0</v>
      </c>
      <c r="AO238" s="522">
        <f t="shared" si="326"/>
        <v>0</v>
      </c>
      <c r="AP238" s="522">
        <v>0</v>
      </c>
      <c r="AQ238" s="578"/>
      <c r="AR238" s="578">
        <v>0</v>
      </c>
      <c r="AS238" s="578"/>
      <c r="AT238" s="578"/>
      <c r="AU238" s="578">
        <f t="shared" si="347"/>
        <v>0</v>
      </c>
      <c r="AV238" s="578">
        <f t="shared" si="347"/>
        <v>0</v>
      </c>
      <c r="AW238" s="578">
        <f t="shared" si="327"/>
        <v>0</v>
      </c>
      <c r="AX238" s="578">
        <v>0</v>
      </c>
      <c r="AY238" s="578">
        <f t="shared" si="349"/>
        <v>0</v>
      </c>
      <c r="AZ238" s="578">
        <f t="shared" si="329"/>
        <v>0</v>
      </c>
      <c r="BA238" s="578">
        <v>0</v>
      </c>
      <c r="BB238" s="578"/>
      <c r="BC238" s="576">
        <f>'[67]Дир_ по кап.стр.'!AT14</f>
        <v>0</v>
      </c>
      <c r="BD238" s="576">
        <f t="shared" si="360"/>
        <v>0</v>
      </c>
      <c r="BE238" s="576">
        <f t="shared" si="331"/>
        <v>0</v>
      </c>
      <c r="BF238" s="576">
        <f t="shared" si="332"/>
        <v>0</v>
      </c>
      <c r="BG238" s="576">
        <f t="shared" si="312"/>
        <v>0</v>
      </c>
      <c r="BH238" s="578">
        <f t="shared" si="312"/>
        <v>0</v>
      </c>
      <c r="BI238" s="578"/>
      <c r="BJ238" s="578">
        <f t="shared" si="333"/>
        <v>0</v>
      </c>
      <c r="BK238" s="578">
        <f t="shared" si="334"/>
        <v>0</v>
      </c>
      <c r="BL238" s="576">
        <v>0</v>
      </c>
      <c r="BM238" s="578">
        <f>'[67]Дир_ по кап.стр.'!AW14</f>
        <v>0</v>
      </c>
      <c r="BN238" s="522">
        <f t="shared" si="361"/>
        <v>0</v>
      </c>
      <c r="BO238" s="578">
        <f t="shared" si="339"/>
        <v>0</v>
      </c>
      <c r="BP238" s="578">
        <f t="shared" si="335"/>
        <v>0</v>
      </c>
      <c r="BQ238" s="576">
        <v>0</v>
      </c>
      <c r="BR238" s="578">
        <f>'[67]Дир_ по кап.стр.'!BB14</f>
        <v>0</v>
      </c>
      <c r="BS238" s="578">
        <f>'[67]Дир_ по кап.стр.'!BC14</f>
        <v>0</v>
      </c>
      <c r="BT238" s="536"/>
      <c r="BU238" s="578"/>
      <c r="BV238" s="578"/>
      <c r="BW238" s="578"/>
      <c r="BX238" s="574"/>
      <c r="BY238" s="522"/>
      <c r="BZ238" s="522"/>
      <c r="CA238" s="522"/>
      <c r="CB238" s="522"/>
      <c r="CC238" s="522">
        <f t="shared" si="336"/>
        <v>0</v>
      </c>
      <c r="CD238" s="578"/>
      <c r="CE238" s="578"/>
      <c r="CF238" s="578"/>
      <c r="CG238" s="578"/>
      <c r="CH238" s="578"/>
      <c r="CI238" s="578"/>
      <c r="CJ238" s="578"/>
      <c r="CK238" s="543" t="s">
        <v>1791</v>
      </c>
      <c r="CL238" s="543"/>
      <c r="CM238" s="528"/>
      <c r="CN238" s="528"/>
      <c r="CO238" s="528"/>
      <c r="CP238" s="544"/>
      <c r="CQ238" s="544"/>
      <c r="CR238" s="544"/>
      <c r="CS238" s="664"/>
      <c r="CT238" s="665"/>
      <c r="CU238" s="665"/>
      <c r="CV238" s="665"/>
      <c r="CW238" s="666"/>
      <c r="CX238" s="528"/>
      <c r="CY238" s="528"/>
      <c r="CZ238" s="528"/>
      <c r="DA238" s="528"/>
      <c r="DB238" s="579"/>
      <c r="DC238" s="628" t="e">
        <f>P238-#REF!</f>
        <v>#REF!</v>
      </c>
      <c r="DD238" s="535"/>
      <c r="DE238" s="535"/>
      <c r="DF238" s="522">
        <f t="shared" si="350"/>
        <v>0</v>
      </c>
      <c r="DG238" s="522">
        <f t="shared" si="350"/>
        <v>0</v>
      </c>
      <c r="DH238" s="522">
        <f t="shared" si="350"/>
        <v>0</v>
      </c>
      <c r="DI238" s="522">
        <f t="shared" si="348"/>
        <v>0</v>
      </c>
      <c r="DJ238" s="536"/>
      <c r="DK238" s="536"/>
      <c r="DL238" s="536"/>
      <c r="DM238" s="536"/>
      <c r="DN238" s="536"/>
      <c r="DO238" s="536"/>
      <c r="DP238" s="536"/>
      <c r="DQ238" s="536"/>
      <c r="DR238" s="536"/>
      <c r="DS238" s="536"/>
    </row>
    <row r="239" spans="1:123" s="534" customFormat="1" ht="36" customHeight="1">
      <c r="A239" s="1666" t="s">
        <v>1956</v>
      </c>
      <c r="B239" s="1666"/>
      <c r="C239" s="580">
        <f>C34</f>
        <v>3903001892.0259995</v>
      </c>
      <c r="D239" s="580">
        <f t="shared" ref="D239:T239" si="365">D34</f>
        <v>3359426039.024178</v>
      </c>
      <c r="E239" s="580">
        <f t="shared" si="365"/>
        <v>4179342794.1764789</v>
      </c>
      <c r="F239" s="580">
        <f t="shared" si="365"/>
        <v>3945232720.5499997</v>
      </c>
      <c r="G239" s="580">
        <f t="shared" si="365"/>
        <v>3366281105.9767146</v>
      </c>
      <c r="H239" s="580">
        <f t="shared" si="365"/>
        <v>0</v>
      </c>
      <c r="I239" s="580">
        <f t="shared" si="365"/>
        <v>3903770733.0800009</v>
      </c>
      <c r="J239" s="580">
        <f t="shared" si="365"/>
        <v>1873246123.8</v>
      </c>
      <c r="K239" s="580">
        <f t="shared" si="365"/>
        <v>1028079476.02</v>
      </c>
      <c r="L239" s="580">
        <f t="shared" si="365"/>
        <v>1002445133.2600002</v>
      </c>
      <c r="M239" s="580">
        <f t="shared" si="365"/>
        <v>2901325599.8200002</v>
      </c>
      <c r="N239" s="580">
        <f t="shared" si="365"/>
        <v>2789063452.2400002</v>
      </c>
      <c r="O239" s="580">
        <f>O34</f>
        <v>987415600.3900001</v>
      </c>
      <c r="P239" s="580">
        <f>P34</f>
        <v>3776479052.6300001</v>
      </c>
      <c r="Q239" s="580">
        <f t="shared" si="313"/>
        <v>-127291680.45000076</v>
      </c>
      <c r="R239" s="580">
        <f t="shared" si="314"/>
        <v>-3.2607365840249969</v>
      </c>
      <c r="S239" s="580">
        <f t="shared" si="365"/>
        <v>3578962017.3510051</v>
      </c>
      <c r="T239" s="580">
        <f t="shared" si="365"/>
        <v>3538623144.1550665</v>
      </c>
      <c r="U239" s="580">
        <f>U34</f>
        <v>3768456824.7570519</v>
      </c>
      <c r="V239" s="580">
        <f t="shared" si="311"/>
        <v>229833680.60198545</v>
      </c>
      <c r="W239" s="580">
        <f t="shared" si="340"/>
        <v>6.4950030347711305</v>
      </c>
      <c r="X239" s="580">
        <f t="shared" si="315"/>
        <v>-8022227.8729481697</v>
      </c>
      <c r="Y239" s="580">
        <f t="shared" si="316"/>
        <v>-0.21242611864512639</v>
      </c>
      <c r="Z239" s="580">
        <f t="shared" si="317"/>
        <v>3805196374.4254885</v>
      </c>
      <c r="AA239" s="580">
        <f t="shared" si="318"/>
        <v>266573230.27042198</v>
      </c>
      <c r="AB239" s="580">
        <f t="shared" si="341"/>
        <v>7.5332472380037245</v>
      </c>
      <c r="AC239" s="580">
        <f t="shared" si="319"/>
        <v>36739549.668436527</v>
      </c>
      <c r="AD239" s="580">
        <f t="shared" si="320"/>
        <v>0.97492292938250102</v>
      </c>
      <c r="AE239" s="580">
        <f t="shared" si="321"/>
        <v>28717321.795488358</v>
      </c>
      <c r="AF239" s="580">
        <f t="shared" si="322"/>
        <v>0.76042581979871215</v>
      </c>
      <c r="AG239" s="580">
        <f t="shared" si="337"/>
        <v>3812346771.723</v>
      </c>
      <c r="AH239" s="580">
        <f t="shared" si="323"/>
        <v>43889946.965948105</v>
      </c>
      <c r="AI239" s="580">
        <f t="shared" si="324"/>
        <v>1.1646663079064865</v>
      </c>
      <c r="AJ239" s="580">
        <f t="shared" si="325"/>
        <v>7150397.2975115776</v>
      </c>
      <c r="AK239" s="580">
        <f>AG239/Z239*100-100</f>
        <v>0.18791138732206036</v>
      </c>
      <c r="AL239" s="580">
        <f t="shared" ref="AL239" si="366">AL34</f>
        <v>3812346771.7230005</v>
      </c>
      <c r="AM239" s="580">
        <f>AQ239+AS239</f>
        <v>1955195775.1060073</v>
      </c>
      <c r="AN239" s="580">
        <f>AR239+AT239</f>
        <v>1842474976.8299999</v>
      </c>
      <c r="AO239" s="580">
        <f t="shared" si="326"/>
        <v>-112720798.27600741</v>
      </c>
      <c r="AP239" s="580">
        <f t="shared" si="338"/>
        <v>-5.7651924022746925</v>
      </c>
      <c r="AQ239" s="580">
        <f t="shared" ref="AQ239:BN239" si="367">AQ34</f>
        <v>883768739.35259151</v>
      </c>
      <c r="AR239" s="580">
        <f t="shared" si="367"/>
        <v>900677724.91000009</v>
      </c>
      <c r="AS239" s="580">
        <f>AS34</f>
        <v>1071427035.7534158</v>
      </c>
      <c r="AT239" s="580">
        <f>AT34</f>
        <v>941797251.91999996</v>
      </c>
      <c r="AU239" s="580">
        <f t="shared" si="347"/>
        <v>1813261049.6510448</v>
      </c>
      <c r="AV239" s="580">
        <f t="shared" si="347"/>
        <v>1962721397.5954885</v>
      </c>
      <c r="AW239" s="580">
        <f t="shared" si="327"/>
        <v>149460347.9444437</v>
      </c>
      <c r="AX239" s="580">
        <f t="shared" si="328"/>
        <v>8.2426271701587979</v>
      </c>
      <c r="AY239" s="580">
        <f t="shared" si="349"/>
        <v>1969871794.8930001</v>
      </c>
      <c r="AZ239" s="580">
        <f t="shared" si="329"/>
        <v>-7150397.2975115776</v>
      </c>
      <c r="BA239" s="580">
        <f t="shared" si="330"/>
        <v>-0.36298795261951966</v>
      </c>
      <c r="BB239" s="580">
        <f t="shared" si="367"/>
        <v>953444848.73323822</v>
      </c>
      <c r="BC239" s="580">
        <f t="shared" si="367"/>
        <v>1044074670.7523745</v>
      </c>
      <c r="BD239" s="580">
        <f t="shared" si="367"/>
        <v>980290543.66000009</v>
      </c>
      <c r="BE239" s="580">
        <f t="shared" si="331"/>
        <v>26845694.926761866</v>
      </c>
      <c r="BF239" s="580">
        <f t="shared" si="332"/>
        <v>-63784127.092374444</v>
      </c>
      <c r="BG239" s="580">
        <f t="shared" si="312"/>
        <v>2908640623.8392458</v>
      </c>
      <c r="BH239" s="580">
        <f t="shared" ref="BH239:BI239" si="368">BH34</f>
        <v>2886549647.5823741</v>
      </c>
      <c r="BI239" s="580">
        <f t="shared" si="368"/>
        <v>2822765520.4900007</v>
      </c>
      <c r="BJ239" s="580">
        <f t="shared" si="333"/>
        <v>-85875103.349245071</v>
      </c>
      <c r="BK239" s="580">
        <f t="shared" si="334"/>
        <v>-63784127.092373371</v>
      </c>
      <c r="BL239" s="580">
        <f t="shared" si="367"/>
        <v>859816200.91780651</v>
      </c>
      <c r="BM239" s="580">
        <f t="shared" si="367"/>
        <v>918646726.8431139</v>
      </c>
      <c r="BN239" s="580">
        <f t="shared" si="367"/>
        <v>989581251.23299992</v>
      </c>
      <c r="BO239" s="580">
        <f t="shared" si="339"/>
        <v>129765050.31519341</v>
      </c>
      <c r="BP239" s="580">
        <f t="shared" si="335"/>
        <v>70934524.389886022</v>
      </c>
      <c r="BQ239" s="580">
        <f t="shared" ref="BQ239:BS239" si="369">BQ34</f>
        <v>859816200.91780651</v>
      </c>
      <c r="BR239" s="580">
        <f t="shared" si="369"/>
        <v>0</v>
      </c>
      <c r="BS239" s="580">
        <f t="shared" si="369"/>
        <v>0</v>
      </c>
      <c r="BT239" s="536"/>
      <c r="BU239" s="580">
        <f>BU34</f>
        <v>3411888443.1400003</v>
      </c>
      <c r="BV239" s="580">
        <f t="shared" ref="BV239" si="370">BV34</f>
        <v>400458328.58299994</v>
      </c>
      <c r="BW239" s="580">
        <f t="shared" ref="BW239" si="371">BW31</f>
        <v>0</v>
      </c>
      <c r="BX239" s="581"/>
      <c r="BY239" s="580">
        <f t="shared" ref="BY239:CB239" si="372">BY34</f>
        <v>3706938201</v>
      </c>
      <c r="BZ239" s="580">
        <f t="shared" si="372"/>
        <v>71668869.850000009</v>
      </c>
      <c r="CA239" s="580">
        <f t="shared" si="372"/>
        <v>33739700.870000005</v>
      </c>
      <c r="CB239" s="580">
        <f t="shared" si="372"/>
        <v>3812346771.7200003</v>
      </c>
      <c r="CC239" s="580">
        <f t="shared" si="336"/>
        <v>3.0002593994140625E-3</v>
      </c>
      <c r="CD239" s="580"/>
      <c r="CE239" s="580"/>
      <c r="CF239" s="580"/>
      <c r="CG239" s="580"/>
      <c r="CH239" s="580"/>
      <c r="CI239" s="580"/>
      <c r="CJ239" s="580"/>
      <c r="CK239" s="508"/>
      <c r="CL239" s="508"/>
      <c r="CM239" s="528"/>
      <c r="CN239" s="528"/>
      <c r="CO239" s="528"/>
      <c r="CP239" s="582">
        <f>CP34</f>
        <v>3581200022.5516486</v>
      </c>
      <c r="CQ239" s="582">
        <f>CQ34</f>
        <v>160817811.79253244</v>
      </c>
      <c r="CR239" s="582">
        <f>CR34</f>
        <v>26438990.412871424</v>
      </c>
      <c r="CS239" s="1679"/>
      <c r="CT239" s="1680"/>
      <c r="CU239" s="1680"/>
      <c r="CV239" s="1680"/>
      <c r="CW239" s="1681"/>
      <c r="CX239" s="528"/>
      <c r="CY239" s="528"/>
      <c r="CZ239" s="528"/>
      <c r="DA239" s="528"/>
      <c r="DB239" s="582">
        <f>DB34</f>
        <v>900677724.91000009</v>
      </c>
      <c r="DC239" s="628" t="e">
        <f>P239-#REF!</f>
        <v>#REF!</v>
      </c>
      <c r="DD239" s="535"/>
      <c r="DE239" s="535"/>
      <c r="DF239" s="580">
        <f t="shared" si="350"/>
        <v>3706938.2009999999</v>
      </c>
      <c r="DG239" s="580">
        <f t="shared" si="350"/>
        <v>71668.869850000003</v>
      </c>
      <c r="DH239" s="580">
        <f t="shared" si="350"/>
        <v>33739.700870000008</v>
      </c>
      <c r="DI239" s="580">
        <f t="shared" si="348"/>
        <v>3812346.7717200001</v>
      </c>
      <c r="DJ239" s="536"/>
      <c r="DK239" s="536"/>
      <c r="DL239" s="536"/>
      <c r="DM239" s="536"/>
      <c r="DN239" s="536"/>
      <c r="DO239" s="536"/>
      <c r="DP239" s="536"/>
      <c r="DQ239" s="536"/>
      <c r="DR239" s="536"/>
      <c r="DS239" s="536"/>
    </row>
    <row r="240" spans="1:123" s="534" customFormat="1">
      <c r="A240" s="667" t="s">
        <v>1957</v>
      </c>
      <c r="B240" s="584"/>
      <c r="C240" s="585"/>
      <c r="D240" s="585"/>
      <c r="E240" s="585">
        <f>E241-E243</f>
        <v>141259356.45000005</v>
      </c>
      <c r="F240" s="585">
        <f>F241-F243-F244</f>
        <v>328645087.87000012</v>
      </c>
      <c r="G240" s="585"/>
      <c r="H240" s="585"/>
      <c r="I240" s="585"/>
      <c r="J240" s="585"/>
      <c r="K240" s="585"/>
      <c r="L240" s="585"/>
      <c r="M240" s="585"/>
      <c r="N240" s="585"/>
      <c r="O240" s="585"/>
      <c r="P240" s="585"/>
      <c r="Q240" s="585">
        <f t="shared" si="313"/>
        <v>0</v>
      </c>
      <c r="R240" s="585" t="e">
        <f t="shared" si="314"/>
        <v>#DIV/0!</v>
      </c>
      <c r="S240" s="585"/>
      <c r="T240" s="585"/>
      <c r="U240" s="585"/>
      <c r="V240" s="585">
        <f t="shared" si="311"/>
        <v>0</v>
      </c>
      <c r="W240" s="585"/>
      <c r="X240" s="585">
        <f t="shared" si="315"/>
        <v>0</v>
      </c>
      <c r="Y240" s="585" t="e">
        <f t="shared" si="316"/>
        <v>#DIV/0!</v>
      </c>
      <c r="Z240" s="668"/>
      <c r="AA240" s="585">
        <f t="shared" si="318"/>
        <v>0</v>
      </c>
      <c r="AB240" s="585"/>
      <c r="AC240" s="585"/>
      <c r="AD240" s="585"/>
      <c r="AE240" s="585"/>
      <c r="AF240" s="585"/>
      <c r="AG240" s="585"/>
      <c r="AH240" s="585"/>
      <c r="AI240" s="585"/>
      <c r="AJ240" s="585"/>
      <c r="AK240" s="585"/>
      <c r="AL240" s="585"/>
      <c r="AM240" s="585"/>
      <c r="AN240" s="585"/>
      <c r="AO240" s="585"/>
      <c r="AP240" s="585"/>
      <c r="AQ240" s="585"/>
      <c r="AR240" s="585"/>
      <c r="AS240" s="585"/>
      <c r="AT240" s="585"/>
      <c r="AU240" s="585"/>
      <c r="AV240" s="585"/>
      <c r="AW240" s="585"/>
      <c r="AX240" s="585"/>
      <c r="AY240" s="585"/>
      <c r="AZ240" s="585"/>
      <c r="BA240" s="585"/>
      <c r="BB240" s="585"/>
      <c r="BC240" s="669"/>
      <c r="BD240" s="669"/>
      <c r="BE240" s="669">
        <f t="shared" si="331"/>
        <v>0</v>
      </c>
      <c r="BF240" s="669">
        <f t="shared" si="332"/>
        <v>0</v>
      </c>
      <c r="BG240" s="669">
        <f t="shared" si="312"/>
        <v>0</v>
      </c>
      <c r="BH240" s="585"/>
      <c r="BI240" s="585"/>
      <c r="BJ240" s="585">
        <f t="shared" si="333"/>
        <v>0</v>
      </c>
      <c r="BK240" s="585">
        <f t="shared" si="334"/>
        <v>0</v>
      </c>
      <c r="BL240" s="669"/>
      <c r="BM240" s="585"/>
      <c r="BN240" s="585"/>
      <c r="BO240" s="585">
        <f t="shared" si="339"/>
        <v>0</v>
      </c>
      <c r="BP240" s="585">
        <f t="shared" si="335"/>
        <v>0</v>
      </c>
      <c r="BQ240" s="669"/>
      <c r="BR240" s="585"/>
      <c r="BS240" s="585"/>
      <c r="BT240" s="536"/>
      <c r="BU240" s="585"/>
      <c r="BV240" s="585"/>
      <c r="BW240" s="585"/>
      <c r="BX240" s="574"/>
      <c r="BY240" s="585"/>
      <c r="BZ240" s="585"/>
      <c r="CA240" s="585"/>
      <c r="CB240" s="585"/>
      <c r="CC240" s="585">
        <f t="shared" si="336"/>
        <v>0</v>
      </c>
      <c r="CD240" s="585"/>
      <c r="CE240" s="585"/>
      <c r="CF240" s="585"/>
      <c r="CG240" s="585"/>
      <c r="CH240" s="585"/>
      <c r="CI240" s="585"/>
      <c r="CJ240" s="585"/>
      <c r="CK240" s="587"/>
      <c r="CL240" s="587"/>
      <c r="CM240" s="527"/>
      <c r="CN240" s="527"/>
      <c r="CO240" s="528"/>
      <c r="CP240" s="670"/>
      <c r="CQ240" s="670"/>
      <c r="CR240" s="670"/>
      <c r="CS240" s="1698"/>
      <c r="CT240" s="1699"/>
      <c r="CU240" s="1699"/>
      <c r="CV240" s="1699"/>
      <c r="CW240" s="1700"/>
      <c r="CX240" s="528"/>
      <c r="CY240" s="528"/>
      <c r="CZ240" s="528"/>
      <c r="DA240" s="528"/>
      <c r="DB240" s="670">
        <f>DB241-(DB243+DB244)</f>
        <v>68471000.00000003</v>
      </c>
      <c r="DC240" s="628" t="e">
        <f>P240-#REF!</f>
        <v>#REF!</v>
      </c>
      <c r="DD240" s="575"/>
      <c r="DE240" s="575"/>
      <c r="DF240" s="585">
        <f t="shared" si="350"/>
        <v>0</v>
      </c>
      <c r="DG240" s="585">
        <f t="shared" si="350"/>
        <v>0</v>
      </c>
      <c r="DH240" s="585">
        <f t="shared" si="350"/>
        <v>0</v>
      </c>
      <c r="DI240" s="585">
        <f t="shared" si="348"/>
        <v>0</v>
      </c>
      <c r="DJ240" s="536"/>
      <c r="DK240" s="536"/>
      <c r="DL240" s="536"/>
      <c r="DM240" s="536"/>
      <c r="DN240" s="536"/>
      <c r="DO240" s="536"/>
      <c r="DP240" s="536"/>
      <c r="DQ240" s="536"/>
      <c r="DR240" s="536"/>
      <c r="DS240" s="536"/>
    </row>
    <row r="241" spans="1:123">
      <c r="A241" s="505" t="s">
        <v>1839</v>
      </c>
      <c r="B241" s="506" t="s">
        <v>1840</v>
      </c>
      <c r="C241" s="580">
        <f t="shared" ref="C241:T241" si="373">C242</f>
        <v>1165224921.02</v>
      </c>
      <c r="D241" s="580">
        <f t="shared" si="373"/>
        <v>140167232.40000001</v>
      </c>
      <c r="E241" s="580">
        <f t="shared" si="373"/>
        <v>663072456.45000005</v>
      </c>
      <c r="F241" s="580">
        <f t="shared" si="373"/>
        <v>708362095.12000012</v>
      </c>
      <c r="G241" s="580">
        <f t="shared" si="373"/>
        <v>190167995.25791135</v>
      </c>
      <c r="H241" s="580">
        <f t="shared" si="373"/>
        <v>0</v>
      </c>
      <c r="I241" s="580">
        <f t="shared" si="373"/>
        <v>954090196.852</v>
      </c>
      <c r="J241" s="580">
        <f t="shared" si="373"/>
        <v>488996137.26999998</v>
      </c>
      <c r="K241" s="580">
        <f t="shared" si="373"/>
        <v>184515379.33000004</v>
      </c>
      <c r="L241" s="580">
        <f t="shared" si="373"/>
        <v>280578680.25199997</v>
      </c>
      <c r="M241" s="580">
        <f t="shared" si="373"/>
        <v>673511516.60000002</v>
      </c>
      <c r="N241" s="580">
        <f t="shared" si="373"/>
        <v>709521927.88</v>
      </c>
      <c r="O241" s="580">
        <f t="shared" si="373"/>
        <v>395955838.72000003</v>
      </c>
      <c r="P241" s="580">
        <f t="shared" si="373"/>
        <v>1105477766.5999997</v>
      </c>
      <c r="Q241" s="580">
        <f t="shared" si="313"/>
        <v>151387569.74799967</v>
      </c>
      <c r="R241" s="580">
        <f t="shared" si="314"/>
        <v>15.867217821491053</v>
      </c>
      <c r="S241" s="580">
        <f t="shared" si="373"/>
        <v>193468837.09999999</v>
      </c>
      <c r="T241" s="580">
        <f t="shared" si="373"/>
        <v>193433217.09999999</v>
      </c>
      <c r="U241" s="580">
        <f>U242</f>
        <v>981835031.71448755</v>
      </c>
      <c r="V241" s="580">
        <f t="shared" si="311"/>
        <v>788401814.61448753</v>
      </c>
      <c r="W241" s="580">
        <f t="shared" si="340"/>
        <v>407.58346804877056</v>
      </c>
      <c r="X241" s="580">
        <f t="shared" si="315"/>
        <v>-123642734.88551211</v>
      </c>
      <c r="Y241" s="580">
        <f t="shared" si="316"/>
        <v>-11.184551930500319</v>
      </c>
      <c r="Z241" s="580">
        <f t="shared" si="317"/>
        <v>1244195350.0014963</v>
      </c>
      <c r="AA241" s="580">
        <f t="shared" si="318"/>
        <v>1050762132.9014963</v>
      </c>
      <c r="AB241" s="580">
        <f t="shared" si="341"/>
        <v>543.21700722078117</v>
      </c>
      <c r="AC241" s="580">
        <f t="shared" si="319"/>
        <v>262360318.28700876</v>
      </c>
      <c r="AD241" s="580">
        <f t="shared" si="320"/>
        <v>26.721425678698111</v>
      </c>
      <c r="AE241" s="580">
        <f t="shared" si="321"/>
        <v>138717583.40149665</v>
      </c>
      <c r="AF241" s="580">
        <f t="shared" si="322"/>
        <v>12.548202016593748</v>
      </c>
      <c r="AG241" s="580">
        <f t="shared" si="337"/>
        <v>1505009448.03</v>
      </c>
      <c r="AH241" s="580">
        <f t="shared" si="323"/>
        <v>523174416.31551242</v>
      </c>
      <c r="AI241" s="580">
        <f t="shared" si="324"/>
        <v>53.285368663403801</v>
      </c>
      <c r="AJ241" s="580">
        <f t="shared" si="325"/>
        <v>260814098.02850366</v>
      </c>
      <c r="AK241" s="580">
        <f t="shared" ref="AK241:AK249" si="374">AG241/Z241*100-100</f>
        <v>20.962471691297509</v>
      </c>
      <c r="AL241" s="580">
        <f>AL242</f>
        <v>1505009448.0300002</v>
      </c>
      <c r="AM241" s="580">
        <f t="shared" si="342"/>
        <v>398051963.19322622</v>
      </c>
      <c r="AN241" s="580">
        <f t="shared" si="342"/>
        <v>726441521.69999993</v>
      </c>
      <c r="AO241" s="580">
        <f t="shared" si="326"/>
        <v>328389558.50677371</v>
      </c>
      <c r="AP241" s="580">
        <f t="shared" si="338"/>
        <v>82.499168166987204</v>
      </c>
      <c r="AQ241" s="580">
        <f>AQ242</f>
        <v>179620355.6285395</v>
      </c>
      <c r="AR241" s="580">
        <f>AR242</f>
        <v>221836476.57000002</v>
      </c>
      <c r="AS241" s="580">
        <f>AS242</f>
        <v>218431607.56468672</v>
      </c>
      <c r="AT241" s="580">
        <f>AT242</f>
        <v>504605045.12999988</v>
      </c>
      <c r="AU241" s="580">
        <f t="shared" ref="AU241:AV272" si="375">BB241+BL241</f>
        <v>583783068.52126157</v>
      </c>
      <c r="AV241" s="580">
        <f t="shared" si="375"/>
        <v>517753828.30149639</v>
      </c>
      <c r="AW241" s="580">
        <f t="shared" si="327"/>
        <v>-66029240.219765186</v>
      </c>
      <c r="AX241" s="580">
        <f t="shared" si="328"/>
        <v>-11.310578154830537</v>
      </c>
      <c r="AY241" s="580">
        <f t="shared" ref="AY241:AY301" si="376">BD241+BN241</f>
        <v>778567926.33000004</v>
      </c>
      <c r="AZ241" s="580">
        <f t="shared" si="329"/>
        <v>-260814098.02850366</v>
      </c>
      <c r="BA241" s="580">
        <f t="shared" si="330"/>
        <v>-33.499209151592552</v>
      </c>
      <c r="BB241" s="580">
        <f t="shared" ref="BB241:BN241" si="377">BB242</f>
        <v>297212845.60752755</v>
      </c>
      <c r="BC241" s="580">
        <f t="shared" si="377"/>
        <v>227706969.14470005</v>
      </c>
      <c r="BD241" s="580">
        <f t="shared" si="377"/>
        <v>444365072.6500001</v>
      </c>
      <c r="BE241" s="580">
        <f t="shared" si="331"/>
        <v>147152227.04247254</v>
      </c>
      <c r="BF241" s="580">
        <f t="shared" si="332"/>
        <v>216658103.50530005</v>
      </c>
      <c r="BG241" s="580">
        <f t="shared" si="312"/>
        <v>695264808.80075383</v>
      </c>
      <c r="BH241" s="580">
        <f t="shared" si="377"/>
        <v>954148490.84469998</v>
      </c>
      <c r="BI241" s="580">
        <f t="shared" si="377"/>
        <v>1170806594.3499999</v>
      </c>
      <c r="BJ241" s="580">
        <f t="shared" si="333"/>
        <v>475541785.54924607</v>
      </c>
      <c r="BK241" s="580">
        <f t="shared" si="334"/>
        <v>216658103.50529993</v>
      </c>
      <c r="BL241" s="580">
        <f t="shared" si="377"/>
        <v>286570222.91373402</v>
      </c>
      <c r="BM241" s="580">
        <f t="shared" si="377"/>
        <v>290046859.15679634</v>
      </c>
      <c r="BN241" s="580">
        <f t="shared" si="377"/>
        <v>334202853.67999995</v>
      </c>
      <c r="BO241" s="580">
        <f t="shared" si="339"/>
        <v>47632630.766265929</v>
      </c>
      <c r="BP241" s="580">
        <f t="shared" si="335"/>
        <v>44155994.523203611</v>
      </c>
      <c r="BQ241" s="580">
        <f t="shared" ref="BQ241:BS241" si="378">BQ242</f>
        <v>286570222.91373402</v>
      </c>
      <c r="BR241" s="580">
        <f t="shared" si="378"/>
        <v>0</v>
      </c>
      <c r="BS241" s="580">
        <f t="shared" si="378"/>
        <v>0</v>
      </c>
      <c r="BU241" s="580">
        <f>BU242</f>
        <v>0</v>
      </c>
      <c r="BV241" s="580">
        <f t="shared" ref="BV241:BW241" si="379">BV242</f>
        <v>0</v>
      </c>
      <c r="BW241" s="580">
        <f t="shared" si="379"/>
        <v>1505009448.0300002</v>
      </c>
      <c r="BX241" s="581"/>
      <c r="BY241" s="580">
        <f>BY242</f>
        <v>1404286282.8822761</v>
      </c>
      <c r="BZ241" s="580">
        <f t="shared" ref="BZ241:CB241" si="380">BZ242</f>
        <v>70884749.760000005</v>
      </c>
      <c r="CA241" s="580">
        <f t="shared" si="380"/>
        <v>29838415.389999986</v>
      </c>
      <c r="CB241" s="580">
        <f t="shared" si="380"/>
        <v>1505009448.0322757</v>
      </c>
      <c r="CC241" s="580">
        <f t="shared" si="336"/>
        <v>-2.2754669189453125E-3</v>
      </c>
      <c r="CD241" s="580"/>
      <c r="CE241" s="580"/>
      <c r="CF241" s="580"/>
      <c r="CG241" s="580"/>
      <c r="CH241" s="580"/>
      <c r="CI241" s="580"/>
      <c r="CJ241" s="580"/>
      <c r="CK241" s="508"/>
      <c r="CL241" s="508"/>
      <c r="CM241" s="510"/>
      <c r="CN241" s="510"/>
      <c r="CO241" s="510"/>
      <c r="CP241" s="582">
        <f>CP242</f>
        <v>900637464.80414701</v>
      </c>
      <c r="CQ241" s="582">
        <f>CQ242</f>
        <v>65554109.064055525</v>
      </c>
      <c r="CR241" s="582">
        <f>CR242</f>
        <v>15643457.846284993</v>
      </c>
      <c r="CS241" s="1679"/>
      <c r="CT241" s="1680"/>
      <c r="CU241" s="1680"/>
      <c r="CV241" s="1680"/>
      <c r="CW241" s="1681"/>
      <c r="CX241" s="510"/>
      <c r="CY241" s="510"/>
      <c r="CZ241" s="510"/>
      <c r="DA241" s="510"/>
      <c r="DB241" s="582">
        <f>DB242</f>
        <v>221836476.57000002</v>
      </c>
      <c r="DC241" s="628" t="e">
        <f>P241-#REF!</f>
        <v>#REF!</v>
      </c>
      <c r="DD241" s="572"/>
      <c r="DE241" s="572"/>
      <c r="DF241" s="580">
        <f t="shared" si="350"/>
        <v>1404286.282882276</v>
      </c>
      <c r="DG241" s="580">
        <f t="shared" si="350"/>
        <v>70884.749760000006</v>
      </c>
      <c r="DH241" s="580">
        <f t="shared" si="350"/>
        <v>29838.415389999987</v>
      </c>
      <c r="DI241" s="580">
        <f t="shared" si="348"/>
        <v>1505009.4480322758</v>
      </c>
    </row>
    <row r="242" spans="1:123" ht="31.5" customHeight="1">
      <c r="A242" s="505" t="s">
        <v>1958</v>
      </c>
      <c r="B242" s="506" t="s">
        <v>1305</v>
      </c>
      <c r="C242" s="580">
        <f t="shared" ref="C242:P242" si="381">SUM(C243:C299)</f>
        <v>1165224921.02</v>
      </c>
      <c r="D242" s="580">
        <f t="shared" si="381"/>
        <v>140167232.40000001</v>
      </c>
      <c r="E242" s="580">
        <f t="shared" si="381"/>
        <v>663072456.45000005</v>
      </c>
      <c r="F242" s="580">
        <f t="shared" si="381"/>
        <v>708362095.12000012</v>
      </c>
      <c r="G242" s="580">
        <f t="shared" si="381"/>
        <v>190167995.25791135</v>
      </c>
      <c r="H242" s="580">
        <f t="shared" si="381"/>
        <v>0</v>
      </c>
      <c r="I242" s="580">
        <f t="shared" si="381"/>
        <v>954090196.852</v>
      </c>
      <c r="J242" s="580">
        <f t="shared" si="381"/>
        <v>488996137.26999998</v>
      </c>
      <c r="K242" s="580">
        <f t="shared" si="381"/>
        <v>184515379.33000004</v>
      </c>
      <c r="L242" s="580">
        <f t="shared" si="381"/>
        <v>280578680.25199997</v>
      </c>
      <c r="M242" s="580">
        <f t="shared" si="381"/>
        <v>673511516.60000002</v>
      </c>
      <c r="N242" s="580">
        <f t="shared" si="381"/>
        <v>709521927.88</v>
      </c>
      <c r="O242" s="580">
        <f t="shared" si="381"/>
        <v>395955838.72000003</v>
      </c>
      <c r="P242" s="580">
        <f t="shared" si="381"/>
        <v>1105477766.5999997</v>
      </c>
      <c r="Q242" s="580">
        <f t="shared" si="313"/>
        <v>151387569.74799967</v>
      </c>
      <c r="R242" s="580">
        <f t="shared" si="314"/>
        <v>15.867217821491053</v>
      </c>
      <c r="S242" s="580">
        <f>SUM(S243:S299)</f>
        <v>193468837.09999999</v>
      </c>
      <c r="T242" s="580">
        <f>SUM(T243:T299)</f>
        <v>193433217.09999999</v>
      </c>
      <c r="U242" s="580">
        <f>SUM(U243:U299)</f>
        <v>981835031.71448755</v>
      </c>
      <c r="V242" s="580">
        <f t="shared" si="311"/>
        <v>788401814.61448753</v>
      </c>
      <c r="W242" s="580">
        <f t="shared" si="340"/>
        <v>407.58346804877056</v>
      </c>
      <c r="X242" s="580">
        <f t="shared" si="315"/>
        <v>-123642734.88551211</v>
      </c>
      <c r="Y242" s="580">
        <f t="shared" si="316"/>
        <v>-11.184551930500319</v>
      </c>
      <c r="Z242" s="580">
        <f t="shared" si="317"/>
        <v>1244195350.0014963</v>
      </c>
      <c r="AA242" s="580">
        <f t="shared" si="318"/>
        <v>1050762132.9014963</v>
      </c>
      <c r="AB242" s="580">
        <f t="shared" si="341"/>
        <v>543.21700722078117</v>
      </c>
      <c r="AC242" s="580">
        <f t="shared" si="319"/>
        <v>262360318.28700876</v>
      </c>
      <c r="AD242" s="580">
        <f t="shared" si="320"/>
        <v>26.721425678698111</v>
      </c>
      <c r="AE242" s="580">
        <f t="shared" si="321"/>
        <v>138717583.40149665</v>
      </c>
      <c r="AF242" s="580">
        <f t="shared" si="322"/>
        <v>12.548202016593748</v>
      </c>
      <c r="AG242" s="580">
        <f t="shared" si="337"/>
        <v>1505009448.03</v>
      </c>
      <c r="AH242" s="580">
        <f t="shared" si="323"/>
        <v>523174416.31551242</v>
      </c>
      <c r="AI242" s="580">
        <f t="shared" si="324"/>
        <v>53.285368663403801</v>
      </c>
      <c r="AJ242" s="580">
        <f t="shared" si="325"/>
        <v>260814098.02850366</v>
      </c>
      <c r="AK242" s="580">
        <f t="shared" si="374"/>
        <v>20.962471691297509</v>
      </c>
      <c r="AL242" s="580">
        <f>SUM(AL243:AL300)</f>
        <v>1505009448.0300002</v>
      </c>
      <c r="AM242" s="580">
        <f t="shared" si="342"/>
        <v>398051963.19322622</v>
      </c>
      <c r="AN242" s="580">
        <f t="shared" si="342"/>
        <v>726441521.69999993</v>
      </c>
      <c r="AO242" s="580">
        <f t="shared" si="326"/>
        <v>328389558.50677371</v>
      </c>
      <c r="AP242" s="580">
        <f t="shared" si="338"/>
        <v>82.499168166987204</v>
      </c>
      <c r="AQ242" s="580">
        <f>SUM(AQ243:AQ299)</f>
        <v>179620355.6285395</v>
      </c>
      <c r="AR242" s="580">
        <f>SUM(AR243:AR300)</f>
        <v>221836476.57000002</v>
      </c>
      <c r="AS242" s="580">
        <f>SUM(AS243:AS299)</f>
        <v>218431607.56468672</v>
      </c>
      <c r="AT242" s="580">
        <f>SUM(AT243:AT300)</f>
        <v>504605045.12999988</v>
      </c>
      <c r="AU242" s="580">
        <f t="shared" si="375"/>
        <v>583783068.52126157</v>
      </c>
      <c r="AV242" s="580">
        <f t="shared" si="375"/>
        <v>517753828.30149639</v>
      </c>
      <c r="AW242" s="580">
        <f t="shared" si="327"/>
        <v>-66029240.219765186</v>
      </c>
      <c r="AX242" s="580">
        <f t="shared" si="328"/>
        <v>-11.310578154830537</v>
      </c>
      <c r="AY242" s="580">
        <f t="shared" si="376"/>
        <v>778567926.33000004</v>
      </c>
      <c r="AZ242" s="580">
        <f t="shared" si="329"/>
        <v>-260814098.02850366</v>
      </c>
      <c r="BA242" s="580">
        <f t="shared" si="330"/>
        <v>-33.499209151592552</v>
      </c>
      <c r="BB242" s="580">
        <f>SUM(BB243:BB299)</f>
        <v>297212845.60752755</v>
      </c>
      <c r="BC242" s="580">
        <f>SUM(BC243:BC300)</f>
        <v>227706969.14470005</v>
      </c>
      <c r="BD242" s="580">
        <f>SUM(BD243:BD300)</f>
        <v>444365072.6500001</v>
      </c>
      <c r="BE242" s="580">
        <f t="shared" si="331"/>
        <v>147152227.04247254</v>
      </c>
      <c r="BF242" s="580">
        <f t="shared" si="332"/>
        <v>216658103.50530005</v>
      </c>
      <c r="BG242" s="580">
        <f t="shared" si="312"/>
        <v>695264808.80075383</v>
      </c>
      <c r="BH242" s="580">
        <f t="shared" ref="BH242:BI242" si="382">SUM(BH243:BH300)</f>
        <v>954148490.84469998</v>
      </c>
      <c r="BI242" s="580">
        <f t="shared" si="382"/>
        <v>1170806594.3499999</v>
      </c>
      <c r="BJ242" s="580">
        <f t="shared" si="333"/>
        <v>475541785.54924607</v>
      </c>
      <c r="BK242" s="580">
        <f t="shared" si="334"/>
        <v>216658103.50529993</v>
      </c>
      <c r="BL242" s="580">
        <f>SUM(BL243:BL300)</f>
        <v>286570222.91373402</v>
      </c>
      <c r="BM242" s="580">
        <f>SUM(BM243:BM300)</f>
        <v>290046859.15679634</v>
      </c>
      <c r="BN242" s="580">
        <f>SUM(BN243:BN300)</f>
        <v>334202853.67999995</v>
      </c>
      <c r="BO242" s="580">
        <f t="shared" si="339"/>
        <v>47632630.766265929</v>
      </c>
      <c r="BP242" s="580">
        <f t="shared" si="335"/>
        <v>44155994.523203611</v>
      </c>
      <c r="BQ242" s="580">
        <f>SUM(BQ243:BQ300)</f>
        <v>286570222.91373402</v>
      </c>
      <c r="BR242" s="580">
        <f>SUM(BR243:BR300)</f>
        <v>0</v>
      </c>
      <c r="BS242" s="580">
        <f>SUM(BS243:BS300)</f>
        <v>0</v>
      </c>
      <c r="BT242" s="569"/>
      <c r="BU242" s="580">
        <f>SUM(BU243:BU299)</f>
        <v>0</v>
      </c>
      <c r="BV242" s="580">
        <f t="shared" ref="BV242" si="383">SUM(BV243:BV299)</f>
        <v>0</v>
      </c>
      <c r="BW242" s="580">
        <f>SUM(BW243:BW300)</f>
        <v>1505009448.0300002</v>
      </c>
      <c r="BX242" s="581"/>
      <c r="BY242" s="580">
        <f>SUM(BY243:BY300)</f>
        <v>1404286282.8822761</v>
      </c>
      <c r="BZ242" s="580">
        <f t="shared" ref="BZ242:CB242" si="384">SUM(BZ243:BZ300)</f>
        <v>70884749.760000005</v>
      </c>
      <c r="CA242" s="580">
        <f t="shared" si="384"/>
        <v>29838415.389999986</v>
      </c>
      <c r="CB242" s="580">
        <f t="shared" si="384"/>
        <v>1505009448.0322757</v>
      </c>
      <c r="CC242" s="580">
        <f t="shared" si="336"/>
        <v>-2.2754669189453125E-3</v>
      </c>
      <c r="CD242" s="580"/>
      <c r="CE242" s="580"/>
      <c r="CF242" s="580"/>
      <c r="CG242" s="580"/>
      <c r="CH242" s="580"/>
      <c r="CI242" s="580"/>
      <c r="CJ242" s="580"/>
      <c r="CK242" s="508"/>
      <c r="CL242" s="508"/>
      <c r="CM242" s="510"/>
      <c r="CN242" s="510"/>
      <c r="CO242" s="510"/>
      <c r="CP242" s="582">
        <f>SUM(CP243:CP299)</f>
        <v>900637464.80414701</v>
      </c>
      <c r="CQ242" s="582">
        <f>SUM(CQ243:CQ299)</f>
        <v>65554109.064055525</v>
      </c>
      <c r="CR242" s="582">
        <f>SUM(CR243:CR299)</f>
        <v>15643457.846284993</v>
      </c>
      <c r="CS242" s="1679"/>
      <c r="CT242" s="1680"/>
      <c r="CU242" s="1680"/>
      <c r="CV242" s="1680"/>
      <c r="CW242" s="1681"/>
      <c r="CX242" s="510"/>
      <c r="CY242" s="510"/>
      <c r="CZ242" s="510"/>
      <c r="DA242" s="510"/>
      <c r="DB242" s="582">
        <f>SUM(DB243:DB300)</f>
        <v>221836476.57000002</v>
      </c>
      <c r="DC242" s="628" t="e">
        <f>P242-#REF!</f>
        <v>#REF!</v>
      </c>
      <c r="DD242" s="572">
        <f>BI242-BI243-BI244</f>
        <v>713018208.29999995</v>
      </c>
      <c r="DE242" s="572"/>
      <c r="DF242" s="580">
        <f t="shared" si="350"/>
        <v>1404286.282882276</v>
      </c>
      <c r="DG242" s="580">
        <f t="shared" si="350"/>
        <v>70884.749760000006</v>
      </c>
      <c r="DH242" s="580">
        <f t="shared" si="350"/>
        <v>29838.415389999987</v>
      </c>
      <c r="DI242" s="580">
        <f t="shared" si="348"/>
        <v>1505009.4480322758</v>
      </c>
      <c r="DJ242" s="569"/>
      <c r="DK242" s="569"/>
    </row>
    <row r="243" spans="1:123" s="534" customFormat="1" ht="84.75" customHeight="1">
      <c r="A243" s="537" t="s">
        <v>1132</v>
      </c>
      <c r="B243" s="538" t="s">
        <v>1133</v>
      </c>
      <c r="C243" s="576">
        <v>365166493.37</v>
      </c>
      <c r="D243" s="576">
        <v>134791086.77000001</v>
      </c>
      <c r="E243" s="576">
        <v>521813100</v>
      </c>
      <c r="F243" s="576">
        <v>379717007.25</v>
      </c>
      <c r="G243" s="626">
        <v>139673219.93782499</v>
      </c>
      <c r="H243" s="626">
        <v>0</v>
      </c>
      <c r="I243" s="578">
        <f t="shared" ref="I243:I299" si="385">J243+K243+L243</f>
        <v>315064506.85000002</v>
      </c>
      <c r="J243" s="578">
        <v>141776506.84999999</v>
      </c>
      <c r="K243" s="578">
        <v>82292000</v>
      </c>
      <c r="L243" s="578">
        <v>90996000</v>
      </c>
      <c r="M243" s="578">
        <f t="shared" ref="M243:M297" si="386">J243+K243</f>
        <v>224068506.84999999</v>
      </c>
      <c r="N243" s="578">
        <v>222806301.41</v>
      </c>
      <c r="O243" s="522">
        <f t="shared" ref="O243:O299" si="387">P243-N243</f>
        <v>69859825.349999994</v>
      </c>
      <c r="P243" s="522">
        <v>292666126.75999999</v>
      </c>
      <c r="Q243" s="576">
        <f t="shared" si="313"/>
        <v>-22398380.090000033</v>
      </c>
      <c r="R243" s="576">
        <f t="shared" si="314"/>
        <v>-7.1091410181165742</v>
      </c>
      <c r="S243" s="1701">
        <v>147355247.09999999</v>
      </c>
      <c r="T243" s="1701">
        <v>147355247.09999999</v>
      </c>
      <c r="U243" s="578">
        <f t="shared" ref="U243:U299" si="388">AQ243+AS243+BB243+BL243</f>
        <v>308663643.60793829</v>
      </c>
      <c r="V243" s="578">
        <f t="shared" si="311"/>
        <v>161308396.5079383</v>
      </c>
      <c r="W243" s="578">
        <f t="shared" si="340"/>
        <v>109.46905500994427</v>
      </c>
      <c r="X243" s="578">
        <f t="shared" si="315"/>
        <v>15997516.847938299</v>
      </c>
      <c r="Y243" s="578">
        <f t="shared" si="316"/>
        <v>5.4661320136501672</v>
      </c>
      <c r="Z243" s="586">
        <f t="shared" si="317"/>
        <v>279187602.81</v>
      </c>
      <c r="AA243" s="578">
        <f t="shared" si="318"/>
        <v>131832355.71000001</v>
      </c>
      <c r="AB243" s="578">
        <f t="shared" si="341"/>
        <v>89.465667700678722</v>
      </c>
      <c r="AC243" s="578">
        <f t="shared" si="319"/>
        <v>-29476040.797938287</v>
      </c>
      <c r="AD243" s="578">
        <f t="shared" si="320"/>
        <v>-9.549566788428919</v>
      </c>
      <c r="AE243" s="578">
        <f t="shared" si="321"/>
        <v>-13478523.949999988</v>
      </c>
      <c r="AF243" s="578">
        <f t="shared" si="322"/>
        <v>-4.6054267021659854</v>
      </c>
      <c r="AG243" s="578">
        <f t="shared" si="337"/>
        <v>301639939.07999998</v>
      </c>
      <c r="AH243" s="578">
        <f t="shared" si="323"/>
        <v>-7023704.5279383063</v>
      </c>
      <c r="AI243" s="578">
        <f t="shared" si="324"/>
        <v>-2.2755205134750867</v>
      </c>
      <c r="AJ243" s="578">
        <f t="shared" si="325"/>
        <v>22452336.269999981</v>
      </c>
      <c r="AK243" s="578">
        <f t="shared" si="374"/>
        <v>8.0420248048334031</v>
      </c>
      <c r="AL243" s="522">
        <f>BW243</f>
        <v>301639939.07999998</v>
      </c>
      <c r="AM243" s="578">
        <f t="shared" si="342"/>
        <v>152692136.7586233</v>
      </c>
      <c r="AN243" s="578">
        <f t="shared" si="342"/>
        <v>150847602.78999999</v>
      </c>
      <c r="AO243" s="578">
        <f t="shared" si="326"/>
        <v>-1844533.9686233103</v>
      </c>
      <c r="AP243" s="578">
        <f t="shared" si="338"/>
        <v>-1.2080084854265749</v>
      </c>
      <c r="AQ243" s="578">
        <f>75554.0545668425*1000</f>
        <v>75554054.566842496</v>
      </c>
      <c r="AR243" s="578">
        <v>75313424.680000007</v>
      </c>
      <c r="AS243" s="578">
        <f>77138.0821917808*1000</f>
        <v>77138082.191780806</v>
      </c>
      <c r="AT243" s="578">
        <v>75534178.109999985</v>
      </c>
      <c r="AU243" s="578">
        <f t="shared" si="375"/>
        <v>155971506.84931499</v>
      </c>
      <c r="AV243" s="578">
        <f t="shared" si="375"/>
        <v>128340000.02000001</v>
      </c>
      <c r="AW243" s="578">
        <f t="shared" si="327"/>
        <v>-27631506.829314977</v>
      </c>
      <c r="AX243" s="578">
        <f t="shared" si="328"/>
        <v>-17.715740129387825</v>
      </c>
      <c r="AY243" s="578">
        <f t="shared" si="376"/>
        <v>150792336.28999999</v>
      </c>
      <c r="AZ243" s="578">
        <f t="shared" si="329"/>
        <v>-22452336.269999981</v>
      </c>
      <c r="BA243" s="578">
        <f t="shared" si="330"/>
        <v>-14.889573848647203</v>
      </c>
      <c r="BB243" s="578">
        <f>77985.7534246575*1000</f>
        <v>77985753.424657494</v>
      </c>
      <c r="BC243" s="576">
        <f>'[67]Дир_по фин'!AT9</f>
        <v>64570767.140000001</v>
      </c>
      <c r="BD243" s="576">
        <f t="shared" ref="BD243:BD300" si="389">BI243-AN243</f>
        <v>63392904.120000005</v>
      </c>
      <c r="BE243" s="576">
        <f t="shared" si="331"/>
        <v>-14592849.304657489</v>
      </c>
      <c r="BF243" s="576">
        <f t="shared" si="332"/>
        <v>-1177863.0199999958</v>
      </c>
      <c r="BG243" s="576">
        <f t="shared" si="312"/>
        <v>230677890.1832808</v>
      </c>
      <c r="BH243" s="578">
        <f t="shared" si="312"/>
        <v>215418369.93000001</v>
      </c>
      <c r="BI243" s="578">
        <v>214240506.91</v>
      </c>
      <c r="BJ243" s="578">
        <f t="shared" si="333"/>
        <v>-16437383.273280799</v>
      </c>
      <c r="BK243" s="578">
        <f t="shared" si="334"/>
        <v>-1177863.0200000107</v>
      </c>
      <c r="BL243" s="576">
        <f>77985.7534246575*1000</f>
        <v>77985753.424657494</v>
      </c>
      <c r="BM243" s="578">
        <f>'[67]Дир_по фин'!AW9</f>
        <v>63769232.880000003</v>
      </c>
      <c r="BN243" s="522">
        <f t="shared" ref="BN243:BN300" si="390">AL243-BI243</f>
        <v>87399432.169999987</v>
      </c>
      <c r="BO243" s="578">
        <f t="shared" si="339"/>
        <v>9413678.7453424931</v>
      </c>
      <c r="BP243" s="578">
        <f t="shared" si="335"/>
        <v>23630199.289999984</v>
      </c>
      <c r="BQ243" s="576">
        <f>77985.7534246575*1000</f>
        <v>77985753.424657494</v>
      </c>
      <c r="BR243" s="578">
        <f>'[67]Дир_по фин'!BB9</f>
        <v>0</v>
      </c>
      <c r="BS243" s="578">
        <f>'[67]Дир_по фин'!BC9</f>
        <v>0</v>
      </c>
      <c r="BT243" s="536"/>
      <c r="BU243" s="578"/>
      <c r="BV243" s="578"/>
      <c r="BW243" s="586">
        <v>301639939.07999998</v>
      </c>
      <c r="BX243" s="629"/>
      <c r="BY243" s="522">
        <v>298925150.01999998</v>
      </c>
      <c r="BZ243" s="522">
        <f>700809.88+1628336.59</f>
        <v>2329146.4700000002</v>
      </c>
      <c r="CA243" s="578">
        <v>385642.59</v>
      </c>
      <c r="CB243" s="522">
        <f t="shared" ref="CB243:CB300" si="391">SUM(BY243:CA243)</f>
        <v>301639939.07999998</v>
      </c>
      <c r="CC243" s="578">
        <f t="shared" si="336"/>
        <v>0</v>
      </c>
      <c r="CD243" s="578"/>
      <c r="CE243" s="578"/>
      <c r="CF243" s="578"/>
      <c r="CG243" s="578"/>
      <c r="CH243" s="578"/>
      <c r="CI243" s="578"/>
      <c r="CJ243" s="578"/>
      <c r="CK243" s="542" t="s">
        <v>81</v>
      </c>
      <c r="CL243" s="542" t="s">
        <v>1810</v>
      </c>
      <c r="CM243" s="528" t="s">
        <v>1959</v>
      </c>
      <c r="CN243" s="528" t="s">
        <v>1849</v>
      </c>
      <c r="CO243" s="528"/>
      <c r="CP243" s="544">
        <f>U243*$CW$7/100</f>
        <v>287542694.6056397</v>
      </c>
      <c r="CQ243" s="544">
        <f>U243*$CW$8/100</f>
        <v>21120949.002298601</v>
      </c>
      <c r="CR243" s="579"/>
      <c r="CS243" s="1688" t="s">
        <v>1898</v>
      </c>
      <c r="CT243" s="1689"/>
      <c r="CU243" s="1689"/>
      <c r="CV243" s="1689"/>
      <c r="CW243" s="1690"/>
      <c r="CX243" s="528"/>
      <c r="CY243" s="528"/>
      <c r="CZ243" s="528"/>
      <c r="DA243" s="528"/>
      <c r="DB243" s="579">
        <v>75313424.680000007</v>
      </c>
      <c r="DC243" s="628" t="e">
        <f>P243-#REF!</f>
        <v>#REF!</v>
      </c>
      <c r="DD243" s="575"/>
      <c r="DE243" s="575"/>
      <c r="DF243" s="522">
        <f t="shared" si="350"/>
        <v>298925.15002</v>
      </c>
      <c r="DG243" s="522">
        <f t="shared" si="350"/>
        <v>2329.1464700000001</v>
      </c>
      <c r="DH243" s="578">
        <f t="shared" si="350"/>
        <v>385.64259000000004</v>
      </c>
      <c r="DI243" s="522">
        <f t="shared" si="348"/>
        <v>301639.93907999998</v>
      </c>
      <c r="DJ243" s="536"/>
      <c r="DK243" s="536"/>
      <c r="DL243" s="536"/>
      <c r="DM243" s="536"/>
      <c r="DN243" s="536"/>
      <c r="DO243" s="536"/>
      <c r="DP243" s="536"/>
      <c r="DQ243" s="536"/>
      <c r="DR243" s="536"/>
      <c r="DS243" s="536"/>
    </row>
    <row r="244" spans="1:123" s="534" customFormat="1" ht="95.25" customHeight="1">
      <c r="A244" s="537" t="s">
        <v>1135</v>
      </c>
      <c r="B244" s="538" t="s">
        <v>1136</v>
      </c>
      <c r="C244" s="576"/>
      <c r="D244" s="576"/>
      <c r="E244" s="576"/>
      <c r="F244" s="576"/>
      <c r="G244" s="577">
        <v>0</v>
      </c>
      <c r="H244" s="577">
        <v>0</v>
      </c>
      <c r="I244" s="578">
        <f t="shared" si="385"/>
        <v>110953067.81</v>
      </c>
      <c r="J244" s="578">
        <v>55430067.810000002</v>
      </c>
      <c r="K244" s="578">
        <v>29208000</v>
      </c>
      <c r="L244" s="578">
        <v>26315000</v>
      </c>
      <c r="M244" s="578">
        <f t="shared" si="386"/>
        <v>84638067.810000002</v>
      </c>
      <c r="N244" s="578">
        <v>82911580.040000007</v>
      </c>
      <c r="O244" s="522">
        <f t="shared" si="387"/>
        <v>51664238.390000001</v>
      </c>
      <c r="P244" s="522">
        <v>134575818.43000001</v>
      </c>
      <c r="Q244" s="576">
        <f t="shared" si="313"/>
        <v>23622750.620000005</v>
      </c>
      <c r="R244" s="576">
        <f t="shared" si="314"/>
        <v>21.290759314967715</v>
      </c>
      <c r="S244" s="1702"/>
      <c r="T244" s="1702"/>
      <c r="U244" s="578">
        <f t="shared" si="388"/>
        <v>377074037.05393291</v>
      </c>
      <c r="V244" s="578">
        <f t="shared" si="311"/>
        <v>377074037.05393291</v>
      </c>
      <c r="W244" s="578">
        <v>0</v>
      </c>
      <c r="X244" s="578">
        <f t="shared" si="315"/>
        <v>242498218.6239329</v>
      </c>
      <c r="Y244" s="578">
        <f t="shared" si="316"/>
        <v>180.19449664359206</v>
      </c>
      <c r="Z244" s="586">
        <f t="shared" si="317"/>
        <v>363828358.38999999</v>
      </c>
      <c r="AA244" s="578">
        <f t="shared" si="318"/>
        <v>363828358.38999999</v>
      </c>
      <c r="AB244" s="578">
        <v>0</v>
      </c>
      <c r="AC244" s="578">
        <f t="shared" si="319"/>
        <v>-13245678.66393292</v>
      </c>
      <c r="AD244" s="578">
        <f t="shared" si="320"/>
        <v>-3.5127527653245494</v>
      </c>
      <c r="AE244" s="578">
        <f t="shared" si="321"/>
        <v>229252539.95999998</v>
      </c>
      <c r="AF244" s="578">
        <f t="shared" si="322"/>
        <v>170.35195671445706</v>
      </c>
      <c r="AG244" s="578">
        <f t="shared" si="337"/>
        <v>303950187.32999998</v>
      </c>
      <c r="AH244" s="578">
        <f t="shared" si="323"/>
        <v>-73123849.723932922</v>
      </c>
      <c r="AI244" s="578">
        <f t="shared" si="324"/>
        <v>-19.392438231825011</v>
      </c>
      <c r="AJ244" s="578">
        <f t="shared" si="325"/>
        <v>-59878171.060000002</v>
      </c>
      <c r="AK244" s="578">
        <f t="shared" si="374"/>
        <v>-16.457807556555153</v>
      </c>
      <c r="AL244" s="522">
        <f t="shared" ref="AL244:AL300" si="392">BW244</f>
        <v>303950187.32999998</v>
      </c>
      <c r="AM244" s="578">
        <f t="shared" si="342"/>
        <v>175020864.45119292</v>
      </c>
      <c r="AN244" s="578">
        <f t="shared" si="342"/>
        <v>156917081.68000001</v>
      </c>
      <c r="AO244" s="578">
        <f t="shared" si="326"/>
        <v>-18103782.771192908</v>
      </c>
      <c r="AP244" s="578">
        <f t="shared" si="338"/>
        <v>-10.34378548406805</v>
      </c>
      <c r="AQ244" s="578">
        <f>78029.475410097*1000</f>
        <v>78029475.410097003</v>
      </c>
      <c r="AR244" s="578">
        <v>78052051.890000001</v>
      </c>
      <c r="AS244" s="578">
        <f>96991.3890410959*1000</f>
        <v>96991389.041095898</v>
      </c>
      <c r="AT244" s="578">
        <v>78865029.790000007</v>
      </c>
      <c r="AU244" s="578">
        <f t="shared" si="375"/>
        <v>202053172.60273999</v>
      </c>
      <c r="AV244" s="578">
        <f t="shared" si="375"/>
        <v>206911276.71000001</v>
      </c>
      <c r="AW244" s="578">
        <f t="shared" si="327"/>
        <v>4858104.1072600186</v>
      </c>
      <c r="AX244" s="578">
        <f t="shared" si="328"/>
        <v>2.4043691295120766</v>
      </c>
      <c r="AY244" s="578">
        <f t="shared" si="376"/>
        <v>147033105.64999998</v>
      </c>
      <c r="AZ244" s="578">
        <f t="shared" si="329"/>
        <v>59878171.060000032</v>
      </c>
      <c r="BA244" s="578">
        <f t="shared" si="330"/>
        <v>40.724278246924229</v>
      </c>
      <c r="BB244" s="578">
        <f>101026.58630137*1000</f>
        <v>101026586.30136999</v>
      </c>
      <c r="BC244" s="576">
        <f>'[67]Дир_по фин'!AT10</f>
        <v>99873057.530000001</v>
      </c>
      <c r="BD244" s="576">
        <f t="shared" si="389"/>
        <v>86630797.459999979</v>
      </c>
      <c r="BE244" s="576">
        <f t="shared" si="331"/>
        <v>-14395788.841370016</v>
      </c>
      <c r="BF244" s="576">
        <f t="shared" si="332"/>
        <v>-13242260.070000023</v>
      </c>
      <c r="BG244" s="576">
        <f t="shared" si="312"/>
        <v>276047450.75256288</v>
      </c>
      <c r="BH244" s="578">
        <f t="shared" si="312"/>
        <v>256790139.21000001</v>
      </c>
      <c r="BI244" s="578">
        <v>243547879.13999999</v>
      </c>
      <c r="BJ244" s="578">
        <f t="shared" si="333"/>
        <v>-32499571.612562895</v>
      </c>
      <c r="BK244" s="578">
        <f t="shared" si="334"/>
        <v>-13242260.070000023</v>
      </c>
      <c r="BL244" s="576">
        <f>101026.58630137*1000</f>
        <v>101026586.30136999</v>
      </c>
      <c r="BM244" s="578">
        <f>'[67]Дир_по фин'!AW10</f>
        <v>107038219.18000001</v>
      </c>
      <c r="BN244" s="522">
        <f t="shared" si="390"/>
        <v>60402308.189999998</v>
      </c>
      <c r="BO244" s="578">
        <f t="shared" si="339"/>
        <v>-40624278.111369997</v>
      </c>
      <c r="BP244" s="578">
        <f t="shared" si="335"/>
        <v>-46635910.99000001</v>
      </c>
      <c r="BQ244" s="576">
        <f>101026.58630137*1000</f>
        <v>101026586.30136999</v>
      </c>
      <c r="BR244" s="578">
        <f>'[67]Дир_по фин'!BB10</f>
        <v>0</v>
      </c>
      <c r="BS244" s="578">
        <f>'[67]Дир_по фин'!BC10</f>
        <v>0</v>
      </c>
      <c r="BT244" s="536"/>
      <c r="BU244" s="578"/>
      <c r="BV244" s="578"/>
      <c r="BW244" s="586">
        <v>303950187.32999998</v>
      </c>
      <c r="BX244" s="629"/>
      <c r="BY244" s="522">
        <v>297233597.39999998</v>
      </c>
      <c r="BZ244" s="522">
        <f>221330.16+1702348.05+3767825.27</f>
        <v>5691503.4800000004</v>
      </c>
      <c r="CA244" s="578">
        <v>1025086.45</v>
      </c>
      <c r="CB244" s="522">
        <f t="shared" si="391"/>
        <v>303950187.32999998</v>
      </c>
      <c r="CC244" s="578">
        <f t="shared" si="336"/>
        <v>0</v>
      </c>
      <c r="CD244" s="578"/>
      <c r="CE244" s="578"/>
      <c r="CF244" s="578"/>
      <c r="CG244" s="578"/>
      <c r="CH244" s="578"/>
      <c r="CI244" s="578"/>
      <c r="CJ244" s="578"/>
      <c r="CK244" s="542" t="s">
        <v>81</v>
      </c>
      <c r="CL244" s="542" t="s">
        <v>1810</v>
      </c>
      <c r="CM244" s="528" t="s">
        <v>1959</v>
      </c>
      <c r="CN244" s="528" t="s">
        <v>1849</v>
      </c>
      <c r="CO244" s="528"/>
      <c r="CP244" s="544">
        <f>U244*$CW$7/100</f>
        <v>351271965.21413124</v>
      </c>
      <c r="CQ244" s="544">
        <f>U244*$CW$8/100</f>
        <v>25802071.839801691</v>
      </c>
      <c r="CR244" s="671"/>
      <c r="CS244" s="1688" t="s">
        <v>1898</v>
      </c>
      <c r="CT244" s="1689"/>
      <c r="CU244" s="1689"/>
      <c r="CV244" s="1689"/>
      <c r="CW244" s="1690"/>
      <c r="CX244" s="528"/>
      <c r="CY244" s="528"/>
      <c r="CZ244" s="528"/>
      <c r="DA244" s="528"/>
      <c r="DB244" s="579">
        <v>78052051.890000001</v>
      </c>
      <c r="DC244" s="628" t="e">
        <f>P244-#REF!</f>
        <v>#REF!</v>
      </c>
      <c r="DD244" s="575"/>
      <c r="DE244" s="575"/>
      <c r="DF244" s="522">
        <f t="shared" si="350"/>
        <v>297233.59739999997</v>
      </c>
      <c r="DG244" s="522">
        <f t="shared" si="350"/>
        <v>5691.5034800000003</v>
      </c>
      <c r="DH244" s="578">
        <f t="shared" si="350"/>
        <v>1025.08645</v>
      </c>
      <c r="DI244" s="522">
        <f t="shared" si="348"/>
        <v>303950.18732999999</v>
      </c>
      <c r="DJ244" s="536"/>
      <c r="DK244" s="536"/>
      <c r="DL244" s="536"/>
      <c r="DM244" s="536"/>
      <c r="DN244" s="536"/>
      <c r="DO244" s="536"/>
      <c r="DP244" s="536"/>
      <c r="DQ244" s="536"/>
      <c r="DR244" s="536"/>
      <c r="DS244" s="536"/>
    </row>
    <row r="245" spans="1:123" s="534" customFormat="1" ht="32.25" customHeight="1">
      <c r="A245" s="537" t="s">
        <v>1301</v>
      </c>
      <c r="B245" s="538" t="s">
        <v>1960</v>
      </c>
      <c r="C245" s="576">
        <v>189166.42</v>
      </c>
      <c r="D245" s="576">
        <v>974363.03</v>
      </c>
      <c r="E245" s="576">
        <v>190900</v>
      </c>
      <c r="F245" s="576">
        <v>170682.08</v>
      </c>
      <c r="G245" s="577">
        <v>1009650</v>
      </c>
      <c r="H245" s="577">
        <v>0</v>
      </c>
      <c r="I245" s="578">
        <f t="shared" si="385"/>
        <v>133428.51</v>
      </c>
      <c r="J245" s="578">
        <v>56540.35</v>
      </c>
      <c r="K245" s="578">
        <v>38203.730000000003</v>
      </c>
      <c r="L245" s="578">
        <v>38684.43</v>
      </c>
      <c r="M245" s="578">
        <f t="shared" si="386"/>
        <v>94744.08</v>
      </c>
      <c r="N245" s="578">
        <v>84614.96</v>
      </c>
      <c r="O245" s="522">
        <f t="shared" si="387"/>
        <v>37030.839999999997</v>
      </c>
      <c r="P245" s="522">
        <v>121645.8</v>
      </c>
      <c r="Q245" s="576">
        <f t="shared" si="313"/>
        <v>-11782.710000000006</v>
      </c>
      <c r="R245" s="576">
        <f t="shared" si="314"/>
        <v>-8.8307289049394342</v>
      </c>
      <c r="S245" s="576">
        <v>147920</v>
      </c>
      <c r="T245" s="576">
        <v>147920</v>
      </c>
      <c r="U245" s="522">
        <f t="shared" si="388"/>
        <v>141930.4</v>
      </c>
      <c r="V245" s="522">
        <f t="shared" si="311"/>
        <v>-5989.6000000000058</v>
      </c>
      <c r="W245" s="522">
        <f t="shared" si="340"/>
        <v>-4.049215792320183</v>
      </c>
      <c r="X245" s="522">
        <f t="shared" si="315"/>
        <v>20284.599999999991</v>
      </c>
      <c r="Y245" s="522">
        <f t="shared" si="316"/>
        <v>16.675133872275083</v>
      </c>
      <c r="Z245" s="524">
        <f t="shared" si="317"/>
        <v>129186.26000000001</v>
      </c>
      <c r="AA245" s="522">
        <f t="shared" si="318"/>
        <v>-18733.739999999991</v>
      </c>
      <c r="AB245" s="522">
        <f t="shared" si="341"/>
        <v>-12.664778258518112</v>
      </c>
      <c r="AC245" s="522">
        <f t="shared" si="319"/>
        <v>-12744.139999999985</v>
      </c>
      <c r="AD245" s="522">
        <f t="shared" si="320"/>
        <v>-8.9791475258295605</v>
      </c>
      <c r="AE245" s="522">
        <f t="shared" si="321"/>
        <v>7540.4600000000064</v>
      </c>
      <c r="AF245" s="522">
        <f t="shared" si="322"/>
        <v>6.1987014759243664</v>
      </c>
      <c r="AG245" s="522">
        <f t="shared" si="337"/>
        <v>83456.039999999994</v>
      </c>
      <c r="AH245" s="522">
        <f t="shared" si="323"/>
        <v>-58474.36</v>
      </c>
      <c r="AI245" s="522">
        <f t="shared" si="324"/>
        <v>-41.199320230197337</v>
      </c>
      <c r="AJ245" s="522">
        <f t="shared" si="325"/>
        <v>-45730.220000000016</v>
      </c>
      <c r="AK245" s="522">
        <f t="shared" si="374"/>
        <v>-35.398671654400403</v>
      </c>
      <c r="AL245" s="522">
        <f t="shared" si="392"/>
        <v>83456.039999999994</v>
      </c>
      <c r="AM245" s="522">
        <f t="shared" si="342"/>
        <v>70065.259999999995</v>
      </c>
      <c r="AN245" s="522">
        <f t="shared" si="342"/>
        <v>57320.98</v>
      </c>
      <c r="AO245" s="522">
        <f t="shared" si="326"/>
        <v>-12744.279999999992</v>
      </c>
      <c r="AP245" s="522">
        <f t="shared" si="338"/>
        <v>-18.18915679467969</v>
      </c>
      <c r="AQ245" s="578">
        <v>34732.629999999997</v>
      </c>
      <c r="AR245" s="578">
        <v>32240.29</v>
      </c>
      <c r="AS245" s="578">
        <v>35332.629999999997</v>
      </c>
      <c r="AT245" s="578">
        <v>25080.690000000002</v>
      </c>
      <c r="AU245" s="578">
        <f t="shared" si="375"/>
        <v>71865.14</v>
      </c>
      <c r="AV245" s="578">
        <f t="shared" si="375"/>
        <v>71865.279999999999</v>
      </c>
      <c r="AW245" s="578">
        <f t="shared" si="327"/>
        <v>0.13999999999941792</v>
      </c>
      <c r="AX245" s="578">
        <f t="shared" si="328"/>
        <v>1.9480933315207949E-4</v>
      </c>
      <c r="AY245" s="578">
        <f t="shared" si="376"/>
        <v>26135.05999999999</v>
      </c>
      <c r="AZ245" s="578">
        <f t="shared" si="329"/>
        <v>45730.220000000008</v>
      </c>
      <c r="BA245" s="578">
        <f t="shared" si="330"/>
        <v>174.97652578566885</v>
      </c>
      <c r="BB245" s="578">
        <v>34532.629999999997</v>
      </c>
      <c r="BC245" s="576">
        <f>'[67]Дир_по фин'!AT11</f>
        <v>34532.639999999999</v>
      </c>
      <c r="BD245" s="576">
        <f t="shared" si="389"/>
        <v>13347.18</v>
      </c>
      <c r="BE245" s="576">
        <f t="shared" si="331"/>
        <v>-21185.449999999997</v>
      </c>
      <c r="BF245" s="576">
        <f t="shared" si="332"/>
        <v>-21185.46</v>
      </c>
      <c r="BG245" s="576">
        <f t="shared" si="312"/>
        <v>104597.88999999998</v>
      </c>
      <c r="BH245" s="578">
        <f t="shared" si="312"/>
        <v>91853.62</v>
      </c>
      <c r="BI245" s="578">
        <v>70668.160000000003</v>
      </c>
      <c r="BJ245" s="578">
        <f t="shared" si="333"/>
        <v>-33929.729999999981</v>
      </c>
      <c r="BK245" s="578">
        <f t="shared" si="334"/>
        <v>-21185.459999999992</v>
      </c>
      <c r="BL245" s="576">
        <v>37332.51</v>
      </c>
      <c r="BM245" s="578">
        <f>'[67]Дир_по фин'!AW11</f>
        <v>37332.639999999999</v>
      </c>
      <c r="BN245" s="522">
        <f t="shared" si="390"/>
        <v>12787.87999999999</v>
      </c>
      <c r="BO245" s="578">
        <f t="shared" si="339"/>
        <v>-24544.630000000012</v>
      </c>
      <c r="BP245" s="578">
        <f t="shared" si="335"/>
        <v>-24544.760000000009</v>
      </c>
      <c r="BQ245" s="576">
        <v>37332.51</v>
      </c>
      <c r="BR245" s="578">
        <f>'[67]Дир_по фин'!BB11</f>
        <v>0</v>
      </c>
      <c r="BS245" s="578">
        <f>'[67]Дир_по фин'!BC11</f>
        <v>0</v>
      </c>
      <c r="BT245" s="536"/>
      <c r="BU245" s="578"/>
      <c r="BV245" s="578"/>
      <c r="BW245" s="586">
        <v>83456.039999999994</v>
      </c>
      <c r="BX245" s="629"/>
      <c r="BY245" s="522">
        <v>78416.72</v>
      </c>
      <c r="BZ245" s="522">
        <f>1331.71+2818.37</f>
        <v>4150.08</v>
      </c>
      <c r="CA245" s="522">
        <f>889.24</f>
        <v>889.24</v>
      </c>
      <c r="CB245" s="522">
        <f t="shared" si="391"/>
        <v>83456.040000000008</v>
      </c>
      <c r="CC245" s="522">
        <f t="shared" si="336"/>
        <v>0</v>
      </c>
      <c r="CD245" s="578"/>
      <c r="CE245" s="578"/>
      <c r="CF245" s="578"/>
      <c r="CG245" s="578"/>
      <c r="CH245" s="578"/>
      <c r="CI245" s="578"/>
      <c r="CJ245" s="578"/>
      <c r="CK245" s="542" t="s">
        <v>81</v>
      </c>
      <c r="CL245" s="542" t="s">
        <v>1810</v>
      </c>
      <c r="CM245" s="528" t="s">
        <v>1959</v>
      </c>
      <c r="CN245" s="528" t="s">
        <v>1849</v>
      </c>
      <c r="CO245" s="528"/>
      <c r="CP245" s="544">
        <f>U245*$CU$7/100</f>
        <v>130947.88955626659</v>
      </c>
      <c r="CQ245" s="544">
        <f>U245*$CU$8/100</f>
        <v>9618.5496942278805</v>
      </c>
      <c r="CR245" s="544">
        <f>U245*$CU$9/100</f>
        <v>1363.96074950552</v>
      </c>
      <c r="CS245" s="1688" t="s">
        <v>1826</v>
      </c>
      <c r="CT245" s="1689"/>
      <c r="CU245" s="1689"/>
      <c r="CV245" s="1689"/>
      <c r="CW245" s="1690"/>
      <c r="CX245" s="528"/>
      <c r="CY245" s="528"/>
      <c r="CZ245" s="528"/>
      <c r="DA245" s="528"/>
      <c r="DB245" s="579">
        <v>32240.29</v>
      </c>
      <c r="DC245" s="628" t="e">
        <f>P245-#REF!</f>
        <v>#REF!</v>
      </c>
      <c r="DD245" s="575"/>
      <c r="DE245" s="575"/>
      <c r="DF245" s="522">
        <f t="shared" si="350"/>
        <v>78.416719999999998</v>
      </c>
      <c r="DG245" s="522">
        <f t="shared" si="350"/>
        <v>4.15008</v>
      </c>
      <c r="DH245" s="522">
        <f t="shared" si="350"/>
        <v>0.88924000000000003</v>
      </c>
      <c r="DI245" s="522">
        <f t="shared" si="348"/>
        <v>83.456040000000002</v>
      </c>
      <c r="DJ245" s="536"/>
      <c r="DK245" s="536"/>
      <c r="DL245" s="536"/>
      <c r="DM245" s="536"/>
      <c r="DN245" s="536"/>
      <c r="DO245" s="536"/>
      <c r="DP245" s="536"/>
      <c r="DQ245" s="536"/>
      <c r="DR245" s="536"/>
      <c r="DS245" s="536"/>
    </row>
    <row r="246" spans="1:123" s="534" customFormat="1" ht="73.5" customHeight="1">
      <c r="A246" s="537" t="s">
        <v>1290</v>
      </c>
      <c r="B246" s="538" t="s">
        <v>1291</v>
      </c>
      <c r="C246" s="576">
        <v>4273458.33</v>
      </c>
      <c r="D246" s="576">
        <v>3556882.16</v>
      </c>
      <c r="E246" s="525">
        <v>5026680</v>
      </c>
      <c r="F246" s="525">
        <v>3504110.85</v>
      </c>
      <c r="G246" s="596">
        <v>3739089.9999999995</v>
      </c>
      <c r="H246" s="596">
        <v>0</v>
      </c>
      <c r="I246" s="522">
        <f t="shared" si="385"/>
        <v>2953603.7199999997</v>
      </c>
      <c r="J246" s="522">
        <v>928529.73</v>
      </c>
      <c r="K246" s="522">
        <v>444350.63</v>
      </c>
      <c r="L246" s="522">
        <v>1580723.36</v>
      </c>
      <c r="M246" s="522">
        <f t="shared" si="386"/>
        <v>1372880.3599999999</v>
      </c>
      <c r="N246" s="522">
        <v>1572439.63</v>
      </c>
      <c r="O246" s="522">
        <f t="shared" si="387"/>
        <v>518682.65000000014</v>
      </c>
      <c r="P246" s="522">
        <v>2091122.28</v>
      </c>
      <c r="Q246" s="525">
        <f t="shared" si="313"/>
        <v>-862481.43999999971</v>
      </c>
      <c r="R246" s="525">
        <f t="shared" si="314"/>
        <v>-29.200987057261685</v>
      </c>
      <c r="S246" s="525">
        <v>2949290</v>
      </c>
      <c r="T246" s="525">
        <v>2949290</v>
      </c>
      <c r="U246" s="522">
        <f t="shared" si="388"/>
        <v>3312882.7</v>
      </c>
      <c r="V246" s="522">
        <f t="shared" si="311"/>
        <v>363592.70000000019</v>
      </c>
      <c r="W246" s="522">
        <f t="shared" si="340"/>
        <v>12.328143383661839</v>
      </c>
      <c r="X246" s="522">
        <f t="shared" si="315"/>
        <v>1221760.4200000002</v>
      </c>
      <c r="Y246" s="522">
        <f t="shared" si="316"/>
        <v>58.426062965576563</v>
      </c>
      <c r="Z246" s="524">
        <f t="shared" si="317"/>
        <v>3574507.3</v>
      </c>
      <c r="AA246" s="522">
        <f t="shared" si="318"/>
        <v>625217.29999999981</v>
      </c>
      <c r="AB246" s="522">
        <f t="shared" si="341"/>
        <v>21.198908889936206</v>
      </c>
      <c r="AC246" s="522">
        <f t="shared" si="319"/>
        <v>261624.59999999963</v>
      </c>
      <c r="AD246" s="522">
        <f t="shared" si="320"/>
        <v>7.8971887534683844</v>
      </c>
      <c r="AE246" s="522">
        <f t="shared" si="321"/>
        <v>1483385.0199999998</v>
      </c>
      <c r="AF246" s="522">
        <f t="shared" si="322"/>
        <v>70.937268192656802</v>
      </c>
      <c r="AG246" s="522">
        <f t="shared" si="337"/>
        <v>4341717.3600000003</v>
      </c>
      <c r="AH246" s="522">
        <f t="shared" si="323"/>
        <v>1028834.6600000001</v>
      </c>
      <c r="AI246" s="522">
        <f t="shared" si="324"/>
        <v>31.055571632524135</v>
      </c>
      <c r="AJ246" s="522">
        <f t="shared" si="325"/>
        <v>767210.06000000052</v>
      </c>
      <c r="AK246" s="522">
        <f t="shared" si="374"/>
        <v>21.463379302652427</v>
      </c>
      <c r="AL246" s="522">
        <f t="shared" si="392"/>
        <v>4341717.3600000003</v>
      </c>
      <c r="AM246" s="522">
        <f t="shared" si="342"/>
        <v>1750872.72</v>
      </c>
      <c r="AN246" s="522">
        <f t="shared" si="342"/>
        <v>1817811.58</v>
      </c>
      <c r="AO246" s="522">
        <f t="shared" si="326"/>
        <v>66938.860000000102</v>
      </c>
      <c r="AP246" s="522">
        <f t="shared" si="338"/>
        <v>3.8231711097766095</v>
      </c>
      <c r="AQ246" s="522">
        <v>909069.74</v>
      </c>
      <c r="AR246" s="522">
        <v>1283573.33</v>
      </c>
      <c r="AS246" s="522">
        <v>841802.98</v>
      </c>
      <c r="AT246" s="522">
        <v>534238.25</v>
      </c>
      <c r="AU246" s="522">
        <f t="shared" si="375"/>
        <v>1562009.98</v>
      </c>
      <c r="AV246" s="522">
        <f t="shared" si="375"/>
        <v>1756695.72</v>
      </c>
      <c r="AW246" s="522">
        <f t="shared" si="327"/>
        <v>194685.74</v>
      </c>
      <c r="AX246" s="522">
        <f t="shared" si="328"/>
        <v>12.463796166014248</v>
      </c>
      <c r="AY246" s="522">
        <f t="shared" si="376"/>
        <v>2523905.7800000003</v>
      </c>
      <c r="AZ246" s="522">
        <f t="shared" si="329"/>
        <v>-767210.06000000029</v>
      </c>
      <c r="BA246" s="522">
        <f t="shared" si="330"/>
        <v>-30.397729823337556</v>
      </c>
      <c r="BB246" s="522">
        <v>839088.19</v>
      </c>
      <c r="BC246" s="576">
        <f>'[67]Дир_по фин'!AT12</f>
        <v>940276.28</v>
      </c>
      <c r="BD246" s="576">
        <f t="shared" si="389"/>
        <v>627262.10999999987</v>
      </c>
      <c r="BE246" s="576">
        <f t="shared" si="331"/>
        <v>-211826.08000000007</v>
      </c>
      <c r="BF246" s="576">
        <f t="shared" si="332"/>
        <v>-313014.17000000016</v>
      </c>
      <c r="BG246" s="576">
        <f t="shared" si="312"/>
        <v>2589960.91</v>
      </c>
      <c r="BH246" s="578">
        <f t="shared" si="312"/>
        <v>2758087.8600000003</v>
      </c>
      <c r="BI246" s="578">
        <v>2445073.69</v>
      </c>
      <c r="BJ246" s="578">
        <f t="shared" si="333"/>
        <v>-144887.2200000002</v>
      </c>
      <c r="BK246" s="578">
        <f t="shared" si="334"/>
        <v>-313014.17000000039</v>
      </c>
      <c r="BL246" s="576">
        <v>722921.79</v>
      </c>
      <c r="BM246" s="578">
        <f>'[67]Дир_по фин'!AW12</f>
        <v>816419.44</v>
      </c>
      <c r="BN246" s="522">
        <f t="shared" si="390"/>
        <v>1896643.6700000004</v>
      </c>
      <c r="BO246" s="578">
        <f t="shared" si="339"/>
        <v>1173721.8800000004</v>
      </c>
      <c r="BP246" s="578">
        <f t="shared" si="335"/>
        <v>1080224.2300000004</v>
      </c>
      <c r="BQ246" s="576">
        <v>722921.79</v>
      </c>
      <c r="BR246" s="578">
        <f>'[67]Дир_по фин'!BB12</f>
        <v>0</v>
      </c>
      <c r="BS246" s="578">
        <f>'[67]Дир_по фин'!BC12</f>
        <v>0</v>
      </c>
      <c r="BT246" s="536"/>
      <c r="BU246" s="578"/>
      <c r="BV246" s="578"/>
      <c r="BW246" s="586">
        <v>4341717.3600000003</v>
      </c>
      <c r="BX246" s="574"/>
      <c r="BY246" s="522">
        <v>3947608.33</v>
      </c>
      <c r="BZ246" s="522">
        <f>114182.12+235114</f>
        <v>349296.12</v>
      </c>
      <c r="CA246" s="522">
        <v>44812.91</v>
      </c>
      <c r="CB246" s="522">
        <f t="shared" si="391"/>
        <v>4341717.3600000003</v>
      </c>
      <c r="CC246" s="522">
        <f t="shared" si="336"/>
        <v>0</v>
      </c>
      <c r="CD246" s="578"/>
      <c r="CE246" s="578"/>
      <c r="CF246" s="578"/>
      <c r="CG246" s="578"/>
      <c r="CH246" s="578"/>
      <c r="CI246" s="578"/>
      <c r="CJ246" s="578"/>
      <c r="CK246" s="542" t="s">
        <v>81</v>
      </c>
      <c r="CL246" s="542" t="s">
        <v>1810</v>
      </c>
      <c r="CM246" s="528" t="s">
        <v>1959</v>
      </c>
      <c r="CN246" s="528" t="s">
        <v>1849</v>
      </c>
      <c r="CO246" s="528"/>
      <c r="CP246" s="544">
        <f>U246*$CU$7/100</f>
        <v>3056533.3283952298</v>
      </c>
      <c r="CQ246" s="544">
        <f>U246*$CU$8/100</f>
        <v>224512.34464989771</v>
      </c>
      <c r="CR246" s="544">
        <f>U246*$CU$9/100</f>
        <v>31837.026954872748</v>
      </c>
      <c r="CS246" s="1688" t="s">
        <v>1826</v>
      </c>
      <c r="CT246" s="1689"/>
      <c r="CU246" s="1689"/>
      <c r="CV246" s="1689"/>
      <c r="CW246" s="1690"/>
      <c r="CX246" s="528"/>
      <c r="CY246" s="528"/>
      <c r="CZ246" s="528"/>
      <c r="DA246" s="528"/>
      <c r="DB246" s="579">
        <v>1283573.33</v>
      </c>
      <c r="DC246" s="628" t="e">
        <f>P246-#REF!</f>
        <v>#REF!</v>
      </c>
      <c r="DD246" s="575"/>
      <c r="DE246" s="575"/>
      <c r="DF246" s="522">
        <f t="shared" si="350"/>
        <v>3947.60833</v>
      </c>
      <c r="DG246" s="522">
        <f t="shared" si="350"/>
        <v>349.29611999999997</v>
      </c>
      <c r="DH246" s="522">
        <f t="shared" si="350"/>
        <v>44.812910000000002</v>
      </c>
      <c r="DI246" s="522">
        <f t="shared" si="348"/>
        <v>4341.7173600000006</v>
      </c>
      <c r="DJ246" s="536"/>
      <c r="DK246" s="536"/>
      <c r="DL246" s="536"/>
      <c r="DM246" s="536"/>
      <c r="DN246" s="536"/>
      <c r="DO246" s="536"/>
      <c r="DP246" s="536"/>
      <c r="DQ246" s="536"/>
      <c r="DR246" s="536"/>
      <c r="DS246" s="536"/>
    </row>
    <row r="247" spans="1:123" s="534" customFormat="1" ht="84.6">
      <c r="A247" s="537" t="s">
        <v>1313</v>
      </c>
      <c r="B247" s="538" t="s">
        <v>1314</v>
      </c>
      <c r="C247" s="576">
        <v>8126662.5700000003</v>
      </c>
      <c r="D247" s="576">
        <v>0</v>
      </c>
      <c r="E247" s="576">
        <v>0</v>
      </c>
      <c r="F247" s="576">
        <v>8818775.7100000009</v>
      </c>
      <c r="G247" s="577">
        <v>0</v>
      </c>
      <c r="H247" s="577">
        <v>0</v>
      </c>
      <c r="I247" s="578">
        <f t="shared" si="385"/>
        <v>5956156.8200000003</v>
      </c>
      <c r="J247" s="578">
        <v>4694053.58</v>
      </c>
      <c r="K247" s="578">
        <v>587455.65</v>
      </c>
      <c r="L247" s="578">
        <v>674647.59</v>
      </c>
      <c r="M247" s="578">
        <f t="shared" si="386"/>
        <v>5281509.2300000004</v>
      </c>
      <c r="N247" s="578">
        <v>6581758.7300000004</v>
      </c>
      <c r="O247" s="522">
        <f t="shared" si="387"/>
        <v>3168049.34</v>
      </c>
      <c r="P247" s="522">
        <v>9749808.0700000003</v>
      </c>
      <c r="Q247" s="576">
        <f t="shared" si="313"/>
        <v>3793651.25</v>
      </c>
      <c r="R247" s="576">
        <f t="shared" si="314"/>
        <v>63.692937655056568</v>
      </c>
      <c r="S247" s="576"/>
      <c r="T247" s="576"/>
      <c r="U247" s="522">
        <f t="shared" si="388"/>
        <v>9412966.1999999993</v>
      </c>
      <c r="V247" s="522">
        <f t="shared" si="311"/>
        <v>9412966.1999999993</v>
      </c>
      <c r="W247" s="522">
        <v>0</v>
      </c>
      <c r="X247" s="522">
        <f t="shared" si="315"/>
        <v>-336841.87000000104</v>
      </c>
      <c r="Y247" s="522">
        <f t="shared" si="316"/>
        <v>-3.4548564195479656</v>
      </c>
      <c r="Z247" s="524">
        <f t="shared" si="317"/>
        <v>10515375.379999999</v>
      </c>
      <c r="AA247" s="522">
        <f t="shared" si="318"/>
        <v>10515375.379999999</v>
      </c>
      <c r="AB247" s="522">
        <v>0</v>
      </c>
      <c r="AC247" s="522">
        <f t="shared" si="319"/>
        <v>1102409.1799999997</v>
      </c>
      <c r="AD247" s="522">
        <f t="shared" si="320"/>
        <v>11.711602448970865</v>
      </c>
      <c r="AE247" s="522">
        <f t="shared" si="321"/>
        <v>765567.30999999866</v>
      </c>
      <c r="AF247" s="522">
        <f t="shared" si="322"/>
        <v>7.8521269803826925</v>
      </c>
      <c r="AG247" s="522">
        <f t="shared" si="337"/>
        <v>10164878.780000001</v>
      </c>
      <c r="AH247" s="522">
        <f t="shared" si="323"/>
        <v>751912.58000000194</v>
      </c>
      <c r="AI247" s="522">
        <f t="shared" si="324"/>
        <v>7.988051417841092</v>
      </c>
      <c r="AJ247" s="522">
        <f t="shared" si="325"/>
        <v>-350496.59999999776</v>
      </c>
      <c r="AK247" s="522">
        <f t="shared" si="374"/>
        <v>-3.3331820057193084</v>
      </c>
      <c r="AL247" s="522">
        <f t="shared" si="392"/>
        <v>10164878.780000001</v>
      </c>
      <c r="AM247" s="522">
        <f t="shared" si="342"/>
        <v>4706483.0999999996</v>
      </c>
      <c r="AN247" s="522">
        <f t="shared" si="342"/>
        <v>5008892.28</v>
      </c>
      <c r="AO247" s="522">
        <f t="shared" si="326"/>
        <v>302409.18000000063</v>
      </c>
      <c r="AP247" s="522">
        <f t="shared" si="338"/>
        <v>6.4253748196822613</v>
      </c>
      <c r="AQ247" s="578">
        <v>2353241.5499999998</v>
      </c>
      <c r="AR247" s="578">
        <v>2748651.03</v>
      </c>
      <c r="AS247" s="578">
        <v>2353241.5499999998</v>
      </c>
      <c r="AT247" s="578">
        <v>2260241.2500000005</v>
      </c>
      <c r="AU247" s="578">
        <f t="shared" si="375"/>
        <v>4706483.0999999996</v>
      </c>
      <c r="AV247" s="578">
        <f t="shared" si="375"/>
        <v>5506483.0999999996</v>
      </c>
      <c r="AW247" s="578">
        <f t="shared" si="327"/>
        <v>800000</v>
      </c>
      <c r="AX247" s="578">
        <f t="shared" si="328"/>
        <v>16.997830078259497</v>
      </c>
      <c r="AY247" s="578">
        <f t="shared" si="376"/>
        <v>5155986.5000000009</v>
      </c>
      <c r="AZ247" s="578">
        <f t="shared" si="329"/>
        <v>350496.5999999987</v>
      </c>
      <c r="BA247" s="578">
        <f t="shared" si="330"/>
        <v>6.7978572092847571</v>
      </c>
      <c r="BB247" s="578">
        <v>2353241.5499999998</v>
      </c>
      <c r="BC247" s="576">
        <f>'[67]Дир_ имущ'!AT31</f>
        <v>2753241.55</v>
      </c>
      <c r="BD247" s="576">
        <f t="shared" si="389"/>
        <v>1843629.25</v>
      </c>
      <c r="BE247" s="576">
        <f t="shared" si="331"/>
        <v>-509612.29999999981</v>
      </c>
      <c r="BF247" s="576">
        <f t="shared" si="332"/>
        <v>-909612.29999999981</v>
      </c>
      <c r="BG247" s="576">
        <f t="shared" si="312"/>
        <v>7059724.6499999994</v>
      </c>
      <c r="BH247" s="578">
        <f t="shared" si="312"/>
        <v>7762133.8300000001</v>
      </c>
      <c r="BI247" s="578">
        <v>6852521.5300000003</v>
      </c>
      <c r="BJ247" s="578">
        <f t="shared" si="333"/>
        <v>-207203.11999999918</v>
      </c>
      <c r="BK247" s="578">
        <f t="shared" si="334"/>
        <v>-909612.29999999981</v>
      </c>
      <c r="BL247" s="576">
        <v>2353241.5499999998</v>
      </c>
      <c r="BM247" s="578">
        <f>'[67]Дир_ имущ'!AW31</f>
        <v>2753241.55</v>
      </c>
      <c r="BN247" s="522">
        <f t="shared" si="390"/>
        <v>3312357.2500000009</v>
      </c>
      <c r="BO247" s="578">
        <f t="shared" si="339"/>
        <v>959115.70000000112</v>
      </c>
      <c r="BP247" s="578">
        <f t="shared" si="335"/>
        <v>559115.70000000112</v>
      </c>
      <c r="BQ247" s="576">
        <v>2353241.5499999998</v>
      </c>
      <c r="BR247" s="578">
        <f>'[67]Дир_ имущ'!BB31</f>
        <v>0</v>
      </c>
      <c r="BS247" s="578">
        <f>'[67]Дир_ имущ'!BC31</f>
        <v>0</v>
      </c>
      <c r="BT247" s="536"/>
      <c r="BU247" s="578"/>
      <c r="BV247" s="578"/>
      <c r="BW247" s="586">
        <f>10112955.65+51923.13</f>
        <v>10164878.780000001</v>
      </c>
      <c r="BX247" s="574"/>
      <c r="BY247" s="522">
        <v>32888.639999999999</v>
      </c>
      <c r="BZ247" s="522">
        <f>1239.34+2527.37</f>
        <v>3766.71</v>
      </c>
      <c r="CA247" s="522">
        <f>10112955.65+15267.78</f>
        <v>10128223.43</v>
      </c>
      <c r="CB247" s="522">
        <f t="shared" si="391"/>
        <v>10164878.779999999</v>
      </c>
      <c r="CC247" s="522">
        <f t="shared" si="336"/>
        <v>0</v>
      </c>
      <c r="CD247" s="578"/>
      <c r="CE247" s="578"/>
      <c r="CF247" s="578"/>
      <c r="CG247" s="578"/>
      <c r="CH247" s="578"/>
      <c r="CI247" s="578"/>
      <c r="CJ247" s="578"/>
      <c r="CK247" s="543" t="s">
        <v>1815</v>
      </c>
      <c r="CL247" s="543" t="s">
        <v>1816</v>
      </c>
      <c r="CM247" s="528" t="s">
        <v>1959</v>
      </c>
      <c r="CN247" s="528"/>
      <c r="CO247" s="528"/>
      <c r="CP247" s="579"/>
      <c r="CQ247" s="579"/>
      <c r="CR247" s="579">
        <f t="shared" ref="CR247:CR252" si="393">U247</f>
        <v>9412966.1999999993</v>
      </c>
      <c r="CS247" s="1691"/>
      <c r="CT247" s="1692"/>
      <c r="CU247" s="1692"/>
      <c r="CV247" s="1692"/>
      <c r="CW247" s="1693"/>
      <c r="CX247" s="528"/>
      <c r="CY247" s="528"/>
      <c r="CZ247" s="528"/>
      <c r="DA247" s="528"/>
      <c r="DB247" s="579">
        <f>2745977.03+2674</f>
        <v>2748651.03</v>
      </c>
      <c r="DC247" s="628" t="e">
        <f>P247-#REF!</f>
        <v>#REF!</v>
      </c>
      <c r="DD247" s="575"/>
      <c r="DE247" s="575"/>
      <c r="DF247" s="522">
        <f t="shared" si="350"/>
        <v>32.888640000000002</v>
      </c>
      <c r="DG247" s="522">
        <f t="shared" si="350"/>
        <v>3.7667100000000002</v>
      </c>
      <c r="DH247" s="522">
        <f t="shared" si="350"/>
        <v>10128.22343</v>
      </c>
      <c r="DI247" s="522">
        <f t="shared" si="348"/>
        <v>10164.878779999999</v>
      </c>
      <c r="DJ247" s="536"/>
      <c r="DK247" s="536"/>
      <c r="DL247" s="536"/>
      <c r="DM247" s="536"/>
      <c r="DN247" s="536"/>
      <c r="DO247" s="536"/>
      <c r="DP247" s="536"/>
      <c r="DQ247" s="536"/>
      <c r="DR247" s="536"/>
      <c r="DS247" s="536"/>
    </row>
    <row r="248" spans="1:123" s="534" customFormat="1" ht="56.4">
      <c r="A248" s="537" t="s">
        <v>1318</v>
      </c>
      <c r="B248" s="538" t="s">
        <v>1319</v>
      </c>
      <c r="C248" s="576">
        <v>148848765.36000001</v>
      </c>
      <c r="D248" s="576">
        <v>0</v>
      </c>
      <c r="E248" s="576">
        <v>1274510</v>
      </c>
      <c r="F248" s="576">
        <v>12891954.029999999</v>
      </c>
      <c r="G248" s="577">
        <v>0</v>
      </c>
      <c r="H248" s="626">
        <v>0</v>
      </c>
      <c r="I248" s="578">
        <f t="shared" si="385"/>
        <v>862528.63</v>
      </c>
      <c r="J248" s="578">
        <v>862528.63</v>
      </c>
      <c r="K248" s="578">
        <v>0</v>
      </c>
      <c r="L248" s="578">
        <v>0</v>
      </c>
      <c r="M248" s="578">
        <f t="shared" si="386"/>
        <v>862528.63</v>
      </c>
      <c r="N248" s="578">
        <v>1075045.96</v>
      </c>
      <c r="O248" s="522">
        <f t="shared" si="387"/>
        <v>2530505.4800000004</v>
      </c>
      <c r="P248" s="522">
        <f>159310.76+2923241.94+522998.74</f>
        <v>3605551.4400000004</v>
      </c>
      <c r="Q248" s="576">
        <f t="shared" si="313"/>
        <v>2743022.8100000005</v>
      </c>
      <c r="R248" s="576">
        <f t="shared" si="314"/>
        <v>318.02107368888153</v>
      </c>
      <c r="S248" s="576"/>
      <c r="T248" s="576"/>
      <c r="U248" s="522">
        <f t="shared" si="388"/>
        <v>0</v>
      </c>
      <c r="V248" s="522">
        <f t="shared" si="311"/>
        <v>0</v>
      </c>
      <c r="W248" s="522">
        <v>0</v>
      </c>
      <c r="X248" s="522">
        <f t="shared" si="315"/>
        <v>-3605551.4400000004</v>
      </c>
      <c r="Y248" s="522">
        <f t="shared" si="316"/>
        <v>-100</v>
      </c>
      <c r="Z248" s="524">
        <f t="shared" si="317"/>
        <v>1788156.38</v>
      </c>
      <c r="AA248" s="522">
        <f t="shared" si="318"/>
        <v>1788156.38</v>
      </c>
      <c r="AB248" s="522">
        <v>0</v>
      </c>
      <c r="AC248" s="522">
        <f t="shared" si="319"/>
        <v>1788156.38</v>
      </c>
      <c r="AD248" s="522">
        <v>0</v>
      </c>
      <c r="AE248" s="522">
        <f t="shared" si="321"/>
        <v>-1817395.0600000005</v>
      </c>
      <c r="AF248" s="522">
        <f t="shared" si="322"/>
        <v>-50.405467519831035</v>
      </c>
      <c r="AG248" s="522">
        <f t="shared" si="337"/>
        <v>2277426.34</v>
      </c>
      <c r="AH248" s="522">
        <f t="shared" si="323"/>
        <v>2277426.34</v>
      </c>
      <c r="AI248" s="522">
        <v>0</v>
      </c>
      <c r="AJ248" s="522">
        <f t="shared" si="325"/>
        <v>489269.95999999996</v>
      </c>
      <c r="AK248" s="522">
        <f t="shared" si="374"/>
        <v>27.36169864517106</v>
      </c>
      <c r="AL248" s="522">
        <f t="shared" si="392"/>
        <v>2277426.34</v>
      </c>
      <c r="AM248" s="522">
        <f t="shared" si="342"/>
        <v>0</v>
      </c>
      <c r="AN248" s="522">
        <f t="shared" si="342"/>
        <v>1788156.38</v>
      </c>
      <c r="AO248" s="522">
        <f t="shared" si="326"/>
        <v>1788156.38</v>
      </c>
      <c r="AP248" s="522">
        <v>0</v>
      </c>
      <c r="AQ248" s="578">
        <v>0</v>
      </c>
      <c r="AR248" s="578">
        <v>1439221.1</v>
      </c>
      <c r="AS248" s="578">
        <v>0</v>
      </c>
      <c r="AT248" s="578">
        <v>348935.2799999998</v>
      </c>
      <c r="AU248" s="578">
        <f t="shared" si="375"/>
        <v>0</v>
      </c>
      <c r="AV248" s="578">
        <f t="shared" si="375"/>
        <v>0</v>
      </c>
      <c r="AW248" s="578">
        <f t="shared" si="327"/>
        <v>0</v>
      </c>
      <c r="AX248" s="578">
        <v>0</v>
      </c>
      <c r="AY248" s="578">
        <f t="shared" si="376"/>
        <v>489269.95999999996</v>
      </c>
      <c r="AZ248" s="578">
        <f t="shared" si="329"/>
        <v>-489269.95999999996</v>
      </c>
      <c r="BA248" s="578">
        <v>0</v>
      </c>
      <c r="BB248" s="578">
        <v>0</v>
      </c>
      <c r="BC248" s="576">
        <f>'[67]Дир_ имущ'!AT32</f>
        <v>0</v>
      </c>
      <c r="BD248" s="576">
        <f t="shared" si="389"/>
        <v>257837.55000000005</v>
      </c>
      <c r="BE248" s="576">
        <f t="shared" si="331"/>
        <v>257837.55000000005</v>
      </c>
      <c r="BF248" s="576">
        <f t="shared" si="332"/>
        <v>257837.55000000005</v>
      </c>
      <c r="BG248" s="576">
        <f t="shared" si="312"/>
        <v>0</v>
      </c>
      <c r="BH248" s="578">
        <f t="shared" si="312"/>
        <v>1788156.38</v>
      </c>
      <c r="BI248" s="578">
        <v>2045993.93</v>
      </c>
      <c r="BJ248" s="578">
        <f t="shared" si="333"/>
        <v>2045993.93</v>
      </c>
      <c r="BK248" s="578">
        <f t="shared" si="334"/>
        <v>257837.55000000005</v>
      </c>
      <c r="BL248" s="576">
        <v>0</v>
      </c>
      <c r="BM248" s="578">
        <f>'[67]Дир_ имущ'!AW32</f>
        <v>0</v>
      </c>
      <c r="BN248" s="522">
        <f t="shared" si="390"/>
        <v>231432.40999999992</v>
      </c>
      <c r="BO248" s="578">
        <f t="shared" si="339"/>
        <v>231432.40999999992</v>
      </c>
      <c r="BP248" s="578">
        <f t="shared" si="335"/>
        <v>231432.40999999992</v>
      </c>
      <c r="BQ248" s="576">
        <v>0</v>
      </c>
      <c r="BR248" s="578">
        <f>'[67]Дир_ имущ'!BB32</f>
        <v>0</v>
      </c>
      <c r="BS248" s="578">
        <f>'[67]Дир_ имущ'!BC32</f>
        <v>0</v>
      </c>
      <c r="BT248" s="536"/>
      <c r="BU248" s="578"/>
      <c r="BV248" s="578"/>
      <c r="BW248" s="586">
        <f>1988919.11-321236.84+609744.07</f>
        <v>2277426.34</v>
      </c>
      <c r="BX248" s="574"/>
      <c r="BY248" s="578"/>
      <c r="BZ248" s="578"/>
      <c r="CA248" s="522">
        <f>1667682.27+609744.07</f>
        <v>2277426.34</v>
      </c>
      <c r="CB248" s="522">
        <f t="shared" si="391"/>
        <v>2277426.34</v>
      </c>
      <c r="CC248" s="522">
        <f t="shared" si="336"/>
        <v>0</v>
      </c>
      <c r="CD248" s="578"/>
      <c r="CE248" s="578"/>
      <c r="CF248" s="578"/>
      <c r="CG248" s="578"/>
      <c r="CH248" s="578"/>
      <c r="CI248" s="578"/>
      <c r="CJ248" s="578"/>
      <c r="CK248" s="543" t="s">
        <v>1815</v>
      </c>
      <c r="CL248" s="543" t="s">
        <v>1816</v>
      </c>
      <c r="CM248" s="528" t="s">
        <v>1959</v>
      </c>
      <c r="CN248" s="528"/>
      <c r="CO248" s="528"/>
      <c r="CP248" s="579"/>
      <c r="CQ248" s="579"/>
      <c r="CR248" s="579">
        <f t="shared" si="393"/>
        <v>0</v>
      </c>
      <c r="CS248" s="1691"/>
      <c r="CT248" s="1692"/>
      <c r="CU248" s="1692"/>
      <c r="CV248" s="1692"/>
      <c r="CW248" s="1693"/>
      <c r="CX248" s="528"/>
      <c r="CY248" s="528"/>
      <c r="CZ248" s="528"/>
      <c r="DA248" s="528"/>
      <c r="DB248" s="579">
        <v>1439221.1</v>
      </c>
      <c r="DC248" s="628" t="e">
        <f>P248-#REF!</f>
        <v>#REF!</v>
      </c>
      <c r="DD248" s="575"/>
      <c r="DE248" s="575"/>
      <c r="DF248" s="578">
        <f t="shared" si="350"/>
        <v>0</v>
      </c>
      <c r="DG248" s="578">
        <f t="shared" si="350"/>
        <v>0</v>
      </c>
      <c r="DH248" s="522">
        <f t="shared" si="350"/>
        <v>2277.42634</v>
      </c>
      <c r="DI248" s="522">
        <f t="shared" si="348"/>
        <v>2277.42634</v>
      </c>
      <c r="DJ248" s="536"/>
      <c r="DK248" s="536"/>
      <c r="DL248" s="536"/>
      <c r="DM248" s="536"/>
      <c r="DN248" s="536"/>
      <c r="DO248" s="536"/>
      <c r="DP248" s="536"/>
      <c r="DQ248" s="536"/>
      <c r="DR248" s="536"/>
      <c r="DS248" s="536"/>
    </row>
    <row r="249" spans="1:123" s="534" customFormat="1">
      <c r="A249" s="537" t="s">
        <v>1323</v>
      </c>
      <c r="B249" s="538" t="s">
        <v>1324</v>
      </c>
      <c r="C249" s="576"/>
      <c r="D249" s="576"/>
      <c r="E249" s="576"/>
      <c r="F249" s="576"/>
      <c r="G249" s="577">
        <v>0</v>
      </c>
      <c r="H249" s="632">
        <v>0</v>
      </c>
      <c r="I249" s="578">
        <f t="shared" si="385"/>
        <v>0</v>
      </c>
      <c r="J249" s="578">
        <v>0</v>
      </c>
      <c r="K249" s="578">
        <v>0</v>
      </c>
      <c r="L249" s="578">
        <v>0</v>
      </c>
      <c r="M249" s="578">
        <f t="shared" si="386"/>
        <v>0</v>
      </c>
      <c r="N249" s="578">
        <v>67179.289999999994</v>
      </c>
      <c r="O249" s="522">
        <f t="shared" si="387"/>
        <v>80429.12000000001</v>
      </c>
      <c r="P249" s="522">
        <f>53750+93858.41</f>
        <v>147608.41</v>
      </c>
      <c r="Q249" s="576">
        <f t="shared" si="313"/>
        <v>147608.41</v>
      </c>
      <c r="R249" s="576">
        <v>0</v>
      </c>
      <c r="S249" s="576"/>
      <c r="T249" s="576"/>
      <c r="U249" s="522">
        <f t="shared" si="388"/>
        <v>0</v>
      </c>
      <c r="V249" s="522">
        <f t="shared" si="311"/>
        <v>0</v>
      </c>
      <c r="W249" s="522">
        <v>0</v>
      </c>
      <c r="X249" s="522">
        <f t="shared" si="315"/>
        <v>-147608.41</v>
      </c>
      <c r="Y249" s="522">
        <f t="shared" si="316"/>
        <v>-100</v>
      </c>
      <c r="Z249" s="524">
        <f t="shared" si="317"/>
        <v>88855.97</v>
      </c>
      <c r="AA249" s="522">
        <f t="shared" si="318"/>
        <v>88855.97</v>
      </c>
      <c r="AB249" s="522">
        <v>0</v>
      </c>
      <c r="AC249" s="522">
        <f t="shared" si="319"/>
        <v>88855.97</v>
      </c>
      <c r="AD249" s="522">
        <v>0</v>
      </c>
      <c r="AE249" s="522">
        <f t="shared" si="321"/>
        <v>-58752.44</v>
      </c>
      <c r="AF249" s="522">
        <f t="shared" si="322"/>
        <v>-39.802908248927004</v>
      </c>
      <c r="AG249" s="522">
        <f t="shared" si="337"/>
        <v>472088.03</v>
      </c>
      <c r="AH249" s="522">
        <f t="shared" si="323"/>
        <v>472088.03</v>
      </c>
      <c r="AI249" s="522">
        <v>0</v>
      </c>
      <c r="AJ249" s="522">
        <f t="shared" si="325"/>
        <v>383232.06000000006</v>
      </c>
      <c r="AK249" s="522">
        <f t="shared" si="374"/>
        <v>431.29579250555707</v>
      </c>
      <c r="AL249" s="522">
        <f t="shared" si="392"/>
        <v>472088.03</v>
      </c>
      <c r="AM249" s="522">
        <f t="shared" si="342"/>
        <v>0</v>
      </c>
      <c r="AN249" s="522">
        <f t="shared" si="342"/>
        <v>88855.97</v>
      </c>
      <c r="AO249" s="522">
        <f t="shared" si="326"/>
        <v>88855.97</v>
      </c>
      <c r="AP249" s="522">
        <v>0</v>
      </c>
      <c r="AQ249" s="578">
        <v>0</v>
      </c>
      <c r="AR249" s="578">
        <v>5000</v>
      </c>
      <c r="AS249" s="578">
        <v>0</v>
      </c>
      <c r="AT249" s="578">
        <v>83855.97</v>
      </c>
      <c r="AU249" s="578">
        <f t="shared" si="375"/>
        <v>0</v>
      </c>
      <c r="AV249" s="578">
        <f t="shared" si="375"/>
        <v>0</v>
      </c>
      <c r="AW249" s="578">
        <f t="shared" si="327"/>
        <v>0</v>
      </c>
      <c r="AX249" s="578">
        <v>0</v>
      </c>
      <c r="AY249" s="578">
        <f t="shared" si="376"/>
        <v>383232.06000000006</v>
      </c>
      <c r="AZ249" s="578">
        <f t="shared" si="329"/>
        <v>-383232.06000000006</v>
      </c>
      <c r="BA249" s="578">
        <v>0</v>
      </c>
      <c r="BB249" s="578">
        <v>0</v>
      </c>
      <c r="BC249" s="576">
        <f>'[67]Дир_ имущ'!AT33</f>
        <v>0</v>
      </c>
      <c r="BD249" s="576">
        <f t="shared" si="389"/>
        <v>63404.66</v>
      </c>
      <c r="BE249" s="576">
        <f t="shared" si="331"/>
        <v>63404.66</v>
      </c>
      <c r="BF249" s="576">
        <f t="shared" si="332"/>
        <v>63404.66</v>
      </c>
      <c r="BG249" s="576">
        <f t="shared" si="312"/>
        <v>0</v>
      </c>
      <c r="BH249" s="578">
        <f t="shared" si="312"/>
        <v>88855.97</v>
      </c>
      <c r="BI249" s="578">
        <f>144760.63+7500</f>
        <v>152260.63</v>
      </c>
      <c r="BJ249" s="578">
        <f t="shared" si="333"/>
        <v>152260.63</v>
      </c>
      <c r="BK249" s="578">
        <f t="shared" si="334"/>
        <v>63404.66</v>
      </c>
      <c r="BL249" s="576">
        <v>0</v>
      </c>
      <c r="BM249" s="578">
        <f>'[67]Дир_ имущ'!AW33</f>
        <v>0</v>
      </c>
      <c r="BN249" s="522">
        <f t="shared" si="390"/>
        <v>319827.40000000002</v>
      </c>
      <c r="BO249" s="578">
        <f t="shared" si="339"/>
        <v>319827.40000000002</v>
      </c>
      <c r="BP249" s="578">
        <f t="shared" si="335"/>
        <v>319827.40000000002</v>
      </c>
      <c r="BQ249" s="576">
        <v>0</v>
      </c>
      <c r="BR249" s="578">
        <f>'[67]Дир_ имущ'!BB33</f>
        <v>0</v>
      </c>
      <c r="BS249" s="578">
        <f>'[67]Дир_ имущ'!BC33</f>
        <v>0</v>
      </c>
      <c r="BT249" s="536"/>
      <c r="BU249" s="578"/>
      <c r="BV249" s="578"/>
      <c r="BW249" s="586">
        <f>14500+612729.75-155141.72</f>
        <v>472088.03</v>
      </c>
      <c r="BX249" s="574"/>
      <c r="BY249" s="578"/>
      <c r="BZ249" s="578"/>
      <c r="CA249" s="522">
        <f>14500+612729.75-155141.72</f>
        <v>472088.03</v>
      </c>
      <c r="CB249" s="522">
        <f t="shared" si="391"/>
        <v>472088.03</v>
      </c>
      <c r="CC249" s="522">
        <f t="shared" si="336"/>
        <v>0</v>
      </c>
      <c r="CD249" s="578"/>
      <c r="CE249" s="578"/>
      <c r="CF249" s="578"/>
      <c r="CG249" s="578"/>
      <c r="CH249" s="578"/>
      <c r="CI249" s="578"/>
      <c r="CJ249" s="578"/>
      <c r="CK249" s="543" t="s">
        <v>1815</v>
      </c>
      <c r="CL249" s="543" t="s">
        <v>1816</v>
      </c>
      <c r="CM249" s="528" t="s">
        <v>1959</v>
      </c>
      <c r="CN249" s="528"/>
      <c r="CO249" s="528"/>
      <c r="CP249" s="579"/>
      <c r="CQ249" s="579"/>
      <c r="CR249" s="579">
        <f t="shared" si="393"/>
        <v>0</v>
      </c>
      <c r="CS249" s="1691"/>
      <c r="CT249" s="1692"/>
      <c r="CU249" s="1692"/>
      <c r="CV249" s="1692"/>
      <c r="CW249" s="1693"/>
      <c r="CX249" s="528"/>
      <c r="CY249" s="528"/>
      <c r="CZ249" s="528"/>
      <c r="DA249" s="528"/>
      <c r="DB249" s="579">
        <f>5000</f>
        <v>5000</v>
      </c>
      <c r="DC249" s="628" t="e">
        <f>P249-#REF!</f>
        <v>#REF!</v>
      </c>
      <c r="DD249" s="575"/>
      <c r="DE249" s="575"/>
      <c r="DF249" s="578">
        <f t="shared" si="350"/>
        <v>0</v>
      </c>
      <c r="DG249" s="578">
        <f t="shared" si="350"/>
        <v>0</v>
      </c>
      <c r="DH249" s="522">
        <f t="shared" si="350"/>
        <v>472.08803</v>
      </c>
      <c r="DI249" s="522">
        <f t="shared" si="348"/>
        <v>472.08803</v>
      </c>
      <c r="DJ249" s="536"/>
      <c r="DK249" s="536"/>
      <c r="DL249" s="536"/>
      <c r="DM249" s="536"/>
      <c r="DN249" s="536"/>
      <c r="DO249" s="536"/>
      <c r="DP249" s="536"/>
      <c r="DQ249" s="536"/>
      <c r="DR249" s="536"/>
      <c r="DS249" s="536"/>
    </row>
    <row r="250" spans="1:123" s="534" customFormat="1" ht="31.5" customHeight="1">
      <c r="A250" s="537" t="s">
        <v>1328</v>
      </c>
      <c r="B250" s="538" t="s">
        <v>1329</v>
      </c>
      <c r="C250" s="576"/>
      <c r="D250" s="576"/>
      <c r="E250" s="576"/>
      <c r="F250" s="576"/>
      <c r="G250" s="577">
        <v>0</v>
      </c>
      <c r="H250" s="627">
        <v>0</v>
      </c>
      <c r="I250" s="578">
        <f t="shared" si="385"/>
        <v>79320000</v>
      </c>
      <c r="J250" s="578">
        <v>0</v>
      </c>
      <c r="K250" s="578">
        <v>0</v>
      </c>
      <c r="L250" s="578">
        <v>79320000</v>
      </c>
      <c r="M250" s="578">
        <f t="shared" si="386"/>
        <v>0</v>
      </c>
      <c r="N250" s="578"/>
      <c r="O250" s="522">
        <f t="shared" si="387"/>
        <v>79320150</v>
      </c>
      <c r="P250" s="522">
        <v>79320150</v>
      </c>
      <c r="Q250" s="576">
        <f t="shared" si="313"/>
        <v>150</v>
      </c>
      <c r="R250" s="576">
        <f t="shared" si="314"/>
        <v>1.8910741302136103E-4</v>
      </c>
      <c r="S250" s="525"/>
      <c r="T250" s="525"/>
      <c r="U250" s="522">
        <f t="shared" si="388"/>
        <v>0</v>
      </c>
      <c r="V250" s="522">
        <f t="shared" si="311"/>
        <v>0</v>
      </c>
      <c r="W250" s="522">
        <v>0</v>
      </c>
      <c r="X250" s="522">
        <f t="shared" si="315"/>
        <v>-79320150</v>
      </c>
      <c r="Y250" s="522">
        <f t="shared" si="316"/>
        <v>-100</v>
      </c>
      <c r="Z250" s="524">
        <f t="shared" si="317"/>
        <v>0</v>
      </c>
      <c r="AA250" s="522">
        <f t="shared" si="318"/>
        <v>0</v>
      </c>
      <c r="AB250" s="522">
        <v>0</v>
      </c>
      <c r="AC250" s="522">
        <f t="shared" si="319"/>
        <v>0</v>
      </c>
      <c r="AD250" s="522">
        <v>0</v>
      </c>
      <c r="AE250" s="522">
        <f t="shared" si="321"/>
        <v>-79320150</v>
      </c>
      <c r="AF250" s="522">
        <f t="shared" si="322"/>
        <v>-100</v>
      </c>
      <c r="AG250" s="522">
        <f t="shared" si="337"/>
        <v>0</v>
      </c>
      <c r="AH250" s="522">
        <f t="shared" si="323"/>
        <v>0</v>
      </c>
      <c r="AI250" s="522">
        <v>0</v>
      </c>
      <c r="AJ250" s="522">
        <f t="shared" si="325"/>
        <v>0</v>
      </c>
      <c r="AK250" s="522">
        <v>0</v>
      </c>
      <c r="AL250" s="522">
        <f t="shared" si="392"/>
        <v>0</v>
      </c>
      <c r="AM250" s="522">
        <f t="shared" si="342"/>
        <v>0</v>
      </c>
      <c r="AN250" s="522">
        <f t="shared" si="342"/>
        <v>0</v>
      </c>
      <c r="AO250" s="522">
        <f t="shared" si="326"/>
        <v>0</v>
      </c>
      <c r="AP250" s="522">
        <v>0</v>
      </c>
      <c r="AQ250" s="522">
        <v>0</v>
      </c>
      <c r="AR250" s="522">
        <v>0</v>
      </c>
      <c r="AS250" s="522">
        <v>0</v>
      </c>
      <c r="AT250" s="522">
        <v>0</v>
      </c>
      <c r="AU250" s="522">
        <f t="shared" si="375"/>
        <v>0</v>
      </c>
      <c r="AV250" s="522">
        <f t="shared" si="375"/>
        <v>0</v>
      </c>
      <c r="AW250" s="522">
        <f t="shared" si="327"/>
        <v>0</v>
      </c>
      <c r="AX250" s="522">
        <v>0</v>
      </c>
      <c r="AY250" s="522">
        <f t="shared" si="376"/>
        <v>0</v>
      </c>
      <c r="AZ250" s="522">
        <f t="shared" si="329"/>
        <v>0</v>
      </c>
      <c r="BA250" s="578">
        <v>0</v>
      </c>
      <c r="BB250" s="522">
        <v>0</v>
      </c>
      <c r="BC250" s="525">
        <f>'[67]Дир_по корп'!AT47</f>
        <v>0</v>
      </c>
      <c r="BD250" s="525">
        <f t="shared" si="389"/>
        <v>0</v>
      </c>
      <c r="BE250" s="525">
        <f t="shared" si="331"/>
        <v>0</v>
      </c>
      <c r="BF250" s="525">
        <f t="shared" si="332"/>
        <v>0</v>
      </c>
      <c r="BG250" s="525">
        <f t="shared" si="312"/>
        <v>0</v>
      </c>
      <c r="BH250" s="522">
        <f t="shared" si="312"/>
        <v>0</v>
      </c>
      <c r="BI250" s="522"/>
      <c r="BJ250" s="522">
        <f t="shared" si="333"/>
        <v>0</v>
      </c>
      <c r="BK250" s="522">
        <f t="shared" si="334"/>
        <v>0</v>
      </c>
      <c r="BL250" s="525">
        <v>0</v>
      </c>
      <c r="BM250" s="522">
        <f>'[67]Дир_по корп'!AW47</f>
        <v>0</v>
      </c>
      <c r="BN250" s="522">
        <f t="shared" si="390"/>
        <v>0</v>
      </c>
      <c r="BO250" s="522">
        <f t="shared" si="339"/>
        <v>0</v>
      </c>
      <c r="BP250" s="522">
        <f t="shared" si="335"/>
        <v>0</v>
      </c>
      <c r="BQ250" s="525">
        <v>0</v>
      </c>
      <c r="BR250" s="522">
        <f>'[67]Дир_по корп'!BB47</f>
        <v>0</v>
      </c>
      <c r="BS250" s="522">
        <f>'[67]Дир_по корп'!BC47</f>
        <v>0</v>
      </c>
      <c r="BT250" s="536"/>
      <c r="BU250" s="522"/>
      <c r="BV250" s="522"/>
      <c r="BW250" s="522"/>
      <c r="BX250" s="574"/>
      <c r="BY250" s="522"/>
      <c r="BZ250" s="522"/>
      <c r="CA250" s="522"/>
      <c r="CB250" s="522">
        <f t="shared" si="391"/>
        <v>0</v>
      </c>
      <c r="CC250" s="522">
        <f t="shared" si="336"/>
        <v>0</v>
      </c>
      <c r="CD250" s="522"/>
      <c r="CE250" s="522"/>
      <c r="CF250" s="522"/>
      <c r="CG250" s="522"/>
      <c r="CH250" s="522"/>
      <c r="CI250" s="522"/>
      <c r="CJ250" s="522"/>
      <c r="CK250" s="542" t="s">
        <v>80</v>
      </c>
      <c r="CL250" s="542" t="s">
        <v>1821</v>
      </c>
      <c r="CM250" s="528" t="s">
        <v>1959</v>
      </c>
      <c r="CN250" s="528"/>
      <c r="CO250" s="528"/>
      <c r="CP250" s="544"/>
      <c r="CQ250" s="544"/>
      <c r="CR250" s="579">
        <f t="shared" si="393"/>
        <v>0</v>
      </c>
      <c r="CS250" s="1691"/>
      <c r="CT250" s="1692"/>
      <c r="CU250" s="1692"/>
      <c r="CV250" s="1692"/>
      <c r="CW250" s="1693"/>
      <c r="CX250" s="528"/>
      <c r="CY250" s="528"/>
      <c r="CZ250" s="528"/>
      <c r="DA250" s="528"/>
      <c r="DB250" s="579"/>
      <c r="DC250" s="628" t="e">
        <f>P250-#REF!</f>
        <v>#REF!</v>
      </c>
      <c r="DD250" s="575"/>
      <c r="DE250" s="575"/>
      <c r="DF250" s="522">
        <f t="shared" si="350"/>
        <v>0</v>
      </c>
      <c r="DG250" s="522">
        <f t="shared" si="350"/>
        <v>0</v>
      </c>
      <c r="DH250" s="522">
        <f t="shared" si="350"/>
        <v>0</v>
      </c>
      <c r="DI250" s="522">
        <f t="shared" si="348"/>
        <v>0</v>
      </c>
      <c r="DJ250" s="536"/>
      <c r="DK250" s="536"/>
      <c r="DL250" s="536"/>
      <c r="DM250" s="536"/>
      <c r="DN250" s="536"/>
      <c r="DO250" s="536"/>
      <c r="DP250" s="536"/>
      <c r="DQ250" s="536"/>
      <c r="DR250" s="536"/>
      <c r="DS250" s="536"/>
    </row>
    <row r="251" spans="1:123" s="534" customFormat="1" ht="30.75" customHeight="1">
      <c r="A251" s="537" t="s">
        <v>1333</v>
      </c>
      <c r="B251" s="538" t="s">
        <v>1334</v>
      </c>
      <c r="C251" s="576">
        <v>146466246</v>
      </c>
      <c r="D251" s="576">
        <v>0</v>
      </c>
      <c r="E251" s="576">
        <v>0</v>
      </c>
      <c r="F251" s="576"/>
      <c r="G251" s="577">
        <v>0</v>
      </c>
      <c r="H251" s="626">
        <v>0</v>
      </c>
      <c r="I251" s="578">
        <f t="shared" si="385"/>
        <v>0</v>
      </c>
      <c r="J251" s="578">
        <v>0</v>
      </c>
      <c r="K251" s="578">
        <v>0</v>
      </c>
      <c r="L251" s="578">
        <v>0</v>
      </c>
      <c r="M251" s="578">
        <f t="shared" si="386"/>
        <v>0</v>
      </c>
      <c r="N251" s="578"/>
      <c r="O251" s="522">
        <f t="shared" si="387"/>
        <v>0</v>
      </c>
      <c r="P251" s="522"/>
      <c r="Q251" s="576">
        <f t="shared" si="313"/>
        <v>0</v>
      </c>
      <c r="R251" s="576">
        <v>0</v>
      </c>
      <c r="S251" s="576"/>
      <c r="T251" s="576"/>
      <c r="U251" s="522">
        <f t="shared" si="388"/>
        <v>0</v>
      </c>
      <c r="V251" s="522">
        <f t="shared" si="311"/>
        <v>0</v>
      </c>
      <c r="W251" s="522">
        <v>0</v>
      </c>
      <c r="X251" s="522">
        <f t="shared" si="315"/>
        <v>0</v>
      </c>
      <c r="Y251" s="522">
        <v>0</v>
      </c>
      <c r="Z251" s="524">
        <f t="shared" si="317"/>
        <v>0</v>
      </c>
      <c r="AA251" s="522">
        <f t="shared" si="318"/>
        <v>0</v>
      </c>
      <c r="AB251" s="522">
        <v>0</v>
      </c>
      <c r="AC251" s="522">
        <f t="shared" si="319"/>
        <v>0</v>
      </c>
      <c r="AD251" s="522">
        <v>0</v>
      </c>
      <c r="AE251" s="522">
        <f t="shared" si="321"/>
        <v>0</v>
      </c>
      <c r="AF251" s="522">
        <v>0</v>
      </c>
      <c r="AG251" s="522">
        <f t="shared" si="337"/>
        <v>0</v>
      </c>
      <c r="AH251" s="522">
        <f t="shared" si="323"/>
        <v>0</v>
      </c>
      <c r="AI251" s="522">
        <v>0</v>
      </c>
      <c r="AJ251" s="522">
        <f t="shared" si="325"/>
        <v>0</v>
      </c>
      <c r="AK251" s="522">
        <v>0</v>
      </c>
      <c r="AL251" s="522">
        <f t="shared" si="392"/>
        <v>0</v>
      </c>
      <c r="AM251" s="522">
        <f t="shared" si="342"/>
        <v>0</v>
      </c>
      <c r="AN251" s="522">
        <f t="shared" si="342"/>
        <v>0</v>
      </c>
      <c r="AO251" s="522">
        <f t="shared" si="326"/>
        <v>0</v>
      </c>
      <c r="AP251" s="522">
        <v>0</v>
      </c>
      <c r="AQ251" s="578">
        <v>0</v>
      </c>
      <c r="AR251" s="578">
        <v>0</v>
      </c>
      <c r="AS251" s="578">
        <v>0</v>
      </c>
      <c r="AT251" s="578">
        <v>0</v>
      </c>
      <c r="AU251" s="578">
        <f t="shared" si="375"/>
        <v>0</v>
      </c>
      <c r="AV251" s="578">
        <f t="shared" si="375"/>
        <v>0</v>
      </c>
      <c r="AW251" s="578">
        <f t="shared" si="327"/>
        <v>0</v>
      </c>
      <c r="AX251" s="578">
        <v>0</v>
      </c>
      <c r="AY251" s="578">
        <f t="shared" si="376"/>
        <v>0</v>
      </c>
      <c r="AZ251" s="578">
        <f t="shared" si="329"/>
        <v>0</v>
      </c>
      <c r="BA251" s="578">
        <v>0</v>
      </c>
      <c r="BB251" s="578">
        <v>0</v>
      </c>
      <c r="BC251" s="576">
        <f>'[67]Дир_по фин'!AT13</f>
        <v>0</v>
      </c>
      <c r="BD251" s="576">
        <f t="shared" si="389"/>
        <v>0</v>
      </c>
      <c r="BE251" s="576">
        <f t="shared" si="331"/>
        <v>0</v>
      </c>
      <c r="BF251" s="576">
        <f t="shared" si="332"/>
        <v>0</v>
      </c>
      <c r="BG251" s="576">
        <f t="shared" si="312"/>
        <v>0</v>
      </c>
      <c r="BH251" s="578">
        <f t="shared" si="312"/>
        <v>0</v>
      </c>
      <c r="BI251" s="578"/>
      <c r="BJ251" s="578">
        <f t="shared" si="333"/>
        <v>0</v>
      </c>
      <c r="BK251" s="578">
        <f t="shared" si="334"/>
        <v>0</v>
      </c>
      <c r="BL251" s="576">
        <v>0</v>
      </c>
      <c r="BM251" s="578">
        <f>'[67]Дир_по фин'!AW13</f>
        <v>0</v>
      </c>
      <c r="BN251" s="522">
        <f t="shared" si="390"/>
        <v>0</v>
      </c>
      <c r="BO251" s="578">
        <f t="shared" si="339"/>
        <v>0</v>
      </c>
      <c r="BP251" s="578">
        <f t="shared" si="335"/>
        <v>0</v>
      </c>
      <c r="BQ251" s="576">
        <v>0</v>
      </c>
      <c r="BR251" s="578">
        <f>'[67]Дир_по фин'!BB13</f>
        <v>0</v>
      </c>
      <c r="BS251" s="578">
        <f>'[67]Дир_по фин'!BC13</f>
        <v>0</v>
      </c>
      <c r="BT251" s="536"/>
      <c r="BU251" s="578"/>
      <c r="BV251" s="578"/>
      <c r="BW251" s="578"/>
      <c r="BX251" s="574"/>
      <c r="BY251" s="578"/>
      <c r="BZ251" s="578"/>
      <c r="CA251" s="522"/>
      <c r="CB251" s="522">
        <f t="shared" si="391"/>
        <v>0</v>
      </c>
      <c r="CC251" s="522">
        <f t="shared" si="336"/>
        <v>0</v>
      </c>
      <c r="CD251" s="578"/>
      <c r="CE251" s="578"/>
      <c r="CF251" s="578"/>
      <c r="CG251" s="578"/>
      <c r="CH251" s="578"/>
      <c r="CI251" s="578"/>
      <c r="CJ251" s="578"/>
      <c r="CK251" s="542" t="s">
        <v>81</v>
      </c>
      <c r="CL251" s="542" t="s">
        <v>1810</v>
      </c>
      <c r="CM251" s="528" t="s">
        <v>1959</v>
      </c>
      <c r="CN251" s="528"/>
      <c r="CO251" s="528"/>
      <c r="CP251" s="579"/>
      <c r="CQ251" s="579"/>
      <c r="CR251" s="579">
        <f t="shared" si="393"/>
        <v>0</v>
      </c>
      <c r="CS251" s="1691"/>
      <c r="CT251" s="1692"/>
      <c r="CU251" s="1692"/>
      <c r="CV251" s="1692"/>
      <c r="CW251" s="1693"/>
      <c r="CX251" s="528"/>
      <c r="CY251" s="528"/>
      <c r="CZ251" s="528"/>
      <c r="DA251" s="528"/>
      <c r="DB251" s="579"/>
      <c r="DC251" s="628" t="e">
        <f>P251-#REF!</f>
        <v>#REF!</v>
      </c>
      <c r="DD251" s="575"/>
      <c r="DE251" s="575"/>
      <c r="DF251" s="578">
        <f t="shared" si="350"/>
        <v>0</v>
      </c>
      <c r="DG251" s="578">
        <f t="shared" si="350"/>
        <v>0</v>
      </c>
      <c r="DH251" s="522">
        <f t="shared" si="350"/>
        <v>0</v>
      </c>
      <c r="DI251" s="522">
        <f t="shared" si="348"/>
        <v>0</v>
      </c>
      <c r="DJ251" s="536"/>
      <c r="DK251" s="536"/>
      <c r="DL251" s="536"/>
      <c r="DM251" s="536"/>
      <c r="DN251" s="536"/>
      <c r="DO251" s="536"/>
      <c r="DP251" s="536"/>
      <c r="DQ251" s="536"/>
      <c r="DR251" s="536"/>
      <c r="DS251" s="536"/>
    </row>
    <row r="252" spans="1:123" s="534" customFormat="1">
      <c r="A252" s="537" t="s">
        <v>1337</v>
      </c>
      <c r="B252" s="538" t="s">
        <v>1338</v>
      </c>
      <c r="C252" s="576"/>
      <c r="D252" s="576"/>
      <c r="E252" s="576"/>
      <c r="F252" s="576"/>
      <c r="G252" s="577">
        <v>0</v>
      </c>
      <c r="H252" s="627">
        <v>0</v>
      </c>
      <c r="I252" s="578">
        <f t="shared" si="385"/>
        <v>136498.68</v>
      </c>
      <c r="J252" s="578">
        <v>128498.68</v>
      </c>
      <c r="K252" s="578">
        <v>4000</v>
      </c>
      <c r="L252" s="578">
        <v>4000</v>
      </c>
      <c r="M252" s="578">
        <f t="shared" si="386"/>
        <v>132498.68</v>
      </c>
      <c r="N252" s="578">
        <v>128498.68</v>
      </c>
      <c r="O252" s="522">
        <f t="shared" si="387"/>
        <v>43142.84</v>
      </c>
      <c r="P252" s="522">
        <v>171641.52</v>
      </c>
      <c r="Q252" s="576">
        <f t="shared" si="313"/>
        <v>35142.839999999997</v>
      </c>
      <c r="R252" s="576">
        <f t="shared" si="314"/>
        <v>25.745919301197631</v>
      </c>
      <c r="S252" s="576"/>
      <c r="T252" s="576"/>
      <c r="U252" s="522">
        <f t="shared" si="388"/>
        <v>0</v>
      </c>
      <c r="V252" s="522">
        <f t="shared" si="311"/>
        <v>0</v>
      </c>
      <c r="W252" s="522">
        <v>0</v>
      </c>
      <c r="X252" s="522">
        <f t="shared" si="315"/>
        <v>-171641.52</v>
      </c>
      <c r="Y252" s="522">
        <f t="shared" si="316"/>
        <v>-100</v>
      </c>
      <c r="Z252" s="524">
        <f t="shared" si="317"/>
        <v>103363.72</v>
      </c>
      <c r="AA252" s="522">
        <f t="shared" si="318"/>
        <v>103363.72</v>
      </c>
      <c r="AB252" s="522">
        <v>0</v>
      </c>
      <c r="AC252" s="522">
        <f t="shared" si="319"/>
        <v>103363.72</v>
      </c>
      <c r="AD252" s="522">
        <v>0</v>
      </c>
      <c r="AE252" s="522">
        <f t="shared" si="321"/>
        <v>-68277.799999999988</v>
      </c>
      <c r="AF252" s="522">
        <f t="shared" si="322"/>
        <v>-39.779302816707748</v>
      </c>
      <c r="AG252" s="522">
        <f t="shared" si="337"/>
        <v>543996.09</v>
      </c>
      <c r="AH252" s="522">
        <f t="shared" si="323"/>
        <v>543996.09</v>
      </c>
      <c r="AI252" s="522">
        <v>0</v>
      </c>
      <c r="AJ252" s="522">
        <f t="shared" si="325"/>
        <v>440632.37</v>
      </c>
      <c r="AK252" s="522">
        <f>AG252/Z252*100-100</f>
        <v>426.29306491678119</v>
      </c>
      <c r="AL252" s="522">
        <f t="shared" si="392"/>
        <v>543996.09</v>
      </c>
      <c r="AM252" s="522">
        <f t="shared" si="342"/>
        <v>0</v>
      </c>
      <c r="AN252" s="522">
        <f t="shared" si="342"/>
        <v>103363.72</v>
      </c>
      <c r="AO252" s="522">
        <f t="shared" si="326"/>
        <v>103363.72</v>
      </c>
      <c r="AP252" s="522">
        <v>0</v>
      </c>
      <c r="AQ252" s="578">
        <v>0</v>
      </c>
      <c r="AR252" s="578">
        <v>7742.05</v>
      </c>
      <c r="AS252" s="578">
        <v>0</v>
      </c>
      <c r="AT252" s="578">
        <v>95621.67</v>
      </c>
      <c r="AU252" s="578">
        <f t="shared" si="375"/>
        <v>0</v>
      </c>
      <c r="AV252" s="578">
        <f t="shared" si="375"/>
        <v>0</v>
      </c>
      <c r="AW252" s="578">
        <f t="shared" si="327"/>
        <v>0</v>
      </c>
      <c r="AX252" s="578">
        <v>0</v>
      </c>
      <c r="AY252" s="578">
        <f t="shared" si="376"/>
        <v>440632.37</v>
      </c>
      <c r="AZ252" s="578">
        <f t="shared" si="329"/>
        <v>-440632.37</v>
      </c>
      <c r="BA252" s="578">
        <v>0</v>
      </c>
      <c r="BB252" s="578">
        <v>0</v>
      </c>
      <c r="BC252" s="576">
        <f>'[67]Дир_ имущ'!AT34</f>
        <v>0</v>
      </c>
      <c r="BD252" s="576">
        <f t="shared" si="389"/>
        <v>78776.540000000008</v>
      </c>
      <c r="BE252" s="576">
        <f t="shared" si="331"/>
        <v>78776.540000000008</v>
      </c>
      <c r="BF252" s="576">
        <f t="shared" si="332"/>
        <v>78776.540000000008</v>
      </c>
      <c r="BG252" s="576">
        <f t="shared" si="312"/>
        <v>0</v>
      </c>
      <c r="BH252" s="578">
        <f t="shared" si="312"/>
        <v>103363.72</v>
      </c>
      <c r="BI252" s="578">
        <v>182140.26</v>
      </c>
      <c r="BJ252" s="578">
        <f t="shared" si="333"/>
        <v>182140.26</v>
      </c>
      <c r="BK252" s="578">
        <f t="shared" si="334"/>
        <v>78776.540000000008</v>
      </c>
      <c r="BL252" s="576">
        <v>0</v>
      </c>
      <c r="BM252" s="578">
        <f>'[67]Дир_ имущ'!AW34</f>
        <v>0</v>
      </c>
      <c r="BN252" s="522">
        <f t="shared" si="390"/>
        <v>361855.82999999996</v>
      </c>
      <c r="BO252" s="578">
        <f t="shared" si="339"/>
        <v>361855.82999999996</v>
      </c>
      <c r="BP252" s="578">
        <f t="shared" si="335"/>
        <v>361855.82999999996</v>
      </c>
      <c r="BQ252" s="576">
        <v>0</v>
      </c>
      <c r="BR252" s="578">
        <f>'[67]Дир_ имущ'!BB34</f>
        <v>0</v>
      </c>
      <c r="BS252" s="578">
        <f>'[67]Дир_ имущ'!BC34</f>
        <v>0</v>
      </c>
      <c r="BT252" s="536"/>
      <c r="BU252" s="578"/>
      <c r="BV252" s="578"/>
      <c r="BW252" s="586">
        <v>543996.09</v>
      </c>
      <c r="BX252" s="574"/>
      <c r="BY252" s="578">
        <f>BW252</f>
        <v>543996.09</v>
      </c>
      <c r="BZ252" s="578"/>
      <c r="CA252" s="522"/>
      <c r="CB252" s="522">
        <f t="shared" si="391"/>
        <v>543996.09</v>
      </c>
      <c r="CC252" s="522">
        <f t="shared" si="336"/>
        <v>0</v>
      </c>
      <c r="CD252" s="578"/>
      <c r="CE252" s="578"/>
      <c r="CF252" s="578"/>
      <c r="CG252" s="578"/>
      <c r="CH252" s="578"/>
      <c r="CI252" s="578"/>
      <c r="CJ252" s="578"/>
      <c r="CK252" s="543" t="s">
        <v>1815</v>
      </c>
      <c r="CL252" s="543" t="s">
        <v>1816</v>
      </c>
      <c r="CM252" s="528" t="s">
        <v>1959</v>
      </c>
      <c r="CN252" s="528"/>
      <c r="CO252" s="528"/>
      <c r="CP252" s="579"/>
      <c r="CQ252" s="579"/>
      <c r="CR252" s="579">
        <f t="shared" si="393"/>
        <v>0</v>
      </c>
      <c r="CS252" s="1691"/>
      <c r="CT252" s="1692"/>
      <c r="CU252" s="1692"/>
      <c r="CV252" s="1692"/>
      <c r="CW252" s="1693"/>
      <c r="CX252" s="528"/>
      <c r="CY252" s="528"/>
      <c r="CZ252" s="528"/>
      <c r="DA252" s="528"/>
      <c r="DB252" s="579">
        <v>7742.05</v>
      </c>
      <c r="DC252" s="628" t="e">
        <f>P252-#REF!</f>
        <v>#REF!</v>
      </c>
      <c r="DD252" s="575"/>
      <c r="DE252" s="575"/>
      <c r="DF252" s="578">
        <f t="shared" si="350"/>
        <v>543.99608999999998</v>
      </c>
      <c r="DG252" s="578">
        <f t="shared" si="350"/>
        <v>0</v>
      </c>
      <c r="DH252" s="522">
        <f t="shared" si="350"/>
        <v>0</v>
      </c>
      <c r="DI252" s="522">
        <f t="shared" si="348"/>
        <v>543.99608999999998</v>
      </c>
      <c r="DJ252" s="536"/>
      <c r="DK252" s="536"/>
      <c r="DL252" s="536"/>
      <c r="DM252" s="536"/>
      <c r="DN252" s="536"/>
      <c r="DO252" s="536"/>
      <c r="DP252" s="536"/>
      <c r="DQ252" s="536"/>
      <c r="DR252" s="536"/>
      <c r="DS252" s="536"/>
    </row>
    <row r="253" spans="1:123" s="534" customFormat="1" ht="48" customHeight="1">
      <c r="A253" s="537" t="s">
        <v>1342</v>
      </c>
      <c r="B253" s="538" t="s">
        <v>1343</v>
      </c>
      <c r="C253" s="576">
        <v>512088.07</v>
      </c>
      <c r="D253" s="576"/>
      <c r="E253" s="525">
        <v>440000</v>
      </c>
      <c r="F253" s="525">
        <v>399333.75</v>
      </c>
      <c r="G253" s="577">
        <v>0</v>
      </c>
      <c r="H253" s="577">
        <v>0</v>
      </c>
      <c r="I253" s="522">
        <f t="shared" si="385"/>
        <v>328169.51</v>
      </c>
      <c r="J253" s="522">
        <v>158169.51</v>
      </c>
      <c r="K253" s="522">
        <v>85000</v>
      </c>
      <c r="L253" s="522">
        <v>85000</v>
      </c>
      <c r="M253" s="522">
        <f t="shared" si="386"/>
        <v>243169.51</v>
      </c>
      <c r="N253" s="522">
        <v>240796.64</v>
      </c>
      <c r="O253" s="522">
        <f t="shared" si="387"/>
        <v>82118.659999999974</v>
      </c>
      <c r="P253" s="522">
        <v>322915.3</v>
      </c>
      <c r="Q253" s="525">
        <f t="shared" si="313"/>
        <v>-5254.210000000021</v>
      </c>
      <c r="R253" s="525">
        <f t="shared" si="314"/>
        <v>-1.6010658637970465</v>
      </c>
      <c r="S253" s="525"/>
      <c r="T253" s="525"/>
      <c r="U253" s="522">
        <f t="shared" si="388"/>
        <v>390000</v>
      </c>
      <c r="V253" s="522">
        <f t="shared" si="311"/>
        <v>390000</v>
      </c>
      <c r="W253" s="522">
        <v>0</v>
      </c>
      <c r="X253" s="522">
        <f t="shared" si="315"/>
        <v>67084.700000000012</v>
      </c>
      <c r="Y253" s="522">
        <f t="shared" si="316"/>
        <v>20.774704698105054</v>
      </c>
      <c r="Z253" s="524">
        <f t="shared" si="317"/>
        <v>382745.79000000004</v>
      </c>
      <c r="AA253" s="522">
        <f t="shared" si="318"/>
        <v>382745.79000000004</v>
      </c>
      <c r="AB253" s="522">
        <v>0</v>
      </c>
      <c r="AC253" s="522">
        <f t="shared" si="319"/>
        <v>-7254.2099999999627</v>
      </c>
      <c r="AD253" s="522">
        <f t="shared" si="320"/>
        <v>-1.8600538461538463</v>
      </c>
      <c r="AE253" s="522">
        <f t="shared" si="321"/>
        <v>59830.490000000049</v>
      </c>
      <c r="AF253" s="522">
        <f t="shared" si="322"/>
        <v>18.528230158187014</v>
      </c>
      <c r="AG253" s="522">
        <f t="shared" si="337"/>
        <v>374232.25</v>
      </c>
      <c r="AH253" s="522">
        <f t="shared" si="323"/>
        <v>-15767.75</v>
      </c>
      <c r="AI253" s="522">
        <f t="shared" si="324"/>
        <v>-4.0430128205128284</v>
      </c>
      <c r="AJ253" s="522">
        <f t="shared" si="325"/>
        <v>-8513.5400000000373</v>
      </c>
      <c r="AK253" s="522">
        <f>AG253/Z253*100-100</f>
        <v>-2.2243327614393991</v>
      </c>
      <c r="AL253" s="522">
        <f t="shared" si="392"/>
        <v>374232.25</v>
      </c>
      <c r="AM253" s="522">
        <f t="shared" si="342"/>
        <v>170000</v>
      </c>
      <c r="AN253" s="522">
        <f t="shared" si="342"/>
        <v>162745.79</v>
      </c>
      <c r="AO253" s="522">
        <f t="shared" si="326"/>
        <v>-7254.2099999999919</v>
      </c>
      <c r="AP253" s="522">
        <f t="shared" si="338"/>
        <v>-4.2671823529411625</v>
      </c>
      <c r="AQ253" s="522">
        <v>85000</v>
      </c>
      <c r="AR253" s="522">
        <v>81135.600000000006</v>
      </c>
      <c r="AS253" s="522">
        <v>85000</v>
      </c>
      <c r="AT253" s="522">
        <v>81610.19</v>
      </c>
      <c r="AU253" s="522">
        <f t="shared" si="375"/>
        <v>220000</v>
      </c>
      <c r="AV253" s="522">
        <f t="shared" si="375"/>
        <v>220000</v>
      </c>
      <c r="AW253" s="522">
        <f t="shared" si="327"/>
        <v>0</v>
      </c>
      <c r="AX253" s="522">
        <f t="shared" si="328"/>
        <v>0</v>
      </c>
      <c r="AY253" s="522">
        <f t="shared" si="376"/>
        <v>211486.46</v>
      </c>
      <c r="AZ253" s="522">
        <f t="shared" si="329"/>
        <v>8513.5400000000081</v>
      </c>
      <c r="BA253" s="522">
        <f t="shared" si="330"/>
        <v>4.0255721335540784</v>
      </c>
      <c r="BB253" s="522">
        <v>135000</v>
      </c>
      <c r="BC253" s="525">
        <f>'[67]Дир_по корп'!AT48</f>
        <v>135000</v>
      </c>
      <c r="BD253" s="525">
        <f t="shared" si="389"/>
        <v>129376.28</v>
      </c>
      <c r="BE253" s="525">
        <f t="shared" si="331"/>
        <v>-5623.7200000000012</v>
      </c>
      <c r="BF253" s="525">
        <f t="shared" si="332"/>
        <v>-5623.7200000000012</v>
      </c>
      <c r="BG253" s="525">
        <f t="shared" si="312"/>
        <v>305000</v>
      </c>
      <c r="BH253" s="522">
        <f t="shared" si="312"/>
        <v>297745.79000000004</v>
      </c>
      <c r="BI253" s="522">
        <v>292122.07</v>
      </c>
      <c r="BJ253" s="522">
        <f t="shared" si="333"/>
        <v>-12877.929999999993</v>
      </c>
      <c r="BK253" s="522">
        <f t="shared" si="334"/>
        <v>-5623.7200000000303</v>
      </c>
      <c r="BL253" s="525">
        <v>85000</v>
      </c>
      <c r="BM253" s="522">
        <f>'[67]Дир_по корп'!AW48</f>
        <v>85000</v>
      </c>
      <c r="BN253" s="522">
        <f t="shared" si="390"/>
        <v>82110.179999999993</v>
      </c>
      <c r="BO253" s="522">
        <f t="shared" si="339"/>
        <v>-2889.820000000007</v>
      </c>
      <c r="BP253" s="522">
        <f t="shared" si="335"/>
        <v>-2889.820000000007</v>
      </c>
      <c r="BQ253" s="525">
        <v>85000</v>
      </c>
      <c r="BR253" s="522">
        <f>'[67]Дир_по корп'!BB48</f>
        <v>0</v>
      </c>
      <c r="BS253" s="522">
        <f>'[67]Дир_по корп'!BC48</f>
        <v>0</v>
      </c>
      <c r="BT253" s="536"/>
      <c r="BU253" s="522"/>
      <c r="BV253" s="522"/>
      <c r="BW253" s="524">
        <v>374232.25</v>
      </c>
      <c r="BX253" s="629"/>
      <c r="BY253" s="522">
        <v>349613.71</v>
      </c>
      <c r="BZ253" s="522">
        <f>6017.03+14597.58</f>
        <v>20614.61</v>
      </c>
      <c r="CA253" s="522">
        <v>4003.93</v>
      </c>
      <c r="CB253" s="522">
        <f t="shared" si="391"/>
        <v>374232.25</v>
      </c>
      <c r="CC253" s="522">
        <f t="shared" si="336"/>
        <v>0</v>
      </c>
      <c r="CD253" s="522"/>
      <c r="CE253" s="522"/>
      <c r="CF253" s="522"/>
      <c r="CG253" s="522"/>
      <c r="CH253" s="522"/>
      <c r="CI253" s="522"/>
      <c r="CJ253" s="522"/>
      <c r="CK253" s="543" t="s">
        <v>80</v>
      </c>
      <c r="CL253" s="542" t="s">
        <v>1821</v>
      </c>
      <c r="CM253" s="528" t="s">
        <v>1959</v>
      </c>
      <c r="CN253" s="528"/>
      <c r="CO253" s="528"/>
      <c r="CP253" s="544">
        <f>U253*$CW$7/100</f>
        <v>363313.4423782049</v>
      </c>
      <c r="CQ253" s="544">
        <f>U253*$CW$8/100</f>
        <v>26686.55762179504</v>
      </c>
      <c r="CR253" s="544"/>
      <c r="CS253" s="1688" t="s">
        <v>1898</v>
      </c>
      <c r="CT253" s="1689"/>
      <c r="CU253" s="1689"/>
      <c r="CV253" s="1689"/>
      <c r="CW253" s="1690"/>
      <c r="CX253" s="528"/>
      <c r="CY253" s="528"/>
      <c r="CZ253" s="528"/>
      <c r="DA253" s="528"/>
      <c r="DB253" s="579">
        <v>81135.600000000006</v>
      </c>
      <c r="DC253" s="628" t="e">
        <f>P253-#REF!</f>
        <v>#REF!</v>
      </c>
      <c r="DD253" s="575"/>
      <c r="DE253" s="575"/>
      <c r="DF253" s="522">
        <f t="shared" si="350"/>
        <v>349.61371000000003</v>
      </c>
      <c r="DG253" s="522">
        <f t="shared" si="350"/>
        <v>20.614609999999999</v>
      </c>
      <c r="DH253" s="522">
        <f t="shared" si="350"/>
        <v>4.0039299999999995</v>
      </c>
      <c r="DI253" s="522">
        <f t="shared" si="348"/>
        <v>374.23225000000002</v>
      </c>
      <c r="DJ253" s="536"/>
      <c r="DK253" s="536"/>
      <c r="DL253" s="536"/>
      <c r="DM253" s="536"/>
      <c r="DN253" s="536"/>
      <c r="DO253" s="536"/>
      <c r="DP253" s="536"/>
      <c r="DQ253" s="536"/>
      <c r="DR253" s="536"/>
      <c r="DS253" s="536"/>
    </row>
    <row r="254" spans="1:123" s="534" customFormat="1" ht="30.75" customHeight="1">
      <c r="A254" s="537" t="s">
        <v>1961</v>
      </c>
      <c r="B254" s="538" t="s">
        <v>1399</v>
      </c>
      <c r="C254" s="576"/>
      <c r="D254" s="576"/>
      <c r="E254" s="525">
        <v>50000</v>
      </c>
      <c r="F254" s="525"/>
      <c r="G254" s="577">
        <v>0</v>
      </c>
      <c r="H254" s="577">
        <v>0</v>
      </c>
      <c r="I254" s="522">
        <f t="shared" si="385"/>
        <v>5000000</v>
      </c>
      <c r="J254" s="522">
        <v>5000000</v>
      </c>
      <c r="K254" s="522">
        <v>0</v>
      </c>
      <c r="L254" s="522">
        <v>0</v>
      </c>
      <c r="M254" s="522">
        <f t="shared" si="386"/>
        <v>5000000</v>
      </c>
      <c r="N254" s="522">
        <v>5000000</v>
      </c>
      <c r="O254" s="522">
        <f t="shared" si="387"/>
        <v>0</v>
      </c>
      <c r="P254" s="522">
        <v>5000000</v>
      </c>
      <c r="Q254" s="525">
        <f t="shared" si="313"/>
        <v>0</v>
      </c>
      <c r="R254" s="525">
        <f t="shared" si="314"/>
        <v>0</v>
      </c>
      <c r="S254" s="525"/>
      <c r="T254" s="525"/>
      <c r="U254" s="522">
        <f t="shared" si="388"/>
        <v>0</v>
      </c>
      <c r="V254" s="522">
        <f t="shared" si="311"/>
        <v>0</v>
      </c>
      <c r="W254" s="522">
        <v>0</v>
      </c>
      <c r="X254" s="522">
        <f t="shared" si="315"/>
        <v>-5000000</v>
      </c>
      <c r="Y254" s="522">
        <f t="shared" si="316"/>
        <v>-100</v>
      </c>
      <c r="Z254" s="524">
        <f t="shared" si="317"/>
        <v>0</v>
      </c>
      <c r="AA254" s="522">
        <f t="shared" si="318"/>
        <v>0</v>
      </c>
      <c r="AB254" s="522">
        <v>0</v>
      </c>
      <c r="AC254" s="522">
        <f t="shared" si="319"/>
        <v>0</v>
      </c>
      <c r="AD254" s="522">
        <v>0</v>
      </c>
      <c r="AE254" s="522">
        <f t="shared" si="321"/>
        <v>-5000000</v>
      </c>
      <c r="AF254" s="522">
        <f t="shared" si="322"/>
        <v>-100</v>
      </c>
      <c r="AG254" s="522">
        <f t="shared" si="337"/>
        <v>0</v>
      </c>
      <c r="AH254" s="522">
        <f t="shared" si="323"/>
        <v>0</v>
      </c>
      <c r="AI254" s="522">
        <v>0</v>
      </c>
      <c r="AJ254" s="522">
        <f t="shared" si="325"/>
        <v>0</v>
      </c>
      <c r="AK254" s="522">
        <v>0</v>
      </c>
      <c r="AL254" s="522">
        <f t="shared" si="392"/>
        <v>0</v>
      </c>
      <c r="AM254" s="522">
        <f t="shared" si="342"/>
        <v>0</v>
      </c>
      <c r="AN254" s="522">
        <f t="shared" si="342"/>
        <v>0</v>
      </c>
      <c r="AO254" s="522">
        <f t="shared" si="326"/>
        <v>0</v>
      </c>
      <c r="AP254" s="522">
        <v>0</v>
      </c>
      <c r="AQ254" s="522">
        <v>0</v>
      </c>
      <c r="AR254" s="522">
        <v>0</v>
      </c>
      <c r="AS254" s="522">
        <v>0</v>
      </c>
      <c r="AT254" s="522">
        <v>0</v>
      </c>
      <c r="AU254" s="522">
        <f t="shared" si="375"/>
        <v>0</v>
      </c>
      <c r="AV254" s="522">
        <f t="shared" si="375"/>
        <v>0</v>
      </c>
      <c r="AW254" s="522">
        <f t="shared" si="327"/>
        <v>0</v>
      </c>
      <c r="AX254" s="522">
        <v>0</v>
      </c>
      <c r="AY254" s="522">
        <f t="shared" si="376"/>
        <v>0</v>
      </c>
      <c r="AZ254" s="522">
        <f t="shared" si="329"/>
        <v>0</v>
      </c>
      <c r="BA254" s="522">
        <v>0</v>
      </c>
      <c r="BB254" s="522">
        <v>0</v>
      </c>
      <c r="BC254" s="525">
        <f>'[67]Дир_по экон'!AT31</f>
        <v>0</v>
      </c>
      <c r="BD254" s="525">
        <f t="shared" si="389"/>
        <v>0</v>
      </c>
      <c r="BE254" s="525">
        <f t="shared" si="331"/>
        <v>0</v>
      </c>
      <c r="BF254" s="525">
        <f t="shared" si="332"/>
        <v>0</v>
      </c>
      <c r="BG254" s="525">
        <f t="shared" si="312"/>
        <v>0</v>
      </c>
      <c r="BH254" s="522">
        <f t="shared" si="312"/>
        <v>0</v>
      </c>
      <c r="BI254" s="522"/>
      <c r="BJ254" s="522">
        <f t="shared" si="333"/>
        <v>0</v>
      </c>
      <c r="BK254" s="522">
        <f t="shared" si="334"/>
        <v>0</v>
      </c>
      <c r="BL254" s="525">
        <v>0</v>
      </c>
      <c r="BM254" s="522">
        <f>'[67]Дир_по экон'!AW31</f>
        <v>0</v>
      </c>
      <c r="BN254" s="522">
        <f t="shared" si="390"/>
        <v>0</v>
      </c>
      <c r="BO254" s="522">
        <f t="shared" si="339"/>
        <v>0</v>
      </c>
      <c r="BP254" s="522">
        <f t="shared" si="335"/>
        <v>0</v>
      </c>
      <c r="BQ254" s="525">
        <v>0</v>
      </c>
      <c r="BR254" s="522">
        <f>'[67]Дир_по экон'!BB31</f>
        <v>0</v>
      </c>
      <c r="BS254" s="522">
        <f>'[67]Дир_по экон'!BC31</f>
        <v>0</v>
      </c>
      <c r="BT254" s="536"/>
      <c r="BU254" s="522"/>
      <c r="BV254" s="522"/>
      <c r="BW254" s="522"/>
      <c r="BX254" s="574"/>
      <c r="BY254" s="522"/>
      <c r="BZ254" s="522"/>
      <c r="CA254" s="522"/>
      <c r="CB254" s="522">
        <f t="shared" si="391"/>
        <v>0</v>
      </c>
      <c r="CC254" s="522">
        <f t="shared" si="336"/>
        <v>0</v>
      </c>
      <c r="CD254" s="522"/>
      <c r="CE254" s="522"/>
      <c r="CF254" s="522"/>
      <c r="CG254" s="522"/>
      <c r="CH254" s="522"/>
      <c r="CI254" s="522"/>
      <c r="CJ254" s="522"/>
      <c r="CK254" s="543" t="s">
        <v>77</v>
      </c>
      <c r="CL254" s="542" t="s">
        <v>1800</v>
      </c>
      <c r="CM254" s="528" t="s">
        <v>1959</v>
      </c>
      <c r="CN254" s="528"/>
      <c r="CO254" s="528"/>
      <c r="CP254" s="544">
        <f>U254*$CW$7/100</f>
        <v>0</v>
      </c>
      <c r="CQ254" s="544">
        <f>U254*$CW$8/100</f>
        <v>0</v>
      </c>
      <c r="CR254" s="544"/>
      <c r="CS254" s="1688" t="s">
        <v>1898</v>
      </c>
      <c r="CT254" s="1689"/>
      <c r="CU254" s="1689"/>
      <c r="CV254" s="1689"/>
      <c r="CW254" s="1690"/>
      <c r="CX254" s="528"/>
      <c r="CY254" s="528"/>
      <c r="CZ254" s="528"/>
      <c r="DA254" s="528"/>
      <c r="DB254" s="579"/>
      <c r="DC254" s="628" t="e">
        <f>P254-#REF!</f>
        <v>#REF!</v>
      </c>
      <c r="DD254" s="575"/>
      <c r="DE254" s="575"/>
      <c r="DF254" s="522">
        <f t="shared" si="350"/>
        <v>0</v>
      </c>
      <c r="DG254" s="522">
        <f t="shared" si="350"/>
        <v>0</v>
      </c>
      <c r="DH254" s="522">
        <f t="shared" si="350"/>
        <v>0</v>
      </c>
      <c r="DI254" s="522">
        <f t="shared" si="348"/>
        <v>0</v>
      </c>
      <c r="DJ254" s="536"/>
      <c r="DK254" s="536"/>
      <c r="DL254" s="536"/>
      <c r="DM254" s="536"/>
      <c r="DN254" s="536"/>
      <c r="DO254" s="536"/>
      <c r="DP254" s="536"/>
      <c r="DQ254" s="536"/>
      <c r="DR254" s="536"/>
      <c r="DS254" s="536"/>
    </row>
    <row r="255" spans="1:123" s="534" customFormat="1" ht="65.25" customHeight="1">
      <c r="A255" s="537" t="s">
        <v>968</v>
      </c>
      <c r="B255" s="538" t="s">
        <v>969</v>
      </c>
      <c r="C255" s="576">
        <v>151100</v>
      </c>
      <c r="D255" s="576">
        <v>844900.44</v>
      </c>
      <c r="E255" s="576">
        <v>200000</v>
      </c>
      <c r="F255" s="525">
        <v>0</v>
      </c>
      <c r="G255" s="596">
        <v>41535.6678436168</v>
      </c>
      <c r="H255" s="596">
        <v>0</v>
      </c>
      <c r="I255" s="522">
        <f t="shared" si="385"/>
        <v>200000</v>
      </c>
      <c r="J255" s="522">
        <v>0</v>
      </c>
      <c r="K255" s="522">
        <v>200000</v>
      </c>
      <c r="L255" s="522">
        <v>0</v>
      </c>
      <c r="M255" s="522">
        <f t="shared" si="386"/>
        <v>200000</v>
      </c>
      <c r="N255" s="522">
        <v>6909856.0300000003</v>
      </c>
      <c r="O255" s="522">
        <f t="shared" si="387"/>
        <v>290114.20999999996</v>
      </c>
      <c r="P255" s="522">
        <v>7199970.2400000002</v>
      </c>
      <c r="Q255" s="525">
        <f t="shared" si="313"/>
        <v>6999970.2400000002</v>
      </c>
      <c r="R255" s="525">
        <f t="shared" si="314"/>
        <v>3499.9851200000003</v>
      </c>
      <c r="S255" s="525"/>
      <c r="T255" s="525"/>
      <c r="U255" s="522">
        <f t="shared" si="388"/>
        <v>310000</v>
      </c>
      <c r="V255" s="522">
        <f t="shared" si="311"/>
        <v>310000</v>
      </c>
      <c r="W255" s="522">
        <v>0</v>
      </c>
      <c r="X255" s="522">
        <f t="shared" si="315"/>
        <v>-6889970.2400000002</v>
      </c>
      <c r="Y255" s="522">
        <f t="shared" si="316"/>
        <v>-95.694426648074597</v>
      </c>
      <c r="Z255" s="524">
        <f t="shared" si="317"/>
        <v>312681.43</v>
      </c>
      <c r="AA255" s="522">
        <f t="shared" si="318"/>
        <v>312681.43</v>
      </c>
      <c r="AB255" s="522">
        <v>0</v>
      </c>
      <c r="AC255" s="522">
        <f t="shared" si="319"/>
        <v>2681.429999999993</v>
      </c>
      <c r="AD255" s="522">
        <f t="shared" si="320"/>
        <v>0.86497741935482964</v>
      </c>
      <c r="AE255" s="522">
        <f t="shared" si="321"/>
        <v>-6887288.8100000005</v>
      </c>
      <c r="AF255" s="522">
        <f t="shared" si="322"/>
        <v>-95.657184410806678</v>
      </c>
      <c r="AG255" s="522">
        <f t="shared" si="337"/>
        <v>4709652.62</v>
      </c>
      <c r="AH255" s="522">
        <f t="shared" si="323"/>
        <v>4399652.62</v>
      </c>
      <c r="AI255" s="522">
        <f t="shared" si="324"/>
        <v>1419.2427806451612</v>
      </c>
      <c r="AJ255" s="522">
        <f t="shared" si="325"/>
        <v>4396971.1900000004</v>
      </c>
      <c r="AK255" s="522">
        <f>AG255/Z255*100-100</f>
        <v>1406.2143664879618</v>
      </c>
      <c r="AL255" s="522">
        <f t="shared" si="392"/>
        <v>4709652.62</v>
      </c>
      <c r="AM255" s="522">
        <f t="shared" si="342"/>
        <v>0</v>
      </c>
      <c r="AN255" s="522">
        <f t="shared" si="342"/>
        <v>2681.43</v>
      </c>
      <c r="AO255" s="522">
        <f t="shared" si="326"/>
        <v>2681.43</v>
      </c>
      <c r="AP255" s="522">
        <v>0</v>
      </c>
      <c r="AQ255" s="522">
        <v>0</v>
      </c>
      <c r="AR255" s="522">
        <v>2681.43</v>
      </c>
      <c r="AS255" s="522">
        <v>0</v>
      </c>
      <c r="AT255" s="522">
        <v>0</v>
      </c>
      <c r="AU255" s="522">
        <f t="shared" si="375"/>
        <v>310000</v>
      </c>
      <c r="AV255" s="522">
        <f t="shared" si="375"/>
        <v>310000</v>
      </c>
      <c r="AW255" s="522">
        <f t="shared" si="327"/>
        <v>0</v>
      </c>
      <c r="AX255" s="522">
        <f t="shared" si="328"/>
        <v>0</v>
      </c>
      <c r="AY255" s="522">
        <f t="shared" si="376"/>
        <v>4706971.1900000004</v>
      </c>
      <c r="AZ255" s="522">
        <f t="shared" si="329"/>
        <v>-4396971.1900000004</v>
      </c>
      <c r="BA255" s="522">
        <f t="shared" si="330"/>
        <v>-93.414023849166583</v>
      </c>
      <c r="BB255" s="522">
        <v>310000</v>
      </c>
      <c r="BC255" s="525">
        <f>'[67]Дир_по корп'!AT14</f>
        <v>310000</v>
      </c>
      <c r="BD255" s="525">
        <f t="shared" si="389"/>
        <v>0</v>
      </c>
      <c r="BE255" s="525">
        <f t="shared" si="331"/>
        <v>-310000</v>
      </c>
      <c r="BF255" s="525">
        <f t="shared" si="332"/>
        <v>-310000</v>
      </c>
      <c r="BG255" s="525">
        <f t="shared" si="312"/>
        <v>310000</v>
      </c>
      <c r="BH255" s="522">
        <f t="shared" si="312"/>
        <v>312681.43</v>
      </c>
      <c r="BI255" s="522">
        <v>2681.43</v>
      </c>
      <c r="BJ255" s="522">
        <f t="shared" si="333"/>
        <v>-307318.57</v>
      </c>
      <c r="BK255" s="522">
        <f t="shared" si="334"/>
        <v>-310000</v>
      </c>
      <c r="BL255" s="525">
        <v>0</v>
      </c>
      <c r="BM255" s="522">
        <f>'[67]Дир_по корп'!AW14</f>
        <v>0</v>
      </c>
      <c r="BN255" s="522">
        <f t="shared" si="390"/>
        <v>4706971.1900000004</v>
      </c>
      <c r="BO255" s="522">
        <f t="shared" si="339"/>
        <v>4706971.1900000004</v>
      </c>
      <c r="BP255" s="522">
        <f t="shared" si="335"/>
        <v>4706971.1900000004</v>
      </c>
      <c r="BQ255" s="525">
        <v>0</v>
      </c>
      <c r="BR255" s="522">
        <f>'[67]Дир_по корп'!BB14</f>
        <v>0</v>
      </c>
      <c r="BS255" s="522">
        <f>'[67]Дир_по корп'!BC14</f>
        <v>0</v>
      </c>
      <c r="BT255" s="536"/>
      <c r="BU255" s="522"/>
      <c r="BV255" s="522"/>
      <c r="BW255" s="524">
        <f>4576271.19+133381.43</f>
        <v>4709652.62</v>
      </c>
      <c r="BX255" s="629"/>
      <c r="BY255" s="522">
        <f>4433427.62+129188.23</f>
        <v>4562615.8500000006</v>
      </c>
      <c r="BZ255" s="522">
        <f>216.62+6736.25+81664.97+2381.63</f>
        <v>90999.47</v>
      </c>
      <c r="CA255" s="522">
        <f>54442.35+1594.95</f>
        <v>56037.299999999996</v>
      </c>
      <c r="CB255" s="522">
        <f t="shared" si="391"/>
        <v>4709652.62</v>
      </c>
      <c r="CC255" s="522">
        <f t="shared" si="336"/>
        <v>0</v>
      </c>
      <c r="CD255" s="522"/>
      <c r="CE255" s="522"/>
      <c r="CF255" s="522"/>
      <c r="CG255" s="522"/>
      <c r="CH255" s="522"/>
      <c r="CI255" s="522"/>
      <c r="CJ255" s="522"/>
      <c r="CK255" s="543" t="s">
        <v>80</v>
      </c>
      <c r="CL255" s="542" t="s">
        <v>1901</v>
      </c>
      <c r="CM255" s="528" t="s">
        <v>1959</v>
      </c>
      <c r="CN255" s="528"/>
      <c r="CO255" s="528"/>
      <c r="CP255" s="544">
        <f>U255*$CU$7/100</f>
        <v>286012.33958646382</v>
      </c>
      <c r="CQ255" s="544">
        <f>U255*$CU$8/100</f>
        <v>21008.539433487422</v>
      </c>
      <c r="CR255" s="544">
        <f>U255*$CU$9/100</f>
        <v>2979.1209800487504</v>
      </c>
      <c r="CS255" s="1688" t="s">
        <v>1826</v>
      </c>
      <c r="CT255" s="1689"/>
      <c r="CU255" s="1689"/>
      <c r="CV255" s="1689"/>
      <c r="CW255" s="1690"/>
      <c r="CX255" s="528"/>
      <c r="CY255" s="528"/>
      <c r="CZ255" s="528"/>
      <c r="DA255" s="528"/>
      <c r="DB255" s="579">
        <v>2681.43</v>
      </c>
      <c r="DC255" s="628" t="e">
        <f>P255-#REF!</f>
        <v>#REF!</v>
      </c>
      <c r="DD255" s="575"/>
      <c r="DE255" s="575"/>
      <c r="DF255" s="522">
        <f t="shared" si="350"/>
        <v>4562.6158500000001</v>
      </c>
      <c r="DG255" s="522">
        <f t="shared" si="350"/>
        <v>90.999470000000002</v>
      </c>
      <c r="DH255" s="522">
        <f t="shared" si="350"/>
        <v>56.037299999999995</v>
      </c>
      <c r="DI255" s="522">
        <f t="shared" si="348"/>
        <v>4709.6526199999998</v>
      </c>
      <c r="DJ255" s="536"/>
      <c r="DK255" s="536"/>
      <c r="DL255" s="536"/>
      <c r="DM255" s="536"/>
      <c r="DN255" s="536"/>
      <c r="DO255" s="536"/>
      <c r="DP255" s="536"/>
      <c r="DQ255" s="536"/>
      <c r="DR255" s="536"/>
      <c r="DS255" s="536"/>
    </row>
    <row r="256" spans="1:123" s="534" customFormat="1" ht="112.5" customHeight="1">
      <c r="A256" s="537" t="s">
        <v>1347</v>
      </c>
      <c r="B256" s="672" t="s">
        <v>1962</v>
      </c>
      <c r="C256" s="576"/>
      <c r="D256" s="576"/>
      <c r="E256" s="649">
        <v>0</v>
      </c>
      <c r="F256" s="649"/>
      <c r="G256" s="577">
        <v>0</v>
      </c>
      <c r="H256" s="577">
        <v>0</v>
      </c>
      <c r="I256" s="578">
        <f t="shared" si="385"/>
        <v>34250.49</v>
      </c>
      <c r="J256" s="578">
        <v>34250.49</v>
      </c>
      <c r="K256" s="578">
        <v>0</v>
      </c>
      <c r="L256" s="578">
        <v>0</v>
      </c>
      <c r="M256" s="578">
        <f t="shared" si="386"/>
        <v>34250.49</v>
      </c>
      <c r="N256" s="578">
        <v>121366.23</v>
      </c>
      <c r="O256" s="522">
        <f t="shared" si="387"/>
        <v>12518.030000000013</v>
      </c>
      <c r="P256" s="522">
        <v>133884.26</v>
      </c>
      <c r="Q256" s="576">
        <f t="shared" si="313"/>
        <v>99633.770000000019</v>
      </c>
      <c r="R256" s="576">
        <f t="shared" si="314"/>
        <v>290.89735650497266</v>
      </c>
      <c r="S256" s="576"/>
      <c r="T256" s="576"/>
      <c r="U256" s="522">
        <f t="shared" si="388"/>
        <v>0</v>
      </c>
      <c r="V256" s="522">
        <f t="shared" si="311"/>
        <v>0</v>
      </c>
      <c r="W256" s="522">
        <v>0</v>
      </c>
      <c r="X256" s="522">
        <f t="shared" si="315"/>
        <v>-133884.26</v>
      </c>
      <c r="Y256" s="522">
        <f t="shared" si="316"/>
        <v>-100</v>
      </c>
      <c r="Z256" s="524">
        <f t="shared" si="317"/>
        <v>9900000</v>
      </c>
      <c r="AA256" s="522">
        <f t="shared" si="318"/>
        <v>9900000</v>
      </c>
      <c r="AB256" s="522">
        <v>0</v>
      </c>
      <c r="AC256" s="522">
        <f t="shared" si="319"/>
        <v>9900000</v>
      </c>
      <c r="AD256" s="522">
        <v>0</v>
      </c>
      <c r="AE256" s="522">
        <f t="shared" si="321"/>
        <v>9766115.7400000002</v>
      </c>
      <c r="AF256" s="522">
        <f t="shared" si="322"/>
        <v>7294.4465167152575</v>
      </c>
      <c r="AG256" s="522">
        <f t="shared" si="337"/>
        <v>521291.58000000007</v>
      </c>
      <c r="AH256" s="522">
        <f t="shared" si="323"/>
        <v>521291.58000000007</v>
      </c>
      <c r="AI256" s="522">
        <v>0</v>
      </c>
      <c r="AJ256" s="522">
        <f t="shared" si="325"/>
        <v>-9378708.4199999999</v>
      </c>
      <c r="AK256" s="522">
        <f>AG256/Z256*100-100</f>
        <v>-94.734428484848479</v>
      </c>
      <c r="AL256" s="522">
        <f t="shared" si="392"/>
        <v>521291.58</v>
      </c>
      <c r="AM256" s="522">
        <f t="shared" si="342"/>
        <v>0</v>
      </c>
      <c r="AN256" s="522">
        <f t="shared" si="342"/>
        <v>4900000</v>
      </c>
      <c r="AO256" s="522">
        <f t="shared" si="326"/>
        <v>4900000</v>
      </c>
      <c r="AP256" s="522">
        <v>0</v>
      </c>
      <c r="AQ256" s="578">
        <v>0</v>
      </c>
      <c r="AR256" s="578">
        <v>0</v>
      </c>
      <c r="AS256" s="578">
        <v>0</v>
      </c>
      <c r="AT256" s="578">
        <v>4900000</v>
      </c>
      <c r="AU256" s="578">
        <f t="shared" si="375"/>
        <v>0</v>
      </c>
      <c r="AV256" s="578">
        <f t="shared" si="375"/>
        <v>5000000</v>
      </c>
      <c r="AW256" s="578">
        <f t="shared" si="327"/>
        <v>5000000</v>
      </c>
      <c r="AX256" s="578">
        <v>0</v>
      </c>
      <c r="AY256" s="578">
        <f t="shared" si="376"/>
        <v>-4378708.42</v>
      </c>
      <c r="AZ256" s="578">
        <f t="shared" si="329"/>
        <v>9378708.4199999999</v>
      </c>
      <c r="BA256" s="578">
        <v>0</v>
      </c>
      <c r="BB256" s="578">
        <v>0</v>
      </c>
      <c r="BC256" s="576">
        <f>'[67]Дир_ по кап.стр.'!AT10</f>
        <v>2500000</v>
      </c>
      <c r="BD256" s="576">
        <f t="shared" si="389"/>
        <v>3420000</v>
      </c>
      <c r="BE256" s="576">
        <f t="shared" si="331"/>
        <v>3420000</v>
      </c>
      <c r="BF256" s="576">
        <f t="shared" si="332"/>
        <v>920000</v>
      </c>
      <c r="BG256" s="576">
        <f t="shared" si="312"/>
        <v>0</v>
      </c>
      <c r="BH256" s="578">
        <f t="shared" si="312"/>
        <v>7400000</v>
      </c>
      <c r="BI256" s="578">
        <v>8320000</v>
      </c>
      <c r="BJ256" s="578">
        <f t="shared" si="333"/>
        <v>8320000</v>
      </c>
      <c r="BK256" s="578">
        <f t="shared" si="334"/>
        <v>920000</v>
      </c>
      <c r="BL256" s="576">
        <v>0</v>
      </c>
      <c r="BM256" s="578">
        <f>'[67]Дир_ по кап.стр.'!AW10</f>
        <v>2500000</v>
      </c>
      <c r="BN256" s="522">
        <f t="shared" si="390"/>
        <v>-7798708.4199999999</v>
      </c>
      <c r="BO256" s="578">
        <f t="shared" si="339"/>
        <v>-7798708.4199999999</v>
      </c>
      <c r="BP256" s="578">
        <f t="shared" si="335"/>
        <v>-10298708.42</v>
      </c>
      <c r="BQ256" s="576">
        <v>0</v>
      </c>
      <c r="BR256" s="578">
        <f>'[67]Дир_ по кап.стр.'!BB10</f>
        <v>0</v>
      </c>
      <c r="BS256" s="578">
        <f>'[67]Дир_ по кап.стр.'!BC10</f>
        <v>0</v>
      </c>
      <c r="BT256" s="536"/>
      <c r="BU256" s="578"/>
      <c r="BV256" s="578"/>
      <c r="BW256" s="586">
        <f>200000+321291.58</f>
        <v>521291.58</v>
      </c>
      <c r="BX256" s="629"/>
      <c r="BY256" s="522"/>
      <c r="BZ256" s="522">
        <f>200000+321291.58</f>
        <v>521291.58</v>
      </c>
      <c r="CA256" s="522"/>
      <c r="CB256" s="522">
        <f t="shared" si="391"/>
        <v>521291.58</v>
      </c>
      <c r="CC256" s="522">
        <f t="shared" si="336"/>
        <v>0</v>
      </c>
      <c r="CD256" s="578"/>
      <c r="CE256" s="578"/>
      <c r="CF256" s="578"/>
      <c r="CG256" s="578"/>
      <c r="CH256" s="578"/>
      <c r="CI256" s="578"/>
      <c r="CJ256" s="578"/>
      <c r="CK256" s="543" t="s">
        <v>1791</v>
      </c>
      <c r="CL256" s="542" t="s">
        <v>1792</v>
      </c>
      <c r="CM256" s="528" t="s">
        <v>1959</v>
      </c>
      <c r="CN256" s="528" t="s">
        <v>1849</v>
      </c>
      <c r="CO256" s="528"/>
      <c r="CP256" s="579"/>
      <c r="CQ256" s="579">
        <f>U256</f>
        <v>0</v>
      </c>
      <c r="CR256" s="579"/>
      <c r="CS256" s="1691"/>
      <c r="CT256" s="1692"/>
      <c r="CU256" s="1692"/>
      <c r="CV256" s="1692"/>
      <c r="CW256" s="1693"/>
      <c r="CX256" s="528"/>
      <c r="CY256" s="528"/>
      <c r="CZ256" s="528"/>
      <c r="DA256" s="528"/>
      <c r="DB256" s="660"/>
      <c r="DC256" s="628" t="e">
        <f>P256-#REF!</f>
        <v>#REF!</v>
      </c>
      <c r="DD256" s="575">
        <f>BI256+BI268</f>
        <v>14609862.059999999</v>
      </c>
      <c r="DE256" s="575"/>
      <c r="DF256" s="522">
        <f t="shared" si="350"/>
        <v>0</v>
      </c>
      <c r="DG256" s="522">
        <f t="shared" si="350"/>
        <v>521.29158000000007</v>
      </c>
      <c r="DH256" s="522">
        <f t="shared" si="350"/>
        <v>0</v>
      </c>
      <c r="DI256" s="522">
        <f t="shared" si="348"/>
        <v>521.29158000000007</v>
      </c>
      <c r="DJ256" s="536"/>
      <c r="DK256" s="536"/>
      <c r="DL256" s="536"/>
      <c r="DM256" s="536"/>
      <c r="DN256" s="536"/>
      <c r="DO256" s="536"/>
      <c r="DP256" s="536"/>
      <c r="DQ256" s="536"/>
      <c r="DR256" s="536"/>
      <c r="DS256" s="536"/>
    </row>
    <row r="257" spans="1:123" s="534" customFormat="1" ht="56.4">
      <c r="A257" s="537" t="s">
        <v>1352</v>
      </c>
      <c r="B257" s="538" t="s">
        <v>1353</v>
      </c>
      <c r="C257" s="576">
        <v>162512.20000000001</v>
      </c>
      <c r="D257" s="576"/>
      <c r="E257" s="576">
        <v>0</v>
      </c>
      <c r="F257" s="576">
        <v>1444368.87</v>
      </c>
      <c r="G257" s="577">
        <v>0</v>
      </c>
      <c r="H257" s="577">
        <v>0</v>
      </c>
      <c r="I257" s="578">
        <f t="shared" si="385"/>
        <v>2036961.57</v>
      </c>
      <c r="J257" s="578">
        <v>998431.59</v>
      </c>
      <c r="K257" s="578">
        <v>869265.01</v>
      </c>
      <c r="L257" s="578">
        <v>169264.97</v>
      </c>
      <c r="M257" s="578">
        <f t="shared" si="386"/>
        <v>1867696.6</v>
      </c>
      <c r="N257" s="578">
        <v>1747459.71</v>
      </c>
      <c r="O257" s="522">
        <f t="shared" si="387"/>
        <v>26437.520000000019</v>
      </c>
      <c r="P257" s="522">
        <v>1773897.23</v>
      </c>
      <c r="Q257" s="576">
        <f t="shared" si="313"/>
        <v>-263064.34000000008</v>
      </c>
      <c r="R257" s="576">
        <f t="shared" si="314"/>
        <v>-12.914546051057812</v>
      </c>
      <c r="S257" s="576"/>
      <c r="T257" s="576"/>
      <c r="U257" s="522">
        <f t="shared" si="388"/>
        <v>1120000</v>
      </c>
      <c r="V257" s="522">
        <f t="shared" si="311"/>
        <v>1120000</v>
      </c>
      <c r="W257" s="522">
        <v>0</v>
      </c>
      <c r="X257" s="522">
        <f t="shared" si="315"/>
        <v>-653897.23</v>
      </c>
      <c r="Y257" s="522">
        <f t="shared" si="316"/>
        <v>-36.862182258438949</v>
      </c>
      <c r="Z257" s="524">
        <f t="shared" si="317"/>
        <v>2115517.7400000002</v>
      </c>
      <c r="AA257" s="522">
        <f t="shared" si="318"/>
        <v>2115517.7400000002</v>
      </c>
      <c r="AB257" s="522">
        <v>0</v>
      </c>
      <c r="AC257" s="522">
        <f t="shared" si="319"/>
        <v>995517.74000000022</v>
      </c>
      <c r="AD257" s="522">
        <f t="shared" si="320"/>
        <v>88.885512500000033</v>
      </c>
      <c r="AE257" s="522">
        <f t="shared" si="321"/>
        <v>341620.51000000024</v>
      </c>
      <c r="AF257" s="522">
        <f t="shared" si="322"/>
        <v>19.258190622463516</v>
      </c>
      <c r="AG257" s="522">
        <f t="shared" si="337"/>
        <v>630570.4</v>
      </c>
      <c r="AH257" s="522">
        <f t="shared" si="323"/>
        <v>-489429.6</v>
      </c>
      <c r="AI257" s="522">
        <f t="shared" si="324"/>
        <v>-43.699071428571422</v>
      </c>
      <c r="AJ257" s="522">
        <f t="shared" si="325"/>
        <v>-1484947.3400000003</v>
      </c>
      <c r="AK257" s="522">
        <f>AG257/Z257*100-100</f>
        <v>-70.19309325196204</v>
      </c>
      <c r="AL257" s="522">
        <f t="shared" si="392"/>
        <v>630570.4</v>
      </c>
      <c r="AM257" s="522">
        <f t="shared" si="342"/>
        <v>120000</v>
      </c>
      <c r="AN257" s="522">
        <f t="shared" si="342"/>
        <v>370517.74</v>
      </c>
      <c r="AO257" s="522">
        <f t="shared" si="326"/>
        <v>250517.74</v>
      </c>
      <c r="AP257" s="522">
        <f t="shared" si="338"/>
        <v>208.7647833333333</v>
      </c>
      <c r="AQ257" s="578">
        <v>60000</v>
      </c>
      <c r="AR257" s="578">
        <v>73421.06</v>
      </c>
      <c r="AS257" s="578">
        <v>60000</v>
      </c>
      <c r="AT257" s="578">
        <v>297096.68</v>
      </c>
      <c r="AU257" s="578">
        <f t="shared" si="375"/>
        <v>1000000.0000000001</v>
      </c>
      <c r="AV257" s="578">
        <f t="shared" si="375"/>
        <v>1745000</v>
      </c>
      <c r="AW257" s="578">
        <f t="shared" si="327"/>
        <v>744999.99999999988</v>
      </c>
      <c r="AX257" s="578">
        <f t="shared" si="328"/>
        <v>74.5</v>
      </c>
      <c r="AY257" s="578">
        <f t="shared" si="376"/>
        <v>260052.66000000003</v>
      </c>
      <c r="AZ257" s="578">
        <f t="shared" si="329"/>
        <v>1484947.3399999999</v>
      </c>
      <c r="BA257" s="578">
        <f t="shared" si="330"/>
        <v>571.01793921277317</v>
      </c>
      <c r="BB257" s="578">
        <f>2391771.6-1500000-391771.6</f>
        <v>500000.00000000012</v>
      </c>
      <c r="BC257" s="576">
        <f>'[67]Дир_по корп'!AT31</f>
        <v>500000</v>
      </c>
      <c r="BD257" s="576">
        <f t="shared" si="389"/>
        <v>85833.19</v>
      </c>
      <c r="BE257" s="576">
        <f t="shared" si="331"/>
        <v>-414166.81000000011</v>
      </c>
      <c r="BF257" s="576">
        <f t="shared" si="332"/>
        <v>-414166.81</v>
      </c>
      <c r="BG257" s="576">
        <f t="shared" si="312"/>
        <v>620000.00000000012</v>
      </c>
      <c r="BH257" s="578">
        <f t="shared" si="312"/>
        <v>870517.74</v>
      </c>
      <c r="BI257" s="578">
        <v>456350.93</v>
      </c>
      <c r="BJ257" s="578">
        <f t="shared" si="333"/>
        <v>-163649.07000000012</v>
      </c>
      <c r="BK257" s="578">
        <f t="shared" si="334"/>
        <v>-414166.81</v>
      </c>
      <c r="BL257" s="576">
        <f>2391771.6-1891771.6</f>
        <v>500000</v>
      </c>
      <c r="BM257" s="578">
        <f>'[67]Дир_по корп'!AW31</f>
        <v>1245000</v>
      </c>
      <c r="BN257" s="522">
        <f t="shared" si="390"/>
        <v>174219.47000000003</v>
      </c>
      <c r="BO257" s="578">
        <f t="shared" si="339"/>
        <v>-325780.52999999997</v>
      </c>
      <c r="BP257" s="578">
        <f t="shared" si="335"/>
        <v>-1070780.53</v>
      </c>
      <c r="BQ257" s="576">
        <f>2391771.6-1891771.6</f>
        <v>500000</v>
      </c>
      <c r="BR257" s="578">
        <f>'[67]Дир_по корп'!BB31</f>
        <v>0</v>
      </c>
      <c r="BS257" s="578">
        <f>'[67]Дир_по корп'!BC31</f>
        <v>0</v>
      </c>
      <c r="BT257" s="536"/>
      <c r="BU257" s="578"/>
      <c r="BV257" s="578"/>
      <c r="BW257" s="586">
        <f>472122.88+158447.52</f>
        <v>630570.4</v>
      </c>
      <c r="BX257" s="629"/>
      <c r="BY257" s="522">
        <v>479428.66</v>
      </c>
      <c r="BZ257" s="522">
        <f>1181.57+430.12+3549.57+405.47</f>
        <v>5566.7300000000005</v>
      </c>
      <c r="CA257" s="522">
        <f>145323.36+251.65</f>
        <v>145575.00999999998</v>
      </c>
      <c r="CB257" s="522">
        <f t="shared" si="391"/>
        <v>630570.39999999991</v>
      </c>
      <c r="CC257" s="522">
        <f t="shared" si="336"/>
        <v>0</v>
      </c>
      <c r="CD257" s="578"/>
      <c r="CE257" s="578"/>
      <c r="CF257" s="578"/>
      <c r="CG257" s="578"/>
      <c r="CH257" s="578"/>
      <c r="CI257" s="578"/>
      <c r="CJ257" s="578"/>
      <c r="CK257" s="543" t="s">
        <v>80</v>
      </c>
      <c r="CL257" s="543" t="s">
        <v>1936</v>
      </c>
      <c r="CM257" s="528" t="s">
        <v>1959</v>
      </c>
      <c r="CN257" s="528"/>
      <c r="CO257" s="528"/>
      <c r="CP257" s="544">
        <f t="shared" ref="CP257:CP273" si="394">U257*$CU$7/100</f>
        <v>1033334.9043123855</v>
      </c>
      <c r="CQ257" s="544">
        <f t="shared" ref="CQ257:CQ273" si="395">U257*$CU$8/100</f>
        <v>75901.819888728758</v>
      </c>
      <c r="CR257" s="544">
        <f t="shared" ref="CR257:CR273" si="396">U257*$CU$9/100</f>
        <v>10763.275798885808</v>
      </c>
      <c r="CS257" s="1688" t="s">
        <v>1826</v>
      </c>
      <c r="CT257" s="1689"/>
      <c r="CU257" s="1689"/>
      <c r="CV257" s="1689"/>
      <c r="CW257" s="1690"/>
      <c r="CX257" s="673"/>
      <c r="CY257" s="673"/>
      <c r="CZ257" s="673"/>
      <c r="DA257" s="673"/>
      <c r="DB257" s="579">
        <f>19159.3+54261.76</f>
        <v>73421.06</v>
      </c>
      <c r="DC257" s="628" t="e">
        <f>P257-#REF!</f>
        <v>#REF!</v>
      </c>
      <c r="DD257" s="575"/>
      <c r="DE257" s="575"/>
      <c r="DF257" s="522">
        <f t="shared" si="350"/>
        <v>479.42865999999998</v>
      </c>
      <c r="DG257" s="522">
        <f t="shared" si="350"/>
        <v>5.5667300000000006</v>
      </c>
      <c r="DH257" s="522">
        <f t="shared" si="350"/>
        <v>145.57500999999999</v>
      </c>
      <c r="DI257" s="522">
        <f t="shared" si="348"/>
        <v>630.57039999999995</v>
      </c>
      <c r="DJ257" s="536"/>
      <c r="DK257" s="536"/>
      <c r="DL257" s="536"/>
      <c r="DM257" s="536"/>
      <c r="DN257" s="536"/>
      <c r="DO257" s="536"/>
      <c r="DP257" s="536"/>
      <c r="DQ257" s="536"/>
      <c r="DR257" s="536"/>
      <c r="DS257" s="536"/>
    </row>
    <row r="258" spans="1:123" s="534" customFormat="1" ht="36.75" customHeight="1">
      <c r="A258" s="537" t="s">
        <v>1356</v>
      </c>
      <c r="B258" s="538" t="s">
        <v>1357</v>
      </c>
      <c r="C258" s="576">
        <v>12290432.880000001</v>
      </c>
      <c r="D258" s="576"/>
      <c r="E258" s="576">
        <v>11180637.6</v>
      </c>
      <c r="F258" s="576">
        <v>72754995.540000007</v>
      </c>
      <c r="G258" s="577">
        <v>0</v>
      </c>
      <c r="H258" s="577">
        <v>0</v>
      </c>
      <c r="I258" s="578">
        <f t="shared" si="385"/>
        <v>50442064.109999999</v>
      </c>
      <c r="J258" s="578">
        <v>15913451.65</v>
      </c>
      <c r="K258" s="578">
        <v>22764306.23</v>
      </c>
      <c r="L258" s="578">
        <v>11764306.23</v>
      </c>
      <c r="M258" s="578">
        <f t="shared" si="386"/>
        <v>38677757.880000003</v>
      </c>
      <c r="N258" s="578">
        <v>56483566.700000003</v>
      </c>
      <c r="O258" s="522">
        <f t="shared" si="387"/>
        <v>26870405.590000004</v>
      </c>
      <c r="P258" s="522">
        <v>83353972.290000007</v>
      </c>
      <c r="Q258" s="576">
        <f t="shared" si="313"/>
        <v>32911908.180000007</v>
      </c>
      <c r="R258" s="576">
        <f t="shared" si="314"/>
        <v>65.246949665319733</v>
      </c>
      <c r="S258" s="576"/>
      <c r="T258" s="576"/>
      <c r="U258" s="522">
        <f t="shared" si="388"/>
        <v>40000000</v>
      </c>
      <c r="V258" s="522">
        <f t="shared" si="311"/>
        <v>40000000</v>
      </c>
      <c r="W258" s="522">
        <v>0</v>
      </c>
      <c r="X258" s="522">
        <f t="shared" si="315"/>
        <v>-43353972.290000007</v>
      </c>
      <c r="Y258" s="522">
        <f t="shared" si="316"/>
        <v>-52.011885095488353</v>
      </c>
      <c r="Z258" s="524">
        <f t="shared" si="317"/>
        <v>123725878.47</v>
      </c>
      <c r="AA258" s="522">
        <f t="shared" si="318"/>
        <v>123725878.47</v>
      </c>
      <c r="AB258" s="522">
        <v>0</v>
      </c>
      <c r="AC258" s="522">
        <f t="shared" si="319"/>
        <v>83725878.469999999</v>
      </c>
      <c r="AD258" s="522">
        <f t="shared" si="320"/>
        <v>209.31469617499999</v>
      </c>
      <c r="AE258" s="522">
        <f t="shared" si="321"/>
        <v>40371906.179999992</v>
      </c>
      <c r="AF258" s="522">
        <f t="shared" si="322"/>
        <v>48.434291817000087</v>
      </c>
      <c r="AG258" s="522">
        <f t="shared" si="337"/>
        <v>178921961.57999998</v>
      </c>
      <c r="AH258" s="522">
        <f t="shared" si="323"/>
        <v>138921961.57999998</v>
      </c>
      <c r="AI258" s="522">
        <f t="shared" si="324"/>
        <v>347.30490394999993</v>
      </c>
      <c r="AJ258" s="522">
        <f t="shared" si="325"/>
        <v>55196083.109999985</v>
      </c>
      <c r="AK258" s="522">
        <f>AG258/Z258*100-100</f>
        <v>44.611591198670254</v>
      </c>
      <c r="AL258" s="522">
        <f t="shared" si="392"/>
        <v>178921961.57999998</v>
      </c>
      <c r="AM258" s="522">
        <f t="shared" si="342"/>
        <v>10000000</v>
      </c>
      <c r="AN258" s="522">
        <f t="shared" si="342"/>
        <v>83725878.469999999</v>
      </c>
      <c r="AO258" s="522">
        <f t="shared" si="326"/>
        <v>73725878.469999999</v>
      </c>
      <c r="AP258" s="522">
        <f t="shared" si="338"/>
        <v>737.25878469999998</v>
      </c>
      <c r="AQ258" s="578">
        <v>0</v>
      </c>
      <c r="AR258" s="578">
        <v>40305348.079999998</v>
      </c>
      <c r="AS258" s="578">
        <v>10000000</v>
      </c>
      <c r="AT258" s="578">
        <v>43420530.390000001</v>
      </c>
      <c r="AU258" s="578">
        <f t="shared" si="375"/>
        <v>30000000</v>
      </c>
      <c r="AV258" s="578">
        <f t="shared" si="375"/>
        <v>40000000</v>
      </c>
      <c r="AW258" s="578">
        <f t="shared" si="327"/>
        <v>10000000</v>
      </c>
      <c r="AX258" s="578">
        <f t="shared" si="328"/>
        <v>33.333333333333314</v>
      </c>
      <c r="AY258" s="578">
        <f t="shared" si="376"/>
        <v>95196083.109999985</v>
      </c>
      <c r="AZ258" s="578">
        <f t="shared" si="329"/>
        <v>-55196083.109999985</v>
      </c>
      <c r="BA258" s="578">
        <v>0</v>
      </c>
      <c r="BB258" s="578">
        <v>20000000</v>
      </c>
      <c r="BC258" s="576">
        <f>'[67]Дир_по экон'!AT32</f>
        <v>20000000</v>
      </c>
      <c r="BD258" s="576">
        <f t="shared" si="389"/>
        <v>53944282.050000012</v>
      </c>
      <c r="BE258" s="576">
        <f t="shared" si="331"/>
        <v>33944282.050000012</v>
      </c>
      <c r="BF258" s="576">
        <f t="shared" si="332"/>
        <v>33944282.050000012</v>
      </c>
      <c r="BG258" s="576">
        <f t="shared" si="312"/>
        <v>30000000</v>
      </c>
      <c r="BH258" s="578">
        <f t="shared" si="312"/>
        <v>103725878.47</v>
      </c>
      <c r="BI258" s="578">
        <v>137670160.52000001</v>
      </c>
      <c r="BJ258" s="578">
        <f t="shared" si="333"/>
        <v>107670160.52000001</v>
      </c>
      <c r="BK258" s="578">
        <f t="shared" si="334"/>
        <v>33944282.050000012</v>
      </c>
      <c r="BL258" s="576">
        <v>10000000</v>
      </c>
      <c r="BM258" s="578">
        <f>'[67]Дир_по экон'!AW32</f>
        <v>20000000</v>
      </c>
      <c r="BN258" s="522">
        <f t="shared" si="390"/>
        <v>41251801.059999973</v>
      </c>
      <c r="BO258" s="578">
        <f t="shared" si="339"/>
        <v>31251801.059999973</v>
      </c>
      <c r="BP258" s="578">
        <f t="shared" si="335"/>
        <v>21251801.059999973</v>
      </c>
      <c r="BQ258" s="576">
        <v>10000000</v>
      </c>
      <c r="BR258" s="578">
        <f>'[67]Дир_по экон'!BB32</f>
        <v>0</v>
      </c>
      <c r="BS258" s="578">
        <f>'[67]Дир_по экон'!BC32</f>
        <v>0</v>
      </c>
      <c r="BT258" s="536"/>
      <c r="BU258" s="578"/>
      <c r="BV258" s="578"/>
      <c r="BW258" s="586">
        <f>1898163.83+49215204.24+30221392.55+97587200.96</f>
        <v>178921961.57999998</v>
      </c>
      <c r="BX258" s="574"/>
      <c r="BY258" s="522">
        <v>147919487.78999999</v>
      </c>
      <c r="BZ258" s="522">
        <f>3303.29+47.75+3917.72+1001620.04+26496331.24+466.1+3457.21</f>
        <v>27509143.350000001</v>
      </c>
      <c r="CA258" s="522">
        <f>28677.4+875132.69-133486.36+1546015.92-235832.95+1666245.85-253422.11</f>
        <v>3493330.44</v>
      </c>
      <c r="CB258" s="522">
        <f t="shared" si="391"/>
        <v>178921961.57999998</v>
      </c>
      <c r="CC258" s="522">
        <f t="shared" si="336"/>
        <v>0</v>
      </c>
      <c r="CD258" s="578"/>
      <c r="CE258" s="578"/>
      <c r="CF258" s="578"/>
      <c r="CG258" s="578"/>
      <c r="CH258" s="578"/>
      <c r="CI258" s="578"/>
      <c r="CJ258" s="578"/>
      <c r="CK258" s="543" t="s">
        <v>77</v>
      </c>
      <c r="CL258" s="542" t="s">
        <v>1800</v>
      </c>
      <c r="CM258" s="528" t="s">
        <v>1959</v>
      </c>
      <c r="CN258" s="528"/>
      <c r="CO258" s="528"/>
      <c r="CP258" s="544">
        <f t="shared" si="394"/>
        <v>36904818.011156626</v>
      </c>
      <c r="CQ258" s="544">
        <f t="shared" si="395"/>
        <v>2710779.2817403125</v>
      </c>
      <c r="CR258" s="544">
        <f t="shared" si="396"/>
        <v>384402.70710306457</v>
      </c>
      <c r="CS258" s="1688" t="s">
        <v>1826</v>
      </c>
      <c r="CT258" s="1689"/>
      <c r="CU258" s="1689"/>
      <c r="CV258" s="1689"/>
      <c r="CW258" s="1690"/>
      <c r="CX258" s="673"/>
      <c r="CY258" s="673"/>
      <c r="CZ258" s="673"/>
      <c r="DA258" s="673"/>
      <c r="DB258" s="579">
        <f>421240.4+30618366.59+4145323.51+5120417.58</f>
        <v>40305348.079999998</v>
      </c>
      <c r="DC258" s="628" t="e">
        <f>P258-#REF!</f>
        <v>#REF!</v>
      </c>
      <c r="DD258" s="575"/>
      <c r="DE258" s="575"/>
      <c r="DF258" s="522">
        <f t="shared" si="350"/>
        <v>147919.48778999998</v>
      </c>
      <c r="DG258" s="522">
        <f t="shared" si="350"/>
        <v>27509.143350000002</v>
      </c>
      <c r="DH258" s="522">
        <f t="shared" si="350"/>
        <v>3493.3304399999997</v>
      </c>
      <c r="DI258" s="522">
        <f t="shared" si="348"/>
        <v>178921.96157999997</v>
      </c>
      <c r="DJ258" s="536"/>
      <c r="DK258" s="536"/>
      <c r="DL258" s="536"/>
      <c r="DM258" s="536"/>
      <c r="DN258" s="536"/>
      <c r="DO258" s="536"/>
      <c r="DP258" s="536"/>
      <c r="DQ258" s="536"/>
      <c r="DR258" s="536"/>
      <c r="DS258" s="536"/>
    </row>
    <row r="259" spans="1:123" s="534" customFormat="1" ht="68.25" customHeight="1">
      <c r="A259" s="537" t="s">
        <v>1361</v>
      </c>
      <c r="B259" s="538" t="s">
        <v>1362</v>
      </c>
      <c r="C259" s="576">
        <v>62900</v>
      </c>
      <c r="D259" s="576"/>
      <c r="E259" s="576">
        <v>0</v>
      </c>
      <c r="F259" s="576">
        <v>630914.16</v>
      </c>
      <c r="G259" s="577">
        <v>0</v>
      </c>
      <c r="H259" s="577">
        <v>0</v>
      </c>
      <c r="I259" s="578">
        <f t="shared" si="385"/>
        <v>3946.38</v>
      </c>
      <c r="J259" s="578">
        <v>3946.38</v>
      </c>
      <c r="K259" s="578">
        <v>0</v>
      </c>
      <c r="L259" s="578">
        <v>0</v>
      </c>
      <c r="M259" s="578">
        <f t="shared" si="386"/>
        <v>3946.38</v>
      </c>
      <c r="N259" s="578">
        <v>4546.38</v>
      </c>
      <c r="O259" s="522">
        <f t="shared" si="387"/>
        <v>104709.18</v>
      </c>
      <c r="P259" s="522">
        <v>109255.56</v>
      </c>
      <c r="Q259" s="576">
        <f t="shared" si="313"/>
        <v>105309.18</v>
      </c>
      <c r="R259" s="576">
        <f t="shared" si="314"/>
        <v>2668.500752588448</v>
      </c>
      <c r="S259" s="576"/>
      <c r="T259" s="576"/>
      <c r="U259" s="522">
        <f t="shared" si="388"/>
        <v>0</v>
      </c>
      <c r="V259" s="522">
        <f t="shared" si="311"/>
        <v>0</v>
      </c>
      <c r="W259" s="522">
        <v>0</v>
      </c>
      <c r="X259" s="522">
        <f t="shared" si="315"/>
        <v>-109255.56</v>
      </c>
      <c r="Y259" s="522">
        <f t="shared" si="316"/>
        <v>-100</v>
      </c>
      <c r="Z259" s="524">
        <f t="shared" si="317"/>
        <v>33510</v>
      </c>
      <c r="AA259" s="522">
        <f t="shared" si="318"/>
        <v>33510</v>
      </c>
      <c r="AB259" s="522">
        <v>0</v>
      </c>
      <c r="AC259" s="522">
        <f t="shared" si="319"/>
        <v>33510</v>
      </c>
      <c r="AD259" s="522">
        <v>0</v>
      </c>
      <c r="AE259" s="522">
        <f t="shared" si="321"/>
        <v>-75745.56</v>
      </c>
      <c r="AF259" s="522">
        <f t="shared" si="322"/>
        <v>-69.328792054152672</v>
      </c>
      <c r="AG259" s="522">
        <f t="shared" si="337"/>
        <v>33510</v>
      </c>
      <c r="AH259" s="522">
        <f t="shared" si="323"/>
        <v>33510</v>
      </c>
      <c r="AI259" s="522">
        <v>0</v>
      </c>
      <c r="AJ259" s="522">
        <f t="shared" si="325"/>
        <v>0</v>
      </c>
      <c r="AK259" s="522">
        <f>AG259/Z259*100-100</f>
        <v>0</v>
      </c>
      <c r="AL259" s="522">
        <f t="shared" si="392"/>
        <v>33510</v>
      </c>
      <c r="AM259" s="522">
        <f t="shared" si="342"/>
        <v>0</v>
      </c>
      <c r="AN259" s="522">
        <f t="shared" si="342"/>
        <v>33510</v>
      </c>
      <c r="AO259" s="522">
        <f t="shared" si="326"/>
        <v>33510</v>
      </c>
      <c r="AP259" s="522">
        <v>0</v>
      </c>
      <c r="AQ259" s="578">
        <v>0</v>
      </c>
      <c r="AR259" s="578">
        <v>0</v>
      </c>
      <c r="AS259" s="578">
        <v>0</v>
      </c>
      <c r="AT259" s="578">
        <v>33510</v>
      </c>
      <c r="AU259" s="578">
        <f t="shared" si="375"/>
        <v>0</v>
      </c>
      <c r="AV259" s="578">
        <f t="shared" si="375"/>
        <v>0</v>
      </c>
      <c r="AW259" s="578">
        <f t="shared" si="327"/>
        <v>0</v>
      </c>
      <c r="AX259" s="578">
        <v>0</v>
      </c>
      <c r="AY259" s="578">
        <f t="shared" si="376"/>
        <v>0</v>
      </c>
      <c r="AZ259" s="578">
        <f t="shared" si="329"/>
        <v>0</v>
      </c>
      <c r="BA259" s="578">
        <v>0</v>
      </c>
      <c r="BB259" s="578">
        <v>0</v>
      </c>
      <c r="BC259" s="576">
        <f>'[67]Дир_по экон'!AT33</f>
        <v>0</v>
      </c>
      <c r="BD259" s="576">
        <f t="shared" si="389"/>
        <v>0</v>
      </c>
      <c r="BE259" s="576">
        <f t="shared" si="331"/>
        <v>0</v>
      </c>
      <c r="BF259" s="576">
        <f t="shared" si="332"/>
        <v>0</v>
      </c>
      <c r="BG259" s="576">
        <f t="shared" si="312"/>
        <v>0</v>
      </c>
      <c r="BH259" s="578">
        <f t="shared" si="312"/>
        <v>33510</v>
      </c>
      <c r="BI259" s="578">
        <v>33510</v>
      </c>
      <c r="BJ259" s="578">
        <f t="shared" si="333"/>
        <v>33510</v>
      </c>
      <c r="BK259" s="578">
        <f t="shared" si="334"/>
        <v>0</v>
      </c>
      <c r="BL259" s="576">
        <v>0</v>
      </c>
      <c r="BM259" s="578">
        <f>'[67]Дир_по экон'!AW33</f>
        <v>0</v>
      </c>
      <c r="BN259" s="522">
        <f t="shared" si="390"/>
        <v>0</v>
      </c>
      <c r="BO259" s="578">
        <f t="shared" si="339"/>
        <v>0</v>
      </c>
      <c r="BP259" s="578">
        <f t="shared" si="335"/>
        <v>0</v>
      </c>
      <c r="BQ259" s="576">
        <v>0</v>
      </c>
      <c r="BR259" s="578">
        <f>'[67]Дир_по экон'!BB33</f>
        <v>0</v>
      </c>
      <c r="BS259" s="578">
        <f>'[67]Дир_по экон'!BC33</f>
        <v>0</v>
      </c>
      <c r="BT259" s="536"/>
      <c r="BU259" s="578"/>
      <c r="BV259" s="578"/>
      <c r="BW259" s="586">
        <v>33510</v>
      </c>
      <c r="BX259" s="574"/>
      <c r="BY259" s="522">
        <v>28741.4</v>
      </c>
      <c r="BZ259" s="522">
        <f>259.16+4169.3</f>
        <v>4428.46</v>
      </c>
      <c r="CA259" s="522">
        <v>340.14</v>
      </c>
      <c r="CB259" s="522">
        <f t="shared" si="391"/>
        <v>33510</v>
      </c>
      <c r="CC259" s="522">
        <f t="shared" si="336"/>
        <v>0</v>
      </c>
      <c r="CD259" s="578"/>
      <c r="CE259" s="578"/>
      <c r="CF259" s="578"/>
      <c r="CG259" s="578"/>
      <c r="CH259" s="578"/>
      <c r="CI259" s="578"/>
      <c r="CJ259" s="578"/>
      <c r="CK259" s="543" t="s">
        <v>77</v>
      </c>
      <c r="CL259" s="542" t="s">
        <v>1800</v>
      </c>
      <c r="CM259" s="528" t="s">
        <v>1959</v>
      </c>
      <c r="CN259" s="528"/>
      <c r="CO259" s="528"/>
      <c r="CP259" s="544">
        <f t="shared" si="394"/>
        <v>0</v>
      </c>
      <c r="CQ259" s="544">
        <f t="shared" si="395"/>
        <v>0</v>
      </c>
      <c r="CR259" s="544">
        <f t="shared" si="396"/>
        <v>0</v>
      </c>
      <c r="CS259" s="1688" t="s">
        <v>1826</v>
      </c>
      <c r="CT259" s="1689"/>
      <c r="CU259" s="1689"/>
      <c r="CV259" s="1689"/>
      <c r="CW259" s="1690"/>
      <c r="CX259" s="528"/>
      <c r="CY259" s="528"/>
      <c r="CZ259" s="528"/>
      <c r="DA259" s="528"/>
      <c r="DB259" s="579"/>
      <c r="DC259" s="628" t="e">
        <f>P259-#REF!</f>
        <v>#REF!</v>
      </c>
      <c r="DD259" s="575"/>
      <c r="DE259" s="575"/>
      <c r="DF259" s="522">
        <f t="shared" si="350"/>
        <v>28.741400000000002</v>
      </c>
      <c r="DG259" s="522">
        <f t="shared" si="350"/>
        <v>4.4284600000000003</v>
      </c>
      <c r="DH259" s="522">
        <f t="shared" si="350"/>
        <v>0.34014</v>
      </c>
      <c r="DI259" s="522">
        <f t="shared" si="348"/>
        <v>33.51</v>
      </c>
      <c r="DJ259" s="536"/>
      <c r="DK259" s="536"/>
      <c r="DL259" s="536"/>
      <c r="DM259" s="536"/>
      <c r="DN259" s="536"/>
      <c r="DO259" s="536"/>
      <c r="DP259" s="536"/>
      <c r="DQ259" s="536"/>
      <c r="DR259" s="536"/>
      <c r="DS259" s="536"/>
    </row>
    <row r="260" spans="1:123" s="534" customFormat="1" ht="39.75" customHeight="1">
      <c r="A260" s="537" t="s">
        <v>1366</v>
      </c>
      <c r="B260" s="538" t="s">
        <v>1367</v>
      </c>
      <c r="C260" s="576">
        <v>6953.76</v>
      </c>
      <c r="D260" s="576"/>
      <c r="E260" s="576">
        <v>0</v>
      </c>
      <c r="F260" s="576"/>
      <c r="G260" s="577">
        <v>0</v>
      </c>
      <c r="H260" s="577">
        <v>0</v>
      </c>
      <c r="I260" s="578">
        <f t="shared" si="385"/>
        <v>0</v>
      </c>
      <c r="J260" s="578">
        <v>0</v>
      </c>
      <c r="K260" s="578">
        <v>0</v>
      </c>
      <c r="L260" s="578">
        <v>0</v>
      </c>
      <c r="M260" s="578">
        <f t="shared" si="386"/>
        <v>0</v>
      </c>
      <c r="N260" s="578"/>
      <c r="O260" s="522">
        <f t="shared" si="387"/>
        <v>0</v>
      </c>
      <c r="P260" s="522">
        <v>0</v>
      </c>
      <c r="Q260" s="576">
        <f t="shared" si="313"/>
        <v>0</v>
      </c>
      <c r="R260" s="576">
        <v>0</v>
      </c>
      <c r="S260" s="576"/>
      <c r="T260" s="576"/>
      <c r="U260" s="522">
        <f t="shared" si="388"/>
        <v>0</v>
      </c>
      <c r="V260" s="522">
        <f t="shared" si="311"/>
        <v>0</v>
      </c>
      <c r="W260" s="522">
        <v>0</v>
      </c>
      <c r="X260" s="522">
        <f t="shared" si="315"/>
        <v>0</v>
      </c>
      <c r="Y260" s="522">
        <v>0</v>
      </c>
      <c r="Z260" s="524">
        <f t="shared" si="317"/>
        <v>0</v>
      </c>
      <c r="AA260" s="522">
        <f t="shared" si="318"/>
        <v>0</v>
      </c>
      <c r="AB260" s="522">
        <v>0</v>
      </c>
      <c r="AC260" s="522">
        <f t="shared" si="319"/>
        <v>0</v>
      </c>
      <c r="AD260" s="522">
        <v>0</v>
      </c>
      <c r="AE260" s="522">
        <f t="shared" si="321"/>
        <v>0</v>
      </c>
      <c r="AF260" s="522">
        <v>0</v>
      </c>
      <c r="AG260" s="522">
        <f t="shared" si="337"/>
        <v>0</v>
      </c>
      <c r="AH260" s="522">
        <f t="shared" si="323"/>
        <v>0</v>
      </c>
      <c r="AI260" s="522">
        <v>0</v>
      </c>
      <c r="AJ260" s="522">
        <f t="shared" si="325"/>
        <v>0</v>
      </c>
      <c r="AK260" s="522">
        <v>0</v>
      </c>
      <c r="AL260" s="522">
        <f t="shared" si="392"/>
        <v>0</v>
      </c>
      <c r="AM260" s="522">
        <f t="shared" si="342"/>
        <v>0</v>
      </c>
      <c r="AN260" s="522">
        <f t="shared" si="342"/>
        <v>0</v>
      </c>
      <c r="AO260" s="522">
        <f t="shared" si="326"/>
        <v>0</v>
      </c>
      <c r="AP260" s="522">
        <v>0</v>
      </c>
      <c r="AQ260" s="578">
        <v>0</v>
      </c>
      <c r="AR260" s="578">
        <v>0</v>
      </c>
      <c r="AS260" s="578">
        <v>0</v>
      </c>
      <c r="AT260" s="578">
        <v>0</v>
      </c>
      <c r="AU260" s="578">
        <f t="shared" si="375"/>
        <v>0</v>
      </c>
      <c r="AV260" s="578">
        <f t="shared" si="375"/>
        <v>0</v>
      </c>
      <c r="AW260" s="578">
        <f t="shared" si="327"/>
        <v>0</v>
      </c>
      <c r="AX260" s="578">
        <v>0</v>
      </c>
      <c r="AY260" s="578">
        <f t="shared" si="376"/>
        <v>0</v>
      </c>
      <c r="AZ260" s="578">
        <f t="shared" si="329"/>
        <v>0</v>
      </c>
      <c r="BA260" s="578">
        <v>0</v>
      </c>
      <c r="BB260" s="578">
        <v>0</v>
      </c>
      <c r="BC260" s="576">
        <f>'[67]Дир_по экон'!AT34</f>
        <v>0</v>
      </c>
      <c r="BD260" s="576">
        <f t="shared" si="389"/>
        <v>0</v>
      </c>
      <c r="BE260" s="576">
        <f t="shared" si="331"/>
        <v>0</v>
      </c>
      <c r="BF260" s="576">
        <f t="shared" si="332"/>
        <v>0</v>
      </c>
      <c r="BG260" s="576">
        <f t="shared" si="312"/>
        <v>0</v>
      </c>
      <c r="BH260" s="578">
        <f t="shared" si="312"/>
        <v>0</v>
      </c>
      <c r="BI260" s="578"/>
      <c r="BJ260" s="578">
        <f t="shared" si="333"/>
        <v>0</v>
      </c>
      <c r="BK260" s="578">
        <f t="shared" si="334"/>
        <v>0</v>
      </c>
      <c r="BL260" s="576">
        <v>0</v>
      </c>
      <c r="BM260" s="578">
        <f>'[67]Дир_по экон'!AW34</f>
        <v>0</v>
      </c>
      <c r="BN260" s="522">
        <f t="shared" si="390"/>
        <v>0</v>
      </c>
      <c r="BO260" s="578">
        <f t="shared" si="339"/>
        <v>0</v>
      </c>
      <c r="BP260" s="578">
        <f t="shared" si="335"/>
        <v>0</v>
      </c>
      <c r="BQ260" s="576">
        <v>0</v>
      </c>
      <c r="BR260" s="578">
        <f>'[67]Дир_по экон'!BB34</f>
        <v>0</v>
      </c>
      <c r="BS260" s="578">
        <f>'[67]Дир_по экон'!BC34</f>
        <v>0</v>
      </c>
      <c r="BT260" s="536"/>
      <c r="BU260" s="578"/>
      <c r="BV260" s="578"/>
      <c r="BW260" s="578"/>
      <c r="BX260" s="574"/>
      <c r="BY260" s="522"/>
      <c r="BZ260" s="522"/>
      <c r="CA260" s="522"/>
      <c r="CB260" s="522">
        <f t="shared" si="391"/>
        <v>0</v>
      </c>
      <c r="CC260" s="522">
        <f t="shared" si="336"/>
        <v>0</v>
      </c>
      <c r="CD260" s="578"/>
      <c r="CE260" s="578"/>
      <c r="CF260" s="578"/>
      <c r="CG260" s="578"/>
      <c r="CH260" s="578"/>
      <c r="CI260" s="578"/>
      <c r="CJ260" s="578"/>
      <c r="CK260" s="543" t="s">
        <v>77</v>
      </c>
      <c r="CL260" s="542" t="s">
        <v>1800</v>
      </c>
      <c r="CM260" s="528" t="s">
        <v>1959</v>
      </c>
      <c r="CN260" s="528"/>
      <c r="CO260" s="528"/>
      <c r="CP260" s="544">
        <f t="shared" si="394"/>
        <v>0</v>
      </c>
      <c r="CQ260" s="544">
        <f t="shared" si="395"/>
        <v>0</v>
      </c>
      <c r="CR260" s="544">
        <f t="shared" si="396"/>
        <v>0</v>
      </c>
      <c r="CS260" s="1688" t="s">
        <v>1826</v>
      </c>
      <c r="CT260" s="1689"/>
      <c r="CU260" s="1689"/>
      <c r="CV260" s="1689"/>
      <c r="CW260" s="1690"/>
      <c r="CX260" s="528"/>
      <c r="CY260" s="528"/>
      <c r="CZ260" s="528"/>
      <c r="DA260" s="528"/>
      <c r="DB260" s="579"/>
      <c r="DC260" s="628" t="e">
        <f>P260-#REF!</f>
        <v>#REF!</v>
      </c>
      <c r="DD260" s="575"/>
      <c r="DE260" s="575"/>
      <c r="DF260" s="522">
        <f t="shared" si="350"/>
        <v>0</v>
      </c>
      <c r="DG260" s="522">
        <f t="shared" si="350"/>
        <v>0</v>
      </c>
      <c r="DH260" s="522">
        <f t="shared" si="350"/>
        <v>0</v>
      </c>
      <c r="DI260" s="522">
        <f t="shared" si="348"/>
        <v>0</v>
      </c>
      <c r="DJ260" s="536"/>
      <c r="DK260" s="536"/>
      <c r="DL260" s="536"/>
      <c r="DM260" s="536"/>
      <c r="DN260" s="536"/>
      <c r="DO260" s="536"/>
      <c r="DP260" s="536"/>
      <c r="DQ260" s="536"/>
      <c r="DR260" s="536"/>
      <c r="DS260" s="536"/>
    </row>
    <row r="261" spans="1:123" s="534" customFormat="1" ht="77.25" customHeight="1">
      <c r="A261" s="537" t="s">
        <v>1309</v>
      </c>
      <c r="B261" s="538" t="s">
        <v>1310</v>
      </c>
      <c r="C261" s="576">
        <v>44762676.909999996</v>
      </c>
      <c r="D261" s="576"/>
      <c r="E261" s="576">
        <v>65123559.950000003</v>
      </c>
      <c r="F261" s="576">
        <v>34638240.049999997</v>
      </c>
      <c r="G261" s="577">
        <v>4964441.683004261</v>
      </c>
      <c r="H261" s="577">
        <v>0</v>
      </c>
      <c r="I261" s="578">
        <f t="shared" si="385"/>
        <v>14901779.721999994</v>
      </c>
      <c r="J261" s="578">
        <v>2421917.7099999934</v>
      </c>
      <c r="K261" s="578">
        <v>6220863</v>
      </c>
      <c r="L261" s="578">
        <v>6258999.0120000001</v>
      </c>
      <c r="M261" s="578">
        <f t="shared" si="386"/>
        <v>8642780.7099999934</v>
      </c>
      <c r="N261" s="578">
        <v>4029110.24</v>
      </c>
      <c r="O261" s="522">
        <f t="shared" si="387"/>
        <v>2354190.3099999996</v>
      </c>
      <c r="P261" s="522">
        <v>6383300.5499999998</v>
      </c>
      <c r="Q261" s="576">
        <f t="shared" si="313"/>
        <v>-8518479.1719999947</v>
      </c>
      <c r="R261" s="576">
        <f t="shared" si="314"/>
        <v>-57.164173212303488</v>
      </c>
      <c r="S261" s="576">
        <v>35620</v>
      </c>
      <c r="T261" s="576"/>
      <c r="U261" s="522">
        <f t="shared" si="388"/>
        <v>18166620.272000004</v>
      </c>
      <c r="V261" s="522">
        <f t="shared" ref="V261:V324" si="397">U261-T261</f>
        <v>18166620.272000004</v>
      </c>
      <c r="W261" s="522">
        <v>0</v>
      </c>
      <c r="X261" s="522">
        <f t="shared" si="315"/>
        <v>11783319.722000003</v>
      </c>
      <c r="Y261" s="522">
        <f t="shared" si="316"/>
        <v>184.5960350715431</v>
      </c>
      <c r="Z261" s="524">
        <f t="shared" si="317"/>
        <v>13078788.198399998</v>
      </c>
      <c r="AA261" s="522">
        <f t="shared" si="318"/>
        <v>13078788.198399998</v>
      </c>
      <c r="AB261" s="522">
        <v>0</v>
      </c>
      <c r="AC261" s="522">
        <f t="shared" si="319"/>
        <v>-5087832.0736000054</v>
      </c>
      <c r="AD261" s="522">
        <f t="shared" si="320"/>
        <v>-28.006486607978601</v>
      </c>
      <c r="AE261" s="522">
        <f t="shared" si="321"/>
        <v>6695487.6483999984</v>
      </c>
      <c r="AF261" s="522">
        <f t="shared" si="322"/>
        <v>104.89068462239334</v>
      </c>
      <c r="AG261" s="522">
        <f t="shared" si="337"/>
        <v>7019071.9900000002</v>
      </c>
      <c r="AH261" s="522">
        <f t="shared" si="323"/>
        <v>-11147548.282000003</v>
      </c>
      <c r="AI261" s="522">
        <f t="shared" si="324"/>
        <v>-61.362807804055812</v>
      </c>
      <c r="AJ261" s="522">
        <f t="shared" si="325"/>
        <v>-6059716.208399998</v>
      </c>
      <c r="AK261" s="522">
        <f>AG261/Z261*100-100</f>
        <v>-46.332398051535975</v>
      </c>
      <c r="AL261" s="522">
        <f t="shared" si="392"/>
        <v>7019071.9900000002</v>
      </c>
      <c r="AM261" s="522">
        <f t="shared" si="342"/>
        <v>10056903.668000003</v>
      </c>
      <c r="AN261" s="522">
        <f t="shared" si="342"/>
        <v>2826826.46</v>
      </c>
      <c r="AO261" s="522">
        <f t="shared" si="326"/>
        <v>-7230077.2080000034</v>
      </c>
      <c r="AP261" s="522">
        <f t="shared" si="338"/>
        <v>-71.891682039327264</v>
      </c>
      <c r="AQ261" s="578">
        <v>127184.64</v>
      </c>
      <c r="AR261" s="578">
        <v>931199.53999999992</v>
      </c>
      <c r="AS261" s="578">
        <v>9929719.0280000027</v>
      </c>
      <c r="AT261" s="578">
        <v>1895626.92</v>
      </c>
      <c r="AU261" s="578">
        <f t="shared" si="375"/>
        <v>8109716.6040000003</v>
      </c>
      <c r="AV261" s="578">
        <f t="shared" si="375"/>
        <v>10251961.738399999</v>
      </c>
      <c r="AW261" s="578">
        <f t="shared" si="327"/>
        <v>2142245.1343999989</v>
      </c>
      <c r="AX261" s="578">
        <f t="shared" si="328"/>
        <v>26.415782930606582</v>
      </c>
      <c r="AY261" s="578">
        <f t="shared" si="376"/>
        <v>4192245.5300000003</v>
      </c>
      <c r="AZ261" s="578">
        <f t="shared" si="329"/>
        <v>6059716.208399999</v>
      </c>
      <c r="BA261" s="578">
        <f t="shared" si="330"/>
        <v>144.54583265785007</v>
      </c>
      <c r="BB261" s="578">
        <v>4068608.3420000006</v>
      </c>
      <c r="BC261" s="576">
        <f>'[67]Дир_по экон'!AT35</f>
        <v>5782715.5051999995</v>
      </c>
      <c r="BD261" s="576">
        <f t="shared" si="389"/>
        <v>1697980.7700000005</v>
      </c>
      <c r="BE261" s="576">
        <f t="shared" si="331"/>
        <v>-2370627.5720000002</v>
      </c>
      <c r="BF261" s="576">
        <f t="shared" si="332"/>
        <v>-4084734.7351999991</v>
      </c>
      <c r="BG261" s="576">
        <f t="shared" ref="BG261:BH325" si="398">AM261+BB261</f>
        <v>14125512.010000004</v>
      </c>
      <c r="BH261" s="578">
        <f t="shared" si="398"/>
        <v>8609541.9651999995</v>
      </c>
      <c r="BI261" s="578">
        <f>1846286.4+258969.77+160371.55+6072.91+2252.71+23183.33+41624.15+5826.27+397760.74+1782459.4</f>
        <v>4524807.2300000004</v>
      </c>
      <c r="BJ261" s="578">
        <f t="shared" si="333"/>
        <v>-9600704.7800000031</v>
      </c>
      <c r="BK261" s="578">
        <f t="shared" si="334"/>
        <v>-4084734.7351999991</v>
      </c>
      <c r="BL261" s="576">
        <v>4041108.2620000001</v>
      </c>
      <c r="BM261" s="578">
        <f>'[67]Дир_по экон'!AW35</f>
        <v>4469246.2331999997</v>
      </c>
      <c r="BN261" s="522">
        <f t="shared" si="390"/>
        <v>2494264.7599999998</v>
      </c>
      <c r="BO261" s="578">
        <f t="shared" si="339"/>
        <v>-1546843.5020000003</v>
      </c>
      <c r="BP261" s="578">
        <f t="shared" si="335"/>
        <v>-1974981.4731999999</v>
      </c>
      <c r="BQ261" s="576">
        <v>4041108.2620000001</v>
      </c>
      <c r="BR261" s="578">
        <f>'[67]Дир_по экон'!BB35</f>
        <v>0</v>
      </c>
      <c r="BS261" s="578">
        <f>'[67]Дир_по экон'!BC35</f>
        <v>0</v>
      </c>
      <c r="BT261" s="536"/>
      <c r="BU261" s="578"/>
      <c r="BV261" s="578"/>
      <c r="BW261" s="578">
        <f>2208011.46+1347977.83+132299+425331.33+91235.58+21664.43+24158.33+103089.99+75741.52+428637.87+2160924.65</f>
        <v>7019071.9900000002</v>
      </c>
      <c r="BX261" s="574"/>
      <c r="BY261" s="522">
        <f>3384071.78+202.12+91235.58+21664.432275749+96981.3+72584.68+394875.45+1768771.6+22757.49</f>
        <v>5853144.4322757497</v>
      </c>
      <c r="BZ261" s="522">
        <f>22439.65+11537.5+16.25+262.75+1078.79+155.89+580.13+2666.92+32007.02+13913.53+8.63+867.07+3889.53+2099.7+8455.25+3116.09</f>
        <v>103094.7</v>
      </c>
      <c r="CA261" s="522">
        <f>15213.97+76805.84+132299+425104.33+271.02+1140.37+901.25+24727.04+386370.04</f>
        <v>1062832.8600000001</v>
      </c>
      <c r="CB261" s="522">
        <f t="shared" si="391"/>
        <v>7019071.9922757503</v>
      </c>
      <c r="CC261" s="522">
        <f t="shared" si="336"/>
        <v>-2.2757500410079956E-3</v>
      </c>
      <c r="CD261" s="578"/>
      <c r="CE261" s="578"/>
      <c r="CF261" s="578"/>
      <c r="CG261" s="578"/>
      <c r="CH261" s="578"/>
      <c r="CI261" s="578"/>
      <c r="CJ261" s="578"/>
      <c r="CK261" s="543" t="s">
        <v>77</v>
      </c>
      <c r="CL261" s="542" t="s">
        <v>1800</v>
      </c>
      <c r="CM261" s="528" t="s">
        <v>1959</v>
      </c>
      <c r="CN261" s="528"/>
      <c r="CO261" s="528"/>
      <c r="CP261" s="544">
        <f t="shared" si="394"/>
        <v>16760895.37539872</v>
      </c>
      <c r="CQ261" s="544">
        <f t="shared" si="395"/>
        <v>1231142.4463145293</v>
      </c>
      <c r="CR261" s="544">
        <f t="shared" si="396"/>
        <v>174582.45028675534</v>
      </c>
      <c r="CS261" s="1688" t="s">
        <v>1826</v>
      </c>
      <c r="CT261" s="1689"/>
      <c r="CU261" s="1689"/>
      <c r="CV261" s="1689"/>
      <c r="CW261" s="1690"/>
      <c r="CX261" s="528"/>
      <c r="CY261" s="528"/>
      <c r="CZ261" s="528"/>
      <c r="DA261" s="528"/>
      <c r="DB261" s="579">
        <f>20900.19+120485.01+48557+89682.38+1441.69+8379+15108.48+171854.69+454791.1</f>
        <v>931199.53999999992</v>
      </c>
      <c r="DC261" s="628" t="e">
        <f>P261-#REF!</f>
        <v>#REF!</v>
      </c>
      <c r="DD261" s="575"/>
      <c r="DE261" s="575"/>
      <c r="DF261" s="522">
        <f t="shared" si="350"/>
        <v>5853.1444322757498</v>
      </c>
      <c r="DG261" s="522">
        <f t="shared" si="350"/>
        <v>103.0947</v>
      </c>
      <c r="DH261" s="522">
        <f t="shared" si="350"/>
        <v>1062.8328600000002</v>
      </c>
      <c r="DI261" s="522">
        <f t="shared" si="348"/>
        <v>7019.0719922757498</v>
      </c>
      <c r="DJ261" s="674" t="s">
        <v>1963</v>
      </c>
      <c r="DK261" s="536"/>
      <c r="DL261" s="536"/>
      <c r="DM261" s="536"/>
      <c r="DN261" s="536"/>
      <c r="DO261" s="536"/>
      <c r="DP261" s="536"/>
      <c r="DQ261" s="536"/>
      <c r="DR261" s="536"/>
      <c r="DS261" s="536"/>
    </row>
    <row r="262" spans="1:123" s="534" customFormat="1" ht="61.5" customHeight="1">
      <c r="A262" s="520" t="s">
        <v>1370</v>
      </c>
      <c r="B262" s="521" t="s">
        <v>1371</v>
      </c>
      <c r="C262" s="578">
        <v>8964041.4399999995</v>
      </c>
      <c r="D262" s="578"/>
      <c r="E262" s="578">
        <v>1864900</v>
      </c>
      <c r="F262" s="578">
        <v>11596027.9</v>
      </c>
      <c r="G262" s="593">
        <v>0</v>
      </c>
      <c r="H262" s="593">
        <v>0</v>
      </c>
      <c r="I262" s="578">
        <f t="shared" si="385"/>
        <v>1040466.02</v>
      </c>
      <c r="J262" s="578">
        <v>1040466.02</v>
      </c>
      <c r="K262" s="578">
        <v>0</v>
      </c>
      <c r="L262" s="578">
        <v>0</v>
      </c>
      <c r="M262" s="578">
        <f t="shared" si="386"/>
        <v>1040466.02</v>
      </c>
      <c r="N262" s="578">
        <v>5430787.8099999996</v>
      </c>
      <c r="O262" s="522">
        <f t="shared" si="387"/>
        <v>2873173.4200000009</v>
      </c>
      <c r="P262" s="522">
        <v>8303961.2300000004</v>
      </c>
      <c r="Q262" s="578">
        <f t="shared" ref="Q262:Q325" si="399">P262-I262</f>
        <v>7263495.2100000009</v>
      </c>
      <c r="R262" s="578">
        <f t="shared" ref="R262:R325" si="400">P262/I262*100-100</f>
        <v>698.10018495366148</v>
      </c>
      <c r="S262" s="578"/>
      <c r="T262" s="578"/>
      <c r="U262" s="522">
        <f t="shared" si="388"/>
        <v>0</v>
      </c>
      <c r="V262" s="522">
        <f t="shared" si="397"/>
        <v>0</v>
      </c>
      <c r="W262" s="522">
        <v>0</v>
      </c>
      <c r="X262" s="522">
        <f t="shared" ref="X262:X325" si="401">U262-P262</f>
        <v>-8303961.2300000004</v>
      </c>
      <c r="Y262" s="522">
        <f t="shared" ref="Y262:Y325" si="402">U262/P262*100-100</f>
        <v>-100</v>
      </c>
      <c r="Z262" s="524">
        <f t="shared" ref="Z262:Z323" si="403">AN262+AV262</f>
        <v>8373289.7000000002</v>
      </c>
      <c r="AA262" s="522">
        <f t="shared" ref="AA262:AA325" si="404">Z262-T262</f>
        <v>8373289.7000000002</v>
      </c>
      <c r="AB262" s="522">
        <v>0</v>
      </c>
      <c r="AC262" s="522">
        <f t="shared" ref="AC262:AC325" si="405">Z262-U262</f>
        <v>8373289.7000000002</v>
      </c>
      <c r="AD262" s="522">
        <v>0</v>
      </c>
      <c r="AE262" s="522">
        <f t="shared" ref="AE262:AE325" si="406">Z262-P262</f>
        <v>69328.469999999739</v>
      </c>
      <c r="AF262" s="522">
        <f t="shared" ref="AF262:AF325" si="407">Z262/P262*100-100</f>
        <v>0.83488431701167087</v>
      </c>
      <c r="AG262" s="522">
        <f t="shared" si="337"/>
        <v>5595766.0199999996</v>
      </c>
      <c r="AH262" s="522">
        <f t="shared" ref="AH262:AH325" si="408">AG262-U262</f>
        <v>5595766.0199999996</v>
      </c>
      <c r="AI262" s="522">
        <v>0</v>
      </c>
      <c r="AJ262" s="522">
        <f t="shared" ref="AJ262:AJ325" si="409">AG262-Z262</f>
        <v>-2777523.6800000006</v>
      </c>
      <c r="AK262" s="522">
        <f>AG262/Z262*100-100</f>
        <v>-33.171235912212623</v>
      </c>
      <c r="AL262" s="522">
        <f t="shared" si="392"/>
        <v>5595766.0199999996</v>
      </c>
      <c r="AM262" s="522">
        <f t="shared" si="342"/>
        <v>0</v>
      </c>
      <c r="AN262" s="522">
        <f t="shared" si="342"/>
        <v>5373289.7000000002</v>
      </c>
      <c r="AO262" s="522">
        <f t="shared" ref="AO262:AO325" si="410">AN262-AM262</f>
        <v>5373289.7000000002</v>
      </c>
      <c r="AP262" s="522">
        <v>0</v>
      </c>
      <c r="AQ262" s="578">
        <v>0</v>
      </c>
      <c r="AR262" s="578">
        <v>2997078.79</v>
      </c>
      <c r="AS262" s="578">
        <v>0</v>
      </c>
      <c r="AT262" s="578">
        <v>2376210.91</v>
      </c>
      <c r="AU262" s="578">
        <f t="shared" si="375"/>
        <v>0</v>
      </c>
      <c r="AV262" s="578">
        <f t="shared" si="375"/>
        <v>3000000</v>
      </c>
      <c r="AW262" s="578">
        <f t="shared" ref="AW262:AW325" si="411">AV262-AU262</f>
        <v>3000000</v>
      </c>
      <c r="AX262" s="578">
        <v>0</v>
      </c>
      <c r="AY262" s="578">
        <f t="shared" si="376"/>
        <v>222476.31999999937</v>
      </c>
      <c r="AZ262" s="578">
        <f t="shared" ref="AZ262:AZ325" si="412">AV262-AY262</f>
        <v>2777523.6800000006</v>
      </c>
      <c r="BA262" s="578">
        <v>0</v>
      </c>
      <c r="BB262" s="578">
        <v>0</v>
      </c>
      <c r="BC262" s="576">
        <f>'[67]Гл бух'!AT10</f>
        <v>1500000</v>
      </c>
      <c r="BD262" s="576">
        <f t="shared" si="389"/>
        <v>15078.009999999776</v>
      </c>
      <c r="BE262" s="576">
        <f t="shared" ref="BE262:BE325" si="413">BD262-BB262</f>
        <v>15078.009999999776</v>
      </c>
      <c r="BF262" s="576">
        <f t="shared" ref="BF262:BF325" si="414">BD262-BC262</f>
        <v>-1484921.9900000002</v>
      </c>
      <c r="BG262" s="576">
        <f t="shared" si="398"/>
        <v>0</v>
      </c>
      <c r="BH262" s="578">
        <f t="shared" si="398"/>
        <v>6873289.7000000002</v>
      </c>
      <c r="BI262" s="578">
        <v>5388367.71</v>
      </c>
      <c r="BJ262" s="578">
        <f t="shared" ref="BJ262:BJ325" si="415">BI262-BG262</f>
        <v>5388367.71</v>
      </c>
      <c r="BK262" s="578">
        <f t="shared" ref="BK262:BK325" si="416">BI262-BH262</f>
        <v>-1484921.9900000002</v>
      </c>
      <c r="BL262" s="576">
        <v>0</v>
      </c>
      <c r="BM262" s="578">
        <f>'[67]Гл бух'!AW10</f>
        <v>1500000</v>
      </c>
      <c r="BN262" s="522">
        <f t="shared" si="390"/>
        <v>207398.30999999959</v>
      </c>
      <c r="BO262" s="578">
        <f t="shared" si="339"/>
        <v>207398.30999999959</v>
      </c>
      <c r="BP262" s="578">
        <f t="shared" ref="BP262:BP325" si="417">BN262-BM262</f>
        <v>-1292601.6900000004</v>
      </c>
      <c r="BQ262" s="576">
        <v>0</v>
      </c>
      <c r="BR262" s="578">
        <f>'[67]Гл бух'!BB10</f>
        <v>0</v>
      </c>
      <c r="BS262" s="578">
        <f>'[67]Гл бух'!BC10</f>
        <v>0</v>
      </c>
      <c r="BT262" s="536"/>
      <c r="BU262" s="578"/>
      <c r="BV262" s="578"/>
      <c r="BW262" s="586">
        <v>5595766.0199999996</v>
      </c>
      <c r="BX262" s="629"/>
      <c r="BY262" s="522">
        <v>35558.959999999999</v>
      </c>
      <c r="BZ262" s="522">
        <f>1898.83+479.56</f>
        <v>2378.39</v>
      </c>
      <c r="CA262" s="522">
        <v>5557828.6699999999</v>
      </c>
      <c r="CB262" s="522">
        <f t="shared" si="391"/>
        <v>5595766.0199999996</v>
      </c>
      <c r="CC262" s="522">
        <f t="shared" ref="CC262:CC323" si="418">AL262-CB262</f>
        <v>0</v>
      </c>
      <c r="CD262" s="578"/>
      <c r="CE262" s="578"/>
      <c r="CF262" s="578"/>
      <c r="CG262" s="578"/>
      <c r="CH262" s="578"/>
      <c r="CI262" s="578"/>
      <c r="CJ262" s="578"/>
      <c r="CK262" s="605" t="s">
        <v>1645</v>
      </c>
      <c r="CL262" s="605" t="s">
        <v>1935</v>
      </c>
      <c r="CM262" s="528" t="s">
        <v>1959</v>
      </c>
      <c r="CN262" s="528"/>
      <c r="CO262" s="528"/>
      <c r="CP262" s="529">
        <f t="shared" si="394"/>
        <v>0</v>
      </c>
      <c r="CQ262" s="529">
        <f t="shared" si="395"/>
        <v>0</v>
      </c>
      <c r="CR262" s="529">
        <f t="shared" si="396"/>
        <v>0</v>
      </c>
      <c r="CS262" s="1695" t="s">
        <v>1826</v>
      </c>
      <c r="CT262" s="1696"/>
      <c r="CU262" s="1696"/>
      <c r="CV262" s="1696"/>
      <c r="CW262" s="1697"/>
      <c r="CX262" s="528"/>
      <c r="CY262" s="528"/>
      <c r="CZ262" s="528"/>
      <c r="DA262" s="528"/>
      <c r="DB262" s="630">
        <v>2997078.79</v>
      </c>
      <c r="DC262" s="571" t="e">
        <f>P262-#REF!</f>
        <v>#REF!</v>
      </c>
      <c r="DD262" s="575"/>
      <c r="DE262" s="575"/>
      <c r="DF262" s="522">
        <f t="shared" si="350"/>
        <v>35.558959999999999</v>
      </c>
      <c r="DG262" s="522">
        <f t="shared" si="350"/>
        <v>2.37839</v>
      </c>
      <c r="DH262" s="522">
        <f t="shared" si="350"/>
        <v>5557.8286699999999</v>
      </c>
      <c r="DI262" s="522">
        <f t="shared" si="348"/>
        <v>5595.7660199999991</v>
      </c>
      <c r="DJ262" s="536"/>
      <c r="DK262" s="536"/>
      <c r="DL262" s="536"/>
      <c r="DM262" s="536"/>
      <c r="DN262" s="536"/>
      <c r="DO262" s="536"/>
      <c r="DP262" s="536"/>
      <c r="DQ262" s="536"/>
      <c r="DR262" s="536"/>
      <c r="DS262" s="536"/>
    </row>
    <row r="263" spans="1:123" s="534" customFormat="1" ht="56.4">
      <c r="A263" s="537" t="s">
        <v>1964</v>
      </c>
      <c r="B263" s="538" t="s">
        <v>1965</v>
      </c>
      <c r="C263" s="576"/>
      <c r="D263" s="576"/>
      <c r="E263" s="576">
        <v>15810</v>
      </c>
      <c r="F263" s="576">
        <v>0</v>
      </c>
      <c r="G263" s="577">
        <v>0</v>
      </c>
      <c r="H263" s="577">
        <v>0</v>
      </c>
      <c r="I263" s="578">
        <f t="shared" si="385"/>
        <v>0</v>
      </c>
      <c r="J263" s="578">
        <v>0</v>
      </c>
      <c r="K263" s="578">
        <v>0</v>
      </c>
      <c r="L263" s="578">
        <v>0</v>
      </c>
      <c r="M263" s="578">
        <f t="shared" si="386"/>
        <v>0</v>
      </c>
      <c r="N263" s="578"/>
      <c r="O263" s="522">
        <f t="shared" si="387"/>
        <v>0</v>
      </c>
      <c r="P263" s="522">
        <v>0</v>
      </c>
      <c r="Q263" s="576">
        <f t="shared" si="399"/>
        <v>0</v>
      </c>
      <c r="R263" s="576">
        <v>0</v>
      </c>
      <c r="S263" s="576"/>
      <c r="T263" s="576"/>
      <c r="U263" s="522">
        <f t="shared" si="388"/>
        <v>0</v>
      </c>
      <c r="V263" s="522">
        <f t="shared" si="397"/>
        <v>0</v>
      </c>
      <c r="W263" s="522">
        <v>0</v>
      </c>
      <c r="X263" s="522">
        <f t="shared" si="401"/>
        <v>0</v>
      </c>
      <c r="Y263" s="522">
        <v>0</v>
      </c>
      <c r="Z263" s="524">
        <f t="shared" si="403"/>
        <v>0</v>
      </c>
      <c r="AA263" s="522">
        <f t="shared" si="404"/>
        <v>0</v>
      </c>
      <c r="AB263" s="522">
        <v>0</v>
      </c>
      <c r="AC263" s="522">
        <f t="shared" si="405"/>
        <v>0</v>
      </c>
      <c r="AD263" s="522">
        <v>0</v>
      </c>
      <c r="AE263" s="522">
        <f t="shared" si="406"/>
        <v>0</v>
      </c>
      <c r="AF263" s="522">
        <v>0</v>
      </c>
      <c r="AG263" s="522">
        <f t="shared" ref="AG263:AG325" si="419">AN263+AY263</f>
        <v>0</v>
      </c>
      <c r="AH263" s="522">
        <f t="shared" si="408"/>
        <v>0</v>
      </c>
      <c r="AI263" s="522">
        <v>0</v>
      </c>
      <c r="AJ263" s="522">
        <f t="shared" si="409"/>
        <v>0</v>
      </c>
      <c r="AK263" s="522">
        <v>0</v>
      </c>
      <c r="AL263" s="522">
        <f t="shared" si="392"/>
        <v>0</v>
      </c>
      <c r="AM263" s="522">
        <f t="shared" si="342"/>
        <v>0</v>
      </c>
      <c r="AN263" s="522">
        <f t="shared" si="342"/>
        <v>0</v>
      </c>
      <c r="AO263" s="522">
        <f t="shared" si="410"/>
        <v>0</v>
      </c>
      <c r="AP263" s="522">
        <v>0</v>
      </c>
      <c r="AQ263" s="578">
        <v>0</v>
      </c>
      <c r="AR263" s="578">
        <v>0</v>
      </c>
      <c r="AS263" s="578">
        <v>0</v>
      </c>
      <c r="AT263" s="578">
        <v>0</v>
      </c>
      <c r="AU263" s="578">
        <f t="shared" si="375"/>
        <v>0</v>
      </c>
      <c r="AV263" s="578">
        <f t="shared" si="375"/>
        <v>0</v>
      </c>
      <c r="AW263" s="578">
        <f t="shared" si="411"/>
        <v>0</v>
      </c>
      <c r="AX263" s="578">
        <v>0</v>
      </c>
      <c r="AY263" s="578">
        <f t="shared" si="376"/>
        <v>0</v>
      </c>
      <c r="AZ263" s="578">
        <f t="shared" si="412"/>
        <v>0</v>
      </c>
      <c r="BA263" s="578">
        <v>0</v>
      </c>
      <c r="BB263" s="578">
        <v>0</v>
      </c>
      <c r="BC263" s="576">
        <f>'[67]Гл инж_Тех дир'!AT59</f>
        <v>0</v>
      </c>
      <c r="BD263" s="576">
        <f t="shared" si="389"/>
        <v>0</v>
      </c>
      <c r="BE263" s="576">
        <f t="shared" si="413"/>
        <v>0</v>
      </c>
      <c r="BF263" s="576">
        <f t="shared" si="414"/>
        <v>0</v>
      </c>
      <c r="BG263" s="576">
        <f t="shared" si="398"/>
        <v>0</v>
      </c>
      <c r="BH263" s="578">
        <f t="shared" si="398"/>
        <v>0</v>
      </c>
      <c r="BI263" s="578"/>
      <c r="BJ263" s="578">
        <f t="shared" si="415"/>
        <v>0</v>
      </c>
      <c r="BK263" s="578">
        <f t="shared" si="416"/>
        <v>0</v>
      </c>
      <c r="BL263" s="576">
        <v>0</v>
      </c>
      <c r="BM263" s="578">
        <f>'[67]Гл инж_Тех дир'!AW59</f>
        <v>0</v>
      </c>
      <c r="BN263" s="522">
        <f t="shared" si="390"/>
        <v>0</v>
      </c>
      <c r="BO263" s="578">
        <f t="shared" si="339"/>
        <v>0</v>
      </c>
      <c r="BP263" s="578">
        <f t="shared" si="417"/>
        <v>0</v>
      </c>
      <c r="BQ263" s="576">
        <v>0</v>
      </c>
      <c r="BR263" s="578">
        <f>'[67]Гл инж_Тех дир'!BB59</f>
        <v>0</v>
      </c>
      <c r="BS263" s="578">
        <f>'[67]Гл инж_Тех дир'!BC59</f>
        <v>0</v>
      </c>
      <c r="BT263" s="536"/>
      <c r="BU263" s="578"/>
      <c r="BV263" s="578"/>
      <c r="BW263" s="578"/>
      <c r="BX263" s="574"/>
      <c r="BY263" s="522"/>
      <c r="BZ263" s="522"/>
      <c r="CA263" s="522"/>
      <c r="CB263" s="522">
        <f t="shared" si="391"/>
        <v>0</v>
      </c>
      <c r="CC263" s="522">
        <f t="shared" si="418"/>
        <v>0</v>
      </c>
      <c r="CD263" s="578"/>
      <c r="CE263" s="578"/>
      <c r="CF263" s="578"/>
      <c r="CG263" s="578"/>
      <c r="CH263" s="578"/>
      <c r="CI263" s="578"/>
      <c r="CJ263" s="578"/>
      <c r="CK263" s="542" t="s">
        <v>79</v>
      </c>
      <c r="CL263" s="543" t="s">
        <v>1903</v>
      </c>
      <c r="CM263" s="528" t="s">
        <v>1959</v>
      </c>
      <c r="CN263" s="528"/>
      <c r="CO263" s="528"/>
      <c r="CP263" s="544">
        <f t="shared" si="394"/>
        <v>0</v>
      </c>
      <c r="CQ263" s="544">
        <f t="shared" si="395"/>
        <v>0</v>
      </c>
      <c r="CR263" s="544">
        <f t="shared" si="396"/>
        <v>0</v>
      </c>
      <c r="CS263" s="1688" t="s">
        <v>1826</v>
      </c>
      <c r="CT263" s="1689"/>
      <c r="CU263" s="1689"/>
      <c r="CV263" s="1689"/>
      <c r="CW263" s="1690"/>
      <c r="CX263" s="528"/>
      <c r="CY263" s="528"/>
      <c r="CZ263" s="528"/>
      <c r="DA263" s="528"/>
      <c r="DB263" s="579"/>
      <c r="DC263" s="628" t="e">
        <f>P263-#REF!</f>
        <v>#REF!</v>
      </c>
      <c r="DD263" s="575"/>
      <c r="DE263" s="575"/>
      <c r="DF263" s="522">
        <f t="shared" si="350"/>
        <v>0</v>
      </c>
      <c r="DG263" s="522">
        <f t="shared" si="350"/>
        <v>0</v>
      </c>
      <c r="DH263" s="522">
        <f t="shared" si="350"/>
        <v>0</v>
      </c>
      <c r="DI263" s="522">
        <f t="shared" si="348"/>
        <v>0</v>
      </c>
      <c r="DJ263" s="536"/>
      <c r="DK263" s="536"/>
      <c r="DL263" s="536"/>
      <c r="DM263" s="536"/>
      <c r="DN263" s="536"/>
      <c r="DO263" s="536"/>
      <c r="DP263" s="536"/>
      <c r="DQ263" s="536"/>
      <c r="DR263" s="536"/>
      <c r="DS263" s="536"/>
    </row>
    <row r="264" spans="1:123" s="534" customFormat="1" ht="58.5" customHeight="1">
      <c r="A264" s="537" t="s">
        <v>1374</v>
      </c>
      <c r="B264" s="538" t="s">
        <v>1375</v>
      </c>
      <c r="C264" s="576">
        <v>6302762.8799999999</v>
      </c>
      <c r="D264" s="576"/>
      <c r="E264" s="576">
        <v>3500000</v>
      </c>
      <c r="F264" s="576">
        <v>6336855.1399999997</v>
      </c>
      <c r="G264" s="626">
        <v>0</v>
      </c>
      <c r="H264" s="626">
        <v>0</v>
      </c>
      <c r="I264" s="578">
        <f t="shared" si="385"/>
        <v>4333203.55</v>
      </c>
      <c r="J264" s="578">
        <v>86032.66</v>
      </c>
      <c r="K264" s="578">
        <v>0</v>
      </c>
      <c r="L264" s="578">
        <v>4247170.8899999997</v>
      </c>
      <c r="M264" s="578">
        <f t="shared" si="386"/>
        <v>86032.66</v>
      </c>
      <c r="N264" s="578">
        <v>134032.66</v>
      </c>
      <c r="O264" s="522">
        <f t="shared" si="387"/>
        <v>5141927.26</v>
      </c>
      <c r="P264" s="522">
        <v>5275959.92</v>
      </c>
      <c r="Q264" s="576">
        <f t="shared" si="399"/>
        <v>942756.37000000011</v>
      </c>
      <c r="R264" s="576">
        <f t="shared" si="400"/>
        <v>21.756567839976043</v>
      </c>
      <c r="S264" s="576"/>
      <c r="T264" s="576"/>
      <c r="U264" s="522">
        <f t="shared" si="388"/>
        <v>4554196.93</v>
      </c>
      <c r="V264" s="522">
        <f t="shared" si="397"/>
        <v>4554196.93</v>
      </c>
      <c r="W264" s="522">
        <v>0</v>
      </c>
      <c r="X264" s="522">
        <f t="shared" si="401"/>
        <v>-721762.99000000022</v>
      </c>
      <c r="Y264" s="522">
        <f t="shared" si="402"/>
        <v>-13.680221247776274</v>
      </c>
      <c r="Z264" s="524">
        <f t="shared" si="403"/>
        <v>4538526.93</v>
      </c>
      <c r="AA264" s="522">
        <f t="shared" si="404"/>
        <v>4538526.93</v>
      </c>
      <c r="AB264" s="522">
        <v>0</v>
      </c>
      <c r="AC264" s="522">
        <f t="shared" si="405"/>
        <v>-15670</v>
      </c>
      <c r="AD264" s="522">
        <f t="shared" ref="AD264:AD325" si="420">Z264/U264*100-100</f>
        <v>-0.34407822588383397</v>
      </c>
      <c r="AE264" s="522">
        <f t="shared" si="406"/>
        <v>-737432.99000000022</v>
      </c>
      <c r="AF264" s="522">
        <f t="shared" si="407"/>
        <v>-13.977228811093781</v>
      </c>
      <c r="AG264" s="522">
        <f t="shared" si="419"/>
        <v>2542047.41</v>
      </c>
      <c r="AH264" s="522">
        <f t="shared" si="408"/>
        <v>-2012149.5199999996</v>
      </c>
      <c r="AI264" s="522">
        <f t="shared" ref="AI264:AI325" si="421">AG264/U264*100-100</f>
        <v>-44.182312511461809</v>
      </c>
      <c r="AJ264" s="522">
        <f t="shared" si="409"/>
        <v>-1996479.5199999996</v>
      </c>
      <c r="AK264" s="522">
        <f t="shared" ref="AK264:AK269" si="422">AG264/Z264*100-100</f>
        <v>-43.989592896389397</v>
      </c>
      <c r="AL264" s="522">
        <f t="shared" si="392"/>
        <v>2542047.41</v>
      </c>
      <c r="AM264" s="522">
        <f t="shared" si="342"/>
        <v>37000</v>
      </c>
      <c r="AN264" s="522">
        <f t="shared" si="342"/>
        <v>21330</v>
      </c>
      <c r="AO264" s="522">
        <f t="shared" si="410"/>
        <v>-15670</v>
      </c>
      <c r="AP264" s="522">
        <f t="shared" ref="AP264:AP325" si="423">AN264/AM264*100-100</f>
        <v>-42.351351351351354</v>
      </c>
      <c r="AQ264" s="578">
        <v>16000</v>
      </c>
      <c r="AR264" s="578">
        <v>7180</v>
      </c>
      <c r="AS264" s="578">
        <v>21000</v>
      </c>
      <c r="AT264" s="578">
        <v>14150</v>
      </c>
      <c r="AU264" s="578">
        <f t="shared" si="375"/>
        <v>4517196.93</v>
      </c>
      <c r="AV264" s="578">
        <f t="shared" si="375"/>
        <v>4517196.93</v>
      </c>
      <c r="AW264" s="578">
        <f t="shared" si="411"/>
        <v>0</v>
      </c>
      <c r="AX264" s="578">
        <f t="shared" ref="AX264:AX325" si="424">AV264/AU264*100-100</f>
        <v>0</v>
      </c>
      <c r="AY264" s="578">
        <f t="shared" si="376"/>
        <v>2520717.41</v>
      </c>
      <c r="AZ264" s="578">
        <f t="shared" si="412"/>
        <v>1996479.5199999996</v>
      </c>
      <c r="BA264" s="578">
        <f t="shared" ref="BA264:BA325" si="425">AV264/AY264*100-100</f>
        <v>79.202829800743103</v>
      </c>
      <c r="BB264" s="578">
        <v>0</v>
      </c>
      <c r="BC264" s="576">
        <f>'[67]Дир_ имущ'!AT59</f>
        <v>0</v>
      </c>
      <c r="BD264" s="576">
        <f t="shared" si="389"/>
        <v>0</v>
      </c>
      <c r="BE264" s="576">
        <f t="shared" si="413"/>
        <v>0</v>
      </c>
      <c r="BF264" s="576">
        <f t="shared" si="414"/>
        <v>0</v>
      </c>
      <c r="BG264" s="576">
        <f t="shared" si="398"/>
        <v>37000</v>
      </c>
      <c r="BH264" s="578">
        <f t="shared" si="398"/>
        <v>21330</v>
      </c>
      <c r="BI264" s="578">
        <v>21330</v>
      </c>
      <c r="BJ264" s="578">
        <f t="shared" si="415"/>
        <v>-15670</v>
      </c>
      <c r="BK264" s="578">
        <f t="shared" si="416"/>
        <v>0</v>
      </c>
      <c r="BL264" s="576">
        <v>4517196.93</v>
      </c>
      <c r="BM264" s="578">
        <f>'[67]Дир_ имущ'!AW59</f>
        <v>4517196.93</v>
      </c>
      <c r="BN264" s="522">
        <f t="shared" si="390"/>
        <v>2520717.41</v>
      </c>
      <c r="BO264" s="578">
        <f t="shared" ref="BO264:BO325" si="426">BN264-BL264</f>
        <v>-1996479.5199999996</v>
      </c>
      <c r="BP264" s="578">
        <f t="shared" si="417"/>
        <v>-1996479.5199999996</v>
      </c>
      <c r="BQ264" s="576">
        <v>4517196.93</v>
      </c>
      <c r="BR264" s="578">
        <f>'[67]Дир_ имущ'!BB59</f>
        <v>0</v>
      </c>
      <c r="BS264" s="578">
        <f>'[67]Дир_ имущ'!BC59</f>
        <v>0</v>
      </c>
      <c r="BT264" s="536"/>
      <c r="BU264" s="578"/>
      <c r="BV264" s="578"/>
      <c r="BW264" s="586">
        <v>2542047.41</v>
      </c>
      <c r="BX264" s="574"/>
      <c r="BY264" s="522">
        <v>2016914.08</v>
      </c>
      <c r="BZ264" s="522">
        <f>93624.91+339019.88</f>
        <v>432644.79000000004</v>
      </c>
      <c r="CA264" s="522">
        <f>92488.54</f>
        <v>92488.54</v>
      </c>
      <c r="CB264" s="522">
        <f t="shared" si="391"/>
        <v>2542047.41</v>
      </c>
      <c r="CC264" s="522">
        <f t="shared" si="418"/>
        <v>0</v>
      </c>
      <c r="CD264" s="578"/>
      <c r="CE264" s="578"/>
      <c r="CF264" s="578"/>
      <c r="CG264" s="578"/>
      <c r="CH264" s="578"/>
      <c r="CI264" s="578"/>
      <c r="CJ264" s="578"/>
      <c r="CK264" s="543" t="s">
        <v>1815</v>
      </c>
      <c r="CL264" s="543" t="s">
        <v>1897</v>
      </c>
      <c r="CM264" s="528" t="s">
        <v>1959</v>
      </c>
      <c r="CN264" s="528"/>
      <c r="CO264" s="528"/>
      <c r="CP264" s="544">
        <f t="shared" si="394"/>
        <v>4201795.222215455</v>
      </c>
      <c r="CQ264" s="544">
        <f t="shared" si="395"/>
        <v>308635.5670702334</v>
      </c>
      <c r="CR264" s="544">
        <f t="shared" si="396"/>
        <v>43766.140714311645</v>
      </c>
      <c r="CS264" s="1688" t="s">
        <v>1826</v>
      </c>
      <c r="CT264" s="1689"/>
      <c r="CU264" s="1689"/>
      <c r="CV264" s="1689"/>
      <c r="CW264" s="1690"/>
      <c r="CX264" s="528"/>
      <c r="CY264" s="528"/>
      <c r="CZ264" s="528"/>
      <c r="DA264" s="528"/>
      <c r="DB264" s="579">
        <v>7180</v>
      </c>
      <c r="DC264" s="628" t="e">
        <f>P264-#REF!</f>
        <v>#REF!</v>
      </c>
      <c r="DD264" s="575"/>
      <c r="DE264" s="575"/>
      <c r="DF264" s="522">
        <f t="shared" si="350"/>
        <v>2016.91408</v>
      </c>
      <c r="DG264" s="522">
        <f t="shared" si="350"/>
        <v>432.64479000000006</v>
      </c>
      <c r="DH264" s="522">
        <f t="shared" si="350"/>
        <v>92.48854</v>
      </c>
      <c r="DI264" s="522">
        <f t="shared" si="348"/>
        <v>2542.0474100000001</v>
      </c>
      <c r="DJ264" s="536"/>
      <c r="DK264" s="536"/>
      <c r="DL264" s="536"/>
      <c r="DM264" s="536"/>
      <c r="DN264" s="536"/>
      <c r="DO264" s="536"/>
      <c r="DP264" s="536"/>
      <c r="DQ264" s="536"/>
      <c r="DR264" s="536"/>
      <c r="DS264" s="536"/>
    </row>
    <row r="265" spans="1:123" s="534" customFormat="1" ht="66" customHeight="1">
      <c r="A265" s="537" t="s">
        <v>1379</v>
      </c>
      <c r="B265" s="538" t="s">
        <v>1380</v>
      </c>
      <c r="C265" s="576"/>
      <c r="D265" s="576"/>
      <c r="E265" s="576"/>
      <c r="F265" s="576"/>
      <c r="G265" s="626">
        <v>0</v>
      </c>
      <c r="H265" s="626">
        <v>0</v>
      </c>
      <c r="I265" s="578">
        <f t="shared" si="385"/>
        <v>1180278.18</v>
      </c>
      <c r="J265" s="578">
        <v>803521.1</v>
      </c>
      <c r="K265" s="578">
        <v>176757.08</v>
      </c>
      <c r="L265" s="578">
        <v>200000</v>
      </c>
      <c r="M265" s="578">
        <f t="shared" si="386"/>
        <v>980278.17999999993</v>
      </c>
      <c r="N265" s="578">
        <v>906845.35</v>
      </c>
      <c r="O265" s="522">
        <f t="shared" si="387"/>
        <v>657510.49000000011</v>
      </c>
      <c r="P265" s="522">
        <v>1564355.84</v>
      </c>
      <c r="Q265" s="576">
        <f t="shared" si="399"/>
        <v>384077.66000000015</v>
      </c>
      <c r="R265" s="576">
        <f t="shared" si="400"/>
        <v>32.541282767762453</v>
      </c>
      <c r="S265" s="576"/>
      <c r="T265" s="576"/>
      <c r="U265" s="522">
        <f t="shared" si="388"/>
        <v>1162953.6800000002</v>
      </c>
      <c r="V265" s="522">
        <f t="shared" si="397"/>
        <v>1162953.6800000002</v>
      </c>
      <c r="W265" s="522">
        <v>0</v>
      </c>
      <c r="X265" s="522">
        <f t="shared" si="401"/>
        <v>-401402.15999999992</v>
      </c>
      <c r="Y265" s="522">
        <f t="shared" si="402"/>
        <v>-25.659261770007518</v>
      </c>
      <c r="Z265" s="524">
        <f t="shared" si="403"/>
        <v>1343318.29</v>
      </c>
      <c r="AA265" s="522">
        <f t="shared" si="404"/>
        <v>1343318.29</v>
      </c>
      <c r="AB265" s="522">
        <v>0</v>
      </c>
      <c r="AC265" s="522">
        <f t="shared" si="405"/>
        <v>180364.60999999987</v>
      </c>
      <c r="AD265" s="522">
        <f t="shared" si="420"/>
        <v>15.5091826185201</v>
      </c>
      <c r="AE265" s="522">
        <f t="shared" si="406"/>
        <v>-221037.55000000005</v>
      </c>
      <c r="AF265" s="522">
        <f t="shared" si="407"/>
        <v>-14.129620917962001</v>
      </c>
      <c r="AG265" s="522">
        <f t="shared" si="419"/>
        <v>1341539.24</v>
      </c>
      <c r="AH265" s="522">
        <f t="shared" si="408"/>
        <v>178585.55999999982</v>
      </c>
      <c r="AI265" s="522">
        <f t="shared" si="421"/>
        <v>15.356205760490809</v>
      </c>
      <c r="AJ265" s="522">
        <f t="shared" si="409"/>
        <v>-1779.0500000000466</v>
      </c>
      <c r="AK265" s="522">
        <f t="shared" si="422"/>
        <v>-0.13243696696781626</v>
      </c>
      <c r="AL265" s="522">
        <f t="shared" si="392"/>
        <v>1341539.24</v>
      </c>
      <c r="AM265" s="522">
        <f t="shared" si="342"/>
        <v>490000</v>
      </c>
      <c r="AN265" s="522">
        <f t="shared" si="342"/>
        <v>670364.61</v>
      </c>
      <c r="AO265" s="522">
        <f t="shared" si="410"/>
        <v>180364.61</v>
      </c>
      <c r="AP265" s="522">
        <f t="shared" si="423"/>
        <v>36.809104081632654</v>
      </c>
      <c r="AQ265" s="578">
        <v>380000</v>
      </c>
      <c r="AR265" s="578">
        <v>498255.43</v>
      </c>
      <c r="AS265" s="578">
        <v>110000</v>
      </c>
      <c r="AT265" s="578">
        <v>172109.18</v>
      </c>
      <c r="AU265" s="578">
        <f t="shared" si="375"/>
        <v>672953.68</v>
      </c>
      <c r="AV265" s="578">
        <f t="shared" si="375"/>
        <v>672953.68</v>
      </c>
      <c r="AW265" s="578">
        <f t="shared" si="411"/>
        <v>0</v>
      </c>
      <c r="AX265" s="578">
        <f t="shared" si="424"/>
        <v>0</v>
      </c>
      <c r="AY265" s="578">
        <f t="shared" si="376"/>
        <v>671174.63</v>
      </c>
      <c r="AZ265" s="578">
        <f t="shared" si="412"/>
        <v>1779.0500000000466</v>
      </c>
      <c r="BA265" s="578">
        <f t="shared" si="425"/>
        <v>0.26506514407435589</v>
      </c>
      <c r="BB265" s="578">
        <v>90000</v>
      </c>
      <c r="BC265" s="576">
        <f>'[67]Дир_ имущ'!AT60</f>
        <v>90000</v>
      </c>
      <c r="BD265" s="576">
        <f t="shared" si="389"/>
        <v>220298.02000000002</v>
      </c>
      <c r="BE265" s="576">
        <f t="shared" si="413"/>
        <v>130298.02000000002</v>
      </c>
      <c r="BF265" s="576">
        <f t="shared" si="414"/>
        <v>130298.02000000002</v>
      </c>
      <c r="BG265" s="576">
        <f t="shared" si="398"/>
        <v>580000</v>
      </c>
      <c r="BH265" s="578">
        <f t="shared" si="398"/>
        <v>760364.61</v>
      </c>
      <c r="BI265" s="578">
        <v>890662.63</v>
      </c>
      <c r="BJ265" s="578">
        <f t="shared" si="415"/>
        <v>310662.63</v>
      </c>
      <c r="BK265" s="578">
        <f t="shared" si="416"/>
        <v>130298.02000000002</v>
      </c>
      <c r="BL265" s="576">
        <v>582953.68000000005</v>
      </c>
      <c r="BM265" s="578">
        <f>'[67]Дир_ имущ'!AW60</f>
        <v>582953.68000000005</v>
      </c>
      <c r="BN265" s="522">
        <f t="shared" si="390"/>
        <v>450876.61</v>
      </c>
      <c r="BO265" s="578">
        <f t="shared" si="426"/>
        <v>-132077.07000000007</v>
      </c>
      <c r="BP265" s="578">
        <f t="shared" si="417"/>
        <v>-132077.07000000007</v>
      </c>
      <c r="BQ265" s="576">
        <v>582953.68000000005</v>
      </c>
      <c r="BR265" s="578">
        <f>'[67]Дир_ имущ'!BB60</f>
        <v>0</v>
      </c>
      <c r="BS265" s="578">
        <f>'[67]Дир_ имущ'!BC60</f>
        <v>0</v>
      </c>
      <c r="BT265" s="536"/>
      <c r="BU265" s="578"/>
      <c r="BV265" s="578"/>
      <c r="BW265" s="586">
        <v>1341539.24</v>
      </c>
      <c r="BX265" s="574"/>
      <c r="BY265" s="522">
        <v>1215160.57</v>
      </c>
      <c r="BZ265" s="522">
        <f>81145.45+30627.41</f>
        <v>111772.86</v>
      </c>
      <c r="CA265" s="522">
        <v>14605.81</v>
      </c>
      <c r="CB265" s="522">
        <f t="shared" si="391"/>
        <v>1341539.2400000002</v>
      </c>
      <c r="CC265" s="522">
        <f t="shared" si="418"/>
        <v>0</v>
      </c>
      <c r="CD265" s="578"/>
      <c r="CE265" s="578"/>
      <c r="CF265" s="578"/>
      <c r="CG265" s="578"/>
      <c r="CH265" s="578"/>
      <c r="CI265" s="578"/>
      <c r="CJ265" s="578"/>
      <c r="CK265" s="543" t="s">
        <v>1815</v>
      </c>
      <c r="CL265" s="543" t="s">
        <v>1897</v>
      </c>
      <c r="CM265" s="528" t="s">
        <v>1959</v>
      </c>
      <c r="CN265" s="528"/>
      <c r="CO265" s="528"/>
      <c r="CP265" s="544">
        <f t="shared" si="394"/>
        <v>1072964.8478951221</v>
      </c>
      <c r="CQ265" s="544">
        <f t="shared" si="395"/>
        <v>78812.768534191346</v>
      </c>
      <c r="CR265" s="544">
        <f t="shared" si="396"/>
        <v>11176.06357068678</v>
      </c>
      <c r="CS265" s="1688" t="s">
        <v>1826</v>
      </c>
      <c r="CT265" s="1689"/>
      <c r="CU265" s="1689"/>
      <c r="CV265" s="1689"/>
      <c r="CW265" s="1690"/>
      <c r="CX265" s="528"/>
      <c r="CY265" s="528"/>
      <c r="CZ265" s="528"/>
      <c r="DA265" s="528"/>
      <c r="DB265" s="579">
        <v>498255.43</v>
      </c>
      <c r="DC265" s="628" t="e">
        <f>P265-#REF!</f>
        <v>#REF!</v>
      </c>
      <c r="DD265" s="575"/>
      <c r="DE265" s="575"/>
      <c r="DF265" s="522">
        <f t="shared" si="350"/>
        <v>1215.16057</v>
      </c>
      <c r="DG265" s="522">
        <f t="shared" si="350"/>
        <v>111.77285999999999</v>
      </c>
      <c r="DH265" s="522">
        <f t="shared" si="350"/>
        <v>14.60581</v>
      </c>
      <c r="DI265" s="522">
        <f t="shared" si="348"/>
        <v>1341.5392400000003</v>
      </c>
      <c r="DJ265" s="536"/>
      <c r="DK265" s="536"/>
      <c r="DL265" s="536"/>
      <c r="DM265" s="536"/>
      <c r="DN265" s="536"/>
      <c r="DO265" s="536"/>
      <c r="DP265" s="536"/>
      <c r="DQ265" s="536"/>
      <c r="DR265" s="536"/>
      <c r="DS265" s="536"/>
    </row>
    <row r="266" spans="1:123" s="534" customFormat="1" ht="63" customHeight="1">
      <c r="A266" s="537" t="s">
        <v>1383</v>
      </c>
      <c r="B266" s="538" t="s">
        <v>1384</v>
      </c>
      <c r="C266" s="576">
        <v>463340.46</v>
      </c>
      <c r="D266" s="576"/>
      <c r="E266" s="576">
        <v>400000</v>
      </c>
      <c r="F266" s="576">
        <v>946900</v>
      </c>
      <c r="G266" s="577">
        <v>0</v>
      </c>
      <c r="H266" s="577">
        <v>0</v>
      </c>
      <c r="I266" s="578">
        <f t="shared" si="385"/>
        <v>964305</v>
      </c>
      <c r="J266" s="578">
        <v>0</v>
      </c>
      <c r="K266" s="578">
        <v>0</v>
      </c>
      <c r="L266" s="578">
        <v>964305</v>
      </c>
      <c r="M266" s="578">
        <f t="shared" si="386"/>
        <v>0</v>
      </c>
      <c r="N266" s="578"/>
      <c r="O266" s="522">
        <f t="shared" si="387"/>
        <v>957344.92</v>
      </c>
      <c r="P266" s="522">
        <v>957344.92</v>
      </c>
      <c r="Q266" s="576">
        <f t="shared" si="399"/>
        <v>-6960.0799999999581</v>
      </c>
      <c r="R266" s="576">
        <f t="shared" si="400"/>
        <v>-0.72177163864130023</v>
      </c>
      <c r="S266" s="576"/>
      <c r="T266" s="576"/>
      <c r="U266" s="522">
        <f t="shared" si="388"/>
        <v>1013484.5549999999</v>
      </c>
      <c r="V266" s="522">
        <f t="shared" si="397"/>
        <v>1013484.5549999999</v>
      </c>
      <c r="W266" s="522">
        <v>0</v>
      </c>
      <c r="X266" s="522">
        <f t="shared" si="401"/>
        <v>56139.634999999893</v>
      </c>
      <c r="Y266" s="522">
        <f t="shared" si="402"/>
        <v>5.8640970278507325</v>
      </c>
      <c r="Z266" s="524">
        <f t="shared" si="403"/>
        <v>1013484.56</v>
      </c>
      <c r="AA266" s="522">
        <f t="shared" si="404"/>
        <v>1013484.56</v>
      </c>
      <c r="AB266" s="522">
        <v>0</v>
      </c>
      <c r="AC266" s="522">
        <f t="shared" si="405"/>
        <v>5.0000001210719347E-3</v>
      </c>
      <c r="AD266" s="522">
        <f t="shared" si="420"/>
        <v>4.9334745710893912E-7</v>
      </c>
      <c r="AE266" s="522">
        <f t="shared" si="406"/>
        <v>56139.640000000014</v>
      </c>
      <c r="AF266" s="522">
        <f t="shared" si="407"/>
        <v>5.864097550128534</v>
      </c>
      <c r="AG266" s="522">
        <f t="shared" si="419"/>
        <v>1016400</v>
      </c>
      <c r="AH266" s="522">
        <f t="shared" si="408"/>
        <v>2915.4450000000652</v>
      </c>
      <c r="AI266" s="522">
        <f t="shared" si="421"/>
        <v>0.28766545929256893</v>
      </c>
      <c r="AJ266" s="522">
        <f t="shared" si="409"/>
        <v>2915.4399999999441</v>
      </c>
      <c r="AK266" s="522">
        <f t="shared" si="422"/>
        <v>0.28766496452594481</v>
      </c>
      <c r="AL266" s="522">
        <f t="shared" si="392"/>
        <v>1016400</v>
      </c>
      <c r="AM266" s="522">
        <f t="shared" si="342"/>
        <v>0</v>
      </c>
      <c r="AN266" s="522">
        <f t="shared" si="342"/>
        <v>0</v>
      </c>
      <c r="AO266" s="522">
        <f t="shared" si="410"/>
        <v>0</v>
      </c>
      <c r="AP266" s="522">
        <v>0</v>
      </c>
      <c r="AQ266" s="578">
        <v>0</v>
      </c>
      <c r="AR266" s="578">
        <v>0</v>
      </c>
      <c r="AS266" s="578">
        <v>0</v>
      </c>
      <c r="AT266" s="578">
        <v>0</v>
      </c>
      <c r="AU266" s="578">
        <f t="shared" si="375"/>
        <v>1013484.5549999999</v>
      </c>
      <c r="AV266" s="578">
        <f t="shared" si="375"/>
        <v>1013484.56</v>
      </c>
      <c r="AW266" s="578">
        <f t="shared" si="411"/>
        <v>5.0000001210719347E-3</v>
      </c>
      <c r="AX266" s="578">
        <f t="shared" si="424"/>
        <v>4.9334745710893912E-7</v>
      </c>
      <c r="AY266" s="578">
        <f t="shared" si="376"/>
        <v>1016400</v>
      </c>
      <c r="AZ266" s="578">
        <f t="shared" si="412"/>
        <v>-2915.4399999999441</v>
      </c>
      <c r="BA266" s="578">
        <f t="shared" si="425"/>
        <v>-0.28683982683982379</v>
      </c>
      <c r="BB266" s="578">
        <v>0</v>
      </c>
      <c r="BC266" s="576">
        <f>'[67]Дир_по корп'!AT54</f>
        <v>0</v>
      </c>
      <c r="BD266" s="576">
        <f t="shared" si="389"/>
        <v>0</v>
      </c>
      <c r="BE266" s="576">
        <f t="shared" si="413"/>
        <v>0</v>
      </c>
      <c r="BF266" s="576">
        <f t="shared" si="414"/>
        <v>0</v>
      </c>
      <c r="BG266" s="576">
        <f t="shared" si="398"/>
        <v>0</v>
      </c>
      <c r="BH266" s="578">
        <f t="shared" si="398"/>
        <v>0</v>
      </c>
      <c r="BI266" s="578"/>
      <c r="BJ266" s="578">
        <f t="shared" si="415"/>
        <v>0</v>
      </c>
      <c r="BK266" s="578">
        <f t="shared" si="416"/>
        <v>0</v>
      </c>
      <c r="BL266" s="576">
        <v>1013484.5549999999</v>
      </c>
      <c r="BM266" s="578">
        <f>'[67]Дир_по корп'!AW54</f>
        <v>1013484.56</v>
      </c>
      <c r="BN266" s="522">
        <f t="shared" si="390"/>
        <v>1016400</v>
      </c>
      <c r="BO266" s="578">
        <f t="shared" si="426"/>
        <v>2915.4450000000652</v>
      </c>
      <c r="BP266" s="578">
        <f t="shared" si="417"/>
        <v>2915.4399999999441</v>
      </c>
      <c r="BQ266" s="576">
        <v>1013484.5549999999</v>
      </c>
      <c r="BR266" s="578">
        <f>'[67]Дир_по корп'!BB54</f>
        <v>0</v>
      </c>
      <c r="BS266" s="578">
        <f>'[67]Дир_по корп'!BC54</f>
        <v>0</v>
      </c>
      <c r="BT266" s="536"/>
      <c r="BU266" s="578"/>
      <c r="BV266" s="578"/>
      <c r="BW266" s="586">
        <v>1016400</v>
      </c>
      <c r="BX266" s="574"/>
      <c r="BY266" s="522">
        <v>802298.07</v>
      </c>
      <c r="BZ266" s="522">
        <f>43670.86+159318.64</f>
        <v>202989.5</v>
      </c>
      <c r="CA266" s="522">
        <v>11112.43</v>
      </c>
      <c r="CB266" s="522">
        <f t="shared" si="391"/>
        <v>1016400</v>
      </c>
      <c r="CC266" s="522">
        <f t="shared" si="418"/>
        <v>0</v>
      </c>
      <c r="CD266" s="578"/>
      <c r="CE266" s="578"/>
      <c r="CF266" s="578"/>
      <c r="CG266" s="578"/>
      <c r="CH266" s="578"/>
      <c r="CI266" s="578"/>
      <c r="CJ266" s="578"/>
      <c r="CK266" s="543" t="s">
        <v>80</v>
      </c>
      <c r="CL266" s="543" t="s">
        <v>1897</v>
      </c>
      <c r="CM266" s="528" t="s">
        <v>1959</v>
      </c>
      <c r="CN266" s="528"/>
      <c r="CO266" s="528"/>
      <c r="CP266" s="544">
        <f t="shared" si="394"/>
        <v>935061.57648482639</v>
      </c>
      <c r="CQ266" s="544">
        <f t="shared" si="395"/>
        <v>68683.323351444997</v>
      </c>
      <c r="CR266" s="544">
        <f t="shared" si="396"/>
        <v>9739.6551637286175</v>
      </c>
      <c r="CS266" s="1688" t="s">
        <v>1826</v>
      </c>
      <c r="CT266" s="1689"/>
      <c r="CU266" s="1689"/>
      <c r="CV266" s="1689"/>
      <c r="CW266" s="1690"/>
      <c r="CX266" s="528"/>
      <c r="CY266" s="528"/>
      <c r="CZ266" s="528"/>
      <c r="DA266" s="528"/>
      <c r="DB266" s="579"/>
      <c r="DC266" s="628" t="e">
        <f>P266-#REF!</f>
        <v>#REF!</v>
      </c>
      <c r="DD266" s="575"/>
      <c r="DE266" s="575"/>
      <c r="DF266" s="522">
        <f t="shared" si="350"/>
        <v>802.29806999999994</v>
      </c>
      <c r="DG266" s="522">
        <f t="shared" si="350"/>
        <v>202.98949999999999</v>
      </c>
      <c r="DH266" s="522">
        <f t="shared" si="350"/>
        <v>11.11243</v>
      </c>
      <c r="DI266" s="522">
        <f t="shared" si="348"/>
        <v>1016.4</v>
      </c>
      <c r="DJ266" s="536"/>
      <c r="DK266" s="536"/>
      <c r="DL266" s="536"/>
      <c r="DM266" s="536"/>
      <c r="DN266" s="536"/>
      <c r="DO266" s="536"/>
      <c r="DP266" s="536"/>
      <c r="DQ266" s="536"/>
      <c r="DR266" s="536"/>
      <c r="DS266" s="536"/>
    </row>
    <row r="267" spans="1:123" s="534" customFormat="1" ht="84.6">
      <c r="A267" s="537" t="s">
        <v>1387</v>
      </c>
      <c r="B267" s="538" t="s">
        <v>1388</v>
      </c>
      <c r="C267" s="576">
        <v>1751498.73</v>
      </c>
      <c r="D267" s="576"/>
      <c r="E267" s="649">
        <v>1155000</v>
      </c>
      <c r="F267" s="649">
        <v>3370360.43</v>
      </c>
      <c r="G267" s="577">
        <v>0</v>
      </c>
      <c r="H267" s="577">
        <v>0</v>
      </c>
      <c r="I267" s="578">
        <f t="shared" si="385"/>
        <v>3484280.2</v>
      </c>
      <c r="J267" s="578">
        <v>2362519.54</v>
      </c>
      <c r="K267" s="578">
        <v>556889.32999999996</v>
      </c>
      <c r="L267" s="578">
        <v>564871.32999999996</v>
      </c>
      <c r="M267" s="578">
        <f t="shared" si="386"/>
        <v>2919408.87</v>
      </c>
      <c r="N267" s="578">
        <v>3220943.32</v>
      </c>
      <c r="O267" s="522">
        <f t="shared" si="387"/>
        <v>387166.5700000003</v>
      </c>
      <c r="P267" s="522">
        <v>3608109.89</v>
      </c>
      <c r="Q267" s="576">
        <f t="shared" si="399"/>
        <v>123829.68999999994</v>
      </c>
      <c r="R267" s="576">
        <f t="shared" si="400"/>
        <v>3.5539532670191107</v>
      </c>
      <c r="S267" s="576"/>
      <c r="T267" s="576"/>
      <c r="U267" s="522">
        <f t="shared" si="388"/>
        <v>4513615.24</v>
      </c>
      <c r="V267" s="522">
        <f t="shared" si="397"/>
        <v>4513615.24</v>
      </c>
      <c r="W267" s="522">
        <v>0</v>
      </c>
      <c r="X267" s="522">
        <f t="shared" si="401"/>
        <v>905505.35000000009</v>
      </c>
      <c r="Y267" s="522">
        <f t="shared" si="402"/>
        <v>25.096390564756319</v>
      </c>
      <c r="Z267" s="524">
        <f t="shared" si="403"/>
        <v>5349713.0600000005</v>
      </c>
      <c r="AA267" s="522">
        <f t="shared" si="404"/>
        <v>5349713.0600000005</v>
      </c>
      <c r="AB267" s="522">
        <v>0</v>
      </c>
      <c r="AC267" s="522">
        <f t="shared" si="405"/>
        <v>836097.8200000003</v>
      </c>
      <c r="AD267" s="522">
        <f t="shared" si="420"/>
        <v>18.523905462531204</v>
      </c>
      <c r="AE267" s="522">
        <f t="shared" si="406"/>
        <v>1741603.1700000004</v>
      </c>
      <c r="AF267" s="522">
        <f t="shared" si="407"/>
        <v>48.269127690010578</v>
      </c>
      <c r="AG267" s="522">
        <f t="shared" si="419"/>
        <v>5956767.7699999996</v>
      </c>
      <c r="AH267" s="522">
        <f t="shared" si="408"/>
        <v>1443152.5299999993</v>
      </c>
      <c r="AI267" s="522">
        <f t="shared" si="421"/>
        <v>31.973317468681699</v>
      </c>
      <c r="AJ267" s="522">
        <f t="shared" si="409"/>
        <v>607054.70999999903</v>
      </c>
      <c r="AK267" s="522">
        <f t="shared" si="422"/>
        <v>11.347425613141198</v>
      </c>
      <c r="AL267" s="522">
        <f t="shared" si="392"/>
        <v>5956767.7699999996</v>
      </c>
      <c r="AM267" s="522">
        <f t="shared" si="342"/>
        <v>2349388.7199999997</v>
      </c>
      <c r="AN267" s="522">
        <f t="shared" si="342"/>
        <v>2525886.54</v>
      </c>
      <c r="AO267" s="522">
        <f t="shared" si="410"/>
        <v>176497.8200000003</v>
      </c>
      <c r="AP267" s="522">
        <f t="shared" si="423"/>
        <v>7.512499676937253</v>
      </c>
      <c r="AQ267" s="578">
        <v>1258746.71</v>
      </c>
      <c r="AR267" s="578">
        <v>1484949.64</v>
      </c>
      <c r="AS267" s="578">
        <v>1090642.01</v>
      </c>
      <c r="AT267" s="578">
        <v>1040936.9000000001</v>
      </c>
      <c r="AU267" s="578">
        <f t="shared" si="375"/>
        <v>2164226.52</v>
      </c>
      <c r="AV267" s="578">
        <f t="shared" si="375"/>
        <v>2823826.52</v>
      </c>
      <c r="AW267" s="578">
        <f t="shared" si="411"/>
        <v>659600</v>
      </c>
      <c r="AX267" s="578">
        <f t="shared" si="424"/>
        <v>30.477401228777126</v>
      </c>
      <c r="AY267" s="578">
        <f t="shared" si="376"/>
        <v>3430881.2299999995</v>
      </c>
      <c r="AZ267" s="578">
        <f t="shared" si="412"/>
        <v>-607054.7099999995</v>
      </c>
      <c r="BA267" s="578">
        <f t="shared" si="425"/>
        <v>-17.693842173603883</v>
      </c>
      <c r="BB267" s="578">
        <v>1097897.21</v>
      </c>
      <c r="BC267" s="576">
        <f>'[67]Дир_по корп'!AT32</f>
        <v>1597897.21</v>
      </c>
      <c r="BD267" s="576">
        <f t="shared" si="389"/>
        <v>950519.75999999978</v>
      </c>
      <c r="BE267" s="576">
        <f t="shared" si="413"/>
        <v>-147377.45000000019</v>
      </c>
      <c r="BF267" s="576">
        <f t="shared" si="414"/>
        <v>-647377.45000000019</v>
      </c>
      <c r="BG267" s="576">
        <f t="shared" si="398"/>
        <v>3447285.9299999997</v>
      </c>
      <c r="BH267" s="578">
        <f t="shared" si="398"/>
        <v>4123783.75</v>
      </c>
      <c r="BI267" s="578">
        <v>3476406.3</v>
      </c>
      <c r="BJ267" s="578">
        <f t="shared" si="415"/>
        <v>29120.370000000112</v>
      </c>
      <c r="BK267" s="578">
        <f t="shared" si="416"/>
        <v>-647377.45000000019</v>
      </c>
      <c r="BL267" s="576">
        <v>1066329.31</v>
      </c>
      <c r="BM267" s="578">
        <f>'[67]Дир_по корп'!AW32</f>
        <v>1225929.31</v>
      </c>
      <c r="BN267" s="522">
        <f t="shared" si="390"/>
        <v>2480361.4699999997</v>
      </c>
      <c r="BO267" s="578">
        <f t="shared" si="426"/>
        <v>1414032.1599999997</v>
      </c>
      <c r="BP267" s="578">
        <f t="shared" si="417"/>
        <v>1254432.1599999997</v>
      </c>
      <c r="BQ267" s="576">
        <v>1066329.31</v>
      </c>
      <c r="BR267" s="578">
        <f>'[67]Дир_по корп'!BB32</f>
        <v>0</v>
      </c>
      <c r="BS267" s="578">
        <f>'[67]Дир_по корп'!BC32</f>
        <v>0</v>
      </c>
      <c r="BT267" s="536"/>
      <c r="BU267" s="578"/>
      <c r="BV267" s="578"/>
      <c r="BW267" s="586">
        <v>5956767.7699999996</v>
      </c>
      <c r="BX267" s="574"/>
      <c r="BY267" s="522">
        <v>2887389.06</v>
      </c>
      <c r="BZ267" s="522">
        <f>57054.23+129804.02</f>
        <v>186858.25</v>
      </c>
      <c r="CA267" s="522">
        <v>2882520.46</v>
      </c>
      <c r="CB267" s="522">
        <f t="shared" si="391"/>
        <v>5956767.7699999996</v>
      </c>
      <c r="CC267" s="522">
        <f t="shared" si="418"/>
        <v>0</v>
      </c>
      <c r="CD267" s="578"/>
      <c r="CE267" s="578"/>
      <c r="CF267" s="578"/>
      <c r="CG267" s="578"/>
      <c r="CH267" s="578"/>
      <c r="CI267" s="578"/>
      <c r="CJ267" s="578"/>
      <c r="CK267" s="543" t="s">
        <v>80</v>
      </c>
      <c r="CL267" s="543" t="s">
        <v>1936</v>
      </c>
      <c r="CM267" s="528" t="s">
        <v>1959</v>
      </c>
      <c r="CN267" s="528" t="s">
        <v>1849</v>
      </c>
      <c r="CO267" s="528"/>
      <c r="CP267" s="544">
        <f t="shared" si="394"/>
        <v>4164353.7251145756</v>
      </c>
      <c r="CQ267" s="544">
        <f t="shared" si="395"/>
        <v>305885.36695848324</v>
      </c>
      <c r="CR267" s="544">
        <f t="shared" si="396"/>
        <v>43376.147926941216</v>
      </c>
      <c r="CS267" s="1688" t="s">
        <v>1826</v>
      </c>
      <c r="CT267" s="1689"/>
      <c r="CU267" s="1689"/>
      <c r="CV267" s="1689"/>
      <c r="CW267" s="1690"/>
      <c r="CX267" s="528"/>
      <c r="CY267" s="528"/>
      <c r="CZ267" s="528"/>
      <c r="DA267" s="528"/>
      <c r="DB267" s="579">
        <v>1484949.64</v>
      </c>
      <c r="DC267" s="628" t="e">
        <f>P267-#REF!</f>
        <v>#REF!</v>
      </c>
      <c r="DD267" s="575"/>
      <c r="DE267" s="575"/>
      <c r="DF267" s="522">
        <f t="shared" si="350"/>
        <v>2887.38906</v>
      </c>
      <c r="DG267" s="522">
        <f t="shared" si="350"/>
        <v>186.85825</v>
      </c>
      <c r="DH267" s="522">
        <f t="shared" si="350"/>
        <v>2882.5204600000002</v>
      </c>
      <c r="DI267" s="522">
        <f t="shared" si="348"/>
        <v>5956.7677699999995</v>
      </c>
      <c r="DJ267" s="536"/>
      <c r="DK267" s="536"/>
      <c r="DL267" s="536"/>
      <c r="DM267" s="536"/>
      <c r="DN267" s="536"/>
      <c r="DO267" s="536"/>
      <c r="DP267" s="536"/>
      <c r="DQ267" s="536"/>
      <c r="DR267" s="536"/>
      <c r="DS267" s="536"/>
    </row>
    <row r="268" spans="1:123" s="534" customFormat="1" ht="60.75" customHeight="1">
      <c r="A268" s="537" t="s">
        <v>1392</v>
      </c>
      <c r="B268" s="672" t="s">
        <v>1393</v>
      </c>
      <c r="C268" s="576">
        <v>22253257.16</v>
      </c>
      <c r="D268" s="576"/>
      <c r="E268" s="649">
        <v>1200000</v>
      </c>
      <c r="F268" s="649">
        <v>1865191.94</v>
      </c>
      <c r="G268" s="577">
        <v>0</v>
      </c>
      <c r="H268" s="577">
        <v>0</v>
      </c>
      <c r="I268" s="578">
        <f t="shared" si="385"/>
        <v>10889186.210000001</v>
      </c>
      <c r="J268" s="578">
        <v>7539186.21</v>
      </c>
      <c r="K268" s="578">
        <v>1350000</v>
      </c>
      <c r="L268" s="578">
        <v>2000000</v>
      </c>
      <c r="M268" s="578">
        <f t="shared" si="386"/>
        <v>8889186.2100000009</v>
      </c>
      <c r="N268" s="578">
        <v>8889486.2100000009</v>
      </c>
      <c r="O268" s="522">
        <f t="shared" si="387"/>
        <v>3590500</v>
      </c>
      <c r="P268" s="522">
        <v>12479986.210000001</v>
      </c>
      <c r="Q268" s="576">
        <f t="shared" si="399"/>
        <v>1590800</v>
      </c>
      <c r="R268" s="576">
        <f t="shared" si="400"/>
        <v>14.608988856661313</v>
      </c>
      <c r="S268" s="576"/>
      <c r="T268" s="576"/>
      <c r="U268" s="522">
        <f t="shared" si="388"/>
        <v>8483543.1999999993</v>
      </c>
      <c r="V268" s="522">
        <f t="shared" si="397"/>
        <v>8483543.1999999993</v>
      </c>
      <c r="W268" s="522">
        <v>0</v>
      </c>
      <c r="X268" s="522">
        <f t="shared" si="401"/>
        <v>-3996443.0100000016</v>
      </c>
      <c r="Y268" s="522">
        <f t="shared" si="402"/>
        <v>-32.02281591303138</v>
      </c>
      <c r="Z268" s="524">
        <f t="shared" si="403"/>
        <v>17359862.059999999</v>
      </c>
      <c r="AA268" s="522">
        <f t="shared" si="404"/>
        <v>17359862.059999999</v>
      </c>
      <c r="AB268" s="522">
        <v>0</v>
      </c>
      <c r="AC268" s="522">
        <f t="shared" si="405"/>
        <v>8876318.8599999994</v>
      </c>
      <c r="AD268" s="522">
        <f t="shared" si="420"/>
        <v>104.62985395064646</v>
      </c>
      <c r="AE268" s="522">
        <f t="shared" si="406"/>
        <v>4879875.8499999978</v>
      </c>
      <c r="AF268" s="522">
        <f t="shared" si="407"/>
        <v>39.101612516925996</v>
      </c>
      <c r="AG268" s="522">
        <f t="shared" si="419"/>
        <v>20329774.300000001</v>
      </c>
      <c r="AH268" s="522">
        <f t="shared" si="408"/>
        <v>11846231.100000001</v>
      </c>
      <c r="AI268" s="522">
        <f t="shared" si="421"/>
        <v>139.63777658372746</v>
      </c>
      <c r="AJ268" s="522">
        <f t="shared" si="409"/>
        <v>2969912.2400000021</v>
      </c>
      <c r="AK268" s="522">
        <f t="shared" si="422"/>
        <v>17.107925337973583</v>
      </c>
      <c r="AL268" s="522">
        <f t="shared" si="392"/>
        <v>20329774.300000001</v>
      </c>
      <c r="AM268" s="522">
        <f t="shared" si="342"/>
        <v>6483543.2000000002</v>
      </c>
      <c r="AN268" s="522">
        <f t="shared" si="342"/>
        <v>5959862.0599999996</v>
      </c>
      <c r="AO268" s="522">
        <f t="shared" si="410"/>
        <v>-523681.1400000006</v>
      </c>
      <c r="AP268" s="522">
        <f t="shared" si="423"/>
        <v>-8.0770826050792834</v>
      </c>
      <c r="AQ268" s="578">
        <f>800000+1500000+3183543.2</f>
        <v>5483543.2000000002</v>
      </c>
      <c r="AR268" s="578">
        <v>4959362.0599999996</v>
      </c>
      <c r="AS268" s="578">
        <f>1500000-500000</f>
        <v>1000000</v>
      </c>
      <c r="AT268" s="578">
        <v>1000500</v>
      </c>
      <c r="AU268" s="578">
        <f t="shared" si="375"/>
        <v>2000000</v>
      </c>
      <c r="AV268" s="578">
        <f t="shared" si="375"/>
        <v>11400000</v>
      </c>
      <c r="AW268" s="578">
        <f t="shared" si="411"/>
        <v>9400000</v>
      </c>
      <c r="AX268" s="578">
        <f t="shared" si="424"/>
        <v>470</v>
      </c>
      <c r="AY268" s="578">
        <f t="shared" si="376"/>
        <v>14369912.240000002</v>
      </c>
      <c r="AZ268" s="578">
        <f t="shared" si="412"/>
        <v>-2969912.2400000021</v>
      </c>
      <c r="BA268" s="578">
        <f t="shared" si="425"/>
        <v>-20.667573958684116</v>
      </c>
      <c r="BB268" s="578">
        <f>1200000-200000</f>
        <v>1000000</v>
      </c>
      <c r="BC268" s="576">
        <f>'[67]Дир_по корп'!AT33</f>
        <v>6400000</v>
      </c>
      <c r="BD268" s="576">
        <f t="shared" si="389"/>
        <v>330000</v>
      </c>
      <c r="BE268" s="576">
        <f t="shared" si="413"/>
        <v>-670000</v>
      </c>
      <c r="BF268" s="576">
        <f t="shared" si="414"/>
        <v>-6070000</v>
      </c>
      <c r="BG268" s="576">
        <f t="shared" si="398"/>
        <v>7483543.2000000002</v>
      </c>
      <c r="BH268" s="578">
        <f t="shared" si="398"/>
        <v>12359862.059999999</v>
      </c>
      <c r="BI268" s="578">
        <v>6289862.0599999996</v>
      </c>
      <c r="BJ268" s="578">
        <f t="shared" si="415"/>
        <v>-1193681.1400000006</v>
      </c>
      <c r="BK268" s="578">
        <f t="shared" si="416"/>
        <v>-6069999.9999999991</v>
      </c>
      <c r="BL268" s="576">
        <f>1200000-200000</f>
        <v>1000000</v>
      </c>
      <c r="BM268" s="578">
        <f>'[67]Дир_по корп'!AW33</f>
        <v>5000000</v>
      </c>
      <c r="BN268" s="522">
        <f t="shared" si="390"/>
        <v>14039912.240000002</v>
      </c>
      <c r="BO268" s="578">
        <f t="shared" si="426"/>
        <v>13039912.240000002</v>
      </c>
      <c r="BP268" s="578">
        <f t="shared" si="417"/>
        <v>9039912.2400000021</v>
      </c>
      <c r="BQ268" s="576">
        <f>1200000-200000</f>
        <v>1000000</v>
      </c>
      <c r="BR268" s="578">
        <f>'[67]Дир_по корп'!BB33</f>
        <v>0</v>
      </c>
      <c r="BS268" s="578">
        <f>'[67]Дир_по корп'!BC33</f>
        <v>0</v>
      </c>
      <c r="BT268" s="536"/>
      <c r="BU268" s="578"/>
      <c r="BV268" s="578"/>
      <c r="BW268" s="586">
        <v>20329774.300000001</v>
      </c>
      <c r="BX268" s="629"/>
      <c r="BY268" s="522">
        <v>2429274.2999999998</v>
      </c>
      <c r="BZ268" s="522">
        <v>17900000</v>
      </c>
      <c r="CA268" s="522">
        <v>500</v>
      </c>
      <c r="CB268" s="522">
        <f t="shared" si="391"/>
        <v>20329774.300000001</v>
      </c>
      <c r="CC268" s="522">
        <f t="shared" si="418"/>
        <v>0</v>
      </c>
      <c r="CD268" s="578"/>
      <c r="CE268" s="578"/>
      <c r="CF268" s="578"/>
      <c r="CG268" s="578"/>
      <c r="CH268" s="578"/>
      <c r="CI268" s="578"/>
      <c r="CJ268" s="578"/>
      <c r="CK268" s="543" t="s">
        <v>80</v>
      </c>
      <c r="CL268" s="542" t="s">
        <v>1936</v>
      </c>
      <c r="CM268" s="528" t="s">
        <v>1959</v>
      </c>
      <c r="CN268" s="528" t="s">
        <v>1849</v>
      </c>
      <c r="CO268" s="528"/>
      <c r="CP268" s="544">
        <f t="shared" si="394"/>
        <v>7827090.4471446322</v>
      </c>
      <c r="CQ268" s="544">
        <f t="shared" si="395"/>
        <v>574925.32855772274</v>
      </c>
      <c r="CR268" s="544">
        <f t="shared" si="396"/>
        <v>81527.424297644873</v>
      </c>
      <c r="CS268" s="1688" t="s">
        <v>1826</v>
      </c>
      <c r="CT268" s="1689"/>
      <c r="CU268" s="1689"/>
      <c r="CV268" s="1689"/>
      <c r="CW268" s="1690"/>
      <c r="CX268" s="528"/>
      <c r="CY268" s="528"/>
      <c r="CZ268" s="528"/>
      <c r="DA268" s="528"/>
      <c r="DB268" s="660">
        <v>4959362.0599999996</v>
      </c>
      <c r="DC268" s="628" t="e">
        <f>P268-#REF!</f>
        <v>#REF!</v>
      </c>
      <c r="DD268" s="575"/>
      <c r="DE268" s="575"/>
      <c r="DF268" s="522">
        <f t="shared" si="350"/>
        <v>2429.2743</v>
      </c>
      <c r="DG268" s="522">
        <f t="shared" si="350"/>
        <v>17900</v>
      </c>
      <c r="DH268" s="522">
        <f t="shared" si="350"/>
        <v>0.5</v>
      </c>
      <c r="DI268" s="522">
        <f t="shared" si="348"/>
        <v>20329.774300000001</v>
      </c>
      <c r="DJ268" s="536"/>
      <c r="DK268" s="536"/>
      <c r="DL268" s="536"/>
      <c r="DM268" s="536"/>
      <c r="DN268" s="536"/>
      <c r="DO268" s="536"/>
      <c r="DP268" s="536"/>
      <c r="DQ268" s="536"/>
      <c r="DR268" s="536"/>
      <c r="DS268" s="536"/>
    </row>
    <row r="269" spans="1:123" s="534" customFormat="1" ht="46.5" customHeight="1">
      <c r="A269" s="537" t="s">
        <v>1966</v>
      </c>
      <c r="B269" s="538" t="s">
        <v>1438</v>
      </c>
      <c r="C269" s="576"/>
      <c r="D269" s="576"/>
      <c r="E269" s="576">
        <v>891000</v>
      </c>
      <c r="F269" s="576">
        <v>0</v>
      </c>
      <c r="G269" s="577">
        <v>0</v>
      </c>
      <c r="H269" s="577">
        <v>0</v>
      </c>
      <c r="I269" s="578">
        <f t="shared" si="385"/>
        <v>0</v>
      </c>
      <c r="J269" s="578">
        <v>0</v>
      </c>
      <c r="K269" s="578">
        <v>0</v>
      </c>
      <c r="L269" s="578">
        <v>0</v>
      </c>
      <c r="M269" s="578">
        <f t="shared" si="386"/>
        <v>0</v>
      </c>
      <c r="N269" s="578"/>
      <c r="O269" s="522">
        <f t="shared" si="387"/>
        <v>276444</v>
      </c>
      <c r="P269" s="522">
        <v>276444</v>
      </c>
      <c r="Q269" s="576">
        <f t="shared" si="399"/>
        <v>276444</v>
      </c>
      <c r="R269" s="576">
        <v>0</v>
      </c>
      <c r="S269" s="576"/>
      <c r="T269" s="576"/>
      <c r="U269" s="522">
        <f t="shared" si="388"/>
        <v>0</v>
      </c>
      <c r="V269" s="522">
        <f t="shared" si="397"/>
        <v>0</v>
      </c>
      <c r="W269" s="522">
        <v>0</v>
      </c>
      <c r="X269" s="522">
        <f t="shared" si="401"/>
        <v>-276444</v>
      </c>
      <c r="Y269" s="522">
        <f t="shared" si="402"/>
        <v>-100</v>
      </c>
      <c r="Z269" s="524">
        <f t="shared" si="403"/>
        <v>450000</v>
      </c>
      <c r="AA269" s="522">
        <f t="shared" si="404"/>
        <v>450000</v>
      </c>
      <c r="AB269" s="522">
        <v>0</v>
      </c>
      <c r="AC269" s="522">
        <f t="shared" si="405"/>
        <v>450000</v>
      </c>
      <c r="AD269" s="522">
        <v>0</v>
      </c>
      <c r="AE269" s="522">
        <f t="shared" si="406"/>
        <v>173556</v>
      </c>
      <c r="AF269" s="522">
        <f t="shared" si="407"/>
        <v>62.781612189087099</v>
      </c>
      <c r="AG269" s="522">
        <f t="shared" si="419"/>
        <v>450000</v>
      </c>
      <c r="AH269" s="522">
        <f t="shared" si="408"/>
        <v>450000</v>
      </c>
      <c r="AI269" s="522">
        <v>0</v>
      </c>
      <c r="AJ269" s="522">
        <f t="shared" si="409"/>
        <v>0</v>
      </c>
      <c r="AK269" s="522">
        <f t="shared" si="422"/>
        <v>0</v>
      </c>
      <c r="AL269" s="522">
        <f t="shared" si="392"/>
        <v>450000</v>
      </c>
      <c r="AM269" s="522">
        <f t="shared" si="342"/>
        <v>0</v>
      </c>
      <c r="AN269" s="522">
        <f t="shared" si="342"/>
        <v>450000</v>
      </c>
      <c r="AO269" s="522">
        <f t="shared" si="410"/>
        <v>450000</v>
      </c>
      <c r="AP269" s="522">
        <v>0</v>
      </c>
      <c r="AQ269" s="578">
        <v>0</v>
      </c>
      <c r="AR269" s="578">
        <v>0</v>
      </c>
      <c r="AS269" s="578">
        <v>0</v>
      </c>
      <c r="AT269" s="578">
        <v>450000</v>
      </c>
      <c r="AU269" s="578">
        <f t="shared" si="375"/>
        <v>0</v>
      </c>
      <c r="AV269" s="578">
        <f t="shared" si="375"/>
        <v>0</v>
      </c>
      <c r="AW269" s="578">
        <f t="shared" si="411"/>
        <v>0</v>
      </c>
      <c r="AX269" s="578">
        <v>0</v>
      </c>
      <c r="AY269" s="578">
        <f t="shared" si="376"/>
        <v>0</v>
      </c>
      <c r="AZ269" s="578">
        <f t="shared" si="412"/>
        <v>0</v>
      </c>
      <c r="BA269" s="578">
        <v>0</v>
      </c>
      <c r="BB269" s="578">
        <v>0</v>
      </c>
      <c r="BC269" s="576">
        <f>'[67]Гл инж_Тех дир'!AT19</f>
        <v>0</v>
      </c>
      <c r="BD269" s="576">
        <f t="shared" si="389"/>
        <v>0</v>
      </c>
      <c r="BE269" s="576">
        <f t="shared" si="413"/>
        <v>0</v>
      </c>
      <c r="BF269" s="576">
        <f t="shared" si="414"/>
        <v>0</v>
      </c>
      <c r="BG269" s="576">
        <f t="shared" si="398"/>
        <v>0</v>
      </c>
      <c r="BH269" s="578">
        <f t="shared" si="398"/>
        <v>450000</v>
      </c>
      <c r="BI269" s="578">
        <v>450000</v>
      </c>
      <c r="BJ269" s="578">
        <f t="shared" si="415"/>
        <v>450000</v>
      </c>
      <c r="BK269" s="578">
        <f t="shared" si="416"/>
        <v>0</v>
      </c>
      <c r="BL269" s="576">
        <v>0</v>
      </c>
      <c r="BM269" s="578">
        <f>'[67]Гл инж_Тех дир'!AW19</f>
        <v>0</v>
      </c>
      <c r="BN269" s="522">
        <f t="shared" si="390"/>
        <v>0</v>
      </c>
      <c r="BO269" s="578">
        <f t="shared" si="426"/>
        <v>0</v>
      </c>
      <c r="BP269" s="578">
        <f t="shared" si="417"/>
        <v>0</v>
      </c>
      <c r="BQ269" s="576">
        <v>0</v>
      </c>
      <c r="BR269" s="578">
        <f>'[67]Гл инж_Тех дир'!BB19</f>
        <v>0</v>
      </c>
      <c r="BS269" s="578">
        <f>'[67]Гл инж_Тех дир'!BC19</f>
        <v>0</v>
      </c>
      <c r="BT269" s="536"/>
      <c r="BU269" s="578"/>
      <c r="BV269" s="578"/>
      <c r="BW269" s="586">
        <v>450000</v>
      </c>
      <c r="BX269" s="629"/>
      <c r="BY269" s="522">
        <v>374732.7</v>
      </c>
      <c r="BZ269" s="522">
        <f>4090.45+65807.8</f>
        <v>69898.25</v>
      </c>
      <c r="CA269" s="522">
        <v>5369.05</v>
      </c>
      <c r="CB269" s="522">
        <f t="shared" si="391"/>
        <v>450000</v>
      </c>
      <c r="CC269" s="522">
        <f t="shared" si="418"/>
        <v>0</v>
      </c>
      <c r="CD269" s="578"/>
      <c r="CE269" s="578"/>
      <c r="CF269" s="578"/>
      <c r="CG269" s="578"/>
      <c r="CH269" s="578"/>
      <c r="CI269" s="578"/>
      <c r="CJ269" s="578"/>
      <c r="CK269" s="542" t="s">
        <v>79</v>
      </c>
      <c r="CL269" s="543" t="s">
        <v>1803</v>
      </c>
      <c r="CM269" s="528" t="s">
        <v>1959</v>
      </c>
      <c r="CN269" s="528"/>
      <c r="CO269" s="528"/>
      <c r="CP269" s="544">
        <f t="shared" si="394"/>
        <v>0</v>
      </c>
      <c r="CQ269" s="544">
        <f t="shared" si="395"/>
        <v>0</v>
      </c>
      <c r="CR269" s="544">
        <f t="shared" si="396"/>
        <v>0</v>
      </c>
      <c r="CS269" s="1688" t="s">
        <v>1826</v>
      </c>
      <c r="CT269" s="1689"/>
      <c r="CU269" s="1689"/>
      <c r="CV269" s="1689"/>
      <c r="CW269" s="1690"/>
      <c r="CX269" s="528"/>
      <c r="CY269" s="528"/>
      <c r="CZ269" s="528"/>
      <c r="DA269" s="528"/>
      <c r="DB269" s="579"/>
      <c r="DC269" s="628" t="e">
        <f>P269-#REF!</f>
        <v>#REF!</v>
      </c>
      <c r="DD269" s="575"/>
      <c r="DE269" s="575"/>
      <c r="DF269" s="522">
        <f t="shared" si="350"/>
        <v>374.73270000000002</v>
      </c>
      <c r="DG269" s="522">
        <f t="shared" si="350"/>
        <v>69.898250000000004</v>
      </c>
      <c r="DH269" s="522">
        <f t="shared" si="350"/>
        <v>5.3690500000000005</v>
      </c>
      <c r="DI269" s="522">
        <f t="shared" si="348"/>
        <v>450</v>
      </c>
      <c r="DJ269" s="536"/>
      <c r="DK269" s="536"/>
      <c r="DL269" s="536"/>
      <c r="DM269" s="536"/>
      <c r="DN269" s="536"/>
      <c r="DO269" s="536"/>
      <c r="DP269" s="536"/>
      <c r="DQ269" s="536"/>
      <c r="DR269" s="536"/>
      <c r="DS269" s="536"/>
    </row>
    <row r="270" spans="1:123" s="534" customFormat="1" ht="88.5" customHeight="1">
      <c r="A270" s="537" t="s">
        <v>1967</v>
      </c>
      <c r="B270" s="538" t="s">
        <v>1968</v>
      </c>
      <c r="C270" s="576">
        <v>1736.38</v>
      </c>
      <c r="D270" s="576"/>
      <c r="E270" s="576">
        <v>0</v>
      </c>
      <c r="F270" s="576"/>
      <c r="G270" s="577">
        <v>0</v>
      </c>
      <c r="H270" s="577">
        <v>0</v>
      </c>
      <c r="I270" s="578">
        <f t="shared" si="385"/>
        <v>0</v>
      </c>
      <c r="J270" s="578">
        <v>0</v>
      </c>
      <c r="K270" s="578">
        <v>0</v>
      </c>
      <c r="L270" s="578">
        <v>0</v>
      </c>
      <c r="M270" s="578">
        <f t="shared" si="386"/>
        <v>0</v>
      </c>
      <c r="N270" s="578"/>
      <c r="O270" s="522">
        <f t="shared" si="387"/>
        <v>0</v>
      </c>
      <c r="P270" s="522">
        <v>0</v>
      </c>
      <c r="Q270" s="576">
        <f t="shared" si="399"/>
        <v>0</v>
      </c>
      <c r="R270" s="576">
        <v>0</v>
      </c>
      <c r="S270" s="576"/>
      <c r="T270" s="576"/>
      <c r="U270" s="522">
        <f t="shared" si="388"/>
        <v>0</v>
      </c>
      <c r="V270" s="522">
        <f t="shared" si="397"/>
        <v>0</v>
      </c>
      <c r="W270" s="522">
        <v>0</v>
      </c>
      <c r="X270" s="522">
        <f t="shared" si="401"/>
        <v>0</v>
      </c>
      <c r="Y270" s="522">
        <v>0</v>
      </c>
      <c r="Z270" s="524">
        <f t="shared" si="403"/>
        <v>0</v>
      </c>
      <c r="AA270" s="522">
        <f t="shared" si="404"/>
        <v>0</v>
      </c>
      <c r="AB270" s="522">
        <v>0</v>
      </c>
      <c r="AC270" s="522">
        <f t="shared" si="405"/>
        <v>0</v>
      </c>
      <c r="AD270" s="522">
        <v>0</v>
      </c>
      <c r="AE270" s="522">
        <f t="shared" si="406"/>
        <v>0</v>
      </c>
      <c r="AF270" s="522">
        <v>0</v>
      </c>
      <c r="AG270" s="522">
        <f t="shared" si="419"/>
        <v>0</v>
      </c>
      <c r="AH270" s="522">
        <f t="shared" si="408"/>
        <v>0</v>
      </c>
      <c r="AI270" s="522">
        <v>0</v>
      </c>
      <c r="AJ270" s="522">
        <f t="shared" si="409"/>
        <v>0</v>
      </c>
      <c r="AK270" s="522">
        <v>0</v>
      </c>
      <c r="AL270" s="522">
        <f t="shared" si="392"/>
        <v>0</v>
      </c>
      <c r="AM270" s="522">
        <f t="shared" si="342"/>
        <v>0</v>
      </c>
      <c r="AN270" s="522">
        <f t="shared" si="342"/>
        <v>0</v>
      </c>
      <c r="AO270" s="522">
        <f t="shared" si="410"/>
        <v>0</v>
      </c>
      <c r="AP270" s="522">
        <v>0</v>
      </c>
      <c r="AQ270" s="578">
        <v>0</v>
      </c>
      <c r="AR270" s="578">
        <v>0</v>
      </c>
      <c r="AS270" s="578">
        <v>0</v>
      </c>
      <c r="AT270" s="578">
        <v>0</v>
      </c>
      <c r="AU270" s="578">
        <f t="shared" si="375"/>
        <v>0</v>
      </c>
      <c r="AV270" s="578">
        <f t="shared" si="375"/>
        <v>0</v>
      </c>
      <c r="AW270" s="578">
        <f t="shared" si="411"/>
        <v>0</v>
      </c>
      <c r="AX270" s="578">
        <v>0</v>
      </c>
      <c r="AY270" s="578">
        <f t="shared" si="376"/>
        <v>0</v>
      </c>
      <c r="AZ270" s="578">
        <f t="shared" si="412"/>
        <v>0</v>
      </c>
      <c r="BA270" s="578">
        <v>0</v>
      </c>
      <c r="BB270" s="578">
        <v>0</v>
      </c>
      <c r="BC270" s="576">
        <f>'[67]Дир_по экон'!AT36</f>
        <v>0</v>
      </c>
      <c r="BD270" s="576">
        <f t="shared" si="389"/>
        <v>0</v>
      </c>
      <c r="BE270" s="576">
        <f t="shared" si="413"/>
        <v>0</v>
      </c>
      <c r="BF270" s="576">
        <f t="shared" si="414"/>
        <v>0</v>
      </c>
      <c r="BG270" s="576">
        <f t="shared" si="398"/>
        <v>0</v>
      </c>
      <c r="BH270" s="578">
        <f t="shared" si="398"/>
        <v>0</v>
      </c>
      <c r="BI270" s="578"/>
      <c r="BJ270" s="578">
        <f t="shared" si="415"/>
        <v>0</v>
      </c>
      <c r="BK270" s="578">
        <f t="shared" si="416"/>
        <v>0</v>
      </c>
      <c r="BL270" s="576">
        <v>0</v>
      </c>
      <c r="BM270" s="578">
        <f>'[67]Дир_по экон'!AW36</f>
        <v>0</v>
      </c>
      <c r="BN270" s="522">
        <f t="shared" si="390"/>
        <v>0</v>
      </c>
      <c r="BO270" s="578">
        <f t="shared" si="426"/>
        <v>0</v>
      </c>
      <c r="BP270" s="578">
        <f t="shared" si="417"/>
        <v>0</v>
      </c>
      <c r="BQ270" s="576">
        <v>0</v>
      </c>
      <c r="BR270" s="578">
        <f>'[67]Дир_по экон'!BB36</f>
        <v>0</v>
      </c>
      <c r="BS270" s="578">
        <f>'[67]Дир_по экон'!BC36</f>
        <v>0</v>
      </c>
      <c r="BT270" s="536"/>
      <c r="BU270" s="578"/>
      <c r="BV270" s="578"/>
      <c r="BW270" s="578"/>
      <c r="BX270" s="574"/>
      <c r="BY270" s="522"/>
      <c r="BZ270" s="522"/>
      <c r="CA270" s="522"/>
      <c r="CB270" s="522">
        <f t="shared" si="391"/>
        <v>0</v>
      </c>
      <c r="CC270" s="522">
        <f t="shared" si="418"/>
        <v>0</v>
      </c>
      <c r="CD270" s="578"/>
      <c r="CE270" s="578"/>
      <c r="CF270" s="578"/>
      <c r="CG270" s="578"/>
      <c r="CH270" s="578"/>
      <c r="CI270" s="578"/>
      <c r="CJ270" s="578"/>
      <c r="CK270" s="543" t="s">
        <v>77</v>
      </c>
      <c r="CL270" s="542" t="s">
        <v>1800</v>
      </c>
      <c r="CM270" s="528" t="s">
        <v>1959</v>
      </c>
      <c r="CN270" s="528"/>
      <c r="CO270" s="528"/>
      <c r="CP270" s="544">
        <f t="shared" si="394"/>
        <v>0</v>
      </c>
      <c r="CQ270" s="544">
        <f t="shared" si="395"/>
        <v>0</v>
      </c>
      <c r="CR270" s="544">
        <f t="shared" si="396"/>
        <v>0</v>
      </c>
      <c r="CS270" s="1688" t="s">
        <v>1826</v>
      </c>
      <c r="CT270" s="1689"/>
      <c r="CU270" s="1689"/>
      <c r="CV270" s="1689"/>
      <c r="CW270" s="1690"/>
      <c r="CX270" s="528"/>
      <c r="CY270" s="528"/>
      <c r="CZ270" s="528"/>
      <c r="DA270" s="528"/>
      <c r="DB270" s="579"/>
      <c r="DC270" s="628" t="e">
        <f>P270-#REF!</f>
        <v>#REF!</v>
      </c>
      <c r="DD270" s="575"/>
      <c r="DE270" s="575"/>
      <c r="DF270" s="522">
        <f t="shared" si="350"/>
        <v>0</v>
      </c>
      <c r="DG270" s="522">
        <f t="shared" si="350"/>
        <v>0</v>
      </c>
      <c r="DH270" s="522">
        <f t="shared" si="350"/>
        <v>0</v>
      </c>
      <c r="DI270" s="522">
        <f t="shared" si="348"/>
        <v>0</v>
      </c>
      <c r="DJ270" s="536"/>
      <c r="DK270" s="536"/>
      <c r="DL270" s="536"/>
      <c r="DM270" s="536"/>
      <c r="DN270" s="536"/>
      <c r="DO270" s="536"/>
      <c r="DP270" s="536"/>
      <c r="DQ270" s="536"/>
      <c r="DR270" s="536"/>
      <c r="DS270" s="536"/>
    </row>
    <row r="271" spans="1:123" s="534" customFormat="1" ht="33.75" customHeight="1">
      <c r="A271" s="537" t="s">
        <v>1396</v>
      </c>
      <c r="B271" s="538" t="s">
        <v>1397</v>
      </c>
      <c r="C271" s="576"/>
      <c r="D271" s="576"/>
      <c r="E271" s="576">
        <v>750000</v>
      </c>
      <c r="F271" s="576">
        <v>0</v>
      </c>
      <c r="G271" s="577">
        <v>0</v>
      </c>
      <c r="H271" s="577">
        <v>0</v>
      </c>
      <c r="I271" s="578">
        <f t="shared" si="385"/>
        <v>750000</v>
      </c>
      <c r="J271" s="578">
        <v>0</v>
      </c>
      <c r="K271" s="578">
        <v>0</v>
      </c>
      <c r="L271" s="578">
        <v>750000</v>
      </c>
      <c r="M271" s="578">
        <f t="shared" si="386"/>
        <v>0</v>
      </c>
      <c r="N271" s="578"/>
      <c r="O271" s="522">
        <f t="shared" si="387"/>
        <v>0</v>
      </c>
      <c r="P271" s="522">
        <v>0</v>
      </c>
      <c r="Q271" s="576">
        <f t="shared" si="399"/>
        <v>-750000</v>
      </c>
      <c r="R271" s="576">
        <f t="shared" si="400"/>
        <v>-100</v>
      </c>
      <c r="S271" s="576"/>
      <c r="T271" s="576"/>
      <c r="U271" s="522">
        <f t="shared" si="388"/>
        <v>750000</v>
      </c>
      <c r="V271" s="522">
        <f t="shared" si="397"/>
        <v>750000</v>
      </c>
      <c r="W271" s="522">
        <v>0</v>
      </c>
      <c r="X271" s="522">
        <f t="shared" si="401"/>
        <v>750000</v>
      </c>
      <c r="Y271" s="522">
        <v>0</v>
      </c>
      <c r="Z271" s="524">
        <f t="shared" si="403"/>
        <v>750000</v>
      </c>
      <c r="AA271" s="522">
        <f t="shared" si="404"/>
        <v>750000</v>
      </c>
      <c r="AB271" s="522">
        <v>0</v>
      </c>
      <c r="AC271" s="522">
        <f t="shared" si="405"/>
        <v>0</v>
      </c>
      <c r="AD271" s="522">
        <f t="shared" si="420"/>
        <v>0</v>
      </c>
      <c r="AE271" s="522">
        <f t="shared" si="406"/>
        <v>750000</v>
      </c>
      <c r="AF271" s="522">
        <v>0</v>
      </c>
      <c r="AG271" s="522">
        <f t="shared" si="419"/>
        <v>0</v>
      </c>
      <c r="AH271" s="522">
        <f t="shared" si="408"/>
        <v>-750000</v>
      </c>
      <c r="AI271" s="522">
        <f t="shared" si="421"/>
        <v>-100</v>
      </c>
      <c r="AJ271" s="522">
        <f t="shared" si="409"/>
        <v>-750000</v>
      </c>
      <c r="AK271" s="522">
        <f>AG271/Z271*100-100</f>
        <v>-100</v>
      </c>
      <c r="AL271" s="522">
        <f t="shared" si="392"/>
        <v>0</v>
      </c>
      <c r="AM271" s="522">
        <f t="shared" si="342"/>
        <v>0</v>
      </c>
      <c r="AN271" s="522">
        <f t="shared" si="342"/>
        <v>0</v>
      </c>
      <c r="AO271" s="522">
        <f t="shared" si="410"/>
        <v>0</v>
      </c>
      <c r="AP271" s="522">
        <v>0</v>
      </c>
      <c r="AQ271" s="578">
        <v>0</v>
      </c>
      <c r="AR271" s="578">
        <v>0</v>
      </c>
      <c r="AS271" s="578">
        <v>0</v>
      </c>
      <c r="AT271" s="578">
        <v>0</v>
      </c>
      <c r="AU271" s="578">
        <f t="shared" si="375"/>
        <v>750000</v>
      </c>
      <c r="AV271" s="578">
        <f t="shared" si="375"/>
        <v>750000</v>
      </c>
      <c r="AW271" s="578">
        <f t="shared" si="411"/>
        <v>0</v>
      </c>
      <c r="AX271" s="578">
        <f t="shared" si="424"/>
        <v>0</v>
      </c>
      <c r="AY271" s="578">
        <f t="shared" si="376"/>
        <v>0</v>
      </c>
      <c r="AZ271" s="578">
        <f t="shared" si="412"/>
        <v>750000</v>
      </c>
      <c r="BA271" s="578" t="e">
        <f t="shared" si="425"/>
        <v>#DIV/0!</v>
      </c>
      <c r="BB271" s="578">
        <v>0</v>
      </c>
      <c r="BC271" s="576">
        <f>'[67]Дир_по экон'!AT37</f>
        <v>0</v>
      </c>
      <c r="BD271" s="576">
        <f t="shared" si="389"/>
        <v>0</v>
      </c>
      <c r="BE271" s="576">
        <f t="shared" si="413"/>
        <v>0</v>
      </c>
      <c r="BF271" s="576">
        <f t="shared" si="414"/>
        <v>0</v>
      </c>
      <c r="BG271" s="576">
        <f t="shared" si="398"/>
        <v>0</v>
      </c>
      <c r="BH271" s="578">
        <f t="shared" si="398"/>
        <v>0</v>
      </c>
      <c r="BI271" s="578"/>
      <c r="BJ271" s="578">
        <f t="shared" si="415"/>
        <v>0</v>
      </c>
      <c r="BK271" s="578">
        <f t="shared" si="416"/>
        <v>0</v>
      </c>
      <c r="BL271" s="576">
        <v>750000</v>
      </c>
      <c r="BM271" s="578">
        <f>'[67]Дир_по экон'!AW37</f>
        <v>750000</v>
      </c>
      <c r="BN271" s="522">
        <f t="shared" si="390"/>
        <v>0</v>
      </c>
      <c r="BO271" s="578">
        <f t="shared" si="426"/>
        <v>-750000</v>
      </c>
      <c r="BP271" s="578">
        <f t="shared" si="417"/>
        <v>-750000</v>
      </c>
      <c r="BQ271" s="576">
        <v>750000</v>
      </c>
      <c r="BR271" s="578">
        <f>'[67]Дир_по экон'!BB37</f>
        <v>0</v>
      </c>
      <c r="BS271" s="578">
        <f>'[67]Дир_по экон'!BC37</f>
        <v>0</v>
      </c>
      <c r="BT271" s="536"/>
      <c r="BU271" s="578"/>
      <c r="BV271" s="578"/>
      <c r="BW271" s="578"/>
      <c r="BX271" s="574"/>
      <c r="BY271" s="522"/>
      <c r="BZ271" s="522"/>
      <c r="CA271" s="522"/>
      <c r="CB271" s="522">
        <f t="shared" si="391"/>
        <v>0</v>
      </c>
      <c r="CC271" s="522">
        <f t="shared" si="418"/>
        <v>0</v>
      </c>
      <c r="CD271" s="578"/>
      <c r="CE271" s="578"/>
      <c r="CF271" s="578"/>
      <c r="CG271" s="578"/>
      <c r="CH271" s="578"/>
      <c r="CI271" s="578"/>
      <c r="CJ271" s="578"/>
      <c r="CK271" s="543" t="s">
        <v>77</v>
      </c>
      <c r="CL271" s="542" t="s">
        <v>1800</v>
      </c>
      <c r="CM271" s="528" t="s">
        <v>1959</v>
      </c>
      <c r="CN271" s="528"/>
      <c r="CO271" s="528"/>
      <c r="CP271" s="544">
        <f t="shared" si="394"/>
        <v>691965.33770918672</v>
      </c>
      <c r="CQ271" s="544">
        <f t="shared" si="395"/>
        <v>50827.111532630865</v>
      </c>
      <c r="CR271" s="544">
        <f t="shared" si="396"/>
        <v>7207.5507581824613</v>
      </c>
      <c r="CS271" s="1688" t="s">
        <v>1826</v>
      </c>
      <c r="CT271" s="1689"/>
      <c r="CU271" s="1689"/>
      <c r="CV271" s="1689"/>
      <c r="CW271" s="1690"/>
      <c r="CX271" s="528"/>
      <c r="CY271" s="528"/>
      <c r="CZ271" s="528"/>
      <c r="DA271" s="528"/>
      <c r="DB271" s="579"/>
      <c r="DC271" s="628" t="e">
        <f>P271-#REF!</f>
        <v>#REF!</v>
      </c>
      <c r="DD271" s="575"/>
      <c r="DE271" s="575"/>
      <c r="DF271" s="522">
        <f t="shared" si="350"/>
        <v>0</v>
      </c>
      <c r="DG271" s="522">
        <f t="shared" si="350"/>
        <v>0</v>
      </c>
      <c r="DH271" s="522">
        <f t="shared" si="350"/>
        <v>0</v>
      </c>
      <c r="DI271" s="522">
        <f t="shared" si="348"/>
        <v>0</v>
      </c>
      <c r="DJ271" s="536"/>
      <c r="DK271" s="536"/>
      <c r="DL271" s="536"/>
      <c r="DM271" s="536"/>
      <c r="DN271" s="536"/>
      <c r="DO271" s="536"/>
      <c r="DP271" s="536"/>
      <c r="DQ271" s="536"/>
      <c r="DR271" s="536"/>
      <c r="DS271" s="536"/>
    </row>
    <row r="272" spans="1:123" s="534" customFormat="1" ht="75" customHeight="1">
      <c r="A272" s="537" t="s">
        <v>1969</v>
      </c>
      <c r="B272" s="538" t="s">
        <v>1294</v>
      </c>
      <c r="C272" s="576">
        <v>339587383.10000002</v>
      </c>
      <c r="D272" s="576"/>
      <c r="E272" s="576"/>
      <c r="F272" s="576">
        <v>113480607.59</v>
      </c>
      <c r="G272" s="577">
        <v>0</v>
      </c>
      <c r="H272" s="577">
        <v>0</v>
      </c>
      <c r="I272" s="578">
        <f t="shared" si="385"/>
        <v>263220631.38</v>
      </c>
      <c r="J272" s="578">
        <v>232600631.38</v>
      </c>
      <c r="K272" s="578">
        <v>30620000</v>
      </c>
      <c r="L272" s="578">
        <v>0</v>
      </c>
      <c r="M272" s="578">
        <f t="shared" si="386"/>
        <v>263220631.38</v>
      </c>
      <c r="N272" s="578">
        <v>278724617.06</v>
      </c>
      <c r="O272" s="522">
        <f t="shared" si="387"/>
        <v>86843956.920000017</v>
      </c>
      <c r="P272" s="522">
        <v>365568573.98000002</v>
      </c>
      <c r="Q272" s="576">
        <f t="shared" si="399"/>
        <v>102347942.60000002</v>
      </c>
      <c r="R272" s="576">
        <f t="shared" si="400"/>
        <v>38.882948522467757</v>
      </c>
      <c r="S272" s="576"/>
      <c r="T272" s="576"/>
      <c r="U272" s="522">
        <f t="shared" si="388"/>
        <v>119820000</v>
      </c>
      <c r="V272" s="522">
        <f t="shared" si="397"/>
        <v>119820000</v>
      </c>
      <c r="W272" s="522">
        <v>0</v>
      </c>
      <c r="X272" s="522">
        <f t="shared" si="401"/>
        <v>-245748573.98000002</v>
      </c>
      <c r="Y272" s="522">
        <f t="shared" si="402"/>
        <v>-67.223659655560198</v>
      </c>
      <c r="Z272" s="524">
        <f t="shared" si="403"/>
        <v>309386975.51999998</v>
      </c>
      <c r="AA272" s="522">
        <f t="shared" si="404"/>
        <v>309386975.51999998</v>
      </c>
      <c r="AB272" s="522">
        <v>0</v>
      </c>
      <c r="AC272" s="522">
        <f t="shared" si="405"/>
        <v>189566975.51999998</v>
      </c>
      <c r="AD272" s="522">
        <f t="shared" si="420"/>
        <v>158.20979429143716</v>
      </c>
      <c r="AE272" s="522">
        <f t="shared" si="406"/>
        <v>-56181598.460000038</v>
      </c>
      <c r="AF272" s="522">
        <f t="shared" si="407"/>
        <v>-15.368279020360674</v>
      </c>
      <c r="AG272" s="522">
        <f t="shared" si="419"/>
        <v>561436366.48000002</v>
      </c>
      <c r="AH272" s="522">
        <f t="shared" si="408"/>
        <v>441616366.48000002</v>
      </c>
      <c r="AI272" s="522">
        <f t="shared" si="421"/>
        <v>368.56648846603235</v>
      </c>
      <c r="AJ272" s="522">
        <f t="shared" si="409"/>
        <v>252049390.96000004</v>
      </c>
      <c r="AK272" s="522">
        <f>AG272/Z272*100-100</f>
        <v>81.467356709625477</v>
      </c>
      <c r="AL272" s="522">
        <f t="shared" si="392"/>
        <v>561436366.48000002</v>
      </c>
      <c r="AM272" s="522">
        <f t="shared" si="342"/>
        <v>18920000</v>
      </c>
      <c r="AN272" s="522">
        <f t="shared" si="342"/>
        <v>287386975.51999998</v>
      </c>
      <c r="AO272" s="522">
        <f t="shared" si="410"/>
        <v>268466975.51999998</v>
      </c>
      <c r="AP272" s="522">
        <f t="shared" si="423"/>
        <v>1418.9586443974629</v>
      </c>
      <c r="AQ272" s="578">
        <v>9720000</v>
      </c>
      <c r="AR272" s="578">
        <v>4321692.58</v>
      </c>
      <c r="AS272" s="578">
        <v>9200000</v>
      </c>
      <c r="AT272" s="578">
        <v>283065282.94</v>
      </c>
      <c r="AU272" s="578">
        <f t="shared" si="375"/>
        <v>100900000</v>
      </c>
      <c r="AV272" s="578">
        <f t="shared" si="375"/>
        <v>22000000</v>
      </c>
      <c r="AW272" s="578">
        <f t="shared" si="411"/>
        <v>-78900000</v>
      </c>
      <c r="AX272" s="578">
        <f t="shared" si="424"/>
        <v>-78.196233894945493</v>
      </c>
      <c r="AY272" s="578">
        <f t="shared" si="376"/>
        <v>274049390.96000004</v>
      </c>
      <c r="AZ272" s="578">
        <f t="shared" si="412"/>
        <v>-252049390.96000004</v>
      </c>
      <c r="BA272" s="578">
        <v>0</v>
      </c>
      <c r="BB272" s="578">
        <f>69400000+8500000</f>
        <v>77900000</v>
      </c>
      <c r="BC272" s="576">
        <f>'[67]Дир_по экон'!AT38</f>
        <v>10500000</v>
      </c>
      <c r="BD272" s="576">
        <f t="shared" si="389"/>
        <v>217424819.45000005</v>
      </c>
      <c r="BE272" s="576">
        <f t="shared" si="413"/>
        <v>139524819.45000005</v>
      </c>
      <c r="BF272" s="576">
        <f t="shared" si="414"/>
        <v>206924819.45000005</v>
      </c>
      <c r="BG272" s="576">
        <f t="shared" si="398"/>
        <v>96820000</v>
      </c>
      <c r="BH272" s="578">
        <f t="shared" si="398"/>
        <v>297886975.51999998</v>
      </c>
      <c r="BI272" s="578">
        <v>504811794.97000003</v>
      </c>
      <c r="BJ272" s="578">
        <f t="shared" si="415"/>
        <v>407991794.97000003</v>
      </c>
      <c r="BK272" s="578">
        <f t="shared" si="416"/>
        <v>206924819.45000005</v>
      </c>
      <c r="BL272" s="576">
        <v>23000000</v>
      </c>
      <c r="BM272" s="578">
        <f>'[67]Дир_по экон'!AW38</f>
        <v>11500000</v>
      </c>
      <c r="BN272" s="522">
        <f t="shared" si="390"/>
        <v>56624571.50999999</v>
      </c>
      <c r="BO272" s="578">
        <f t="shared" si="426"/>
        <v>33624571.50999999</v>
      </c>
      <c r="BP272" s="578">
        <f t="shared" si="417"/>
        <v>45124571.50999999</v>
      </c>
      <c r="BQ272" s="576">
        <v>23000000</v>
      </c>
      <c r="BR272" s="578">
        <f>'[67]Дир_по экон'!BB38</f>
        <v>0</v>
      </c>
      <c r="BS272" s="578">
        <f>'[67]Дир_по экон'!BC38</f>
        <v>0</v>
      </c>
      <c r="BT272" s="536"/>
      <c r="BU272" s="578"/>
      <c r="BV272" s="578"/>
      <c r="BW272" s="586">
        <v>561436366.48000002</v>
      </c>
      <c r="BX272" s="574"/>
      <c r="BY272" s="522">
        <v>556178095.29999995</v>
      </c>
      <c r="BZ272" s="522">
        <f>4492.36+3784406.02</f>
        <v>3788898.38</v>
      </c>
      <c r="CA272" s="522">
        <v>1469372.8</v>
      </c>
      <c r="CB272" s="522">
        <f t="shared" si="391"/>
        <v>561436366.4799999</v>
      </c>
      <c r="CC272" s="522">
        <f t="shared" si="418"/>
        <v>0</v>
      </c>
      <c r="CD272" s="578"/>
      <c r="CE272" s="578"/>
      <c r="CF272" s="578"/>
      <c r="CG272" s="578"/>
      <c r="CH272" s="578"/>
      <c r="CI272" s="578"/>
      <c r="CJ272" s="578"/>
      <c r="CK272" s="543" t="s">
        <v>77</v>
      </c>
      <c r="CL272" s="542" t="s">
        <v>1800</v>
      </c>
      <c r="CM272" s="528" t="s">
        <v>1959</v>
      </c>
      <c r="CN272" s="528"/>
      <c r="CO272" s="528"/>
      <c r="CP272" s="544">
        <f t="shared" si="394"/>
        <v>110548382.35241966</v>
      </c>
      <c r="CQ272" s="544">
        <f t="shared" si="395"/>
        <v>8120139.3384531066</v>
      </c>
      <c r="CR272" s="544">
        <f t="shared" si="396"/>
        <v>1151478.30912723</v>
      </c>
      <c r="CS272" s="1688" t="s">
        <v>1826</v>
      </c>
      <c r="CT272" s="1689"/>
      <c r="CU272" s="1689"/>
      <c r="CV272" s="1689"/>
      <c r="CW272" s="1690"/>
      <c r="CX272" s="528"/>
      <c r="CY272" s="528"/>
      <c r="CZ272" s="528"/>
      <c r="DA272" s="528"/>
      <c r="DB272" s="579">
        <v>4321692.58</v>
      </c>
      <c r="DC272" s="628" t="e">
        <f>P272-#REF!</f>
        <v>#REF!</v>
      </c>
      <c r="DD272" s="575"/>
      <c r="DE272" s="575"/>
      <c r="DF272" s="522">
        <f t="shared" si="350"/>
        <v>556178.09529999993</v>
      </c>
      <c r="DG272" s="522">
        <f t="shared" si="350"/>
        <v>3788.8983800000001</v>
      </c>
      <c r="DH272" s="522">
        <f t="shared" si="350"/>
        <v>1469.3728000000001</v>
      </c>
      <c r="DI272" s="522">
        <f t="shared" si="348"/>
        <v>561436.36647999985</v>
      </c>
      <c r="DJ272" s="536"/>
      <c r="DK272" s="536"/>
      <c r="DL272" s="536"/>
      <c r="DM272" s="536"/>
      <c r="DN272" s="536"/>
      <c r="DO272" s="536"/>
      <c r="DP272" s="536"/>
      <c r="DQ272" s="536"/>
      <c r="DR272" s="536"/>
      <c r="DS272" s="536"/>
    </row>
    <row r="273" spans="1:123" s="534" customFormat="1" ht="75" customHeight="1">
      <c r="A273" s="537" t="s">
        <v>1402</v>
      </c>
      <c r="B273" s="538" t="s">
        <v>1403</v>
      </c>
      <c r="C273" s="576"/>
      <c r="D273" s="576"/>
      <c r="E273" s="576">
        <v>100000</v>
      </c>
      <c r="F273" s="576">
        <v>0</v>
      </c>
      <c r="G273" s="577">
        <v>0</v>
      </c>
      <c r="H273" s="577">
        <v>0</v>
      </c>
      <c r="I273" s="578">
        <f t="shared" si="385"/>
        <v>100000</v>
      </c>
      <c r="J273" s="578">
        <v>0</v>
      </c>
      <c r="K273" s="578">
        <v>0</v>
      </c>
      <c r="L273" s="578">
        <v>100000</v>
      </c>
      <c r="M273" s="578">
        <f t="shared" si="386"/>
        <v>0</v>
      </c>
      <c r="N273" s="578"/>
      <c r="O273" s="522">
        <f t="shared" si="387"/>
        <v>0</v>
      </c>
      <c r="P273" s="522">
        <v>0</v>
      </c>
      <c r="Q273" s="576">
        <f t="shared" si="399"/>
        <v>-100000</v>
      </c>
      <c r="R273" s="576">
        <f t="shared" si="400"/>
        <v>-100</v>
      </c>
      <c r="S273" s="576"/>
      <c r="T273" s="576"/>
      <c r="U273" s="522">
        <f t="shared" si="388"/>
        <v>0</v>
      </c>
      <c r="V273" s="522">
        <f t="shared" si="397"/>
        <v>0</v>
      </c>
      <c r="W273" s="522">
        <v>0</v>
      </c>
      <c r="X273" s="522">
        <f t="shared" si="401"/>
        <v>0</v>
      </c>
      <c r="Y273" s="522">
        <v>0</v>
      </c>
      <c r="Z273" s="524">
        <f t="shared" si="403"/>
        <v>0</v>
      </c>
      <c r="AA273" s="522">
        <f t="shared" si="404"/>
        <v>0</v>
      </c>
      <c r="AB273" s="522">
        <v>0</v>
      </c>
      <c r="AC273" s="522">
        <f t="shared" si="405"/>
        <v>0</v>
      </c>
      <c r="AD273" s="522">
        <v>0</v>
      </c>
      <c r="AE273" s="522">
        <f t="shared" si="406"/>
        <v>0</v>
      </c>
      <c r="AF273" s="522">
        <v>0</v>
      </c>
      <c r="AG273" s="522">
        <f t="shared" si="419"/>
        <v>0</v>
      </c>
      <c r="AH273" s="522">
        <f t="shared" si="408"/>
        <v>0</v>
      </c>
      <c r="AI273" s="522">
        <v>0</v>
      </c>
      <c r="AJ273" s="522">
        <f t="shared" si="409"/>
        <v>0</v>
      </c>
      <c r="AK273" s="522">
        <v>0</v>
      </c>
      <c r="AL273" s="522">
        <f t="shared" si="392"/>
        <v>0</v>
      </c>
      <c r="AM273" s="522">
        <f t="shared" si="342"/>
        <v>0</v>
      </c>
      <c r="AN273" s="522">
        <f t="shared" si="342"/>
        <v>0</v>
      </c>
      <c r="AO273" s="522">
        <f t="shared" si="410"/>
        <v>0</v>
      </c>
      <c r="AP273" s="522">
        <v>0</v>
      </c>
      <c r="AQ273" s="578">
        <v>0</v>
      </c>
      <c r="AR273" s="578">
        <v>0</v>
      </c>
      <c r="AS273" s="578">
        <v>0</v>
      </c>
      <c r="AT273" s="578">
        <v>0</v>
      </c>
      <c r="AU273" s="578">
        <f t="shared" ref="AU273:AV301" si="427">BB273+BL273</f>
        <v>0</v>
      </c>
      <c r="AV273" s="578">
        <f t="shared" si="427"/>
        <v>0</v>
      </c>
      <c r="AW273" s="578">
        <f t="shared" si="411"/>
        <v>0</v>
      </c>
      <c r="AX273" s="578">
        <v>0</v>
      </c>
      <c r="AY273" s="578">
        <f t="shared" si="376"/>
        <v>0</v>
      </c>
      <c r="AZ273" s="578">
        <f t="shared" si="412"/>
        <v>0</v>
      </c>
      <c r="BA273" s="578">
        <v>0</v>
      </c>
      <c r="BB273" s="578">
        <v>0</v>
      </c>
      <c r="BC273" s="576">
        <f>'[67]Дир_по корп'!AT15</f>
        <v>0</v>
      </c>
      <c r="BD273" s="576">
        <f t="shared" si="389"/>
        <v>0</v>
      </c>
      <c r="BE273" s="576">
        <f t="shared" si="413"/>
        <v>0</v>
      </c>
      <c r="BF273" s="576">
        <f t="shared" si="414"/>
        <v>0</v>
      </c>
      <c r="BG273" s="576">
        <f t="shared" si="398"/>
        <v>0</v>
      </c>
      <c r="BH273" s="578">
        <f t="shared" si="398"/>
        <v>0</v>
      </c>
      <c r="BI273" s="578"/>
      <c r="BJ273" s="578">
        <f t="shared" si="415"/>
        <v>0</v>
      </c>
      <c r="BK273" s="578">
        <f t="shared" si="416"/>
        <v>0</v>
      </c>
      <c r="BL273" s="576">
        <v>0</v>
      </c>
      <c r="BM273" s="578">
        <f>'[67]Дир_по корп'!AW15</f>
        <v>0</v>
      </c>
      <c r="BN273" s="522">
        <f t="shared" si="390"/>
        <v>0</v>
      </c>
      <c r="BO273" s="578">
        <f t="shared" si="426"/>
        <v>0</v>
      </c>
      <c r="BP273" s="578">
        <f t="shared" si="417"/>
        <v>0</v>
      </c>
      <c r="BQ273" s="576">
        <v>0</v>
      </c>
      <c r="BR273" s="578">
        <f>'[67]Дир_по корп'!BB15</f>
        <v>0</v>
      </c>
      <c r="BS273" s="578">
        <f>'[67]Дир_по корп'!BC15</f>
        <v>0</v>
      </c>
      <c r="BT273" s="536"/>
      <c r="BU273" s="578"/>
      <c r="BV273" s="578"/>
      <c r="BW273" s="578"/>
      <c r="BX273" s="574"/>
      <c r="BY273" s="522"/>
      <c r="BZ273" s="522"/>
      <c r="CA273" s="522"/>
      <c r="CB273" s="522">
        <f t="shared" si="391"/>
        <v>0</v>
      </c>
      <c r="CC273" s="522">
        <f t="shared" si="418"/>
        <v>0</v>
      </c>
      <c r="CD273" s="578"/>
      <c r="CE273" s="578"/>
      <c r="CF273" s="578"/>
      <c r="CG273" s="578"/>
      <c r="CH273" s="578"/>
      <c r="CI273" s="578"/>
      <c r="CJ273" s="578"/>
      <c r="CK273" s="543" t="s">
        <v>80</v>
      </c>
      <c r="CL273" s="543" t="s">
        <v>1901</v>
      </c>
      <c r="CM273" s="528" t="s">
        <v>1959</v>
      </c>
      <c r="CN273" s="528"/>
      <c r="CO273" s="528"/>
      <c r="CP273" s="544">
        <f t="shared" si="394"/>
        <v>0</v>
      </c>
      <c r="CQ273" s="544">
        <f t="shared" si="395"/>
        <v>0</v>
      </c>
      <c r="CR273" s="544">
        <f t="shared" si="396"/>
        <v>0</v>
      </c>
      <c r="CS273" s="1688" t="s">
        <v>1826</v>
      </c>
      <c r="CT273" s="1689"/>
      <c r="CU273" s="1689"/>
      <c r="CV273" s="1689"/>
      <c r="CW273" s="1690"/>
      <c r="CX273" s="528"/>
      <c r="CY273" s="528"/>
      <c r="CZ273" s="528"/>
      <c r="DA273" s="528"/>
      <c r="DB273" s="579"/>
      <c r="DC273" s="628" t="e">
        <f>P273-#REF!</f>
        <v>#REF!</v>
      </c>
      <c r="DD273" s="575"/>
      <c r="DE273" s="575"/>
      <c r="DF273" s="522">
        <f t="shared" si="350"/>
        <v>0</v>
      </c>
      <c r="DG273" s="522">
        <f t="shared" si="350"/>
        <v>0</v>
      </c>
      <c r="DH273" s="522">
        <f t="shared" si="350"/>
        <v>0</v>
      </c>
      <c r="DI273" s="522">
        <f t="shared" si="348"/>
        <v>0</v>
      </c>
      <c r="DJ273" s="536"/>
      <c r="DK273" s="536"/>
      <c r="DL273" s="536"/>
      <c r="DM273" s="536"/>
      <c r="DN273" s="536"/>
      <c r="DO273" s="536"/>
      <c r="DP273" s="536"/>
      <c r="DQ273" s="536"/>
      <c r="DR273" s="536"/>
      <c r="DS273" s="536"/>
    </row>
    <row r="274" spans="1:123" s="534" customFormat="1" ht="96" customHeight="1">
      <c r="A274" s="537" t="s">
        <v>1970</v>
      </c>
      <c r="B274" s="538" t="s">
        <v>1971</v>
      </c>
      <c r="C274" s="576"/>
      <c r="D274" s="576"/>
      <c r="E274" s="576"/>
      <c r="F274" s="576"/>
      <c r="G274" s="577">
        <v>0</v>
      </c>
      <c r="H274" s="577">
        <v>0</v>
      </c>
      <c r="I274" s="578">
        <f t="shared" si="385"/>
        <v>0</v>
      </c>
      <c r="J274" s="578">
        <v>0</v>
      </c>
      <c r="K274" s="578">
        <v>0</v>
      </c>
      <c r="L274" s="578">
        <v>0</v>
      </c>
      <c r="M274" s="578">
        <f t="shared" si="386"/>
        <v>0</v>
      </c>
      <c r="N274" s="578"/>
      <c r="O274" s="522">
        <f t="shared" si="387"/>
        <v>0</v>
      </c>
      <c r="P274" s="522">
        <v>0</v>
      </c>
      <c r="Q274" s="576">
        <f t="shared" si="399"/>
        <v>0</v>
      </c>
      <c r="R274" s="576">
        <v>0</v>
      </c>
      <c r="S274" s="576"/>
      <c r="T274" s="576"/>
      <c r="U274" s="522">
        <f t="shared" si="388"/>
        <v>0</v>
      </c>
      <c r="V274" s="522">
        <f t="shared" si="397"/>
        <v>0</v>
      </c>
      <c r="W274" s="522">
        <v>0</v>
      </c>
      <c r="X274" s="522">
        <f t="shared" si="401"/>
        <v>0</v>
      </c>
      <c r="Y274" s="522">
        <v>0</v>
      </c>
      <c r="Z274" s="524">
        <f t="shared" si="403"/>
        <v>0</v>
      </c>
      <c r="AA274" s="522">
        <f t="shared" si="404"/>
        <v>0</v>
      </c>
      <c r="AB274" s="522">
        <v>0</v>
      </c>
      <c r="AC274" s="522">
        <f t="shared" si="405"/>
        <v>0</v>
      </c>
      <c r="AD274" s="522">
        <v>0</v>
      </c>
      <c r="AE274" s="522">
        <f t="shared" si="406"/>
        <v>0</v>
      </c>
      <c r="AF274" s="522">
        <v>0</v>
      </c>
      <c r="AG274" s="522">
        <f t="shared" si="419"/>
        <v>0</v>
      </c>
      <c r="AH274" s="522">
        <f t="shared" si="408"/>
        <v>0</v>
      </c>
      <c r="AI274" s="522">
        <v>0</v>
      </c>
      <c r="AJ274" s="522">
        <f t="shared" si="409"/>
        <v>0</v>
      </c>
      <c r="AK274" s="522">
        <v>0</v>
      </c>
      <c r="AL274" s="522">
        <f t="shared" si="392"/>
        <v>0</v>
      </c>
      <c r="AM274" s="522">
        <f t="shared" si="342"/>
        <v>0</v>
      </c>
      <c r="AN274" s="522">
        <f t="shared" si="342"/>
        <v>0</v>
      </c>
      <c r="AO274" s="522">
        <f t="shared" si="410"/>
        <v>0</v>
      </c>
      <c r="AP274" s="522">
        <v>0</v>
      </c>
      <c r="AQ274" s="578">
        <v>0</v>
      </c>
      <c r="AR274" s="578">
        <v>0</v>
      </c>
      <c r="AS274" s="578">
        <v>0</v>
      </c>
      <c r="AT274" s="578">
        <v>0</v>
      </c>
      <c r="AU274" s="578">
        <f t="shared" si="427"/>
        <v>0</v>
      </c>
      <c r="AV274" s="578">
        <f t="shared" si="427"/>
        <v>0</v>
      </c>
      <c r="AW274" s="578">
        <f t="shared" si="411"/>
        <v>0</v>
      </c>
      <c r="AX274" s="578">
        <v>0</v>
      </c>
      <c r="AY274" s="578">
        <f t="shared" si="376"/>
        <v>0</v>
      </c>
      <c r="AZ274" s="578">
        <f t="shared" si="412"/>
        <v>0</v>
      </c>
      <c r="BA274" s="578">
        <v>0</v>
      </c>
      <c r="BB274" s="578">
        <v>0</v>
      </c>
      <c r="BC274" s="576">
        <f>'[67]Дир_по экон'!AT39</f>
        <v>0</v>
      </c>
      <c r="BD274" s="576">
        <f t="shared" si="389"/>
        <v>0</v>
      </c>
      <c r="BE274" s="576">
        <f t="shared" si="413"/>
        <v>0</v>
      </c>
      <c r="BF274" s="576">
        <f t="shared" si="414"/>
        <v>0</v>
      </c>
      <c r="BG274" s="576">
        <f t="shared" si="398"/>
        <v>0</v>
      </c>
      <c r="BH274" s="578">
        <f t="shared" si="398"/>
        <v>0</v>
      </c>
      <c r="BI274" s="578"/>
      <c r="BJ274" s="578">
        <f t="shared" si="415"/>
        <v>0</v>
      </c>
      <c r="BK274" s="578">
        <f t="shared" si="416"/>
        <v>0</v>
      </c>
      <c r="BL274" s="576">
        <v>0</v>
      </c>
      <c r="BM274" s="578">
        <f>'[67]Дир_по экон'!AW39</f>
        <v>0</v>
      </c>
      <c r="BN274" s="522">
        <f t="shared" si="390"/>
        <v>0</v>
      </c>
      <c r="BO274" s="578">
        <f t="shared" si="426"/>
        <v>0</v>
      </c>
      <c r="BP274" s="578">
        <f t="shared" si="417"/>
        <v>0</v>
      </c>
      <c r="BQ274" s="576">
        <v>0</v>
      </c>
      <c r="BR274" s="578">
        <f>'[67]Дир_по экон'!BB39</f>
        <v>0</v>
      </c>
      <c r="BS274" s="578">
        <f>'[67]Дир_по экон'!BC39</f>
        <v>0</v>
      </c>
      <c r="BT274" s="536"/>
      <c r="BU274" s="578"/>
      <c r="BV274" s="578"/>
      <c r="BW274" s="578"/>
      <c r="BX274" s="574"/>
      <c r="BY274" s="522"/>
      <c r="BZ274" s="522"/>
      <c r="CA274" s="522"/>
      <c r="CB274" s="522">
        <f t="shared" si="391"/>
        <v>0</v>
      </c>
      <c r="CC274" s="522">
        <f t="shared" si="418"/>
        <v>0</v>
      </c>
      <c r="CD274" s="578"/>
      <c r="CE274" s="578"/>
      <c r="CF274" s="578"/>
      <c r="CG274" s="578"/>
      <c r="CH274" s="578"/>
      <c r="CI274" s="578"/>
      <c r="CJ274" s="578"/>
      <c r="CK274" s="543" t="s">
        <v>77</v>
      </c>
      <c r="CL274" s="542" t="s">
        <v>1800</v>
      </c>
      <c r="CM274" s="528" t="s">
        <v>1959</v>
      </c>
      <c r="CN274" s="528"/>
      <c r="CO274" s="528"/>
      <c r="CP274" s="579"/>
      <c r="CQ274" s="579"/>
      <c r="CR274" s="579">
        <f>U274</f>
        <v>0</v>
      </c>
      <c r="CS274" s="1691"/>
      <c r="CT274" s="1692"/>
      <c r="CU274" s="1692"/>
      <c r="CV274" s="1692"/>
      <c r="CW274" s="1693"/>
      <c r="CX274" s="528"/>
      <c r="CY274" s="528"/>
      <c r="CZ274" s="528"/>
      <c r="DA274" s="528"/>
      <c r="DB274" s="579"/>
      <c r="DC274" s="628" t="e">
        <f>P274-#REF!</f>
        <v>#REF!</v>
      </c>
      <c r="DD274" s="575"/>
      <c r="DE274" s="575"/>
      <c r="DF274" s="522">
        <f t="shared" si="350"/>
        <v>0</v>
      </c>
      <c r="DG274" s="522">
        <f t="shared" si="350"/>
        <v>0</v>
      </c>
      <c r="DH274" s="522">
        <f t="shared" si="350"/>
        <v>0</v>
      </c>
      <c r="DI274" s="522">
        <f t="shared" si="348"/>
        <v>0</v>
      </c>
      <c r="DJ274" s="536"/>
      <c r="DK274" s="536"/>
      <c r="DL274" s="536"/>
      <c r="DM274" s="536"/>
      <c r="DN274" s="536"/>
      <c r="DO274" s="536"/>
      <c r="DP274" s="536"/>
      <c r="DQ274" s="536"/>
      <c r="DR274" s="536"/>
      <c r="DS274" s="536"/>
    </row>
    <row r="275" spans="1:123" s="534" customFormat="1" ht="56.4">
      <c r="A275" s="537" t="s">
        <v>1406</v>
      </c>
      <c r="B275" s="538" t="s">
        <v>1407</v>
      </c>
      <c r="C275" s="576"/>
      <c r="D275" s="576"/>
      <c r="E275" s="576"/>
      <c r="F275" s="576">
        <v>616968.56000000006</v>
      </c>
      <c r="G275" s="577">
        <v>0</v>
      </c>
      <c r="H275" s="577">
        <v>0</v>
      </c>
      <c r="I275" s="578">
        <f t="shared" si="385"/>
        <v>39262.71</v>
      </c>
      <c r="J275" s="578">
        <v>39262.71</v>
      </c>
      <c r="K275" s="578">
        <v>0</v>
      </c>
      <c r="L275" s="578">
        <v>0</v>
      </c>
      <c r="M275" s="578">
        <f t="shared" si="386"/>
        <v>39262.71</v>
      </c>
      <c r="N275" s="578">
        <v>63142.71</v>
      </c>
      <c r="O275" s="522">
        <f t="shared" si="387"/>
        <v>0</v>
      </c>
      <c r="P275" s="522">
        <v>63142.71</v>
      </c>
      <c r="Q275" s="576">
        <f t="shared" si="399"/>
        <v>23880</v>
      </c>
      <c r="R275" s="576">
        <f t="shared" si="400"/>
        <v>60.821069151874639</v>
      </c>
      <c r="S275" s="576"/>
      <c r="T275" s="576"/>
      <c r="U275" s="522">
        <f t="shared" si="388"/>
        <v>0</v>
      </c>
      <c r="V275" s="522">
        <f t="shared" si="397"/>
        <v>0</v>
      </c>
      <c r="W275" s="522">
        <v>0</v>
      </c>
      <c r="X275" s="522">
        <f t="shared" si="401"/>
        <v>-63142.71</v>
      </c>
      <c r="Y275" s="522">
        <f t="shared" si="402"/>
        <v>-100</v>
      </c>
      <c r="Z275" s="524">
        <f t="shared" si="403"/>
        <v>0</v>
      </c>
      <c r="AA275" s="522">
        <f t="shared" si="404"/>
        <v>0</v>
      </c>
      <c r="AB275" s="522">
        <v>0</v>
      </c>
      <c r="AC275" s="522">
        <f t="shared" si="405"/>
        <v>0</v>
      </c>
      <c r="AD275" s="522">
        <v>0</v>
      </c>
      <c r="AE275" s="522">
        <f t="shared" si="406"/>
        <v>-63142.71</v>
      </c>
      <c r="AF275" s="522">
        <f t="shared" si="407"/>
        <v>-100</v>
      </c>
      <c r="AG275" s="522">
        <f t="shared" si="419"/>
        <v>102800</v>
      </c>
      <c r="AH275" s="522">
        <f t="shared" si="408"/>
        <v>102800</v>
      </c>
      <c r="AI275" s="522">
        <v>0</v>
      </c>
      <c r="AJ275" s="522">
        <f t="shared" si="409"/>
        <v>102800</v>
      </c>
      <c r="AK275" s="522">
        <v>0</v>
      </c>
      <c r="AL275" s="522">
        <f t="shared" si="392"/>
        <v>102800</v>
      </c>
      <c r="AM275" s="522">
        <f t="shared" ref="AM275:AN325" si="428">AQ275+AS275</f>
        <v>0</v>
      </c>
      <c r="AN275" s="522">
        <f t="shared" si="428"/>
        <v>0</v>
      </c>
      <c r="AO275" s="522">
        <f t="shared" si="410"/>
        <v>0</v>
      </c>
      <c r="AP275" s="522">
        <v>0</v>
      </c>
      <c r="AQ275" s="578">
        <v>0</v>
      </c>
      <c r="AR275" s="578">
        <v>0</v>
      </c>
      <c r="AS275" s="578">
        <v>0</v>
      </c>
      <c r="AT275" s="578">
        <v>0</v>
      </c>
      <c r="AU275" s="578">
        <f t="shared" si="427"/>
        <v>0</v>
      </c>
      <c r="AV275" s="578">
        <f t="shared" si="427"/>
        <v>0</v>
      </c>
      <c r="AW275" s="578">
        <f t="shared" si="411"/>
        <v>0</v>
      </c>
      <c r="AX275" s="578">
        <v>0</v>
      </c>
      <c r="AY275" s="578">
        <f t="shared" si="376"/>
        <v>102800</v>
      </c>
      <c r="AZ275" s="578">
        <f t="shared" si="412"/>
        <v>-102800</v>
      </c>
      <c r="BA275" s="578">
        <v>0</v>
      </c>
      <c r="BB275" s="578">
        <v>0</v>
      </c>
      <c r="BC275" s="576">
        <f>'[67]Дир_ имущ'!AT35</f>
        <v>0</v>
      </c>
      <c r="BD275" s="576">
        <f t="shared" si="389"/>
        <v>102800</v>
      </c>
      <c r="BE275" s="576">
        <f t="shared" si="413"/>
        <v>102800</v>
      </c>
      <c r="BF275" s="576">
        <f t="shared" si="414"/>
        <v>102800</v>
      </c>
      <c r="BG275" s="576">
        <f t="shared" si="398"/>
        <v>0</v>
      </c>
      <c r="BH275" s="578">
        <f t="shared" si="398"/>
        <v>0</v>
      </c>
      <c r="BI275" s="578">
        <v>102800</v>
      </c>
      <c r="BJ275" s="578">
        <f t="shared" si="415"/>
        <v>102800</v>
      </c>
      <c r="BK275" s="578">
        <f t="shared" si="416"/>
        <v>102800</v>
      </c>
      <c r="BL275" s="576">
        <v>0</v>
      </c>
      <c r="BM275" s="578">
        <f>'[67]Дир_ имущ'!AW35</f>
        <v>0</v>
      </c>
      <c r="BN275" s="522">
        <f t="shared" si="390"/>
        <v>0</v>
      </c>
      <c r="BO275" s="578">
        <f t="shared" si="426"/>
        <v>0</v>
      </c>
      <c r="BP275" s="578">
        <f t="shared" si="417"/>
        <v>0</v>
      </c>
      <c r="BQ275" s="576">
        <v>0</v>
      </c>
      <c r="BR275" s="578">
        <f>'[67]Дир_ имущ'!BB35</f>
        <v>0</v>
      </c>
      <c r="BS275" s="578">
        <f>'[67]Дир_ имущ'!BC35</f>
        <v>0</v>
      </c>
      <c r="BT275" s="536"/>
      <c r="BU275" s="578"/>
      <c r="BV275" s="578"/>
      <c r="BW275" s="586">
        <v>102800</v>
      </c>
      <c r="BX275" s="629"/>
      <c r="BY275" s="522">
        <v>99511.77</v>
      </c>
      <c r="BZ275" s="522">
        <f>484.77+1969.44</f>
        <v>2454.21</v>
      </c>
      <c r="CA275" s="522">
        <f>834.02</f>
        <v>834.02</v>
      </c>
      <c r="CB275" s="522">
        <f t="shared" si="391"/>
        <v>102800.00000000001</v>
      </c>
      <c r="CC275" s="522">
        <f t="shared" si="418"/>
        <v>0</v>
      </c>
      <c r="CD275" s="578"/>
      <c r="CE275" s="578"/>
      <c r="CF275" s="578"/>
      <c r="CG275" s="578"/>
      <c r="CH275" s="578"/>
      <c r="CI275" s="578"/>
      <c r="CJ275" s="578"/>
      <c r="CK275" s="543" t="s">
        <v>1815</v>
      </c>
      <c r="CL275" s="543" t="s">
        <v>1816</v>
      </c>
      <c r="CM275" s="528" t="s">
        <v>1959</v>
      </c>
      <c r="CN275" s="528"/>
      <c r="CO275" s="528"/>
      <c r="CP275" s="544">
        <f>U275*$CU$7/100</f>
        <v>0</v>
      </c>
      <c r="CQ275" s="544">
        <f>U275*$CU$8/100</f>
        <v>0</v>
      </c>
      <c r="CR275" s="544">
        <f>U275*$CU$9/100</f>
        <v>0</v>
      </c>
      <c r="CS275" s="1688" t="s">
        <v>1826</v>
      </c>
      <c r="CT275" s="1689"/>
      <c r="CU275" s="1689"/>
      <c r="CV275" s="1689"/>
      <c r="CW275" s="1690"/>
      <c r="CX275" s="528"/>
      <c r="CY275" s="528"/>
      <c r="CZ275" s="528"/>
      <c r="DA275" s="528"/>
      <c r="DB275" s="579"/>
      <c r="DC275" s="628" t="e">
        <f>P275-#REF!</f>
        <v>#REF!</v>
      </c>
      <c r="DD275" s="575"/>
      <c r="DE275" s="575"/>
      <c r="DF275" s="522">
        <f t="shared" si="350"/>
        <v>99.511769999999999</v>
      </c>
      <c r="DG275" s="522">
        <f t="shared" si="350"/>
        <v>2.4542100000000002</v>
      </c>
      <c r="DH275" s="522">
        <f t="shared" si="350"/>
        <v>0.83401999999999998</v>
      </c>
      <c r="DI275" s="522">
        <f t="shared" si="348"/>
        <v>102.80000000000001</v>
      </c>
      <c r="DJ275" s="536"/>
      <c r="DK275" s="536"/>
      <c r="DL275" s="536"/>
      <c r="DM275" s="536"/>
      <c r="DN275" s="536"/>
      <c r="DO275" s="536"/>
      <c r="DP275" s="536"/>
      <c r="DQ275" s="536"/>
      <c r="DR275" s="536"/>
      <c r="DS275" s="536"/>
    </row>
    <row r="276" spans="1:123" s="534" customFormat="1" ht="74.25" customHeight="1">
      <c r="A276" s="537" t="s">
        <v>1410</v>
      </c>
      <c r="B276" s="538" t="s">
        <v>1411</v>
      </c>
      <c r="C276" s="576"/>
      <c r="D276" s="576"/>
      <c r="E276" s="576"/>
      <c r="F276" s="576">
        <v>101742.62</v>
      </c>
      <c r="G276" s="577">
        <v>0</v>
      </c>
      <c r="H276" s="577">
        <v>0</v>
      </c>
      <c r="I276" s="578">
        <f t="shared" si="385"/>
        <v>0</v>
      </c>
      <c r="J276" s="578">
        <v>0</v>
      </c>
      <c r="K276" s="578">
        <v>0</v>
      </c>
      <c r="L276" s="578">
        <v>0</v>
      </c>
      <c r="M276" s="578">
        <f t="shared" si="386"/>
        <v>0</v>
      </c>
      <c r="N276" s="578">
        <v>0</v>
      </c>
      <c r="O276" s="522">
        <f t="shared" si="387"/>
        <v>0</v>
      </c>
      <c r="P276" s="522">
        <v>0</v>
      </c>
      <c r="Q276" s="576">
        <f t="shared" si="399"/>
        <v>0</v>
      </c>
      <c r="R276" s="576">
        <v>0</v>
      </c>
      <c r="S276" s="576"/>
      <c r="T276" s="576"/>
      <c r="U276" s="522">
        <f t="shared" si="388"/>
        <v>550000</v>
      </c>
      <c r="V276" s="522">
        <f t="shared" si="397"/>
        <v>550000</v>
      </c>
      <c r="W276" s="522">
        <v>0</v>
      </c>
      <c r="X276" s="522">
        <f t="shared" si="401"/>
        <v>550000</v>
      </c>
      <c r="Y276" s="522">
        <v>0</v>
      </c>
      <c r="Z276" s="524">
        <f t="shared" si="403"/>
        <v>31201.759999999998</v>
      </c>
      <c r="AA276" s="522">
        <f t="shared" si="404"/>
        <v>31201.759999999998</v>
      </c>
      <c r="AB276" s="522">
        <v>0</v>
      </c>
      <c r="AC276" s="522">
        <f t="shared" si="405"/>
        <v>-518798.24</v>
      </c>
      <c r="AD276" s="522">
        <f t="shared" si="420"/>
        <v>-94.326952727272726</v>
      </c>
      <c r="AE276" s="522">
        <f t="shared" si="406"/>
        <v>31201.759999999998</v>
      </c>
      <c r="AF276" s="522">
        <v>0</v>
      </c>
      <c r="AG276" s="522">
        <f t="shared" si="419"/>
        <v>31201.759999999998</v>
      </c>
      <c r="AH276" s="522">
        <f t="shared" si="408"/>
        <v>-518798.24</v>
      </c>
      <c r="AI276" s="522">
        <f t="shared" si="421"/>
        <v>-94.326952727272726</v>
      </c>
      <c r="AJ276" s="522">
        <f t="shared" si="409"/>
        <v>0</v>
      </c>
      <c r="AK276" s="522">
        <f>AG276/Z276*100-100</f>
        <v>0</v>
      </c>
      <c r="AL276" s="522">
        <f t="shared" si="392"/>
        <v>31201.759999999998</v>
      </c>
      <c r="AM276" s="522">
        <f t="shared" si="428"/>
        <v>550000</v>
      </c>
      <c r="AN276" s="522">
        <f t="shared" si="428"/>
        <v>31201.759999999998</v>
      </c>
      <c r="AO276" s="522">
        <f t="shared" si="410"/>
        <v>-518798.24</v>
      </c>
      <c r="AP276" s="522">
        <f t="shared" si="423"/>
        <v>-94.326952727272726</v>
      </c>
      <c r="AQ276" s="578">
        <v>0</v>
      </c>
      <c r="AR276" s="578">
        <v>0</v>
      </c>
      <c r="AS276" s="578">
        <v>550000</v>
      </c>
      <c r="AT276" s="578">
        <v>31201.759999999998</v>
      </c>
      <c r="AU276" s="578">
        <f t="shared" si="427"/>
        <v>0</v>
      </c>
      <c r="AV276" s="578">
        <f t="shared" si="427"/>
        <v>0</v>
      </c>
      <c r="AW276" s="578">
        <f t="shared" si="411"/>
        <v>0</v>
      </c>
      <c r="AX276" s="578">
        <v>0</v>
      </c>
      <c r="AY276" s="578">
        <f t="shared" si="376"/>
        <v>0</v>
      </c>
      <c r="AZ276" s="578">
        <f t="shared" si="412"/>
        <v>0</v>
      </c>
      <c r="BA276" s="578">
        <v>0</v>
      </c>
      <c r="BB276" s="578">
        <v>0</v>
      </c>
      <c r="BC276" s="576">
        <f>'[67]Дир_по экон'!AT40</f>
        <v>0</v>
      </c>
      <c r="BD276" s="576">
        <f t="shared" si="389"/>
        <v>0</v>
      </c>
      <c r="BE276" s="576">
        <f t="shared" si="413"/>
        <v>0</v>
      </c>
      <c r="BF276" s="576">
        <f t="shared" si="414"/>
        <v>0</v>
      </c>
      <c r="BG276" s="576">
        <f t="shared" si="398"/>
        <v>550000</v>
      </c>
      <c r="BH276" s="578">
        <f t="shared" si="398"/>
        <v>31201.759999999998</v>
      </c>
      <c r="BI276" s="578">
        <v>31201.759999999998</v>
      </c>
      <c r="BJ276" s="578">
        <f t="shared" si="415"/>
        <v>-518798.24</v>
      </c>
      <c r="BK276" s="578">
        <f t="shared" si="416"/>
        <v>0</v>
      </c>
      <c r="BL276" s="576">
        <v>0</v>
      </c>
      <c r="BM276" s="578">
        <f>'[67]Дир_по экон'!AW40</f>
        <v>0</v>
      </c>
      <c r="BN276" s="522">
        <f t="shared" si="390"/>
        <v>0</v>
      </c>
      <c r="BO276" s="578">
        <f t="shared" si="426"/>
        <v>0</v>
      </c>
      <c r="BP276" s="578">
        <f t="shared" si="417"/>
        <v>0</v>
      </c>
      <c r="BQ276" s="576">
        <v>0</v>
      </c>
      <c r="BR276" s="578">
        <f>'[67]Дир_по экон'!BB40</f>
        <v>0</v>
      </c>
      <c r="BS276" s="578">
        <f>'[67]Дир_по экон'!BC40</f>
        <v>0</v>
      </c>
      <c r="BT276" s="536"/>
      <c r="BU276" s="578"/>
      <c r="BV276" s="578"/>
      <c r="BW276" s="586">
        <v>31201.759999999998</v>
      </c>
      <c r="BX276" s="629"/>
      <c r="BY276" s="522">
        <v>30130.46</v>
      </c>
      <c r="BZ276" s="522">
        <f>587.9+173.31</f>
        <v>761.21</v>
      </c>
      <c r="CA276" s="522">
        <v>310.08999999999997</v>
      </c>
      <c r="CB276" s="522">
        <f t="shared" si="391"/>
        <v>31201.759999999998</v>
      </c>
      <c r="CC276" s="522">
        <f t="shared" si="418"/>
        <v>0</v>
      </c>
      <c r="CD276" s="578"/>
      <c r="CE276" s="578"/>
      <c r="CF276" s="578"/>
      <c r="CG276" s="578"/>
      <c r="CH276" s="578"/>
      <c r="CI276" s="578"/>
      <c r="CJ276" s="578"/>
      <c r="CK276" s="543" t="s">
        <v>77</v>
      </c>
      <c r="CL276" s="542" t="s">
        <v>1800</v>
      </c>
      <c r="CM276" s="528" t="s">
        <v>1959</v>
      </c>
      <c r="CN276" s="528"/>
      <c r="CO276" s="528"/>
      <c r="CP276" s="544">
        <f>U276*$CU$7/100</f>
        <v>507441.24765340355</v>
      </c>
      <c r="CQ276" s="544">
        <f>U276*$CU$8/100</f>
        <v>37273.215123929294</v>
      </c>
      <c r="CR276" s="544">
        <f>U276*$CU$9/100</f>
        <v>5285.5372226671388</v>
      </c>
      <c r="CS276" s="1688" t="s">
        <v>1826</v>
      </c>
      <c r="CT276" s="1689"/>
      <c r="CU276" s="1689"/>
      <c r="CV276" s="1689"/>
      <c r="CW276" s="1690"/>
      <c r="CX276" s="528"/>
      <c r="CY276" s="528"/>
      <c r="CZ276" s="528"/>
      <c r="DA276" s="528"/>
      <c r="DB276" s="579"/>
      <c r="DC276" s="628" t="e">
        <f>P276-#REF!</f>
        <v>#REF!</v>
      </c>
      <c r="DD276" s="575"/>
      <c r="DE276" s="575"/>
      <c r="DF276" s="522">
        <f t="shared" si="350"/>
        <v>30.130459999999999</v>
      </c>
      <c r="DG276" s="522">
        <f t="shared" si="350"/>
        <v>0.76121000000000005</v>
      </c>
      <c r="DH276" s="522">
        <f t="shared" si="350"/>
        <v>0.31008999999999998</v>
      </c>
      <c r="DI276" s="522">
        <f t="shared" si="348"/>
        <v>31.20176</v>
      </c>
      <c r="DJ276" s="536"/>
      <c r="DK276" s="536"/>
      <c r="DL276" s="536"/>
      <c r="DM276" s="536"/>
      <c r="DN276" s="536"/>
      <c r="DO276" s="536"/>
      <c r="DP276" s="536"/>
      <c r="DQ276" s="536"/>
      <c r="DR276" s="536"/>
      <c r="DS276" s="536"/>
    </row>
    <row r="277" spans="1:123" s="534" customFormat="1" ht="88.5" customHeight="1">
      <c r="A277" s="537" t="s">
        <v>1425</v>
      </c>
      <c r="B277" s="538" t="s">
        <v>1972</v>
      </c>
      <c r="C277" s="576">
        <v>8177322</v>
      </c>
      <c r="D277" s="576"/>
      <c r="E277" s="576">
        <v>15000440</v>
      </c>
      <c r="F277" s="576">
        <v>6601374.7599999998</v>
      </c>
      <c r="G277" s="577">
        <v>0</v>
      </c>
      <c r="H277" s="577">
        <v>0</v>
      </c>
      <c r="I277" s="578">
        <f t="shared" si="385"/>
        <v>7646791.7300000004</v>
      </c>
      <c r="J277" s="578">
        <v>3286548.33</v>
      </c>
      <c r="K277" s="578">
        <v>2135549.4300000002</v>
      </c>
      <c r="L277" s="578">
        <v>2224693.9700000002</v>
      </c>
      <c r="M277" s="578">
        <f t="shared" si="386"/>
        <v>5422097.7599999998</v>
      </c>
      <c r="N277" s="578">
        <v>4965388.38</v>
      </c>
      <c r="O277" s="522">
        <f t="shared" si="387"/>
        <v>3525088.9799999995</v>
      </c>
      <c r="P277" s="522">
        <v>8490477.3599999994</v>
      </c>
      <c r="Q277" s="576">
        <f t="shared" si="399"/>
        <v>843685.62999999896</v>
      </c>
      <c r="R277" s="576">
        <f t="shared" si="400"/>
        <v>11.033197447892292</v>
      </c>
      <c r="S277" s="576"/>
      <c r="T277" s="576"/>
      <c r="U277" s="522">
        <f t="shared" si="388"/>
        <v>8177322</v>
      </c>
      <c r="V277" s="522">
        <f t="shared" si="397"/>
        <v>8177322</v>
      </c>
      <c r="W277" s="522">
        <v>0</v>
      </c>
      <c r="X277" s="522">
        <f t="shared" si="401"/>
        <v>-313155.3599999994</v>
      </c>
      <c r="Y277" s="522">
        <f t="shared" si="402"/>
        <v>-3.6883127617220168</v>
      </c>
      <c r="Z277" s="524">
        <f t="shared" si="403"/>
        <v>10844541.130000001</v>
      </c>
      <c r="AA277" s="522">
        <f t="shared" si="404"/>
        <v>10844541.130000001</v>
      </c>
      <c r="AB277" s="522">
        <v>0</v>
      </c>
      <c r="AC277" s="522">
        <f t="shared" si="405"/>
        <v>2667219.1300000008</v>
      </c>
      <c r="AD277" s="522">
        <f t="shared" si="420"/>
        <v>32.617269198889318</v>
      </c>
      <c r="AE277" s="522">
        <f t="shared" si="406"/>
        <v>2354063.7700000014</v>
      </c>
      <c r="AF277" s="522">
        <f t="shared" si="407"/>
        <v>27.725929534779439</v>
      </c>
      <c r="AG277" s="522">
        <f t="shared" si="419"/>
        <v>13968786.73</v>
      </c>
      <c r="AH277" s="522">
        <f t="shared" si="408"/>
        <v>5791464.7300000004</v>
      </c>
      <c r="AI277" s="522">
        <f t="shared" si="421"/>
        <v>70.823488790095354</v>
      </c>
      <c r="AJ277" s="522">
        <f t="shared" si="409"/>
        <v>3124245.5999999996</v>
      </c>
      <c r="AK277" s="522">
        <f>AG277/Z277*100-100</f>
        <v>28.809384948130116</v>
      </c>
      <c r="AL277" s="522">
        <f t="shared" si="392"/>
        <v>13968786.73</v>
      </c>
      <c r="AM277" s="522">
        <f t="shared" si="428"/>
        <v>3817079</v>
      </c>
      <c r="AN277" s="522">
        <f t="shared" si="428"/>
        <v>6484297.7300000004</v>
      </c>
      <c r="AO277" s="522">
        <f t="shared" si="410"/>
        <v>2667218.7300000004</v>
      </c>
      <c r="AP277" s="522">
        <f t="shared" si="423"/>
        <v>69.875911135190023</v>
      </c>
      <c r="AQ277" s="578">
        <v>1441578</v>
      </c>
      <c r="AR277" s="578">
        <v>3193981.33</v>
      </c>
      <c r="AS277" s="578">
        <v>2375501</v>
      </c>
      <c r="AT277" s="578">
        <v>3290316.4000000004</v>
      </c>
      <c r="AU277" s="578">
        <f t="shared" si="427"/>
        <v>4360243</v>
      </c>
      <c r="AV277" s="578">
        <f t="shared" si="427"/>
        <v>4360243.4000000004</v>
      </c>
      <c r="AW277" s="578">
        <f t="shared" si="411"/>
        <v>0.40000000037252903</v>
      </c>
      <c r="AX277" s="578">
        <f t="shared" si="424"/>
        <v>9.1738006489094914E-6</v>
      </c>
      <c r="AY277" s="578">
        <f t="shared" si="376"/>
        <v>7484489</v>
      </c>
      <c r="AZ277" s="578">
        <f t="shared" si="412"/>
        <v>-3124245.5999999996</v>
      </c>
      <c r="BA277" s="578">
        <f t="shared" si="425"/>
        <v>-41.742937961429291</v>
      </c>
      <c r="BB277" s="578">
        <v>2135549</v>
      </c>
      <c r="BC277" s="576">
        <f>'[67]Дир_по экон'!AT63</f>
        <v>2135549.4300000002</v>
      </c>
      <c r="BD277" s="576">
        <f t="shared" si="389"/>
        <v>4500440.5</v>
      </c>
      <c r="BE277" s="576">
        <f t="shared" si="413"/>
        <v>2364891.5</v>
      </c>
      <c r="BF277" s="576">
        <f t="shared" si="414"/>
        <v>2364891.0699999998</v>
      </c>
      <c r="BG277" s="576">
        <f t="shared" si="398"/>
        <v>5952628</v>
      </c>
      <c r="BH277" s="578">
        <f t="shared" si="398"/>
        <v>8619847.1600000001</v>
      </c>
      <c r="BI277" s="578">
        <v>10984738.23</v>
      </c>
      <c r="BJ277" s="578">
        <f t="shared" si="415"/>
        <v>5032110.2300000004</v>
      </c>
      <c r="BK277" s="578">
        <f t="shared" si="416"/>
        <v>2364891.0700000003</v>
      </c>
      <c r="BL277" s="576">
        <v>2224694</v>
      </c>
      <c r="BM277" s="578">
        <f>'[67]Дир_по экон'!AW63</f>
        <v>2224693.9699999997</v>
      </c>
      <c r="BN277" s="522">
        <f t="shared" si="390"/>
        <v>2984048.5</v>
      </c>
      <c r="BO277" s="578">
        <f t="shared" si="426"/>
        <v>759354.5</v>
      </c>
      <c r="BP277" s="578">
        <f t="shared" si="417"/>
        <v>759354.53000000026</v>
      </c>
      <c r="BQ277" s="576">
        <v>2224694</v>
      </c>
      <c r="BR277" s="578">
        <f>'[67]Дир_по экон'!BB63</f>
        <v>0</v>
      </c>
      <c r="BS277" s="578">
        <f>'[67]Дир_по экон'!BC63</f>
        <v>0</v>
      </c>
      <c r="BT277" s="536"/>
      <c r="BU277" s="578"/>
      <c r="BV277" s="578"/>
      <c r="BW277" s="586">
        <v>13968786.73</v>
      </c>
      <c r="BX277" s="629"/>
      <c r="BY277" s="522">
        <v>13968786.73</v>
      </c>
      <c r="BZ277" s="522"/>
      <c r="CA277" s="522"/>
      <c r="CB277" s="522">
        <f t="shared" si="391"/>
        <v>13968786.73</v>
      </c>
      <c r="CC277" s="522">
        <f t="shared" si="418"/>
        <v>0</v>
      </c>
      <c r="CD277" s="578"/>
      <c r="CE277" s="578"/>
      <c r="CF277" s="578"/>
      <c r="CG277" s="578"/>
      <c r="CH277" s="578"/>
      <c r="CI277" s="578"/>
      <c r="CJ277" s="578"/>
      <c r="CK277" s="675" t="s">
        <v>77</v>
      </c>
      <c r="CL277" s="675" t="s">
        <v>1856</v>
      </c>
      <c r="CM277" s="528" t="s">
        <v>1959</v>
      </c>
      <c r="CN277" s="528" t="s">
        <v>1849</v>
      </c>
      <c r="CO277" s="528"/>
      <c r="CP277" s="579">
        <f>U277</f>
        <v>8177322</v>
      </c>
      <c r="CQ277" s="579"/>
      <c r="CR277" s="579"/>
      <c r="CS277" s="1691"/>
      <c r="CT277" s="1692"/>
      <c r="CU277" s="1692"/>
      <c r="CV277" s="1692"/>
      <c r="CW277" s="1693"/>
      <c r="CX277" s="528"/>
      <c r="CY277" s="528"/>
      <c r="CZ277" s="528"/>
      <c r="DA277" s="528"/>
      <c r="DB277" s="579">
        <v>3193981.33</v>
      </c>
      <c r="DC277" s="628" t="e">
        <f>P277-#REF!</f>
        <v>#REF!</v>
      </c>
      <c r="DD277" s="575"/>
      <c r="DE277" s="575"/>
      <c r="DF277" s="522">
        <f t="shared" si="350"/>
        <v>13968.78673</v>
      </c>
      <c r="DG277" s="522">
        <f t="shared" si="350"/>
        <v>0</v>
      </c>
      <c r="DH277" s="522">
        <f t="shared" si="350"/>
        <v>0</v>
      </c>
      <c r="DI277" s="522">
        <f t="shared" si="348"/>
        <v>13968.78673</v>
      </c>
      <c r="DJ277" s="536"/>
      <c r="DK277" s="536"/>
      <c r="DL277" s="536"/>
      <c r="DM277" s="536"/>
      <c r="DN277" s="536"/>
      <c r="DO277" s="536"/>
      <c r="DP277" s="536"/>
      <c r="DQ277" s="536"/>
      <c r="DR277" s="536"/>
      <c r="DS277" s="536"/>
    </row>
    <row r="278" spans="1:123" s="534" customFormat="1" ht="67.5" customHeight="1">
      <c r="A278" s="537" t="s">
        <v>1414</v>
      </c>
      <c r="B278" s="538" t="s">
        <v>1415</v>
      </c>
      <c r="C278" s="576">
        <v>1669748</v>
      </c>
      <c r="D278" s="576"/>
      <c r="E278" s="525">
        <v>0</v>
      </c>
      <c r="F278" s="525">
        <v>3205415</v>
      </c>
      <c r="G278" s="596">
        <v>0</v>
      </c>
      <c r="H278" s="596">
        <v>0</v>
      </c>
      <c r="I278" s="522">
        <f t="shared" si="385"/>
        <v>6550184</v>
      </c>
      <c r="J278" s="522">
        <v>4802644</v>
      </c>
      <c r="K278" s="522">
        <v>1495540</v>
      </c>
      <c r="L278" s="522">
        <v>252000</v>
      </c>
      <c r="M278" s="522">
        <f t="shared" si="386"/>
        <v>6298184</v>
      </c>
      <c r="N278" s="522">
        <v>5510956.5</v>
      </c>
      <c r="O278" s="522">
        <f t="shared" si="387"/>
        <v>661415</v>
      </c>
      <c r="P278" s="522">
        <v>6172371.5</v>
      </c>
      <c r="Q278" s="525">
        <f t="shared" si="399"/>
        <v>-377812.5</v>
      </c>
      <c r="R278" s="525">
        <f t="shared" si="400"/>
        <v>-5.767967739532196</v>
      </c>
      <c r="S278" s="576"/>
      <c r="T278" s="576"/>
      <c r="U278" s="522">
        <f t="shared" si="388"/>
        <v>3205415</v>
      </c>
      <c r="V278" s="522">
        <f t="shared" si="397"/>
        <v>3205415</v>
      </c>
      <c r="W278" s="522">
        <v>0</v>
      </c>
      <c r="X278" s="522">
        <f t="shared" si="401"/>
        <v>-2966956.5</v>
      </c>
      <c r="Y278" s="522">
        <f t="shared" si="402"/>
        <v>-48.068339697310833</v>
      </c>
      <c r="Z278" s="524">
        <f t="shared" si="403"/>
        <v>2969562.2</v>
      </c>
      <c r="AA278" s="522">
        <f t="shared" si="404"/>
        <v>2969562.2</v>
      </c>
      <c r="AB278" s="522">
        <v>0</v>
      </c>
      <c r="AC278" s="522">
        <f t="shared" si="405"/>
        <v>-235852.79999999981</v>
      </c>
      <c r="AD278" s="522">
        <f t="shared" si="420"/>
        <v>-7.3579489707260848</v>
      </c>
      <c r="AE278" s="522">
        <f t="shared" si="406"/>
        <v>-3202809.3</v>
      </c>
      <c r="AF278" s="522">
        <f t="shared" si="407"/>
        <v>-51.88944476203352</v>
      </c>
      <c r="AG278" s="522">
        <f t="shared" si="419"/>
        <v>4374472.7</v>
      </c>
      <c r="AH278" s="522">
        <f t="shared" si="408"/>
        <v>1169057.7000000002</v>
      </c>
      <c r="AI278" s="522">
        <f t="shared" si="421"/>
        <v>36.471336784784512</v>
      </c>
      <c r="AJ278" s="522">
        <f t="shared" si="409"/>
        <v>1404910.5</v>
      </c>
      <c r="AK278" s="522">
        <f>AG278/Z278*100-100</f>
        <v>47.310357735561155</v>
      </c>
      <c r="AL278" s="522">
        <f t="shared" si="392"/>
        <v>4374472.7</v>
      </c>
      <c r="AM278" s="522">
        <f t="shared" si="428"/>
        <v>1457875</v>
      </c>
      <c r="AN278" s="522">
        <f t="shared" si="428"/>
        <v>1222022.2</v>
      </c>
      <c r="AO278" s="522">
        <f t="shared" si="410"/>
        <v>-235852.80000000005</v>
      </c>
      <c r="AP278" s="522">
        <f t="shared" si="423"/>
        <v>-16.177847895052736</v>
      </c>
      <c r="AQ278" s="578">
        <v>0</v>
      </c>
      <c r="AR278" s="578">
        <v>569401.19999999995</v>
      </c>
      <c r="AS278" s="578">
        <v>1457875</v>
      </c>
      <c r="AT278" s="578">
        <v>652621</v>
      </c>
      <c r="AU278" s="578">
        <f t="shared" si="427"/>
        <v>1747540</v>
      </c>
      <c r="AV278" s="578">
        <f t="shared" si="427"/>
        <v>1747540</v>
      </c>
      <c r="AW278" s="578">
        <f t="shared" si="411"/>
        <v>0</v>
      </c>
      <c r="AX278" s="578">
        <f t="shared" si="424"/>
        <v>0</v>
      </c>
      <c r="AY278" s="578">
        <f t="shared" si="376"/>
        <v>3152450.5</v>
      </c>
      <c r="AZ278" s="578">
        <f t="shared" si="412"/>
        <v>-1404910.5</v>
      </c>
      <c r="BA278" s="578">
        <f t="shared" si="425"/>
        <v>-44.565664076247991</v>
      </c>
      <c r="BB278" s="578">
        <v>1495540</v>
      </c>
      <c r="BC278" s="576">
        <f>'[67]Дир_по экон'!AT64</f>
        <v>1495540</v>
      </c>
      <c r="BD278" s="576">
        <f t="shared" si="389"/>
        <v>2925215.5</v>
      </c>
      <c r="BE278" s="576">
        <f t="shared" si="413"/>
        <v>1429675.5</v>
      </c>
      <c r="BF278" s="576">
        <f t="shared" si="414"/>
        <v>1429675.5</v>
      </c>
      <c r="BG278" s="576">
        <f t="shared" si="398"/>
        <v>2953415</v>
      </c>
      <c r="BH278" s="578">
        <f t="shared" si="398"/>
        <v>2717562.2</v>
      </c>
      <c r="BI278" s="578">
        <v>4147237.7</v>
      </c>
      <c r="BJ278" s="578">
        <f t="shared" si="415"/>
        <v>1193822.7000000002</v>
      </c>
      <c r="BK278" s="578">
        <f t="shared" si="416"/>
        <v>1429675.5</v>
      </c>
      <c r="BL278" s="576">
        <v>252000</v>
      </c>
      <c r="BM278" s="578">
        <f>'[67]Дир_по экон'!AW64</f>
        <v>252000</v>
      </c>
      <c r="BN278" s="522">
        <f t="shared" si="390"/>
        <v>227235</v>
      </c>
      <c r="BO278" s="578">
        <f t="shared" si="426"/>
        <v>-24765</v>
      </c>
      <c r="BP278" s="578">
        <f t="shared" si="417"/>
        <v>-24765</v>
      </c>
      <c r="BQ278" s="576">
        <v>252000</v>
      </c>
      <c r="BR278" s="578">
        <f>'[67]Дир_по экон'!BB64</f>
        <v>0</v>
      </c>
      <c r="BS278" s="578">
        <f>'[67]Дир_по экон'!BC64</f>
        <v>0</v>
      </c>
      <c r="BT278" s="536"/>
      <c r="BU278" s="578"/>
      <c r="BV278" s="578"/>
      <c r="BW278" s="586">
        <v>4374472.7</v>
      </c>
      <c r="BX278" s="629"/>
      <c r="BY278" s="522">
        <v>4307410.58</v>
      </c>
      <c r="BZ278" s="522">
        <f>23445.07+27435.33</f>
        <v>50880.4</v>
      </c>
      <c r="CA278" s="522">
        <v>16181.72</v>
      </c>
      <c r="CB278" s="522">
        <f t="shared" si="391"/>
        <v>4374472.7</v>
      </c>
      <c r="CC278" s="522">
        <f t="shared" si="418"/>
        <v>0</v>
      </c>
      <c r="CD278" s="578"/>
      <c r="CE278" s="578"/>
      <c r="CF278" s="578"/>
      <c r="CG278" s="578"/>
      <c r="CH278" s="578"/>
      <c r="CI278" s="578"/>
      <c r="CJ278" s="578"/>
      <c r="CK278" s="543" t="s">
        <v>77</v>
      </c>
      <c r="CL278" s="543" t="s">
        <v>1856</v>
      </c>
      <c r="CM278" s="528" t="s">
        <v>1959</v>
      </c>
      <c r="CN278" s="528" t="s">
        <v>1849</v>
      </c>
      <c r="CO278" s="528"/>
      <c r="CP278" s="544">
        <f>U278*$CU$7/100</f>
        <v>2957381.4306307901</v>
      </c>
      <c r="CQ278" s="544">
        <f>U278*$CU$8/100</f>
        <v>217229.3142844906</v>
      </c>
      <c r="CR278" s="544">
        <f>U278*$CU$9/100</f>
        <v>30804.255084719243</v>
      </c>
      <c r="CS278" s="1688" t="s">
        <v>1826</v>
      </c>
      <c r="CT278" s="1689"/>
      <c r="CU278" s="1689"/>
      <c r="CV278" s="1689"/>
      <c r="CW278" s="1690"/>
      <c r="CX278" s="528"/>
      <c r="CY278" s="528"/>
      <c r="CZ278" s="528"/>
      <c r="DA278" s="528"/>
      <c r="DB278" s="579">
        <v>569401.19999999995</v>
      </c>
      <c r="DC278" s="628" t="e">
        <f>P278-#REF!</f>
        <v>#REF!</v>
      </c>
      <c r="DD278" s="575"/>
      <c r="DE278" s="575"/>
      <c r="DF278" s="522">
        <f t="shared" si="350"/>
        <v>4307.4105799999998</v>
      </c>
      <c r="DG278" s="522">
        <f t="shared" si="350"/>
        <v>50.880400000000002</v>
      </c>
      <c r="DH278" s="522">
        <f t="shared" si="350"/>
        <v>16.181719999999999</v>
      </c>
      <c r="DI278" s="522">
        <f t="shared" si="348"/>
        <v>4374.4727000000003</v>
      </c>
      <c r="DJ278" s="536"/>
      <c r="DK278" s="536"/>
      <c r="DL278" s="536"/>
      <c r="DM278" s="536"/>
      <c r="DN278" s="536"/>
      <c r="DO278" s="536"/>
      <c r="DP278" s="536"/>
      <c r="DQ278" s="536"/>
      <c r="DR278" s="536"/>
      <c r="DS278" s="536"/>
    </row>
    <row r="279" spans="1:123" s="534" customFormat="1" ht="64.5" customHeight="1">
      <c r="A279" s="537" t="s">
        <v>550</v>
      </c>
      <c r="B279" s="538" t="s">
        <v>551</v>
      </c>
      <c r="C279" s="576">
        <v>3550000</v>
      </c>
      <c r="D279" s="576"/>
      <c r="E279" s="525">
        <v>0</v>
      </c>
      <c r="F279" s="525"/>
      <c r="G279" s="596">
        <v>0</v>
      </c>
      <c r="H279" s="596">
        <v>0</v>
      </c>
      <c r="I279" s="522">
        <f t="shared" si="385"/>
        <v>0</v>
      </c>
      <c r="J279" s="522">
        <v>0</v>
      </c>
      <c r="K279" s="522">
        <v>0</v>
      </c>
      <c r="L279" s="522">
        <v>0</v>
      </c>
      <c r="M279" s="522">
        <f t="shared" si="386"/>
        <v>0</v>
      </c>
      <c r="N279" s="522"/>
      <c r="O279" s="522">
        <f t="shared" si="387"/>
        <v>90000</v>
      </c>
      <c r="P279" s="522">
        <v>90000</v>
      </c>
      <c r="Q279" s="525">
        <f t="shared" si="399"/>
        <v>90000</v>
      </c>
      <c r="R279" s="525">
        <v>0</v>
      </c>
      <c r="S279" s="576"/>
      <c r="T279" s="576"/>
      <c r="U279" s="522">
        <f t="shared" si="388"/>
        <v>0</v>
      </c>
      <c r="V279" s="522">
        <f t="shared" si="397"/>
        <v>0</v>
      </c>
      <c r="W279" s="522">
        <v>0</v>
      </c>
      <c r="X279" s="522">
        <f t="shared" si="401"/>
        <v>-90000</v>
      </c>
      <c r="Y279" s="522">
        <f t="shared" si="402"/>
        <v>-100</v>
      </c>
      <c r="Z279" s="524">
        <f t="shared" si="403"/>
        <v>0</v>
      </c>
      <c r="AA279" s="522">
        <f t="shared" si="404"/>
        <v>0</v>
      </c>
      <c r="AB279" s="522">
        <v>0</v>
      </c>
      <c r="AC279" s="522">
        <f t="shared" si="405"/>
        <v>0</v>
      </c>
      <c r="AD279" s="522">
        <v>0</v>
      </c>
      <c r="AE279" s="522">
        <f t="shared" si="406"/>
        <v>-90000</v>
      </c>
      <c r="AF279" s="522">
        <f t="shared" si="407"/>
        <v>-100</v>
      </c>
      <c r="AG279" s="522">
        <f t="shared" si="419"/>
        <v>0</v>
      </c>
      <c r="AH279" s="522">
        <f t="shared" si="408"/>
        <v>0</v>
      </c>
      <c r="AI279" s="522">
        <v>0</v>
      </c>
      <c r="AJ279" s="522">
        <f t="shared" si="409"/>
        <v>0</v>
      </c>
      <c r="AK279" s="522">
        <v>0</v>
      </c>
      <c r="AL279" s="522">
        <f t="shared" si="392"/>
        <v>0</v>
      </c>
      <c r="AM279" s="522">
        <f t="shared" si="428"/>
        <v>0</v>
      </c>
      <c r="AN279" s="522">
        <f t="shared" si="428"/>
        <v>0</v>
      </c>
      <c r="AO279" s="522">
        <f t="shared" si="410"/>
        <v>0</v>
      </c>
      <c r="AP279" s="522">
        <v>0</v>
      </c>
      <c r="AQ279" s="578">
        <v>0</v>
      </c>
      <c r="AR279" s="578">
        <v>0</v>
      </c>
      <c r="AS279" s="578">
        <v>0</v>
      </c>
      <c r="AT279" s="578">
        <v>0</v>
      </c>
      <c r="AU279" s="578">
        <f t="shared" si="427"/>
        <v>0</v>
      </c>
      <c r="AV279" s="578">
        <f t="shared" si="427"/>
        <v>0</v>
      </c>
      <c r="AW279" s="578">
        <f t="shared" si="411"/>
        <v>0</v>
      </c>
      <c r="AX279" s="578">
        <v>0</v>
      </c>
      <c r="AY279" s="578">
        <f t="shared" si="376"/>
        <v>0</v>
      </c>
      <c r="AZ279" s="578">
        <f t="shared" si="412"/>
        <v>0</v>
      </c>
      <c r="BA279" s="578">
        <v>0</v>
      </c>
      <c r="BB279" s="578">
        <v>0</v>
      </c>
      <c r="BC279" s="576">
        <f>'[67]Дир_по экон'!AT65</f>
        <v>0</v>
      </c>
      <c r="BD279" s="576">
        <f t="shared" si="389"/>
        <v>0</v>
      </c>
      <c r="BE279" s="576">
        <f t="shared" si="413"/>
        <v>0</v>
      </c>
      <c r="BF279" s="576">
        <f t="shared" si="414"/>
        <v>0</v>
      </c>
      <c r="BG279" s="576">
        <f t="shared" si="398"/>
        <v>0</v>
      </c>
      <c r="BH279" s="578">
        <f t="shared" si="398"/>
        <v>0</v>
      </c>
      <c r="BI279" s="578"/>
      <c r="BJ279" s="578">
        <f t="shared" si="415"/>
        <v>0</v>
      </c>
      <c r="BK279" s="578">
        <f t="shared" si="416"/>
        <v>0</v>
      </c>
      <c r="BL279" s="576">
        <v>0</v>
      </c>
      <c r="BM279" s="578">
        <f>'[67]Дир_по экон'!AW65</f>
        <v>0</v>
      </c>
      <c r="BN279" s="522">
        <f t="shared" si="390"/>
        <v>0</v>
      </c>
      <c r="BO279" s="578">
        <f t="shared" si="426"/>
        <v>0</v>
      </c>
      <c r="BP279" s="578">
        <f t="shared" si="417"/>
        <v>0</v>
      </c>
      <c r="BQ279" s="576">
        <v>0</v>
      </c>
      <c r="BR279" s="578">
        <f>'[67]Дир_по экон'!BB65</f>
        <v>0</v>
      </c>
      <c r="BS279" s="578">
        <f>'[67]Дир_по экон'!BC65</f>
        <v>0</v>
      </c>
      <c r="BT279" s="536"/>
      <c r="BU279" s="578"/>
      <c r="BV279" s="578"/>
      <c r="BW279" s="578"/>
      <c r="BX279" s="629"/>
      <c r="BY279" s="522">
        <f t="shared" ref="BY279:BY282" si="429">BW279*0.861495</f>
        <v>0</v>
      </c>
      <c r="BZ279" s="522"/>
      <c r="CA279" s="522"/>
      <c r="CB279" s="522">
        <f t="shared" si="391"/>
        <v>0</v>
      </c>
      <c r="CC279" s="522">
        <f t="shared" si="418"/>
        <v>0</v>
      </c>
      <c r="CD279" s="578"/>
      <c r="CE279" s="578"/>
      <c r="CF279" s="578"/>
      <c r="CG279" s="578"/>
      <c r="CH279" s="578"/>
      <c r="CI279" s="578"/>
      <c r="CJ279" s="578"/>
      <c r="CK279" s="543" t="s">
        <v>77</v>
      </c>
      <c r="CL279" s="543" t="s">
        <v>1856</v>
      </c>
      <c r="CM279" s="528" t="s">
        <v>1959</v>
      </c>
      <c r="CN279" s="528" t="s">
        <v>1849</v>
      </c>
      <c r="CO279" s="528"/>
      <c r="CP279" s="544">
        <f>U279*$CU$7/100</f>
        <v>0</v>
      </c>
      <c r="CQ279" s="544">
        <f>U279*$CU$8/100</f>
        <v>0</v>
      </c>
      <c r="CR279" s="544">
        <f>U279*$CU$9/100</f>
        <v>0</v>
      </c>
      <c r="CS279" s="1688" t="s">
        <v>1826</v>
      </c>
      <c r="CT279" s="1689"/>
      <c r="CU279" s="1689"/>
      <c r="CV279" s="1689"/>
      <c r="CW279" s="1690"/>
      <c r="CX279" s="528"/>
      <c r="CY279" s="528"/>
      <c r="CZ279" s="528"/>
      <c r="DA279" s="528"/>
      <c r="DB279" s="579"/>
      <c r="DC279" s="628" t="e">
        <f>P279-#REF!</f>
        <v>#REF!</v>
      </c>
      <c r="DD279" s="575"/>
      <c r="DE279" s="575"/>
      <c r="DF279" s="522">
        <f t="shared" si="350"/>
        <v>0</v>
      </c>
      <c r="DG279" s="522">
        <f t="shared" si="350"/>
        <v>0</v>
      </c>
      <c r="DH279" s="522">
        <f t="shared" si="350"/>
        <v>0</v>
      </c>
      <c r="DI279" s="522">
        <f t="shared" si="348"/>
        <v>0</v>
      </c>
      <c r="DJ279" s="536"/>
      <c r="DK279" s="536"/>
      <c r="DL279" s="536"/>
      <c r="DM279" s="536"/>
      <c r="DN279" s="536"/>
      <c r="DO279" s="536"/>
      <c r="DP279" s="536"/>
      <c r="DQ279" s="536"/>
      <c r="DR279" s="536"/>
      <c r="DS279" s="536"/>
    </row>
    <row r="280" spans="1:123" s="534" customFormat="1" ht="56.4">
      <c r="A280" s="537" t="s">
        <v>1418</v>
      </c>
      <c r="B280" s="538" t="s">
        <v>1419</v>
      </c>
      <c r="C280" s="576"/>
      <c r="D280" s="576"/>
      <c r="E280" s="676">
        <v>1998270</v>
      </c>
      <c r="F280" s="576">
        <v>1337517</v>
      </c>
      <c r="G280" s="577">
        <v>0</v>
      </c>
      <c r="H280" s="577">
        <v>0</v>
      </c>
      <c r="I280" s="578">
        <f t="shared" si="385"/>
        <v>2309400</v>
      </c>
      <c r="J280" s="578">
        <v>599400</v>
      </c>
      <c r="K280" s="578">
        <v>1026000</v>
      </c>
      <c r="L280" s="578">
        <v>684000</v>
      </c>
      <c r="M280" s="578">
        <f t="shared" si="386"/>
        <v>1625400</v>
      </c>
      <c r="N280" s="578">
        <v>1241400</v>
      </c>
      <c r="O280" s="522">
        <f t="shared" si="387"/>
        <v>246000</v>
      </c>
      <c r="P280" s="522">
        <v>1487400</v>
      </c>
      <c r="Q280" s="576">
        <f t="shared" si="399"/>
        <v>-822000</v>
      </c>
      <c r="R280" s="576">
        <f t="shared" si="400"/>
        <v>-35.593660691088587</v>
      </c>
      <c r="S280" s="576"/>
      <c r="T280" s="576"/>
      <c r="U280" s="522">
        <f t="shared" si="388"/>
        <v>3592290</v>
      </c>
      <c r="V280" s="522">
        <f t="shared" si="397"/>
        <v>3592290</v>
      </c>
      <c r="W280" s="522">
        <v>0</v>
      </c>
      <c r="X280" s="522">
        <f t="shared" si="401"/>
        <v>2104890</v>
      </c>
      <c r="Y280" s="522">
        <f t="shared" si="402"/>
        <v>141.51472367890275</v>
      </c>
      <c r="Z280" s="524">
        <f t="shared" si="403"/>
        <v>2850342</v>
      </c>
      <c r="AA280" s="522">
        <f t="shared" si="404"/>
        <v>2850342</v>
      </c>
      <c r="AB280" s="522">
        <v>0</v>
      </c>
      <c r="AC280" s="522">
        <f t="shared" si="405"/>
        <v>-741948</v>
      </c>
      <c r="AD280" s="522">
        <f t="shared" si="420"/>
        <v>-20.653900436768751</v>
      </c>
      <c r="AE280" s="522">
        <f t="shared" si="406"/>
        <v>1362942</v>
      </c>
      <c r="AF280" s="522">
        <f t="shared" si="407"/>
        <v>91.632513110125046</v>
      </c>
      <c r="AG280" s="522">
        <f t="shared" si="419"/>
        <v>1617699</v>
      </c>
      <c r="AH280" s="522">
        <f t="shared" si="408"/>
        <v>-1974591</v>
      </c>
      <c r="AI280" s="522">
        <f t="shared" si="421"/>
        <v>-54.96747200253877</v>
      </c>
      <c r="AJ280" s="522">
        <f t="shared" si="409"/>
        <v>-1232643</v>
      </c>
      <c r="AK280" s="522">
        <f>AG280/Z280*100-100</f>
        <v>-43.245442125892261</v>
      </c>
      <c r="AL280" s="522">
        <f t="shared" si="392"/>
        <v>1617699</v>
      </c>
      <c r="AM280" s="522">
        <f t="shared" si="428"/>
        <v>1353660</v>
      </c>
      <c r="AN280" s="522">
        <f t="shared" si="428"/>
        <v>611712</v>
      </c>
      <c r="AO280" s="522">
        <f t="shared" si="410"/>
        <v>-741948</v>
      </c>
      <c r="AP280" s="522">
        <f t="shared" si="423"/>
        <v>-54.810513718363545</v>
      </c>
      <c r="AQ280" s="578">
        <v>541464</v>
      </c>
      <c r="AR280" s="578">
        <v>101952</v>
      </c>
      <c r="AS280" s="578">
        <v>812196</v>
      </c>
      <c r="AT280" s="578">
        <v>509760</v>
      </c>
      <c r="AU280" s="578">
        <f t="shared" si="427"/>
        <v>2238630</v>
      </c>
      <c r="AV280" s="578">
        <f t="shared" si="427"/>
        <v>2238630</v>
      </c>
      <c r="AW280" s="578">
        <f t="shared" si="411"/>
        <v>0</v>
      </c>
      <c r="AX280" s="578">
        <f t="shared" si="424"/>
        <v>0</v>
      </c>
      <c r="AY280" s="578">
        <f t="shared" si="376"/>
        <v>1005987</v>
      </c>
      <c r="AZ280" s="578">
        <f t="shared" si="412"/>
        <v>1232643</v>
      </c>
      <c r="BA280" s="578">
        <f t="shared" si="425"/>
        <v>122.53070864732845</v>
      </c>
      <c r="BB280" s="578">
        <v>1343178</v>
      </c>
      <c r="BC280" s="576">
        <f>'[67]Дир_по корп'!AT49</f>
        <v>1343178</v>
      </c>
      <c r="BD280" s="576">
        <f t="shared" si="389"/>
        <v>425211</v>
      </c>
      <c r="BE280" s="576">
        <f t="shared" si="413"/>
        <v>-917967</v>
      </c>
      <c r="BF280" s="576">
        <f t="shared" si="414"/>
        <v>-917967</v>
      </c>
      <c r="BG280" s="576">
        <f t="shared" si="398"/>
        <v>2696838</v>
      </c>
      <c r="BH280" s="578">
        <f t="shared" si="398"/>
        <v>1954890</v>
      </c>
      <c r="BI280" s="578">
        <v>1036923</v>
      </c>
      <c r="BJ280" s="578">
        <f t="shared" si="415"/>
        <v>-1659915</v>
      </c>
      <c r="BK280" s="578">
        <f t="shared" si="416"/>
        <v>-917967</v>
      </c>
      <c r="BL280" s="576">
        <v>895452</v>
      </c>
      <c r="BM280" s="578">
        <f>'[67]Дир_по корп'!AW49</f>
        <v>895452</v>
      </c>
      <c r="BN280" s="522">
        <f t="shared" si="390"/>
        <v>580776</v>
      </c>
      <c r="BO280" s="578">
        <f t="shared" si="426"/>
        <v>-314676</v>
      </c>
      <c r="BP280" s="578">
        <f t="shared" si="417"/>
        <v>-314676</v>
      </c>
      <c r="BQ280" s="576">
        <v>895452</v>
      </c>
      <c r="BR280" s="578">
        <f>'[67]Дир_по корп'!BB49</f>
        <v>0</v>
      </c>
      <c r="BS280" s="578">
        <f>'[67]Дир_по корп'!BC49</f>
        <v>0</v>
      </c>
      <c r="BT280" s="536"/>
      <c r="BU280" s="578"/>
      <c r="BV280" s="578"/>
      <c r="BW280" s="586">
        <v>1617699</v>
      </c>
      <c r="BX280" s="629"/>
      <c r="BY280" s="522">
        <v>1470443.81</v>
      </c>
      <c r="BZ280" s="522">
        <f>33685.23+95156.13</f>
        <v>128841.36000000002</v>
      </c>
      <c r="CA280" s="522">
        <v>18413.830000000002</v>
      </c>
      <c r="CB280" s="522">
        <f t="shared" si="391"/>
        <v>1617699.0000000002</v>
      </c>
      <c r="CC280" s="522">
        <f t="shared" si="418"/>
        <v>0</v>
      </c>
      <c r="CD280" s="578"/>
      <c r="CE280" s="578"/>
      <c r="CF280" s="578"/>
      <c r="CG280" s="578"/>
      <c r="CH280" s="578"/>
      <c r="CI280" s="578"/>
      <c r="CJ280" s="578"/>
      <c r="CK280" s="543" t="s">
        <v>80</v>
      </c>
      <c r="CL280" s="543" t="s">
        <v>1821</v>
      </c>
      <c r="CM280" s="528" t="s">
        <v>1959</v>
      </c>
      <c r="CN280" s="528" t="s">
        <v>1849</v>
      </c>
      <c r="CO280" s="528"/>
      <c r="CP280" s="579"/>
      <c r="CQ280" s="579"/>
      <c r="CR280" s="579">
        <f>U280</f>
        <v>3592290</v>
      </c>
      <c r="CS280" s="1691"/>
      <c r="CT280" s="1692"/>
      <c r="CU280" s="1692"/>
      <c r="CV280" s="1692"/>
      <c r="CW280" s="1693"/>
      <c r="CX280" s="528"/>
      <c r="CY280" s="528"/>
      <c r="CZ280" s="528"/>
      <c r="DA280" s="528"/>
      <c r="DB280" s="579">
        <v>101952</v>
      </c>
      <c r="DC280" s="628" t="e">
        <f>P280-#REF!</f>
        <v>#REF!</v>
      </c>
      <c r="DD280" s="575"/>
      <c r="DE280" s="575"/>
      <c r="DF280" s="522">
        <f t="shared" si="350"/>
        <v>1470.44381</v>
      </c>
      <c r="DG280" s="522">
        <f t="shared" si="350"/>
        <v>128.84136000000001</v>
      </c>
      <c r="DH280" s="522">
        <f t="shared" si="350"/>
        <v>18.413830000000001</v>
      </c>
      <c r="DI280" s="522">
        <f t="shared" si="348"/>
        <v>1617.6990000000003</v>
      </c>
      <c r="DJ280" s="536"/>
      <c r="DK280" s="536"/>
      <c r="DL280" s="536"/>
      <c r="DM280" s="536"/>
      <c r="DN280" s="536"/>
      <c r="DO280" s="536"/>
      <c r="DP280" s="536"/>
      <c r="DQ280" s="536"/>
      <c r="DR280" s="536"/>
      <c r="DS280" s="536"/>
    </row>
    <row r="281" spans="1:123" s="623" customFormat="1" ht="61.5" customHeight="1">
      <c r="A281" s="537" t="s">
        <v>1422</v>
      </c>
      <c r="B281" s="538" t="s">
        <v>1423</v>
      </c>
      <c r="C281" s="576"/>
      <c r="D281" s="576"/>
      <c r="E281" s="576">
        <v>81411</v>
      </c>
      <c r="F281" s="576">
        <v>78523.5</v>
      </c>
      <c r="G281" s="577">
        <v>0</v>
      </c>
      <c r="H281" s="577">
        <v>0</v>
      </c>
      <c r="I281" s="578">
        <f t="shared" si="385"/>
        <v>99000</v>
      </c>
      <c r="J281" s="578">
        <v>0</v>
      </c>
      <c r="K281" s="578">
        <v>99000</v>
      </c>
      <c r="L281" s="578">
        <v>0</v>
      </c>
      <c r="M281" s="578">
        <f t="shared" si="386"/>
        <v>99000</v>
      </c>
      <c r="N281" s="578">
        <v>267300</v>
      </c>
      <c r="O281" s="522">
        <f t="shared" si="387"/>
        <v>0</v>
      </c>
      <c r="P281" s="522">
        <v>267300</v>
      </c>
      <c r="Q281" s="576">
        <f t="shared" si="399"/>
        <v>168300</v>
      </c>
      <c r="R281" s="576">
        <f t="shared" si="400"/>
        <v>170</v>
      </c>
      <c r="S281" s="576"/>
      <c r="T281" s="576"/>
      <c r="U281" s="522">
        <f t="shared" si="388"/>
        <v>408622.5</v>
      </c>
      <c r="V281" s="522">
        <f t="shared" si="397"/>
        <v>408622.5</v>
      </c>
      <c r="W281" s="522">
        <v>0</v>
      </c>
      <c r="X281" s="522">
        <f t="shared" si="401"/>
        <v>141322.5</v>
      </c>
      <c r="Y281" s="522">
        <f t="shared" si="402"/>
        <v>52.870370370370381</v>
      </c>
      <c r="Z281" s="524">
        <f t="shared" si="403"/>
        <v>276093</v>
      </c>
      <c r="AA281" s="522">
        <f t="shared" si="404"/>
        <v>276093</v>
      </c>
      <c r="AB281" s="522">
        <v>0</v>
      </c>
      <c r="AC281" s="522">
        <f t="shared" si="405"/>
        <v>-132529.5</v>
      </c>
      <c r="AD281" s="522">
        <f t="shared" si="420"/>
        <v>-32.433236055283302</v>
      </c>
      <c r="AE281" s="522">
        <f t="shared" si="406"/>
        <v>8793</v>
      </c>
      <c r="AF281" s="522">
        <f t="shared" si="407"/>
        <v>3.2895622895622978</v>
      </c>
      <c r="AG281" s="522">
        <f t="shared" si="419"/>
        <v>172044</v>
      </c>
      <c r="AH281" s="522">
        <f t="shared" si="408"/>
        <v>-236578.5</v>
      </c>
      <c r="AI281" s="522">
        <f t="shared" si="421"/>
        <v>-57.896591597379</v>
      </c>
      <c r="AJ281" s="522">
        <f t="shared" si="409"/>
        <v>-104049</v>
      </c>
      <c r="AK281" s="522">
        <f>AG281/Z281*100-100</f>
        <v>-37.686214427747167</v>
      </c>
      <c r="AL281" s="522">
        <f t="shared" si="392"/>
        <v>172044</v>
      </c>
      <c r="AM281" s="522">
        <f t="shared" si="428"/>
        <v>304573.5</v>
      </c>
      <c r="AN281" s="522">
        <f t="shared" si="428"/>
        <v>172044</v>
      </c>
      <c r="AO281" s="522">
        <f t="shared" si="410"/>
        <v>-132529.5</v>
      </c>
      <c r="AP281" s="522">
        <f t="shared" si="423"/>
        <v>-43.513142147954433</v>
      </c>
      <c r="AQ281" s="578">
        <v>0</v>
      </c>
      <c r="AR281" s="578">
        <v>0</v>
      </c>
      <c r="AS281" s="578">
        <v>304573.5</v>
      </c>
      <c r="AT281" s="578">
        <v>172044</v>
      </c>
      <c r="AU281" s="578">
        <f t="shared" si="427"/>
        <v>104049</v>
      </c>
      <c r="AV281" s="578">
        <f t="shared" si="427"/>
        <v>104049</v>
      </c>
      <c r="AW281" s="578">
        <f t="shared" si="411"/>
        <v>0</v>
      </c>
      <c r="AX281" s="578">
        <f t="shared" si="424"/>
        <v>0</v>
      </c>
      <c r="AY281" s="578">
        <f t="shared" si="376"/>
        <v>0</v>
      </c>
      <c r="AZ281" s="578">
        <f t="shared" si="412"/>
        <v>104049</v>
      </c>
      <c r="BA281" s="578" t="e">
        <f t="shared" si="425"/>
        <v>#DIV/0!</v>
      </c>
      <c r="BB281" s="578">
        <v>104049</v>
      </c>
      <c r="BC281" s="576">
        <f>'[67]Дир_по корп'!AT50</f>
        <v>104049</v>
      </c>
      <c r="BD281" s="576">
        <f t="shared" si="389"/>
        <v>0</v>
      </c>
      <c r="BE281" s="576">
        <f t="shared" si="413"/>
        <v>-104049</v>
      </c>
      <c r="BF281" s="576">
        <f t="shared" si="414"/>
        <v>-104049</v>
      </c>
      <c r="BG281" s="576">
        <f t="shared" si="398"/>
        <v>408622.5</v>
      </c>
      <c r="BH281" s="578">
        <f t="shared" si="398"/>
        <v>276093</v>
      </c>
      <c r="BI281" s="578">
        <v>172044</v>
      </c>
      <c r="BJ281" s="578">
        <f t="shared" si="415"/>
        <v>-236578.5</v>
      </c>
      <c r="BK281" s="578">
        <f t="shared" si="416"/>
        <v>-104049</v>
      </c>
      <c r="BL281" s="576">
        <v>0</v>
      </c>
      <c r="BM281" s="578">
        <f>'[67]Дир_по корп'!AW50</f>
        <v>0</v>
      </c>
      <c r="BN281" s="522">
        <f t="shared" si="390"/>
        <v>0</v>
      </c>
      <c r="BO281" s="578">
        <f t="shared" si="426"/>
        <v>0</v>
      </c>
      <c r="BP281" s="578">
        <f t="shared" si="417"/>
        <v>0</v>
      </c>
      <c r="BQ281" s="576">
        <v>0</v>
      </c>
      <c r="BR281" s="578">
        <f>'[67]Дир_по корп'!BB50</f>
        <v>0</v>
      </c>
      <c r="BS281" s="578">
        <f>'[67]Дир_по корп'!BC50</f>
        <v>0</v>
      </c>
      <c r="BT281" s="621"/>
      <c r="BU281" s="578"/>
      <c r="BV281" s="578"/>
      <c r="BW281" s="586">
        <v>172044</v>
      </c>
      <c r="BX281" s="629"/>
      <c r="BY281" s="522">
        <v>154542.42000000001</v>
      </c>
      <c r="BZ281" s="522">
        <f>2484.15+13252.09</f>
        <v>15736.24</v>
      </c>
      <c r="CA281" s="522">
        <v>1765.34</v>
      </c>
      <c r="CB281" s="522">
        <f t="shared" si="391"/>
        <v>172044</v>
      </c>
      <c r="CC281" s="522">
        <f t="shared" si="418"/>
        <v>0</v>
      </c>
      <c r="CD281" s="578"/>
      <c r="CE281" s="578"/>
      <c r="CF281" s="578"/>
      <c r="CG281" s="578"/>
      <c r="CH281" s="578"/>
      <c r="CI281" s="578"/>
      <c r="CJ281" s="578"/>
      <c r="CK281" s="543" t="s">
        <v>80</v>
      </c>
      <c r="CL281" s="543" t="s">
        <v>1821</v>
      </c>
      <c r="CM281" s="528" t="s">
        <v>1959</v>
      </c>
      <c r="CN281" s="528" t="s">
        <v>1849</v>
      </c>
      <c r="CO281" s="622"/>
      <c r="CP281" s="544">
        <f t="shared" ref="CP281:CP299" si="430">U281*$CU$7/100</f>
        <v>377003.47494409623</v>
      </c>
      <c r="CQ281" s="544">
        <f t="shared" ref="CQ281:CQ299" si="431">U281*$CU$8/100</f>
        <v>27692.135176323271</v>
      </c>
      <c r="CR281" s="544">
        <f t="shared" ref="CR281:CR299" si="432">U281*$CU$9/100</f>
        <v>3926.8898795805503</v>
      </c>
      <c r="CS281" s="1688" t="s">
        <v>1826</v>
      </c>
      <c r="CT281" s="1689"/>
      <c r="CU281" s="1689"/>
      <c r="CV281" s="1689"/>
      <c r="CW281" s="1690"/>
      <c r="CX281" s="622"/>
      <c r="CY281" s="622"/>
      <c r="CZ281" s="622"/>
      <c r="DA281" s="622"/>
      <c r="DB281" s="579"/>
      <c r="DC281" s="628" t="e">
        <f>P281-#REF!</f>
        <v>#REF!</v>
      </c>
      <c r="DD281" s="575"/>
      <c r="DE281" s="575"/>
      <c r="DF281" s="522">
        <f t="shared" si="350"/>
        <v>154.54242000000002</v>
      </c>
      <c r="DG281" s="522">
        <f t="shared" si="350"/>
        <v>15.73624</v>
      </c>
      <c r="DH281" s="522">
        <f t="shared" si="350"/>
        <v>1.7653399999999999</v>
      </c>
      <c r="DI281" s="522">
        <f t="shared" si="348"/>
        <v>172.04400000000001</v>
      </c>
      <c r="DJ281" s="1062">
        <f>DF277+DF279+DF280+DF281+DF282+DF283+DF284+DF285+DF286+DF287+DF288+DF289+DF290+DF291+DF292+DF293+DF294+DF295</f>
        <v>71512.675900000002</v>
      </c>
      <c r="DK281" s="621"/>
      <c r="DL281" s="621"/>
      <c r="DM281" s="621"/>
      <c r="DN281" s="621"/>
      <c r="DO281" s="621"/>
      <c r="DP281" s="621"/>
      <c r="DQ281" s="621"/>
      <c r="DR281" s="621"/>
      <c r="DS281" s="621"/>
    </row>
    <row r="282" spans="1:123" s="602" customFormat="1" ht="53.25" customHeight="1">
      <c r="A282" s="598" t="s">
        <v>555</v>
      </c>
      <c r="B282" s="610" t="s">
        <v>556</v>
      </c>
      <c r="C282" s="525"/>
      <c r="D282" s="525"/>
      <c r="E282" s="525">
        <v>0</v>
      </c>
      <c r="F282" s="525"/>
      <c r="G282" s="596">
        <v>0</v>
      </c>
      <c r="H282" s="596">
        <v>0</v>
      </c>
      <c r="I282" s="522">
        <f t="shared" si="385"/>
        <v>165650</v>
      </c>
      <c r="J282" s="522">
        <v>165650</v>
      </c>
      <c r="K282" s="522">
        <v>0</v>
      </c>
      <c r="L282" s="522">
        <v>0</v>
      </c>
      <c r="M282" s="522">
        <f t="shared" si="386"/>
        <v>165650</v>
      </c>
      <c r="N282" s="522">
        <v>165650</v>
      </c>
      <c r="O282" s="522">
        <f t="shared" si="387"/>
        <v>0</v>
      </c>
      <c r="P282" s="522">
        <v>165650</v>
      </c>
      <c r="Q282" s="525">
        <f t="shared" si="399"/>
        <v>0</v>
      </c>
      <c r="R282" s="525">
        <f t="shared" si="400"/>
        <v>0</v>
      </c>
      <c r="S282" s="525"/>
      <c r="T282" s="525"/>
      <c r="U282" s="522">
        <f t="shared" si="388"/>
        <v>0</v>
      </c>
      <c r="V282" s="522">
        <f t="shared" si="397"/>
        <v>0</v>
      </c>
      <c r="W282" s="522">
        <v>0</v>
      </c>
      <c r="X282" s="522">
        <f t="shared" si="401"/>
        <v>-165650</v>
      </c>
      <c r="Y282" s="522">
        <f t="shared" si="402"/>
        <v>-100</v>
      </c>
      <c r="Z282" s="524">
        <f t="shared" si="403"/>
        <v>0</v>
      </c>
      <c r="AA282" s="522">
        <f t="shared" si="404"/>
        <v>0</v>
      </c>
      <c r="AB282" s="522">
        <v>0</v>
      </c>
      <c r="AC282" s="522">
        <f t="shared" si="405"/>
        <v>0</v>
      </c>
      <c r="AD282" s="522">
        <v>0</v>
      </c>
      <c r="AE282" s="522">
        <f t="shared" si="406"/>
        <v>-165650</v>
      </c>
      <c r="AF282" s="522">
        <f t="shared" si="407"/>
        <v>-100</v>
      </c>
      <c r="AG282" s="522">
        <f t="shared" si="419"/>
        <v>0</v>
      </c>
      <c r="AH282" s="522">
        <f t="shared" si="408"/>
        <v>0</v>
      </c>
      <c r="AI282" s="522">
        <v>0</v>
      </c>
      <c r="AJ282" s="522">
        <f t="shared" si="409"/>
        <v>0</v>
      </c>
      <c r="AK282" s="522">
        <v>0</v>
      </c>
      <c r="AL282" s="522">
        <f t="shared" si="392"/>
        <v>0</v>
      </c>
      <c r="AM282" s="522">
        <f t="shared" si="428"/>
        <v>0</v>
      </c>
      <c r="AN282" s="522">
        <f t="shared" si="428"/>
        <v>0</v>
      </c>
      <c r="AO282" s="522">
        <f t="shared" si="410"/>
        <v>0</v>
      </c>
      <c r="AP282" s="522">
        <v>0</v>
      </c>
      <c r="AQ282" s="522">
        <v>0</v>
      </c>
      <c r="AR282" s="522">
        <v>0</v>
      </c>
      <c r="AS282" s="522">
        <v>0</v>
      </c>
      <c r="AT282" s="522">
        <v>0</v>
      </c>
      <c r="AU282" s="522">
        <f t="shared" si="427"/>
        <v>0</v>
      </c>
      <c r="AV282" s="522">
        <f t="shared" si="427"/>
        <v>0</v>
      </c>
      <c r="AW282" s="522">
        <f t="shared" si="411"/>
        <v>0</v>
      </c>
      <c r="AX282" s="522">
        <v>0</v>
      </c>
      <c r="AY282" s="522">
        <f t="shared" si="376"/>
        <v>0</v>
      </c>
      <c r="AZ282" s="522">
        <f t="shared" si="412"/>
        <v>0</v>
      </c>
      <c r="BA282" s="522">
        <v>0</v>
      </c>
      <c r="BB282" s="522">
        <v>0</v>
      </c>
      <c r="BC282" s="525">
        <f>'[67]Дир_по экон'!AT66</f>
        <v>0</v>
      </c>
      <c r="BD282" s="525">
        <f t="shared" si="389"/>
        <v>0</v>
      </c>
      <c r="BE282" s="525">
        <f t="shared" si="413"/>
        <v>0</v>
      </c>
      <c r="BF282" s="525">
        <f t="shared" si="414"/>
        <v>0</v>
      </c>
      <c r="BG282" s="525">
        <f t="shared" si="398"/>
        <v>0</v>
      </c>
      <c r="BH282" s="522">
        <f t="shared" si="398"/>
        <v>0</v>
      </c>
      <c r="BI282" s="522"/>
      <c r="BJ282" s="522">
        <f t="shared" si="415"/>
        <v>0</v>
      </c>
      <c r="BK282" s="522">
        <f t="shared" si="416"/>
        <v>0</v>
      </c>
      <c r="BL282" s="525">
        <v>0</v>
      </c>
      <c r="BM282" s="522">
        <f>'[67]Дир_по экон'!AW66</f>
        <v>0</v>
      </c>
      <c r="BN282" s="522">
        <f t="shared" si="390"/>
        <v>0</v>
      </c>
      <c r="BO282" s="522">
        <f t="shared" si="426"/>
        <v>0</v>
      </c>
      <c r="BP282" s="522">
        <f t="shared" si="417"/>
        <v>0</v>
      </c>
      <c r="BQ282" s="525">
        <v>0</v>
      </c>
      <c r="BR282" s="522">
        <f>'[67]Дир_по экон'!BB66</f>
        <v>0</v>
      </c>
      <c r="BS282" s="522">
        <f>'[67]Дир_по экон'!BC66</f>
        <v>0</v>
      </c>
      <c r="BT282" s="600"/>
      <c r="BU282" s="522"/>
      <c r="BV282" s="522"/>
      <c r="BW282" s="522"/>
      <c r="BX282" s="629"/>
      <c r="BY282" s="522">
        <f t="shared" si="429"/>
        <v>0</v>
      </c>
      <c r="BZ282" s="522"/>
      <c r="CA282" s="522"/>
      <c r="CB282" s="522">
        <f t="shared" si="391"/>
        <v>0</v>
      </c>
      <c r="CC282" s="522">
        <f t="shared" si="418"/>
        <v>0</v>
      </c>
      <c r="CD282" s="522"/>
      <c r="CE282" s="522"/>
      <c r="CF282" s="522"/>
      <c r="CG282" s="522"/>
      <c r="CH282" s="522"/>
      <c r="CI282" s="522"/>
      <c r="CJ282" s="522"/>
      <c r="CK282" s="675" t="s">
        <v>77</v>
      </c>
      <c r="CL282" s="675" t="s">
        <v>1856</v>
      </c>
      <c r="CM282" s="528" t="s">
        <v>1959</v>
      </c>
      <c r="CN282" s="528" t="s">
        <v>1849</v>
      </c>
      <c r="CO282" s="601"/>
      <c r="CP282" s="544">
        <f t="shared" si="430"/>
        <v>0</v>
      </c>
      <c r="CQ282" s="544">
        <f t="shared" si="431"/>
        <v>0</v>
      </c>
      <c r="CR282" s="544">
        <f t="shared" si="432"/>
        <v>0</v>
      </c>
      <c r="CS282" s="1688" t="s">
        <v>1826</v>
      </c>
      <c r="CT282" s="1689"/>
      <c r="CU282" s="1689"/>
      <c r="CV282" s="1689"/>
      <c r="CW282" s="1690"/>
      <c r="CX282" s="601"/>
      <c r="CY282" s="601"/>
      <c r="CZ282" s="601"/>
      <c r="DA282" s="601"/>
      <c r="DB282" s="579"/>
      <c r="DC282" s="628" t="e">
        <f>P282-#REF!</f>
        <v>#REF!</v>
      </c>
      <c r="DD282" s="575"/>
      <c r="DE282" s="575"/>
      <c r="DF282" s="522">
        <f t="shared" si="350"/>
        <v>0</v>
      </c>
      <c r="DG282" s="522">
        <f t="shared" si="350"/>
        <v>0</v>
      </c>
      <c r="DH282" s="522">
        <f t="shared" si="350"/>
        <v>0</v>
      </c>
      <c r="DI282" s="522">
        <f t="shared" si="348"/>
        <v>0</v>
      </c>
      <c r="DJ282" s="600"/>
      <c r="DK282" s="600"/>
      <c r="DL282" s="600"/>
      <c r="DM282" s="600"/>
      <c r="DN282" s="600"/>
      <c r="DO282" s="600"/>
      <c r="DP282" s="600"/>
      <c r="DQ282" s="600"/>
      <c r="DR282" s="600"/>
      <c r="DS282" s="600"/>
    </row>
    <row r="283" spans="1:123" s="534" customFormat="1" ht="53.25" customHeight="1">
      <c r="A283" s="537" t="s">
        <v>558</v>
      </c>
      <c r="B283" s="538" t="s">
        <v>559</v>
      </c>
      <c r="C283" s="576">
        <v>577940</v>
      </c>
      <c r="D283" s="576"/>
      <c r="E283" s="525">
        <v>587372</v>
      </c>
      <c r="F283" s="525">
        <v>548012</v>
      </c>
      <c r="G283" s="677">
        <v>40740057.969238497</v>
      </c>
      <c r="H283" s="677">
        <v>0</v>
      </c>
      <c r="I283" s="522">
        <f t="shared" si="385"/>
        <v>640026</v>
      </c>
      <c r="J283" s="522">
        <v>276006</v>
      </c>
      <c r="K283" s="522">
        <v>191350</v>
      </c>
      <c r="L283" s="522">
        <v>172670</v>
      </c>
      <c r="M283" s="522">
        <f t="shared" si="386"/>
        <v>467356</v>
      </c>
      <c r="N283" s="522">
        <v>463126</v>
      </c>
      <c r="O283" s="522">
        <f t="shared" si="387"/>
        <v>172670</v>
      </c>
      <c r="P283" s="522">
        <v>635796</v>
      </c>
      <c r="Q283" s="525">
        <f t="shared" si="399"/>
        <v>-4230</v>
      </c>
      <c r="R283" s="525">
        <f t="shared" si="400"/>
        <v>-0.66091065050481745</v>
      </c>
      <c r="S283" s="525">
        <v>436090</v>
      </c>
      <c r="T283" s="525">
        <v>436090</v>
      </c>
      <c r="U283" s="522">
        <f t="shared" si="388"/>
        <v>865992.47</v>
      </c>
      <c r="V283" s="522">
        <f t="shared" si="397"/>
        <v>429902.47</v>
      </c>
      <c r="W283" s="522">
        <f t="shared" ref="W283:W325" si="433">U283/T283*100-100</f>
        <v>98.581134628173089</v>
      </c>
      <c r="X283" s="522">
        <f t="shared" si="401"/>
        <v>230196.46999999997</v>
      </c>
      <c r="Y283" s="522">
        <f t="shared" si="402"/>
        <v>36.206026775884084</v>
      </c>
      <c r="Z283" s="524">
        <f t="shared" si="403"/>
        <v>796060</v>
      </c>
      <c r="AA283" s="522">
        <f t="shared" si="404"/>
        <v>359970</v>
      </c>
      <c r="AB283" s="522">
        <f t="shared" ref="AB283:AB325" si="434">Z283/T283*100-100</f>
        <v>82.544887523217682</v>
      </c>
      <c r="AC283" s="522">
        <f t="shared" si="405"/>
        <v>-69932.469999999972</v>
      </c>
      <c r="AD283" s="522">
        <f t="shared" si="420"/>
        <v>-8.0754131730498671</v>
      </c>
      <c r="AE283" s="522">
        <f t="shared" si="406"/>
        <v>160264</v>
      </c>
      <c r="AF283" s="522">
        <f t="shared" si="407"/>
        <v>25.20682734713651</v>
      </c>
      <c r="AG283" s="522">
        <f t="shared" si="419"/>
        <v>557610</v>
      </c>
      <c r="AH283" s="522">
        <f t="shared" si="408"/>
        <v>-308382.46999999997</v>
      </c>
      <c r="AI283" s="522">
        <f t="shared" si="421"/>
        <v>-35.610294625310075</v>
      </c>
      <c r="AJ283" s="522">
        <f t="shared" si="409"/>
        <v>-238450</v>
      </c>
      <c r="AK283" s="522">
        <f t="shared" ref="AK283:AK301" si="435">AG283/Z283*100-100</f>
        <v>-29.953772328718941</v>
      </c>
      <c r="AL283" s="522">
        <f t="shared" si="392"/>
        <v>557610</v>
      </c>
      <c r="AM283" s="522">
        <f t="shared" si="428"/>
        <v>378696.31999999995</v>
      </c>
      <c r="AN283" s="522">
        <f t="shared" si="428"/>
        <v>342850</v>
      </c>
      <c r="AO283" s="522">
        <f t="shared" si="410"/>
        <v>-35846.319999999949</v>
      </c>
      <c r="AP283" s="522">
        <f t="shared" si="423"/>
        <v>-9.4657164875539195</v>
      </c>
      <c r="AQ283" s="522">
        <v>159489.25</v>
      </c>
      <c r="AR283" s="522">
        <v>143670</v>
      </c>
      <c r="AS283" s="522">
        <v>219207.06999999998</v>
      </c>
      <c r="AT283" s="522">
        <v>199180</v>
      </c>
      <c r="AU283" s="522">
        <f t="shared" si="427"/>
        <v>487296.15</v>
      </c>
      <c r="AV283" s="522">
        <f t="shared" si="427"/>
        <v>453210</v>
      </c>
      <c r="AW283" s="522">
        <f t="shared" si="411"/>
        <v>-34086.150000000023</v>
      </c>
      <c r="AX283" s="522">
        <f t="shared" si="424"/>
        <v>-6.9949557368758235</v>
      </c>
      <c r="AY283" s="522">
        <f t="shared" si="376"/>
        <v>214760</v>
      </c>
      <c r="AZ283" s="522">
        <f t="shared" si="412"/>
        <v>238450</v>
      </c>
      <c r="BA283" s="522">
        <f t="shared" si="425"/>
        <v>111.03091823430807</v>
      </c>
      <c r="BB283" s="522">
        <v>154927.91</v>
      </c>
      <c r="BC283" s="525">
        <f>'[67]Дир_по экон'!AT67</f>
        <v>128239.99999999999</v>
      </c>
      <c r="BD283" s="525">
        <f t="shared" si="389"/>
        <v>160590</v>
      </c>
      <c r="BE283" s="525">
        <f t="shared" si="413"/>
        <v>5662.0899999999965</v>
      </c>
      <c r="BF283" s="525">
        <f t="shared" si="414"/>
        <v>32350.000000000015</v>
      </c>
      <c r="BG283" s="525">
        <f t="shared" si="398"/>
        <v>533624.23</v>
      </c>
      <c r="BH283" s="522">
        <f t="shared" si="398"/>
        <v>471090</v>
      </c>
      <c r="BI283" s="522">
        <v>503440</v>
      </c>
      <c r="BJ283" s="522">
        <f t="shared" si="415"/>
        <v>-30184.229999999981</v>
      </c>
      <c r="BK283" s="522">
        <f t="shared" si="416"/>
        <v>32350</v>
      </c>
      <c r="BL283" s="525">
        <v>332368.24</v>
      </c>
      <c r="BM283" s="522">
        <f>'[67]Дир_по экон'!AW67</f>
        <v>324970</v>
      </c>
      <c r="BN283" s="522">
        <f t="shared" si="390"/>
        <v>54170</v>
      </c>
      <c r="BO283" s="522">
        <f t="shared" si="426"/>
        <v>-278198.24</v>
      </c>
      <c r="BP283" s="522">
        <f t="shared" si="417"/>
        <v>-270800</v>
      </c>
      <c r="BQ283" s="525">
        <v>332368.24</v>
      </c>
      <c r="BR283" s="522">
        <f>'[67]Дир_по экон'!BB67</f>
        <v>0</v>
      </c>
      <c r="BS283" s="522">
        <f>'[67]Дир_по экон'!BC67</f>
        <v>0</v>
      </c>
      <c r="BT283" s="536"/>
      <c r="BU283" s="522"/>
      <c r="BV283" s="522"/>
      <c r="BW283" s="524">
        <v>557610</v>
      </c>
      <c r="BX283" s="629"/>
      <c r="BY283" s="522">
        <v>550364.1</v>
      </c>
      <c r="BZ283" s="522">
        <f>1500.41+4340.77</f>
        <v>5841.18</v>
      </c>
      <c r="CA283" s="522">
        <f>1404.72</f>
        <v>1404.72</v>
      </c>
      <c r="CB283" s="522">
        <f t="shared" si="391"/>
        <v>557610</v>
      </c>
      <c r="CC283" s="522">
        <f t="shared" si="418"/>
        <v>0</v>
      </c>
      <c r="CD283" s="522"/>
      <c r="CE283" s="522"/>
      <c r="CF283" s="522"/>
      <c r="CG283" s="522"/>
      <c r="CH283" s="522"/>
      <c r="CI283" s="522"/>
      <c r="CJ283" s="522"/>
      <c r="CK283" s="543" t="s">
        <v>77</v>
      </c>
      <c r="CL283" s="543" t="s">
        <v>1856</v>
      </c>
      <c r="CM283" s="528" t="s">
        <v>1959</v>
      </c>
      <c r="CN283" s="528" t="s">
        <v>1849</v>
      </c>
      <c r="CO283" s="528"/>
      <c r="CP283" s="544">
        <f t="shared" si="430"/>
        <v>798982.36260955024</v>
      </c>
      <c r="CQ283" s="544">
        <f t="shared" si="431"/>
        <v>58687.861145477975</v>
      </c>
      <c r="CR283" s="544">
        <f t="shared" si="432"/>
        <v>8322.246244971735</v>
      </c>
      <c r="CS283" s="1688" t="s">
        <v>1826</v>
      </c>
      <c r="CT283" s="1689"/>
      <c r="CU283" s="1689"/>
      <c r="CV283" s="1689"/>
      <c r="CW283" s="1690"/>
      <c r="CX283" s="528"/>
      <c r="CY283" s="528"/>
      <c r="CZ283" s="528"/>
      <c r="DA283" s="528"/>
      <c r="DB283" s="579">
        <v>143670</v>
      </c>
      <c r="DC283" s="628" t="e">
        <f>P283-#REF!</f>
        <v>#REF!</v>
      </c>
      <c r="DD283" s="575"/>
      <c r="DE283" s="575"/>
      <c r="DF283" s="522">
        <f t="shared" si="350"/>
        <v>550.36410000000001</v>
      </c>
      <c r="DG283" s="522">
        <f t="shared" si="350"/>
        <v>5.8411800000000005</v>
      </c>
      <c r="DH283" s="522">
        <f t="shared" si="350"/>
        <v>1.40472</v>
      </c>
      <c r="DI283" s="522">
        <f t="shared" si="350"/>
        <v>557.61</v>
      </c>
      <c r="DJ283" s="536"/>
      <c r="DK283" s="536"/>
      <c r="DL283" s="536"/>
      <c r="DM283" s="536"/>
      <c r="DN283" s="536"/>
      <c r="DO283" s="536"/>
      <c r="DP283" s="536"/>
      <c r="DQ283" s="536"/>
      <c r="DR283" s="536"/>
      <c r="DS283" s="536"/>
    </row>
    <row r="284" spans="1:123" s="534" customFormat="1" ht="84.75" customHeight="1">
      <c r="A284" s="537" t="s">
        <v>561</v>
      </c>
      <c r="B284" s="538" t="s">
        <v>562</v>
      </c>
      <c r="C284" s="576">
        <v>970060</v>
      </c>
      <c r="D284" s="576"/>
      <c r="E284" s="525">
        <v>2655108</v>
      </c>
      <c r="F284" s="525">
        <v>997982</v>
      </c>
      <c r="G284" s="678"/>
      <c r="H284" s="678"/>
      <c r="I284" s="522">
        <f t="shared" si="385"/>
        <v>1235760</v>
      </c>
      <c r="J284" s="522">
        <v>592140</v>
      </c>
      <c r="K284" s="522">
        <v>420040</v>
      </c>
      <c r="L284" s="522">
        <v>223580</v>
      </c>
      <c r="M284" s="522">
        <f t="shared" si="386"/>
        <v>1012180</v>
      </c>
      <c r="N284" s="522">
        <v>950760</v>
      </c>
      <c r="O284" s="522">
        <f t="shared" si="387"/>
        <v>216790</v>
      </c>
      <c r="P284" s="522">
        <v>1167550</v>
      </c>
      <c r="Q284" s="525">
        <f t="shared" si="399"/>
        <v>-68210</v>
      </c>
      <c r="R284" s="525">
        <f t="shared" si="400"/>
        <v>-5.5196801968019713</v>
      </c>
      <c r="S284" s="525">
        <v>994650</v>
      </c>
      <c r="T284" s="525">
        <v>994650</v>
      </c>
      <c r="U284" s="522">
        <f t="shared" si="388"/>
        <v>1810862.49</v>
      </c>
      <c r="V284" s="522">
        <f t="shared" si="397"/>
        <v>816212.49</v>
      </c>
      <c r="W284" s="522">
        <f t="shared" si="433"/>
        <v>82.060271452269632</v>
      </c>
      <c r="X284" s="522">
        <f t="shared" si="401"/>
        <v>643312.49</v>
      </c>
      <c r="Y284" s="522">
        <f t="shared" si="402"/>
        <v>55.09935249025736</v>
      </c>
      <c r="Z284" s="524">
        <f t="shared" si="403"/>
        <v>1297030</v>
      </c>
      <c r="AA284" s="522">
        <f t="shared" si="404"/>
        <v>302380</v>
      </c>
      <c r="AB284" s="522">
        <f t="shared" si="434"/>
        <v>30.400643442416936</v>
      </c>
      <c r="AC284" s="522">
        <f t="shared" si="405"/>
        <v>-513832.49</v>
      </c>
      <c r="AD284" s="522">
        <f t="shared" si="420"/>
        <v>-28.375014272894902</v>
      </c>
      <c r="AE284" s="522">
        <f t="shared" si="406"/>
        <v>129480</v>
      </c>
      <c r="AF284" s="522">
        <f t="shared" si="407"/>
        <v>11.089889083979273</v>
      </c>
      <c r="AG284" s="522">
        <f t="shared" si="419"/>
        <v>782750</v>
      </c>
      <c r="AH284" s="522">
        <f t="shared" si="408"/>
        <v>-1028112.49</v>
      </c>
      <c r="AI284" s="522">
        <f t="shared" si="421"/>
        <v>-56.77474107931851</v>
      </c>
      <c r="AJ284" s="522">
        <f t="shared" si="409"/>
        <v>-514280</v>
      </c>
      <c r="AK284" s="522">
        <f t="shared" si="435"/>
        <v>-39.650586339560377</v>
      </c>
      <c r="AL284" s="522">
        <f t="shared" si="392"/>
        <v>782750</v>
      </c>
      <c r="AM284" s="522">
        <f t="shared" si="428"/>
        <v>843395.97</v>
      </c>
      <c r="AN284" s="522">
        <f t="shared" si="428"/>
        <v>305560</v>
      </c>
      <c r="AO284" s="522">
        <f t="shared" si="410"/>
        <v>-537835.97</v>
      </c>
      <c r="AP284" s="522">
        <f t="shared" si="423"/>
        <v>-63.770279812932948</v>
      </c>
      <c r="AQ284" s="522">
        <v>456964.29</v>
      </c>
      <c r="AR284" s="522">
        <v>149680</v>
      </c>
      <c r="AS284" s="522">
        <v>386431.68</v>
      </c>
      <c r="AT284" s="522">
        <v>155880</v>
      </c>
      <c r="AU284" s="522">
        <f t="shared" si="427"/>
        <v>967466.52</v>
      </c>
      <c r="AV284" s="522">
        <f t="shared" si="427"/>
        <v>991470</v>
      </c>
      <c r="AW284" s="522">
        <f t="shared" si="411"/>
        <v>24003.479999999981</v>
      </c>
      <c r="AX284" s="522">
        <f t="shared" si="424"/>
        <v>2.481065701374348</v>
      </c>
      <c r="AY284" s="522">
        <f t="shared" si="376"/>
        <v>477190</v>
      </c>
      <c r="AZ284" s="522">
        <f t="shared" si="412"/>
        <v>514280</v>
      </c>
      <c r="BA284" s="522">
        <f t="shared" si="425"/>
        <v>107.77258534336428</v>
      </c>
      <c r="BB284" s="522">
        <v>535505.52</v>
      </c>
      <c r="BC284" s="525">
        <f>'[67]Дир_по экон'!AT68</f>
        <v>530040</v>
      </c>
      <c r="BD284" s="525">
        <f t="shared" si="389"/>
        <v>266120</v>
      </c>
      <c r="BE284" s="525">
        <f t="shared" si="413"/>
        <v>-269385.52</v>
      </c>
      <c r="BF284" s="525">
        <f t="shared" si="414"/>
        <v>-263920</v>
      </c>
      <c r="BG284" s="525">
        <f t="shared" si="398"/>
        <v>1378901.49</v>
      </c>
      <c r="BH284" s="522">
        <f t="shared" si="398"/>
        <v>835600</v>
      </c>
      <c r="BI284" s="522">
        <v>571680</v>
      </c>
      <c r="BJ284" s="522">
        <f t="shared" si="415"/>
        <v>-807221.49</v>
      </c>
      <c r="BK284" s="522">
        <f t="shared" si="416"/>
        <v>-263920</v>
      </c>
      <c r="BL284" s="525">
        <v>431961</v>
      </c>
      <c r="BM284" s="522">
        <f>'[67]Дир_по экон'!AW68</f>
        <v>461430</v>
      </c>
      <c r="BN284" s="522">
        <f t="shared" si="390"/>
        <v>211070</v>
      </c>
      <c r="BO284" s="522">
        <f t="shared" si="426"/>
        <v>-220891</v>
      </c>
      <c r="BP284" s="522">
        <f t="shared" si="417"/>
        <v>-250360</v>
      </c>
      <c r="BQ284" s="525">
        <v>431961</v>
      </c>
      <c r="BR284" s="522">
        <f>'[67]Дир_по экон'!BB68</f>
        <v>0</v>
      </c>
      <c r="BS284" s="522">
        <f>'[67]Дир_по экон'!BC68</f>
        <v>0</v>
      </c>
      <c r="BT284" s="536"/>
      <c r="BU284" s="522"/>
      <c r="BV284" s="522"/>
      <c r="BW284" s="524">
        <v>782750</v>
      </c>
      <c r="BX284" s="629"/>
      <c r="BY284" s="522">
        <v>778924.47</v>
      </c>
      <c r="BZ284" s="522">
        <f>1019.72+1800.41</f>
        <v>2820.13</v>
      </c>
      <c r="CA284" s="522">
        <f>1005.4</f>
        <v>1005.4</v>
      </c>
      <c r="CB284" s="522">
        <f t="shared" si="391"/>
        <v>782750</v>
      </c>
      <c r="CC284" s="522">
        <f t="shared" si="418"/>
        <v>0</v>
      </c>
      <c r="CD284" s="522"/>
      <c r="CE284" s="522"/>
      <c r="CF284" s="522"/>
      <c r="CG284" s="522"/>
      <c r="CH284" s="522"/>
      <c r="CI284" s="522"/>
      <c r="CJ284" s="522"/>
      <c r="CK284" s="543" t="s">
        <v>77</v>
      </c>
      <c r="CL284" s="543" t="s">
        <v>1856</v>
      </c>
      <c r="CM284" s="528" t="s">
        <v>1959</v>
      </c>
      <c r="CN284" s="528" t="s">
        <v>1849</v>
      </c>
      <c r="CO284" s="528"/>
      <c r="CP284" s="544">
        <f t="shared" si="430"/>
        <v>1670738.7659169985</v>
      </c>
      <c r="CQ284" s="544">
        <f t="shared" si="431"/>
        <v>122721.21299931685</v>
      </c>
      <c r="CR284" s="544">
        <f t="shared" si="432"/>
        <v>17402.511083684905</v>
      </c>
      <c r="CS284" s="1688" t="s">
        <v>1826</v>
      </c>
      <c r="CT284" s="1689"/>
      <c r="CU284" s="1689"/>
      <c r="CV284" s="1689"/>
      <c r="CW284" s="1690"/>
      <c r="CX284" s="528"/>
      <c r="CY284" s="528"/>
      <c r="CZ284" s="528"/>
      <c r="DA284" s="528"/>
      <c r="DB284" s="579">
        <v>149680</v>
      </c>
      <c r="DC284" s="628" t="e">
        <f>P284-#REF!</f>
        <v>#REF!</v>
      </c>
      <c r="DD284" s="575"/>
      <c r="DE284" s="575"/>
      <c r="DF284" s="522">
        <f t="shared" ref="DF284:DI325" si="436">BY284/1000</f>
        <v>778.92446999999993</v>
      </c>
      <c r="DG284" s="522">
        <f t="shared" si="436"/>
        <v>2.8201300000000002</v>
      </c>
      <c r="DH284" s="522">
        <f t="shared" si="436"/>
        <v>1.0054000000000001</v>
      </c>
      <c r="DI284" s="522">
        <f t="shared" si="436"/>
        <v>782.75</v>
      </c>
      <c r="DJ284" s="536"/>
      <c r="DK284" s="536"/>
      <c r="DL284" s="536"/>
      <c r="DM284" s="536"/>
      <c r="DN284" s="536"/>
      <c r="DO284" s="536"/>
      <c r="DP284" s="536"/>
      <c r="DQ284" s="536"/>
      <c r="DR284" s="536"/>
      <c r="DS284" s="536"/>
    </row>
    <row r="285" spans="1:123" s="534" customFormat="1" ht="53.25" customHeight="1">
      <c r="A285" s="537" t="s">
        <v>564</v>
      </c>
      <c r="B285" s="538" t="s">
        <v>1973</v>
      </c>
      <c r="C285" s="576">
        <v>34885613</v>
      </c>
      <c r="D285" s="576"/>
      <c r="E285" s="525">
        <v>21369486</v>
      </c>
      <c r="F285" s="525">
        <v>36628979.520000003</v>
      </c>
      <c r="G285" s="678"/>
      <c r="H285" s="678"/>
      <c r="I285" s="522">
        <f t="shared" si="385"/>
        <v>36653695.950000003</v>
      </c>
      <c r="J285" s="522">
        <v>0</v>
      </c>
      <c r="K285" s="522">
        <v>0</v>
      </c>
      <c r="L285" s="522">
        <v>36653695.950000003</v>
      </c>
      <c r="M285" s="522">
        <f t="shared" si="386"/>
        <v>0</v>
      </c>
      <c r="N285" s="522"/>
      <c r="O285" s="522">
        <f t="shared" si="387"/>
        <v>38626426.479999997</v>
      </c>
      <c r="P285" s="522">
        <v>38626426.479999997</v>
      </c>
      <c r="Q285" s="525">
        <f t="shared" si="399"/>
        <v>1972730.5299999937</v>
      </c>
      <c r="R285" s="525">
        <f t="shared" si="400"/>
        <v>5.3820780657182041</v>
      </c>
      <c r="S285" s="525">
        <v>37214330</v>
      </c>
      <c r="T285" s="525">
        <v>37214330</v>
      </c>
      <c r="U285" s="522">
        <f t="shared" si="388"/>
        <v>38523034.438268602</v>
      </c>
      <c r="V285" s="522">
        <f t="shared" si="397"/>
        <v>1308704.4382686019</v>
      </c>
      <c r="W285" s="522">
        <f t="shared" si="433"/>
        <v>3.5166680100611813</v>
      </c>
      <c r="X285" s="522">
        <f t="shared" si="401"/>
        <v>-103392.04173139483</v>
      </c>
      <c r="Y285" s="522">
        <f t="shared" si="402"/>
        <v>-0.26767177591467828</v>
      </c>
      <c r="Z285" s="524">
        <f t="shared" si="403"/>
        <v>40420243.555469997</v>
      </c>
      <c r="AA285" s="522">
        <f t="shared" si="404"/>
        <v>3205913.5554699972</v>
      </c>
      <c r="AB285" s="522">
        <f t="shared" si="434"/>
        <v>8.6147286689562748</v>
      </c>
      <c r="AC285" s="522">
        <f t="shared" si="405"/>
        <v>1897209.1172013953</v>
      </c>
      <c r="AD285" s="522">
        <f t="shared" si="420"/>
        <v>4.9248693537929427</v>
      </c>
      <c r="AE285" s="522">
        <f t="shared" si="406"/>
        <v>1793817.0754700005</v>
      </c>
      <c r="AF285" s="522">
        <f t="shared" si="407"/>
        <v>4.6440150926174937</v>
      </c>
      <c r="AG285" s="522">
        <f t="shared" si="419"/>
        <v>42561468.079999998</v>
      </c>
      <c r="AH285" s="522">
        <f t="shared" si="408"/>
        <v>4038433.6417313963</v>
      </c>
      <c r="AI285" s="522">
        <f t="shared" si="421"/>
        <v>10.483165982687055</v>
      </c>
      <c r="AJ285" s="522">
        <f t="shared" si="409"/>
        <v>2141224.524530001</v>
      </c>
      <c r="AK285" s="522">
        <f t="shared" si="435"/>
        <v>5.2974062899733099</v>
      </c>
      <c r="AL285" s="522">
        <f t="shared" si="392"/>
        <v>42561468.079999998</v>
      </c>
      <c r="AM285" s="522">
        <f t="shared" si="428"/>
        <v>0</v>
      </c>
      <c r="AN285" s="522">
        <f t="shared" si="428"/>
        <v>0</v>
      </c>
      <c r="AO285" s="522">
        <f t="shared" si="410"/>
        <v>0</v>
      </c>
      <c r="AP285" s="522">
        <v>0</v>
      </c>
      <c r="AQ285" s="522">
        <v>0</v>
      </c>
      <c r="AR285" s="522">
        <v>0</v>
      </c>
      <c r="AS285" s="522">
        <v>0</v>
      </c>
      <c r="AT285" s="522">
        <v>0</v>
      </c>
      <c r="AU285" s="522">
        <f t="shared" si="427"/>
        <v>38523034.438268602</v>
      </c>
      <c r="AV285" s="522">
        <f t="shared" si="427"/>
        <v>40420243.555469997</v>
      </c>
      <c r="AW285" s="522">
        <f t="shared" si="411"/>
        <v>1897209.1172013953</v>
      </c>
      <c r="AX285" s="522">
        <f t="shared" si="424"/>
        <v>4.9248693537929427</v>
      </c>
      <c r="AY285" s="522">
        <f t="shared" si="376"/>
        <v>42561468.079999998</v>
      </c>
      <c r="AZ285" s="522">
        <f t="shared" si="412"/>
        <v>-2141224.524530001</v>
      </c>
      <c r="BA285" s="522">
        <f t="shared" si="425"/>
        <v>-5.0308991233697213</v>
      </c>
      <c r="BB285" s="522">
        <v>0</v>
      </c>
      <c r="BC285" s="525">
        <f>'[67]Дир_по экон'!AT69</f>
        <v>0</v>
      </c>
      <c r="BD285" s="525">
        <f t="shared" si="389"/>
        <v>0</v>
      </c>
      <c r="BE285" s="525">
        <f t="shared" si="413"/>
        <v>0</v>
      </c>
      <c r="BF285" s="525">
        <f t="shared" si="414"/>
        <v>0</v>
      </c>
      <c r="BG285" s="525">
        <f t="shared" si="398"/>
        <v>0</v>
      </c>
      <c r="BH285" s="522">
        <f t="shared" si="398"/>
        <v>0</v>
      </c>
      <c r="BI285" s="522"/>
      <c r="BJ285" s="522">
        <f t="shared" si="415"/>
        <v>0</v>
      </c>
      <c r="BK285" s="522">
        <f t="shared" si="416"/>
        <v>0</v>
      </c>
      <c r="BL285" s="525">
        <v>38523034.438268602</v>
      </c>
      <c r="BM285" s="522">
        <f>'[67]Дир_по экон'!AW69</f>
        <v>40420243.555469997</v>
      </c>
      <c r="BN285" s="522">
        <f t="shared" si="390"/>
        <v>42561468.079999998</v>
      </c>
      <c r="BO285" s="522">
        <f t="shared" si="426"/>
        <v>4038433.6417313963</v>
      </c>
      <c r="BP285" s="522">
        <f t="shared" si="417"/>
        <v>2141224.524530001</v>
      </c>
      <c r="BQ285" s="525">
        <v>38523034.438268602</v>
      </c>
      <c r="BR285" s="522">
        <f>'[67]Дир_по экон'!BB69</f>
        <v>0</v>
      </c>
      <c r="BS285" s="522">
        <f>'[67]Дир_по экон'!BC69</f>
        <v>0</v>
      </c>
      <c r="BT285" s="536"/>
      <c r="BU285" s="522"/>
      <c r="BV285" s="522"/>
      <c r="BW285" s="524">
        <f>42421968.08+139500</f>
        <v>42561468.079999998</v>
      </c>
      <c r="BX285" s="629"/>
      <c r="BY285" s="522">
        <f>110115.72+33485893.79</f>
        <v>33596009.509999998</v>
      </c>
      <c r="BZ285" s="522">
        <f>1822713.81+5992.92+6649553.89+21865.23</f>
        <v>8500125.8499999996</v>
      </c>
      <c r="CA285" s="522">
        <f>463806.59+1526.13</f>
        <v>465332.72000000003</v>
      </c>
      <c r="CB285" s="522">
        <f t="shared" si="391"/>
        <v>42561468.079999998</v>
      </c>
      <c r="CC285" s="522">
        <f t="shared" si="418"/>
        <v>0</v>
      </c>
      <c r="CD285" s="522"/>
      <c r="CE285" s="522"/>
      <c r="CF285" s="522"/>
      <c r="CG285" s="522"/>
      <c r="CH285" s="522"/>
      <c r="CI285" s="522"/>
      <c r="CJ285" s="522"/>
      <c r="CK285" s="543" t="s">
        <v>77</v>
      </c>
      <c r="CL285" s="543" t="s">
        <v>1856</v>
      </c>
      <c r="CM285" s="528" t="s">
        <v>1959</v>
      </c>
      <c r="CN285" s="528" t="s">
        <v>1849</v>
      </c>
      <c r="CO285" s="528"/>
      <c r="CP285" s="544">
        <f t="shared" si="430"/>
        <v>35542139.379545547</v>
      </c>
      <c r="CQ285" s="544">
        <f t="shared" si="431"/>
        <v>2610686.0906256773</v>
      </c>
      <c r="CR285" s="544">
        <f t="shared" si="432"/>
        <v>370208.96809737588</v>
      </c>
      <c r="CS285" s="1688" t="s">
        <v>1826</v>
      </c>
      <c r="CT285" s="1689"/>
      <c r="CU285" s="1689"/>
      <c r="CV285" s="1689"/>
      <c r="CW285" s="1690"/>
      <c r="CX285" s="528"/>
      <c r="CY285" s="528"/>
      <c r="CZ285" s="528"/>
      <c r="DA285" s="528"/>
      <c r="DB285" s="579"/>
      <c r="DC285" s="628" t="e">
        <f>P285-#REF!</f>
        <v>#REF!</v>
      </c>
      <c r="DD285" s="575"/>
      <c r="DE285" s="575"/>
      <c r="DF285" s="522">
        <f t="shared" si="436"/>
        <v>33596.009509999996</v>
      </c>
      <c r="DG285" s="522">
        <f t="shared" si="436"/>
        <v>8500.1258500000004</v>
      </c>
      <c r="DH285" s="522">
        <f t="shared" si="436"/>
        <v>465.33272000000005</v>
      </c>
      <c r="DI285" s="522">
        <f t="shared" si="436"/>
        <v>42561.468079999999</v>
      </c>
      <c r="DJ285" s="536"/>
      <c r="DK285" s="536"/>
      <c r="DL285" s="536"/>
      <c r="DM285" s="536"/>
      <c r="DN285" s="536"/>
      <c r="DO285" s="536"/>
      <c r="DP285" s="536"/>
      <c r="DQ285" s="536"/>
      <c r="DR285" s="536"/>
      <c r="DS285" s="536"/>
    </row>
    <row r="286" spans="1:123" s="602" customFormat="1" ht="89.25" customHeight="1">
      <c r="A286" s="598" t="s">
        <v>569</v>
      </c>
      <c r="B286" s="610" t="s">
        <v>1974</v>
      </c>
      <c r="C286" s="525"/>
      <c r="D286" s="525"/>
      <c r="E286" s="525">
        <v>0</v>
      </c>
      <c r="F286" s="525">
        <v>527000</v>
      </c>
      <c r="G286" s="678"/>
      <c r="H286" s="678"/>
      <c r="I286" s="522">
        <f t="shared" si="385"/>
        <v>527000</v>
      </c>
      <c r="J286" s="522">
        <v>0</v>
      </c>
      <c r="K286" s="522">
        <v>0</v>
      </c>
      <c r="L286" s="522">
        <v>527000</v>
      </c>
      <c r="M286" s="522">
        <f t="shared" si="386"/>
        <v>0</v>
      </c>
      <c r="N286" s="522"/>
      <c r="O286" s="522">
        <f t="shared" si="387"/>
        <v>564500</v>
      </c>
      <c r="P286" s="522">
        <v>564500</v>
      </c>
      <c r="Q286" s="525">
        <f t="shared" si="399"/>
        <v>37500</v>
      </c>
      <c r="R286" s="525">
        <f t="shared" si="400"/>
        <v>7.1157495256166925</v>
      </c>
      <c r="S286" s="525">
        <v>0</v>
      </c>
      <c r="T286" s="525">
        <v>0</v>
      </c>
      <c r="U286" s="522">
        <f t="shared" si="388"/>
        <v>555000</v>
      </c>
      <c r="V286" s="522">
        <f t="shared" si="397"/>
        <v>555000</v>
      </c>
      <c r="W286" s="522">
        <v>0</v>
      </c>
      <c r="X286" s="522">
        <f t="shared" si="401"/>
        <v>-9500</v>
      </c>
      <c r="Y286" s="522">
        <f t="shared" si="402"/>
        <v>-1.6829052258635926</v>
      </c>
      <c r="Z286" s="524">
        <f t="shared" si="403"/>
        <v>555000</v>
      </c>
      <c r="AA286" s="522">
        <f t="shared" si="404"/>
        <v>555000</v>
      </c>
      <c r="AB286" s="522">
        <v>0</v>
      </c>
      <c r="AC286" s="522">
        <f t="shared" si="405"/>
        <v>0</v>
      </c>
      <c r="AD286" s="522">
        <f t="shared" si="420"/>
        <v>0</v>
      </c>
      <c r="AE286" s="522">
        <f t="shared" si="406"/>
        <v>-9500</v>
      </c>
      <c r="AF286" s="522">
        <f t="shared" si="407"/>
        <v>-1.6829052258635926</v>
      </c>
      <c r="AG286" s="522">
        <f t="shared" si="419"/>
        <v>567000</v>
      </c>
      <c r="AH286" s="522">
        <f t="shared" si="408"/>
        <v>12000</v>
      </c>
      <c r="AI286" s="522">
        <f t="shared" si="421"/>
        <v>2.1621621621621614</v>
      </c>
      <c r="AJ286" s="522">
        <f t="shared" si="409"/>
        <v>12000</v>
      </c>
      <c r="AK286" s="522">
        <f t="shared" si="435"/>
        <v>2.1621621621621614</v>
      </c>
      <c r="AL286" s="522">
        <f t="shared" si="392"/>
        <v>567000</v>
      </c>
      <c r="AM286" s="522">
        <f t="shared" si="428"/>
        <v>0</v>
      </c>
      <c r="AN286" s="522">
        <f t="shared" si="428"/>
        <v>0</v>
      </c>
      <c r="AO286" s="522">
        <f t="shared" si="410"/>
        <v>0</v>
      </c>
      <c r="AP286" s="522">
        <v>0</v>
      </c>
      <c r="AQ286" s="522">
        <v>0</v>
      </c>
      <c r="AR286" s="522">
        <v>0</v>
      </c>
      <c r="AS286" s="522">
        <v>0</v>
      </c>
      <c r="AT286" s="522">
        <v>0</v>
      </c>
      <c r="AU286" s="522">
        <f t="shared" si="427"/>
        <v>555000</v>
      </c>
      <c r="AV286" s="522">
        <f t="shared" si="427"/>
        <v>555000</v>
      </c>
      <c r="AW286" s="522">
        <f t="shared" si="411"/>
        <v>0</v>
      </c>
      <c r="AX286" s="522">
        <f t="shared" si="424"/>
        <v>0</v>
      </c>
      <c r="AY286" s="522">
        <f t="shared" si="376"/>
        <v>567000</v>
      </c>
      <c r="AZ286" s="522">
        <f t="shared" si="412"/>
        <v>-12000</v>
      </c>
      <c r="BA286" s="522">
        <f t="shared" si="425"/>
        <v>-2.1164021164021136</v>
      </c>
      <c r="BB286" s="522">
        <v>0</v>
      </c>
      <c r="BC286" s="525">
        <f>'[67]Дир_по экон'!AT70</f>
        <v>0</v>
      </c>
      <c r="BD286" s="525">
        <f t="shared" si="389"/>
        <v>0</v>
      </c>
      <c r="BE286" s="525">
        <f t="shared" si="413"/>
        <v>0</v>
      </c>
      <c r="BF286" s="525">
        <f t="shared" si="414"/>
        <v>0</v>
      </c>
      <c r="BG286" s="525">
        <f t="shared" si="398"/>
        <v>0</v>
      </c>
      <c r="BH286" s="522">
        <f t="shared" si="398"/>
        <v>0</v>
      </c>
      <c r="BI286" s="522"/>
      <c r="BJ286" s="522">
        <f t="shared" si="415"/>
        <v>0</v>
      </c>
      <c r="BK286" s="522">
        <f t="shared" si="416"/>
        <v>0</v>
      </c>
      <c r="BL286" s="525">
        <v>555000</v>
      </c>
      <c r="BM286" s="522">
        <f>'[67]Дир_по экон'!AW70</f>
        <v>555000</v>
      </c>
      <c r="BN286" s="522">
        <f t="shared" si="390"/>
        <v>567000</v>
      </c>
      <c r="BO286" s="522">
        <f t="shared" si="426"/>
        <v>12000</v>
      </c>
      <c r="BP286" s="522">
        <f t="shared" si="417"/>
        <v>12000</v>
      </c>
      <c r="BQ286" s="525">
        <v>555000</v>
      </c>
      <c r="BR286" s="522">
        <f>'[67]Дир_по экон'!BB70</f>
        <v>0</v>
      </c>
      <c r="BS286" s="522">
        <f>'[67]Дир_по экон'!BC70</f>
        <v>0</v>
      </c>
      <c r="BT286" s="600"/>
      <c r="BU286" s="522"/>
      <c r="BV286" s="522"/>
      <c r="BW286" s="524">
        <v>567000</v>
      </c>
      <c r="BX286" s="629"/>
      <c r="BY286" s="522">
        <v>510502.48</v>
      </c>
      <c r="BZ286" s="522">
        <f>15000+8464.38+30879.34</f>
        <v>54343.72</v>
      </c>
      <c r="CA286" s="522">
        <f>2153.8</f>
        <v>2153.8000000000002</v>
      </c>
      <c r="CB286" s="522">
        <f t="shared" si="391"/>
        <v>567000</v>
      </c>
      <c r="CC286" s="522">
        <f t="shared" si="418"/>
        <v>0</v>
      </c>
      <c r="CD286" s="522"/>
      <c r="CE286" s="522"/>
      <c r="CF286" s="522"/>
      <c r="CG286" s="522"/>
      <c r="CH286" s="522"/>
      <c r="CI286" s="522"/>
      <c r="CJ286" s="522"/>
      <c r="CK286" s="675" t="s">
        <v>77</v>
      </c>
      <c r="CL286" s="675" t="s">
        <v>1856</v>
      </c>
      <c r="CM286" s="528" t="s">
        <v>1959</v>
      </c>
      <c r="CN286" s="528" t="s">
        <v>1849</v>
      </c>
      <c r="CO286" s="601"/>
      <c r="CP286" s="544">
        <f t="shared" si="430"/>
        <v>512054.34990479815</v>
      </c>
      <c r="CQ286" s="544">
        <f t="shared" si="431"/>
        <v>37612.06253414684</v>
      </c>
      <c r="CR286" s="544">
        <f t="shared" si="432"/>
        <v>5333.5875610550211</v>
      </c>
      <c r="CS286" s="1688" t="s">
        <v>1826</v>
      </c>
      <c r="CT286" s="1689"/>
      <c r="CU286" s="1689"/>
      <c r="CV286" s="1689"/>
      <c r="CW286" s="1690"/>
      <c r="CX286" s="601"/>
      <c r="CY286" s="601"/>
      <c r="CZ286" s="601"/>
      <c r="DA286" s="601"/>
      <c r="DB286" s="579"/>
      <c r="DC286" s="628" t="e">
        <f>P286-#REF!</f>
        <v>#REF!</v>
      </c>
      <c r="DD286" s="575"/>
      <c r="DE286" s="575"/>
      <c r="DF286" s="522">
        <f t="shared" si="436"/>
        <v>510.50247999999999</v>
      </c>
      <c r="DG286" s="522">
        <f t="shared" si="436"/>
        <v>54.343720000000005</v>
      </c>
      <c r="DH286" s="522">
        <f t="shared" si="436"/>
        <v>2.1538000000000004</v>
      </c>
      <c r="DI286" s="522">
        <f t="shared" si="436"/>
        <v>567</v>
      </c>
      <c r="DJ286" s="600"/>
      <c r="DK286" s="600"/>
      <c r="DL286" s="600"/>
      <c r="DM286" s="600"/>
      <c r="DN286" s="600"/>
      <c r="DO286" s="600"/>
      <c r="DP286" s="600"/>
      <c r="DQ286" s="600"/>
      <c r="DR286" s="600"/>
      <c r="DS286" s="600"/>
    </row>
    <row r="287" spans="1:123" s="534" customFormat="1" ht="60.75" customHeight="1">
      <c r="A287" s="537" t="s">
        <v>571</v>
      </c>
      <c r="B287" s="538" t="s">
        <v>572</v>
      </c>
      <c r="C287" s="576">
        <v>1687935</v>
      </c>
      <c r="D287" s="576"/>
      <c r="E287" s="576">
        <v>1743831.9</v>
      </c>
      <c r="F287" s="576">
        <v>1781099.32</v>
      </c>
      <c r="G287" s="577">
        <v>0</v>
      </c>
      <c r="H287" s="577">
        <v>0</v>
      </c>
      <c r="I287" s="578">
        <f t="shared" si="385"/>
        <v>2241282.5499999998</v>
      </c>
      <c r="J287" s="578">
        <v>904865.85</v>
      </c>
      <c r="K287" s="578">
        <v>668208.35</v>
      </c>
      <c r="L287" s="578">
        <v>668208.35</v>
      </c>
      <c r="M287" s="578">
        <f t="shared" si="386"/>
        <v>1573074.2</v>
      </c>
      <c r="N287" s="578">
        <v>1357672.83</v>
      </c>
      <c r="O287" s="522">
        <f t="shared" si="387"/>
        <v>450995.54000000004</v>
      </c>
      <c r="P287" s="522">
        <v>1808668.37</v>
      </c>
      <c r="Q287" s="576">
        <f t="shared" si="399"/>
        <v>-432614.1799999997</v>
      </c>
      <c r="R287" s="576">
        <f t="shared" si="400"/>
        <v>-19.302081301619012</v>
      </c>
      <c r="S287" s="576">
        <v>954120</v>
      </c>
      <c r="T287" s="576">
        <v>954120</v>
      </c>
      <c r="U287" s="522">
        <f t="shared" si="388"/>
        <v>1902028.02</v>
      </c>
      <c r="V287" s="522">
        <f t="shared" si="397"/>
        <v>947908.02</v>
      </c>
      <c r="W287" s="522">
        <f t="shared" si="433"/>
        <v>99.348930952081503</v>
      </c>
      <c r="X287" s="522">
        <f t="shared" si="401"/>
        <v>93359.649999999907</v>
      </c>
      <c r="Y287" s="522">
        <f t="shared" si="402"/>
        <v>5.1617892781527388</v>
      </c>
      <c r="Z287" s="524">
        <f t="shared" si="403"/>
        <v>1897098.82</v>
      </c>
      <c r="AA287" s="522">
        <f t="shared" si="404"/>
        <v>942978.82000000007</v>
      </c>
      <c r="AB287" s="522">
        <f t="shared" si="434"/>
        <v>98.832308305035014</v>
      </c>
      <c r="AC287" s="522">
        <f t="shared" si="405"/>
        <v>-4929.1999999999534</v>
      </c>
      <c r="AD287" s="522">
        <f t="shared" si="420"/>
        <v>-0.25915496239640845</v>
      </c>
      <c r="AE287" s="522">
        <f t="shared" si="406"/>
        <v>88430.449999999953</v>
      </c>
      <c r="AF287" s="522">
        <f t="shared" si="407"/>
        <v>4.8892572826935634</v>
      </c>
      <c r="AG287" s="522">
        <f t="shared" si="419"/>
        <v>1899286.8</v>
      </c>
      <c r="AH287" s="522">
        <f t="shared" si="408"/>
        <v>-2741.2199999999721</v>
      </c>
      <c r="AI287" s="522">
        <f t="shared" si="421"/>
        <v>-0.14412090522199605</v>
      </c>
      <c r="AJ287" s="522">
        <f t="shared" si="409"/>
        <v>2187.9799999999814</v>
      </c>
      <c r="AK287" s="522">
        <f t="shared" si="435"/>
        <v>0.11533294823303208</v>
      </c>
      <c r="AL287" s="522">
        <f t="shared" si="392"/>
        <v>1899286.8</v>
      </c>
      <c r="AM287" s="522">
        <f t="shared" si="428"/>
        <v>951014</v>
      </c>
      <c r="AN287" s="522">
        <f t="shared" si="428"/>
        <v>946084.8</v>
      </c>
      <c r="AO287" s="522">
        <f t="shared" si="410"/>
        <v>-4929.1999999999534</v>
      </c>
      <c r="AP287" s="522">
        <f t="shared" si="423"/>
        <v>-0.51830993024287864</v>
      </c>
      <c r="AQ287" s="578">
        <v>475507</v>
      </c>
      <c r="AR287" s="578">
        <v>471467.52000000002</v>
      </c>
      <c r="AS287" s="578">
        <v>475507</v>
      </c>
      <c r="AT287" s="578">
        <v>474617.28</v>
      </c>
      <c r="AU287" s="578">
        <f t="shared" si="427"/>
        <v>951014.02</v>
      </c>
      <c r="AV287" s="578">
        <f t="shared" si="427"/>
        <v>951014.02</v>
      </c>
      <c r="AW287" s="578">
        <f t="shared" si="411"/>
        <v>0</v>
      </c>
      <c r="AX287" s="578">
        <f t="shared" si="424"/>
        <v>0</v>
      </c>
      <c r="AY287" s="578">
        <f t="shared" si="376"/>
        <v>953202</v>
      </c>
      <c r="AZ287" s="578">
        <f t="shared" si="412"/>
        <v>-2187.9799999999814</v>
      </c>
      <c r="BA287" s="578">
        <f t="shared" si="425"/>
        <v>-0.2295400135543133</v>
      </c>
      <c r="BB287" s="578">
        <v>475507</v>
      </c>
      <c r="BC287" s="576">
        <f>'[67]Дир_по корп'!AT16</f>
        <v>475507</v>
      </c>
      <c r="BD287" s="576">
        <f t="shared" si="389"/>
        <v>476367</v>
      </c>
      <c r="BE287" s="576">
        <f t="shared" si="413"/>
        <v>860</v>
      </c>
      <c r="BF287" s="576">
        <f t="shared" si="414"/>
        <v>860</v>
      </c>
      <c r="BG287" s="576">
        <f t="shared" si="398"/>
        <v>1426521</v>
      </c>
      <c r="BH287" s="578">
        <f t="shared" si="398"/>
        <v>1421591.8</v>
      </c>
      <c r="BI287" s="578">
        <v>1422451.8</v>
      </c>
      <c r="BJ287" s="578">
        <f t="shared" si="415"/>
        <v>-4069.1999999999534</v>
      </c>
      <c r="BK287" s="578">
        <f t="shared" si="416"/>
        <v>860</v>
      </c>
      <c r="BL287" s="576">
        <v>475507.02</v>
      </c>
      <c r="BM287" s="578">
        <f>'[67]Дир_по корп'!AW16</f>
        <v>475507.02</v>
      </c>
      <c r="BN287" s="522">
        <f t="shared" si="390"/>
        <v>476835</v>
      </c>
      <c r="BO287" s="578">
        <f t="shared" si="426"/>
        <v>1327.9799999999814</v>
      </c>
      <c r="BP287" s="578">
        <f t="shared" si="417"/>
        <v>1327.9799999999814</v>
      </c>
      <c r="BQ287" s="576">
        <v>475507.02</v>
      </c>
      <c r="BR287" s="578">
        <f>'[67]Дир_по корп'!BB16</f>
        <v>0</v>
      </c>
      <c r="BS287" s="578">
        <f>'[67]Дир_по корп'!BC16</f>
        <v>0</v>
      </c>
      <c r="BT287" s="536"/>
      <c r="BU287" s="578"/>
      <c r="BV287" s="578"/>
      <c r="BW287" s="586">
        <v>1899286.8</v>
      </c>
      <c r="BX287" s="629"/>
      <c r="BY287" s="522">
        <v>1806487.99</v>
      </c>
      <c r="BZ287" s="522">
        <f>19032+18786.09+43497.84</f>
        <v>81315.929999999993</v>
      </c>
      <c r="CA287" s="522">
        <f>11482.88</f>
        <v>11482.88</v>
      </c>
      <c r="CB287" s="522">
        <f t="shared" si="391"/>
        <v>1899286.7999999998</v>
      </c>
      <c r="CC287" s="522">
        <f t="shared" si="418"/>
        <v>0</v>
      </c>
      <c r="CD287" s="578"/>
      <c r="CE287" s="578"/>
      <c r="CF287" s="578"/>
      <c r="CG287" s="578"/>
      <c r="CH287" s="578"/>
      <c r="CI287" s="578"/>
      <c r="CJ287" s="578"/>
      <c r="CK287" s="543" t="s">
        <v>80</v>
      </c>
      <c r="CL287" s="543" t="s">
        <v>1901</v>
      </c>
      <c r="CM287" s="528" t="s">
        <v>1959</v>
      </c>
      <c r="CN287" s="528" t="s">
        <v>1849</v>
      </c>
      <c r="CO287" s="528"/>
      <c r="CP287" s="544">
        <f t="shared" si="430"/>
        <v>1754849.9482555143</v>
      </c>
      <c r="CQ287" s="544">
        <f t="shared" si="431"/>
        <v>128899.45374763872</v>
      </c>
      <c r="CR287" s="544">
        <f t="shared" si="432"/>
        <v>18278.617996847046</v>
      </c>
      <c r="CS287" s="1688" t="s">
        <v>1826</v>
      </c>
      <c r="CT287" s="1689"/>
      <c r="CU287" s="1689"/>
      <c r="CV287" s="1689"/>
      <c r="CW287" s="1690"/>
      <c r="CX287" s="528"/>
      <c r="CY287" s="528"/>
      <c r="CZ287" s="528"/>
      <c r="DA287" s="528"/>
      <c r="DB287" s="579">
        <v>471467.52000000002</v>
      </c>
      <c r="DC287" s="628" t="e">
        <f>P287-#REF!</f>
        <v>#REF!</v>
      </c>
      <c r="DD287" s="575"/>
      <c r="DE287" s="575"/>
      <c r="DF287" s="522">
        <f t="shared" si="436"/>
        <v>1806.4879900000001</v>
      </c>
      <c r="DG287" s="522">
        <f t="shared" si="436"/>
        <v>81.315929999999994</v>
      </c>
      <c r="DH287" s="522">
        <f t="shared" si="436"/>
        <v>11.48288</v>
      </c>
      <c r="DI287" s="522">
        <f t="shared" si="436"/>
        <v>1899.2867999999999</v>
      </c>
      <c r="DJ287" s="536"/>
      <c r="DK287" s="536"/>
      <c r="DL287" s="536"/>
      <c r="DM287" s="536"/>
      <c r="DN287" s="536"/>
      <c r="DO287" s="536"/>
      <c r="DP287" s="536"/>
      <c r="DQ287" s="536"/>
      <c r="DR287" s="536"/>
      <c r="DS287" s="536"/>
    </row>
    <row r="288" spans="1:123" s="534" customFormat="1" ht="123" customHeight="1">
      <c r="A288" s="537" t="s">
        <v>574</v>
      </c>
      <c r="B288" s="538" t="s">
        <v>575</v>
      </c>
      <c r="C288" s="576">
        <v>239995</v>
      </c>
      <c r="D288" s="576"/>
      <c r="E288" s="525">
        <v>295200</v>
      </c>
      <c r="F288" s="525">
        <v>264137.32</v>
      </c>
      <c r="G288" s="577">
        <v>0</v>
      </c>
      <c r="H288" s="577">
        <v>0</v>
      </c>
      <c r="I288" s="522">
        <f t="shared" si="385"/>
        <v>234900</v>
      </c>
      <c r="J288" s="522">
        <v>123900</v>
      </c>
      <c r="K288" s="522">
        <v>56400</v>
      </c>
      <c r="L288" s="522">
        <v>54600</v>
      </c>
      <c r="M288" s="522">
        <f t="shared" si="386"/>
        <v>180300</v>
      </c>
      <c r="N288" s="522">
        <v>183600</v>
      </c>
      <c r="O288" s="522">
        <f t="shared" si="387"/>
        <v>58500</v>
      </c>
      <c r="P288" s="522">
        <v>242100</v>
      </c>
      <c r="Q288" s="525">
        <f t="shared" si="399"/>
        <v>7200</v>
      </c>
      <c r="R288" s="525">
        <f t="shared" si="400"/>
        <v>3.0651340996168557</v>
      </c>
      <c r="S288" s="525">
        <v>145520</v>
      </c>
      <c r="T288" s="525">
        <v>145520</v>
      </c>
      <c r="U288" s="522">
        <f t="shared" si="388"/>
        <v>215100</v>
      </c>
      <c r="V288" s="522">
        <f t="shared" si="397"/>
        <v>69580</v>
      </c>
      <c r="W288" s="522">
        <f t="shared" si="433"/>
        <v>47.814733369983486</v>
      </c>
      <c r="X288" s="522">
        <f t="shared" si="401"/>
        <v>-27000</v>
      </c>
      <c r="Y288" s="522">
        <f t="shared" si="402"/>
        <v>-11.152416356877325</v>
      </c>
      <c r="Z288" s="524">
        <f t="shared" si="403"/>
        <v>239700</v>
      </c>
      <c r="AA288" s="522">
        <f t="shared" si="404"/>
        <v>94180</v>
      </c>
      <c r="AB288" s="522">
        <f t="shared" si="434"/>
        <v>64.719626168224295</v>
      </c>
      <c r="AC288" s="522">
        <f t="shared" si="405"/>
        <v>24600</v>
      </c>
      <c r="AD288" s="522">
        <f t="shared" si="420"/>
        <v>11.436541143654111</v>
      </c>
      <c r="AE288" s="522">
        <f t="shared" si="406"/>
        <v>-2400</v>
      </c>
      <c r="AF288" s="522">
        <f t="shared" si="407"/>
        <v>-0.99132589838909269</v>
      </c>
      <c r="AG288" s="522">
        <f t="shared" si="419"/>
        <v>242400</v>
      </c>
      <c r="AH288" s="522">
        <f t="shared" si="408"/>
        <v>27300</v>
      </c>
      <c r="AI288" s="522">
        <f t="shared" si="421"/>
        <v>12.691771269177138</v>
      </c>
      <c r="AJ288" s="522">
        <f t="shared" si="409"/>
        <v>2700</v>
      </c>
      <c r="AK288" s="522">
        <f t="shared" si="435"/>
        <v>1.1264080100125113</v>
      </c>
      <c r="AL288" s="522">
        <f t="shared" si="392"/>
        <v>242400</v>
      </c>
      <c r="AM288" s="522">
        <f t="shared" si="428"/>
        <v>120900</v>
      </c>
      <c r="AN288" s="522">
        <f t="shared" si="428"/>
        <v>121800</v>
      </c>
      <c r="AO288" s="522">
        <f t="shared" si="410"/>
        <v>900</v>
      </c>
      <c r="AP288" s="522">
        <f t="shared" si="423"/>
        <v>0.74441687344912566</v>
      </c>
      <c r="AQ288" s="522">
        <v>62700</v>
      </c>
      <c r="AR288" s="522">
        <v>60600</v>
      </c>
      <c r="AS288" s="522">
        <v>58200</v>
      </c>
      <c r="AT288" s="522">
        <v>61200</v>
      </c>
      <c r="AU288" s="522">
        <f t="shared" si="427"/>
        <v>94200</v>
      </c>
      <c r="AV288" s="522">
        <f t="shared" si="427"/>
        <v>117900</v>
      </c>
      <c r="AW288" s="522">
        <f t="shared" si="411"/>
        <v>23700</v>
      </c>
      <c r="AX288" s="522">
        <f t="shared" si="424"/>
        <v>25.159235668789819</v>
      </c>
      <c r="AY288" s="522">
        <f t="shared" si="376"/>
        <v>120600</v>
      </c>
      <c r="AZ288" s="522">
        <f t="shared" si="412"/>
        <v>-2700</v>
      </c>
      <c r="BA288" s="522">
        <f t="shared" si="425"/>
        <v>-2.2388059701492438</v>
      </c>
      <c r="BB288" s="522">
        <v>51300</v>
      </c>
      <c r="BC288" s="525">
        <f>'[67]Дир_по экон'!AT71</f>
        <v>57000</v>
      </c>
      <c r="BD288" s="525">
        <f t="shared" si="389"/>
        <v>61800</v>
      </c>
      <c r="BE288" s="525">
        <f t="shared" si="413"/>
        <v>10500</v>
      </c>
      <c r="BF288" s="525">
        <f t="shared" si="414"/>
        <v>4800</v>
      </c>
      <c r="BG288" s="525">
        <f t="shared" si="398"/>
        <v>172200</v>
      </c>
      <c r="BH288" s="522">
        <f t="shared" si="398"/>
        <v>178800</v>
      </c>
      <c r="BI288" s="522">
        <v>183600</v>
      </c>
      <c r="BJ288" s="522">
        <f t="shared" si="415"/>
        <v>11400</v>
      </c>
      <c r="BK288" s="522">
        <f t="shared" si="416"/>
        <v>4800</v>
      </c>
      <c r="BL288" s="525">
        <v>42900</v>
      </c>
      <c r="BM288" s="522">
        <f>'[67]Дир_по экон'!AW71</f>
        <v>60900.000000000007</v>
      </c>
      <c r="BN288" s="522">
        <f t="shared" si="390"/>
        <v>58800</v>
      </c>
      <c r="BO288" s="522">
        <f t="shared" si="426"/>
        <v>15900</v>
      </c>
      <c r="BP288" s="522">
        <f t="shared" si="417"/>
        <v>-2100.0000000000073</v>
      </c>
      <c r="BQ288" s="525">
        <v>42900</v>
      </c>
      <c r="BR288" s="522">
        <f>'[67]Дир_по экон'!BB71</f>
        <v>0</v>
      </c>
      <c r="BS288" s="522">
        <f>'[67]Дир_по экон'!BC71</f>
        <v>0</v>
      </c>
      <c r="BT288" s="536"/>
      <c r="BU288" s="522"/>
      <c r="BV288" s="522"/>
      <c r="BW288" s="524">
        <v>242400</v>
      </c>
      <c r="BX288" s="629"/>
      <c r="BY288" s="522">
        <v>218760.86</v>
      </c>
      <c r="BZ288" s="522">
        <f>14700+2238.26+5305.01</f>
        <v>22243.270000000004</v>
      </c>
      <c r="CA288" s="522">
        <f>1395.87</f>
        <v>1395.87</v>
      </c>
      <c r="CB288" s="522">
        <f t="shared" si="391"/>
        <v>242400</v>
      </c>
      <c r="CC288" s="522">
        <f t="shared" si="418"/>
        <v>0</v>
      </c>
      <c r="CD288" s="522"/>
      <c r="CE288" s="522"/>
      <c r="CF288" s="522"/>
      <c r="CG288" s="522"/>
      <c r="CH288" s="522"/>
      <c r="CI288" s="522"/>
      <c r="CJ288" s="522"/>
      <c r="CK288" s="543" t="s">
        <v>77</v>
      </c>
      <c r="CL288" s="543" t="s">
        <v>1856</v>
      </c>
      <c r="CM288" s="528" t="s">
        <v>1959</v>
      </c>
      <c r="CN288" s="528" t="s">
        <v>1849</v>
      </c>
      <c r="CO288" s="528"/>
      <c r="CP288" s="544">
        <f t="shared" si="430"/>
        <v>198455.65885499475</v>
      </c>
      <c r="CQ288" s="544">
        <f t="shared" si="431"/>
        <v>14577.215587558532</v>
      </c>
      <c r="CR288" s="544">
        <f t="shared" si="432"/>
        <v>2067.12555744673</v>
      </c>
      <c r="CS288" s="1688" t="s">
        <v>1826</v>
      </c>
      <c r="CT288" s="1689"/>
      <c r="CU288" s="1689"/>
      <c r="CV288" s="1689"/>
      <c r="CW288" s="1690"/>
      <c r="CX288" s="528"/>
      <c r="CY288" s="528"/>
      <c r="CZ288" s="528"/>
      <c r="DA288" s="528"/>
      <c r="DB288" s="579">
        <v>60600</v>
      </c>
      <c r="DC288" s="628" t="e">
        <f>P288-#REF!</f>
        <v>#REF!</v>
      </c>
      <c r="DD288" s="575"/>
      <c r="DE288" s="575"/>
      <c r="DF288" s="522">
        <f t="shared" si="436"/>
        <v>218.76085999999998</v>
      </c>
      <c r="DG288" s="522">
        <f t="shared" si="436"/>
        <v>22.243270000000003</v>
      </c>
      <c r="DH288" s="522">
        <f t="shared" si="436"/>
        <v>1.3958699999999999</v>
      </c>
      <c r="DI288" s="522">
        <f t="shared" si="436"/>
        <v>242.4</v>
      </c>
      <c r="DJ288" s="536"/>
      <c r="DK288" s="536"/>
      <c r="DL288" s="536"/>
      <c r="DM288" s="536"/>
      <c r="DN288" s="536"/>
      <c r="DO288" s="536"/>
      <c r="DP288" s="536"/>
      <c r="DQ288" s="536"/>
      <c r="DR288" s="536"/>
      <c r="DS288" s="536"/>
    </row>
    <row r="289" spans="1:123" s="534" customFormat="1" ht="89.25" customHeight="1">
      <c r="A289" s="537" t="s">
        <v>577</v>
      </c>
      <c r="B289" s="538" t="s">
        <v>578</v>
      </c>
      <c r="C289" s="576">
        <v>1212000</v>
      </c>
      <c r="D289" s="576"/>
      <c r="E289" s="576">
        <v>1300000</v>
      </c>
      <c r="F289" s="576">
        <v>1224000</v>
      </c>
      <c r="G289" s="577">
        <v>0</v>
      </c>
      <c r="H289" s="577">
        <v>0</v>
      </c>
      <c r="I289" s="578">
        <f t="shared" si="385"/>
        <v>1178000</v>
      </c>
      <c r="J289" s="578">
        <v>528000</v>
      </c>
      <c r="K289" s="578">
        <v>325000</v>
      </c>
      <c r="L289" s="578">
        <v>325000</v>
      </c>
      <c r="M289" s="578">
        <f t="shared" si="386"/>
        <v>853000</v>
      </c>
      <c r="N289" s="578">
        <v>888000</v>
      </c>
      <c r="O289" s="522">
        <f t="shared" si="387"/>
        <v>240000</v>
      </c>
      <c r="P289" s="522">
        <v>1128000</v>
      </c>
      <c r="Q289" s="576">
        <f t="shared" si="399"/>
        <v>-50000</v>
      </c>
      <c r="R289" s="576">
        <f t="shared" si="400"/>
        <v>-4.2444821731748732</v>
      </c>
      <c r="S289" s="576">
        <v>655660</v>
      </c>
      <c r="T289" s="576">
        <v>655660</v>
      </c>
      <c r="U289" s="522">
        <f t="shared" si="388"/>
        <v>1238078</v>
      </c>
      <c r="V289" s="522">
        <f t="shared" si="397"/>
        <v>582418</v>
      </c>
      <c r="W289" s="522">
        <f t="shared" si="433"/>
        <v>88.829271268645329</v>
      </c>
      <c r="X289" s="522">
        <f t="shared" si="401"/>
        <v>110078</v>
      </c>
      <c r="Y289" s="522">
        <f t="shared" si="402"/>
        <v>9.7586879432624016</v>
      </c>
      <c r="Z289" s="524">
        <f t="shared" si="403"/>
        <v>1159039</v>
      </c>
      <c r="AA289" s="522">
        <f t="shared" si="404"/>
        <v>503379</v>
      </c>
      <c r="AB289" s="522">
        <f t="shared" si="434"/>
        <v>76.77439526583899</v>
      </c>
      <c r="AC289" s="522">
        <f t="shared" si="405"/>
        <v>-79039</v>
      </c>
      <c r="AD289" s="522">
        <f t="shared" si="420"/>
        <v>-6.384008115805301</v>
      </c>
      <c r="AE289" s="522">
        <f t="shared" si="406"/>
        <v>31039</v>
      </c>
      <c r="AF289" s="522">
        <f t="shared" si="407"/>
        <v>2.7516843971631175</v>
      </c>
      <c r="AG289" s="522">
        <f t="shared" si="419"/>
        <v>1188000</v>
      </c>
      <c r="AH289" s="522">
        <f t="shared" si="408"/>
        <v>-50078</v>
      </c>
      <c r="AI289" s="522">
        <f t="shared" si="421"/>
        <v>-4.0448178547716651</v>
      </c>
      <c r="AJ289" s="522">
        <f t="shared" si="409"/>
        <v>28961</v>
      </c>
      <c r="AK289" s="522">
        <f t="shared" si="435"/>
        <v>2.4987079813535189</v>
      </c>
      <c r="AL289" s="522">
        <f t="shared" si="392"/>
        <v>1188000</v>
      </c>
      <c r="AM289" s="522">
        <f t="shared" si="428"/>
        <v>619039</v>
      </c>
      <c r="AN289" s="522">
        <f t="shared" si="428"/>
        <v>540000</v>
      </c>
      <c r="AO289" s="522">
        <f t="shared" si="410"/>
        <v>-79039</v>
      </c>
      <c r="AP289" s="522">
        <f t="shared" si="423"/>
        <v>-12.768016231610616</v>
      </c>
      <c r="AQ289" s="578">
        <v>309519.5</v>
      </c>
      <c r="AR289" s="578">
        <v>252000</v>
      </c>
      <c r="AS289" s="578">
        <v>309519.5</v>
      </c>
      <c r="AT289" s="578">
        <v>288000</v>
      </c>
      <c r="AU289" s="578">
        <f t="shared" si="427"/>
        <v>619039</v>
      </c>
      <c r="AV289" s="578">
        <f t="shared" si="427"/>
        <v>619039</v>
      </c>
      <c r="AW289" s="578">
        <f t="shared" si="411"/>
        <v>0</v>
      </c>
      <c r="AX289" s="578">
        <f t="shared" si="424"/>
        <v>0</v>
      </c>
      <c r="AY289" s="578">
        <f t="shared" si="376"/>
        <v>648000</v>
      </c>
      <c r="AZ289" s="578">
        <f t="shared" si="412"/>
        <v>-28961</v>
      </c>
      <c r="BA289" s="578">
        <f t="shared" si="425"/>
        <v>-4.469290123456787</v>
      </c>
      <c r="BB289" s="578">
        <v>309519.5</v>
      </c>
      <c r="BC289" s="576">
        <f>'[67]Дир_по корп'!AT17</f>
        <v>309519.5</v>
      </c>
      <c r="BD289" s="576">
        <f t="shared" si="389"/>
        <v>276000</v>
      </c>
      <c r="BE289" s="576">
        <f t="shared" si="413"/>
        <v>-33519.5</v>
      </c>
      <c r="BF289" s="576">
        <f t="shared" si="414"/>
        <v>-33519.5</v>
      </c>
      <c r="BG289" s="576">
        <f t="shared" si="398"/>
        <v>928558.5</v>
      </c>
      <c r="BH289" s="578">
        <f t="shared" si="398"/>
        <v>849519.5</v>
      </c>
      <c r="BI289" s="578">
        <v>816000</v>
      </c>
      <c r="BJ289" s="578">
        <f t="shared" si="415"/>
        <v>-112558.5</v>
      </c>
      <c r="BK289" s="578">
        <f t="shared" si="416"/>
        <v>-33519.5</v>
      </c>
      <c r="BL289" s="576">
        <v>309519.5</v>
      </c>
      <c r="BM289" s="578">
        <f>'[67]Дир_по корп'!AW17</f>
        <v>309519.5</v>
      </c>
      <c r="BN289" s="522">
        <f t="shared" si="390"/>
        <v>372000</v>
      </c>
      <c r="BO289" s="578">
        <f t="shared" si="426"/>
        <v>62480.5</v>
      </c>
      <c r="BP289" s="578">
        <f t="shared" si="417"/>
        <v>62480.5</v>
      </c>
      <c r="BQ289" s="576">
        <v>309519.5</v>
      </c>
      <c r="BR289" s="578">
        <f>'[67]Дир_по корп'!BB17</f>
        <v>0</v>
      </c>
      <c r="BS289" s="578">
        <f>'[67]Дир_по корп'!BC17</f>
        <v>0</v>
      </c>
      <c r="BT289" s="536"/>
      <c r="BU289" s="578"/>
      <c r="BV289" s="578"/>
      <c r="BW289" s="586">
        <v>1188000</v>
      </c>
      <c r="BX289" s="629"/>
      <c r="BY289" s="522">
        <v>1102040.6000000001</v>
      </c>
      <c r="BZ289" s="522">
        <f>60000+4601.78+17968.99</f>
        <v>82570.77</v>
      </c>
      <c r="CA289" s="522">
        <f>3388.63</f>
        <v>3388.63</v>
      </c>
      <c r="CB289" s="522">
        <f t="shared" si="391"/>
        <v>1188000</v>
      </c>
      <c r="CC289" s="522">
        <f t="shared" si="418"/>
        <v>0</v>
      </c>
      <c r="CD289" s="578"/>
      <c r="CE289" s="578"/>
      <c r="CF289" s="578"/>
      <c r="CG289" s="578"/>
      <c r="CH289" s="578"/>
      <c r="CI289" s="578"/>
      <c r="CJ289" s="578"/>
      <c r="CK289" s="543" t="s">
        <v>80</v>
      </c>
      <c r="CL289" s="543" t="s">
        <v>1901</v>
      </c>
      <c r="CM289" s="528" t="s">
        <v>1959</v>
      </c>
      <c r="CN289" s="528" t="s">
        <v>1849</v>
      </c>
      <c r="CO289" s="528"/>
      <c r="CP289" s="544">
        <f t="shared" si="430"/>
        <v>1142276.0818404192</v>
      </c>
      <c r="CQ289" s="544">
        <f t="shared" si="431"/>
        <v>83903.904789462074</v>
      </c>
      <c r="CR289" s="544">
        <f t="shared" si="432"/>
        <v>11898.013370118701</v>
      </c>
      <c r="CS289" s="1688" t="s">
        <v>1826</v>
      </c>
      <c r="CT289" s="1689"/>
      <c r="CU289" s="1689"/>
      <c r="CV289" s="1689"/>
      <c r="CW289" s="1690"/>
      <c r="CX289" s="528"/>
      <c r="CY289" s="528"/>
      <c r="CZ289" s="528"/>
      <c r="DA289" s="528"/>
      <c r="DB289" s="579">
        <v>252000</v>
      </c>
      <c r="DC289" s="628" t="e">
        <f>P289-#REF!</f>
        <v>#REF!</v>
      </c>
      <c r="DD289" s="575"/>
      <c r="DE289" s="575"/>
      <c r="DF289" s="522">
        <f t="shared" si="436"/>
        <v>1102.0406</v>
      </c>
      <c r="DG289" s="522">
        <f t="shared" si="436"/>
        <v>82.57077000000001</v>
      </c>
      <c r="DH289" s="522">
        <f t="shared" si="436"/>
        <v>3.38863</v>
      </c>
      <c r="DI289" s="522">
        <f t="shared" si="436"/>
        <v>1188</v>
      </c>
      <c r="DJ289" s="536"/>
      <c r="DK289" s="536"/>
      <c r="DL289" s="536"/>
      <c r="DM289" s="536"/>
      <c r="DN289" s="536"/>
      <c r="DO289" s="536"/>
      <c r="DP289" s="536"/>
      <c r="DQ289" s="536"/>
      <c r="DR289" s="536"/>
      <c r="DS289" s="536"/>
    </row>
    <row r="290" spans="1:123" s="534" customFormat="1" ht="89.25" customHeight="1">
      <c r="A290" s="537" t="s">
        <v>580</v>
      </c>
      <c r="B290" s="538" t="s">
        <v>581</v>
      </c>
      <c r="C290" s="576"/>
      <c r="D290" s="576"/>
      <c r="E290" s="576">
        <v>0</v>
      </c>
      <c r="F290" s="576">
        <v>1500</v>
      </c>
      <c r="G290" s="577">
        <v>0</v>
      </c>
      <c r="H290" s="577">
        <v>0</v>
      </c>
      <c r="I290" s="578">
        <f t="shared" si="385"/>
        <v>6000</v>
      </c>
      <c r="J290" s="578">
        <v>3000</v>
      </c>
      <c r="K290" s="578">
        <v>0</v>
      </c>
      <c r="L290" s="578">
        <v>3000</v>
      </c>
      <c r="M290" s="578">
        <f t="shared" si="386"/>
        <v>3000</v>
      </c>
      <c r="N290" s="578">
        <v>3000</v>
      </c>
      <c r="O290" s="522">
        <f t="shared" si="387"/>
        <v>0</v>
      </c>
      <c r="P290" s="522">
        <v>3000</v>
      </c>
      <c r="Q290" s="576">
        <f t="shared" si="399"/>
        <v>-3000</v>
      </c>
      <c r="R290" s="576">
        <f t="shared" si="400"/>
        <v>-50</v>
      </c>
      <c r="S290" s="576">
        <v>790</v>
      </c>
      <c r="T290" s="576">
        <v>790</v>
      </c>
      <c r="U290" s="522">
        <f t="shared" si="388"/>
        <v>4500</v>
      </c>
      <c r="V290" s="522">
        <f t="shared" si="397"/>
        <v>3710</v>
      </c>
      <c r="W290" s="522">
        <f t="shared" si="433"/>
        <v>469.62025316455697</v>
      </c>
      <c r="X290" s="522">
        <f t="shared" si="401"/>
        <v>1500</v>
      </c>
      <c r="Y290" s="522">
        <f t="shared" si="402"/>
        <v>50</v>
      </c>
      <c r="Z290" s="524">
        <f t="shared" si="403"/>
        <v>10500</v>
      </c>
      <c r="AA290" s="522">
        <f t="shared" si="404"/>
        <v>9710</v>
      </c>
      <c r="AB290" s="522">
        <f t="shared" si="434"/>
        <v>1229.1139240506329</v>
      </c>
      <c r="AC290" s="522">
        <f t="shared" si="405"/>
        <v>6000</v>
      </c>
      <c r="AD290" s="522">
        <f t="shared" si="420"/>
        <v>133.33333333333334</v>
      </c>
      <c r="AE290" s="522">
        <f t="shared" si="406"/>
        <v>7500</v>
      </c>
      <c r="AF290" s="522">
        <f t="shared" si="407"/>
        <v>250</v>
      </c>
      <c r="AG290" s="522">
        <f t="shared" si="419"/>
        <v>7500</v>
      </c>
      <c r="AH290" s="522">
        <f t="shared" si="408"/>
        <v>3000</v>
      </c>
      <c r="AI290" s="522">
        <f t="shared" si="421"/>
        <v>66.666666666666686</v>
      </c>
      <c r="AJ290" s="522">
        <f t="shared" si="409"/>
        <v>-3000</v>
      </c>
      <c r="AK290" s="522">
        <f t="shared" si="435"/>
        <v>-28.571428571428569</v>
      </c>
      <c r="AL290" s="522">
        <f t="shared" si="392"/>
        <v>7500</v>
      </c>
      <c r="AM290" s="522">
        <f t="shared" si="428"/>
        <v>1500</v>
      </c>
      <c r="AN290" s="522">
        <f t="shared" si="428"/>
        <v>7500</v>
      </c>
      <c r="AO290" s="522">
        <f t="shared" si="410"/>
        <v>6000</v>
      </c>
      <c r="AP290" s="522">
        <f t="shared" si="423"/>
        <v>400</v>
      </c>
      <c r="AQ290" s="578">
        <v>0</v>
      </c>
      <c r="AR290" s="578">
        <v>0</v>
      </c>
      <c r="AS290" s="578">
        <v>1500</v>
      </c>
      <c r="AT290" s="578">
        <v>7500</v>
      </c>
      <c r="AU290" s="578">
        <f t="shared" si="427"/>
        <v>3000</v>
      </c>
      <c r="AV290" s="578">
        <f t="shared" si="427"/>
        <v>3000</v>
      </c>
      <c r="AW290" s="578">
        <f t="shared" si="411"/>
        <v>0</v>
      </c>
      <c r="AX290" s="578">
        <f t="shared" si="424"/>
        <v>0</v>
      </c>
      <c r="AY290" s="578">
        <f t="shared" si="376"/>
        <v>0</v>
      </c>
      <c r="AZ290" s="578">
        <f t="shared" si="412"/>
        <v>3000</v>
      </c>
      <c r="BA290" s="578" t="e">
        <f t="shared" si="425"/>
        <v>#DIV/0!</v>
      </c>
      <c r="BB290" s="578">
        <v>0</v>
      </c>
      <c r="BC290" s="576">
        <f>'[67]Дир_по корп'!AT18</f>
        <v>0</v>
      </c>
      <c r="BD290" s="576">
        <f t="shared" si="389"/>
        <v>0</v>
      </c>
      <c r="BE290" s="576">
        <f t="shared" si="413"/>
        <v>0</v>
      </c>
      <c r="BF290" s="576">
        <f t="shared" si="414"/>
        <v>0</v>
      </c>
      <c r="BG290" s="576">
        <f t="shared" si="398"/>
        <v>1500</v>
      </c>
      <c r="BH290" s="578">
        <f t="shared" si="398"/>
        <v>7500</v>
      </c>
      <c r="BI290" s="578">
        <v>7500</v>
      </c>
      <c r="BJ290" s="578">
        <f t="shared" si="415"/>
        <v>6000</v>
      </c>
      <c r="BK290" s="578">
        <f t="shared" si="416"/>
        <v>0</v>
      </c>
      <c r="BL290" s="576">
        <v>3000</v>
      </c>
      <c r="BM290" s="578">
        <f>'[67]Дир_по корп'!AW18</f>
        <v>3000</v>
      </c>
      <c r="BN290" s="522">
        <f t="shared" si="390"/>
        <v>0</v>
      </c>
      <c r="BO290" s="578">
        <f t="shared" si="426"/>
        <v>-3000</v>
      </c>
      <c r="BP290" s="578">
        <f t="shared" si="417"/>
        <v>-3000</v>
      </c>
      <c r="BQ290" s="576">
        <v>3000</v>
      </c>
      <c r="BR290" s="578">
        <f>'[67]Дир_по корп'!BB18</f>
        <v>0</v>
      </c>
      <c r="BS290" s="578">
        <f>'[67]Дир_по корп'!BC18</f>
        <v>0</v>
      </c>
      <c r="BT290" s="536"/>
      <c r="BU290" s="578"/>
      <c r="BV290" s="578"/>
      <c r="BW290" s="586">
        <v>7500</v>
      </c>
      <c r="BX290" s="629"/>
      <c r="BY290" s="522">
        <v>7500</v>
      </c>
      <c r="BZ290" s="522"/>
      <c r="CA290" s="522"/>
      <c r="CB290" s="522">
        <f t="shared" si="391"/>
        <v>7500</v>
      </c>
      <c r="CC290" s="522">
        <f t="shared" si="418"/>
        <v>0</v>
      </c>
      <c r="CD290" s="578"/>
      <c r="CE290" s="578"/>
      <c r="CF290" s="578"/>
      <c r="CG290" s="578"/>
      <c r="CH290" s="578"/>
      <c r="CI290" s="578"/>
      <c r="CJ290" s="578"/>
      <c r="CK290" s="543" t="s">
        <v>80</v>
      </c>
      <c r="CL290" s="543" t="s">
        <v>1901</v>
      </c>
      <c r="CM290" s="528" t="s">
        <v>1959</v>
      </c>
      <c r="CN290" s="528" t="s">
        <v>1849</v>
      </c>
      <c r="CO290" s="528"/>
      <c r="CP290" s="544">
        <f t="shared" si="430"/>
        <v>4151.7920262551206</v>
      </c>
      <c r="CQ290" s="544">
        <f t="shared" si="431"/>
        <v>304.96266919578517</v>
      </c>
      <c r="CR290" s="544">
        <f t="shared" si="432"/>
        <v>43.245304549094762</v>
      </c>
      <c r="CS290" s="1688" t="s">
        <v>1826</v>
      </c>
      <c r="CT290" s="1689"/>
      <c r="CU290" s="1689"/>
      <c r="CV290" s="1689"/>
      <c r="CW290" s="1690"/>
      <c r="CX290" s="528"/>
      <c r="CY290" s="528"/>
      <c r="CZ290" s="528"/>
      <c r="DA290" s="528"/>
      <c r="DB290" s="579"/>
      <c r="DC290" s="628" t="e">
        <f>P290-#REF!</f>
        <v>#REF!</v>
      </c>
      <c r="DD290" s="575"/>
      <c r="DE290" s="575"/>
      <c r="DF290" s="522">
        <f t="shared" si="436"/>
        <v>7.5</v>
      </c>
      <c r="DG290" s="522">
        <f t="shared" si="436"/>
        <v>0</v>
      </c>
      <c r="DH290" s="522">
        <f t="shared" si="436"/>
        <v>0</v>
      </c>
      <c r="DI290" s="522">
        <f t="shared" si="436"/>
        <v>7.5</v>
      </c>
      <c r="DJ290" s="536"/>
      <c r="DK290" s="536"/>
      <c r="DL290" s="536"/>
      <c r="DM290" s="536"/>
      <c r="DN290" s="536"/>
      <c r="DO290" s="536"/>
      <c r="DP290" s="536"/>
      <c r="DQ290" s="536"/>
      <c r="DR290" s="536"/>
      <c r="DS290" s="536"/>
    </row>
    <row r="291" spans="1:123" s="534" customFormat="1" ht="84.75" customHeight="1">
      <c r="A291" s="537" t="s">
        <v>583</v>
      </c>
      <c r="B291" s="538" t="s">
        <v>584</v>
      </c>
      <c r="C291" s="576">
        <v>880307</v>
      </c>
      <c r="D291" s="576"/>
      <c r="E291" s="525">
        <v>950400</v>
      </c>
      <c r="F291" s="525">
        <v>1064710.46</v>
      </c>
      <c r="G291" s="577">
        <v>0</v>
      </c>
      <c r="H291" s="577">
        <v>0</v>
      </c>
      <c r="I291" s="522">
        <f t="shared" si="385"/>
        <v>1234000</v>
      </c>
      <c r="J291" s="522">
        <v>574400</v>
      </c>
      <c r="K291" s="522">
        <v>327600</v>
      </c>
      <c r="L291" s="522">
        <v>332000</v>
      </c>
      <c r="M291" s="522">
        <f t="shared" si="386"/>
        <v>902000</v>
      </c>
      <c r="N291" s="522">
        <v>870000</v>
      </c>
      <c r="O291" s="522">
        <f t="shared" si="387"/>
        <v>302800</v>
      </c>
      <c r="P291" s="522">
        <v>1172800</v>
      </c>
      <c r="Q291" s="525">
        <f t="shared" si="399"/>
        <v>-61200</v>
      </c>
      <c r="R291" s="525">
        <f t="shared" si="400"/>
        <v>-4.9594813614262563</v>
      </c>
      <c r="S291" s="525">
        <v>879750</v>
      </c>
      <c r="T291" s="525">
        <v>879750</v>
      </c>
      <c r="U291" s="522">
        <f t="shared" si="388"/>
        <v>1297600</v>
      </c>
      <c r="V291" s="522">
        <f t="shared" si="397"/>
        <v>417850</v>
      </c>
      <c r="W291" s="522">
        <f t="shared" si="433"/>
        <v>47.49644785450414</v>
      </c>
      <c r="X291" s="522">
        <f t="shared" si="401"/>
        <v>124800</v>
      </c>
      <c r="Y291" s="522">
        <f t="shared" si="402"/>
        <v>10.641200545702588</v>
      </c>
      <c r="Z291" s="524">
        <f t="shared" si="403"/>
        <v>1281673</v>
      </c>
      <c r="AA291" s="522">
        <f t="shared" si="404"/>
        <v>401923</v>
      </c>
      <c r="AB291" s="522">
        <f t="shared" si="434"/>
        <v>45.686047172492181</v>
      </c>
      <c r="AC291" s="522">
        <f t="shared" si="405"/>
        <v>-15927</v>
      </c>
      <c r="AD291" s="522">
        <f t="shared" si="420"/>
        <v>-1.2274198520345294</v>
      </c>
      <c r="AE291" s="522">
        <f t="shared" si="406"/>
        <v>108873</v>
      </c>
      <c r="AF291" s="522">
        <f t="shared" si="407"/>
        <v>9.2831684856753043</v>
      </c>
      <c r="AG291" s="522">
        <f t="shared" si="419"/>
        <v>1268073</v>
      </c>
      <c r="AH291" s="522">
        <f t="shared" si="408"/>
        <v>-29527</v>
      </c>
      <c r="AI291" s="522">
        <f t="shared" si="421"/>
        <v>-2.2755086313193544</v>
      </c>
      <c r="AJ291" s="522">
        <f t="shared" si="409"/>
        <v>-13600</v>
      </c>
      <c r="AK291" s="522">
        <f t="shared" si="435"/>
        <v>-1.0611130920289327</v>
      </c>
      <c r="AL291" s="522">
        <f t="shared" si="392"/>
        <v>1268073</v>
      </c>
      <c r="AM291" s="522">
        <f t="shared" si="428"/>
        <v>635600</v>
      </c>
      <c r="AN291" s="522">
        <f t="shared" si="428"/>
        <v>615273</v>
      </c>
      <c r="AO291" s="522">
        <f t="shared" si="410"/>
        <v>-20327</v>
      </c>
      <c r="AP291" s="522">
        <f t="shared" si="423"/>
        <v>-3.1980805538074293</v>
      </c>
      <c r="AQ291" s="522">
        <v>313200</v>
      </c>
      <c r="AR291" s="522">
        <v>305583</v>
      </c>
      <c r="AS291" s="522">
        <v>322400</v>
      </c>
      <c r="AT291" s="522">
        <v>309690</v>
      </c>
      <c r="AU291" s="522">
        <f t="shared" si="427"/>
        <v>662000</v>
      </c>
      <c r="AV291" s="522">
        <f t="shared" si="427"/>
        <v>666400</v>
      </c>
      <c r="AW291" s="522">
        <f t="shared" si="411"/>
        <v>4400</v>
      </c>
      <c r="AX291" s="522">
        <f t="shared" si="424"/>
        <v>0.6646525679758355</v>
      </c>
      <c r="AY291" s="522">
        <f t="shared" si="376"/>
        <v>652800</v>
      </c>
      <c r="AZ291" s="522">
        <f t="shared" si="412"/>
        <v>13600</v>
      </c>
      <c r="BA291" s="522">
        <f t="shared" si="425"/>
        <v>2.0833333333333286</v>
      </c>
      <c r="BB291" s="522">
        <v>328400</v>
      </c>
      <c r="BC291" s="525">
        <f>'[67]Дир_по экон'!AT72</f>
        <v>325600</v>
      </c>
      <c r="BD291" s="525">
        <f t="shared" si="389"/>
        <v>319858</v>
      </c>
      <c r="BE291" s="525">
        <f t="shared" si="413"/>
        <v>-8542</v>
      </c>
      <c r="BF291" s="525">
        <f t="shared" si="414"/>
        <v>-5742</v>
      </c>
      <c r="BG291" s="525">
        <f t="shared" si="398"/>
        <v>964000</v>
      </c>
      <c r="BH291" s="522">
        <f t="shared" si="398"/>
        <v>940873</v>
      </c>
      <c r="BI291" s="522">
        <v>935131</v>
      </c>
      <c r="BJ291" s="522">
        <f t="shared" si="415"/>
        <v>-28869</v>
      </c>
      <c r="BK291" s="522">
        <f t="shared" si="416"/>
        <v>-5742</v>
      </c>
      <c r="BL291" s="525">
        <v>333600</v>
      </c>
      <c r="BM291" s="522">
        <f>'[67]Дир_по экон'!AW72</f>
        <v>340800.00000000006</v>
      </c>
      <c r="BN291" s="522">
        <f t="shared" si="390"/>
        <v>332942</v>
      </c>
      <c r="BO291" s="522">
        <f t="shared" si="426"/>
        <v>-658</v>
      </c>
      <c r="BP291" s="522">
        <f t="shared" si="417"/>
        <v>-7858.0000000000582</v>
      </c>
      <c r="BQ291" s="525">
        <v>333600</v>
      </c>
      <c r="BR291" s="522">
        <f>'[67]Дир_по экон'!BB72</f>
        <v>0</v>
      </c>
      <c r="BS291" s="522">
        <f>'[67]Дир_по экон'!BC72</f>
        <v>0</v>
      </c>
      <c r="BT291" s="536"/>
      <c r="BU291" s="522"/>
      <c r="BV291" s="522"/>
      <c r="BW291" s="524">
        <v>1268073</v>
      </c>
      <c r="BX291" s="629"/>
      <c r="BY291" s="522">
        <v>1179311.31</v>
      </c>
      <c r="BZ291" s="522">
        <f>22682.98+52398.58</f>
        <v>75081.56</v>
      </c>
      <c r="CA291" s="522">
        <f>13680.13</f>
        <v>13680.13</v>
      </c>
      <c r="CB291" s="522">
        <f t="shared" si="391"/>
        <v>1268073</v>
      </c>
      <c r="CC291" s="522">
        <f t="shared" si="418"/>
        <v>0</v>
      </c>
      <c r="CD291" s="522"/>
      <c r="CE291" s="522"/>
      <c r="CF291" s="522"/>
      <c r="CG291" s="522"/>
      <c r="CH291" s="522"/>
      <c r="CI291" s="522"/>
      <c r="CJ291" s="522"/>
      <c r="CK291" s="543" t="s">
        <v>77</v>
      </c>
      <c r="CL291" s="543" t="s">
        <v>1856</v>
      </c>
      <c r="CM291" s="528" t="s">
        <v>1959</v>
      </c>
      <c r="CN291" s="528" t="s">
        <v>1849</v>
      </c>
      <c r="CO291" s="528"/>
      <c r="CP291" s="544">
        <f t="shared" si="430"/>
        <v>1197192.2962819207</v>
      </c>
      <c r="CQ291" s="544">
        <f t="shared" si="431"/>
        <v>87937.679899655748</v>
      </c>
      <c r="CR291" s="544">
        <f t="shared" si="432"/>
        <v>12470.023818423415</v>
      </c>
      <c r="CS291" s="1688" t="s">
        <v>1826</v>
      </c>
      <c r="CT291" s="1689"/>
      <c r="CU291" s="1689"/>
      <c r="CV291" s="1689"/>
      <c r="CW291" s="1690"/>
      <c r="CX291" s="528"/>
      <c r="CY291" s="528"/>
      <c r="CZ291" s="528"/>
      <c r="DA291" s="528"/>
      <c r="DB291" s="579">
        <v>305583</v>
      </c>
      <c r="DC291" s="628" t="e">
        <f>P291-#REF!</f>
        <v>#REF!</v>
      </c>
      <c r="DD291" s="575"/>
      <c r="DE291" s="575"/>
      <c r="DF291" s="522">
        <f t="shared" si="436"/>
        <v>1179.31131</v>
      </c>
      <c r="DG291" s="522">
        <f t="shared" si="436"/>
        <v>75.081559999999996</v>
      </c>
      <c r="DH291" s="522">
        <f t="shared" si="436"/>
        <v>13.680129999999998</v>
      </c>
      <c r="DI291" s="522">
        <f t="shared" si="436"/>
        <v>1268.0730000000001</v>
      </c>
      <c r="DJ291" s="536"/>
      <c r="DK291" s="536"/>
      <c r="DL291" s="536"/>
      <c r="DM291" s="536"/>
      <c r="DN291" s="536"/>
      <c r="DO291" s="536"/>
      <c r="DP291" s="536"/>
      <c r="DQ291" s="536"/>
      <c r="DR291" s="536"/>
      <c r="DS291" s="536"/>
    </row>
    <row r="292" spans="1:123" s="534" customFormat="1" ht="53.25" customHeight="1">
      <c r="A292" s="537" t="s">
        <v>586</v>
      </c>
      <c r="B292" s="538" t="s">
        <v>587</v>
      </c>
      <c r="C292" s="576">
        <v>353425</v>
      </c>
      <c r="D292" s="576"/>
      <c r="E292" s="525">
        <v>630000</v>
      </c>
      <c r="F292" s="525">
        <v>326277.77</v>
      </c>
      <c r="G292" s="577">
        <v>0</v>
      </c>
      <c r="H292" s="577">
        <v>0</v>
      </c>
      <c r="I292" s="522">
        <f t="shared" si="385"/>
        <v>357014.91</v>
      </c>
      <c r="J292" s="522">
        <v>121988</v>
      </c>
      <c r="K292" s="522">
        <v>189620.59</v>
      </c>
      <c r="L292" s="522">
        <v>45406.32</v>
      </c>
      <c r="M292" s="522">
        <f t="shared" si="386"/>
        <v>311608.58999999997</v>
      </c>
      <c r="N292" s="522">
        <v>224828</v>
      </c>
      <c r="O292" s="522">
        <f t="shared" si="387"/>
        <v>93931.530000000028</v>
      </c>
      <c r="P292" s="522">
        <v>318759.53000000003</v>
      </c>
      <c r="Q292" s="525">
        <f t="shared" si="399"/>
        <v>-38255.379999999946</v>
      </c>
      <c r="R292" s="525">
        <f t="shared" si="400"/>
        <v>-10.715345193846375</v>
      </c>
      <c r="S292" s="525">
        <v>1541560</v>
      </c>
      <c r="T292" s="525">
        <v>1541560</v>
      </c>
      <c r="U292" s="522">
        <f t="shared" si="388"/>
        <v>375222.76500000001</v>
      </c>
      <c r="V292" s="522">
        <f t="shared" si="397"/>
        <v>-1166337.2349999999</v>
      </c>
      <c r="W292" s="522">
        <f t="shared" si="433"/>
        <v>-75.659541957497595</v>
      </c>
      <c r="X292" s="522">
        <f t="shared" si="401"/>
        <v>56463.234999999986</v>
      </c>
      <c r="Y292" s="522">
        <f t="shared" si="402"/>
        <v>17.713426481711764</v>
      </c>
      <c r="Z292" s="524">
        <f t="shared" si="403"/>
        <v>375222.576</v>
      </c>
      <c r="AA292" s="522">
        <f t="shared" si="404"/>
        <v>-1166337.4240000001</v>
      </c>
      <c r="AB292" s="522">
        <f t="shared" si="434"/>
        <v>-75.659554217805336</v>
      </c>
      <c r="AC292" s="522">
        <f t="shared" si="405"/>
        <v>-0.18900000001303852</v>
      </c>
      <c r="AD292" s="522">
        <f t="shared" si="420"/>
        <v>-5.0370078170658417E-5</v>
      </c>
      <c r="AE292" s="522">
        <f t="shared" si="406"/>
        <v>56463.045999999973</v>
      </c>
      <c r="AF292" s="522">
        <f t="shared" si="407"/>
        <v>17.713367189366849</v>
      </c>
      <c r="AG292" s="522">
        <f t="shared" si="419"/>
        <v>70922.05</v>
      </c>
      <c r="AH292" s="522">
        <f t="shared" si="408"/>
        <v>-304300.71500000003</v>
      </c>
      <c r="AI292" s="522">
        <f t="shared" si="421"/>
        <v>-81.098681472591352</v>
      </c>
      <c r="AJ292" s="522">
        <f t="shared" si="409"/>
        <v>-304300.52600000001</v>
      </c>
      <c r="AK292" s="522">
        <f t="shared" si="435"/>
        <v>-81.09867195197765</v>
      </c>
      <c r="AL292" s="522">
        <f t="shared" si="392"/>
        <v>70922.05</v>
      </c>
      <c r="AM292" s="522">
        <f t="shared" si="428"/>
        <v>128210.439</v>
      </c>
      <c r="AN292" s="522">
        <f t="shared" si="428"/>
        <v>30614.25</v>
      </c>
      <c r="AO292" s="522">
        <f t="shared" si="410"/>
        <v>-97596.188999999998</v>
      </c>
      <c r="AP292" s="522">
        <f t="shared" si="423"/>
        <v>-76.121874132261567</v>
      </c>
      <c r="AQ292" s="522">
        <v>15765</v>
      </c>
      <c r="AR292" s="522">
        <v>7947</v>
      </c>
      <c r="AS292" s="522">
        <v>112445.439</v>
      </c>
      <c r="AT292" s="522">
        <v>22667.25</v>
      </c>
      <c r="AU292" s="522">
        <f t="shared" si="427"/>
        <v>247012.326</v>
      </c>
      <c r="AV292" s="522">
        <f t="shared" si="427"/>
        <v>344608.326</v>
      </c>
      <c r="AW292" s="522">
        <f t="shared" si="411"/>
        <v>97596</v>
      </c>
      <c r="AX292" s="522">
        <f t="shared" si="424"/>
        <v>39.510578917426187</v>
      </c>
      <c r="AY292" s="522">
        <f t="shared" si="376"/>
        <v>40307.800000000003</v>
      </c>
      <c r="AZ292" s="522">
        <f t="shared" si="412"/>
        <v>304300.52600000001</v>
      </c>
      <c r="BA292" s="522">
        <f t="shared" si="425"/>
        <v>754.94203603272808</v>
      </c>
      <c r="BB292" s="522">
        <v>199290.62</v>
      </c>
      <c r="BC292" s="525">
        <f>'[67]Дир_по экон'!AT73</f>
        <v>296886.62</v>
      </c>
      <c r="BD292" s="525">
        <f t="shared" si="389"/>
        <v>17375.75</v>
      </c>
      <c r="BE292" s="525">
        <f t="shared" si="413"/>
        <v>-181914.87</v>
      </c>
      <c r="BF292" s="525">
        <f t="shared" si="414"/>
        <v>-279510.87</v>
      </c>
      <c r="BG292" s="525">
        <f t="shared" si="398"/>
        <v>327501.05900000001</v>
      </c>
      <c r="BH292" s="522">
        <f t="shared" si="398"/>
        <v>327500.87</v>
      </c>
      <c r="BI292" s="522">
        <v>47990</v>
      </c>
      <c r="BJ292" s="522">
        <f t="shared" si="415"/>
        <v>-279511.05900000001</v>
      </c>
      <c r="BK292" s="522">
        <f t="shared" si="416"/>
        <v>-279510.87</v>
      </c>
      <c r="BL292" s="525">
        <v>47721.705999999998</v>
      </c>
      <c r="BM292" s="522">
        <f>'[67]Дир_по экон'!AW73</f>
        <v>47721.705999999998</v>
      </c>
      <c r="BN292" s="522">
        <f t="shared" si="390"/>
        <v>22932.050000000003</v>
      </c>
      <c r="BO292" s="522">
        <f t="shared" si="426"/>
        <v>-24789.655999999995</v>
      </c>
      <c r="BP292" s="522">
        <f t="shared" si="417"/>
        <v>-24789.655999999995</v>
      </c>
      <c r="BQ292" s="525">
        <v>47721.705999999998</v>
      </c>
      <c r="BR292" s="522">
        <f>'[67]Дир_по экон'!BB73</f>
        <v>0</v>
      </c>
      <c r="BS292" s="522">
        <f>'[67]Дир_по экон'!BC73</f>
        <v>0</v>
      </c>
      <c r="BT292" s="536"/>
      <c r="BU292" s="522"/>
      <c r="BV292" s="522"/>
      <c r="BW292" s="524">
        <v>70922.05</v>
      </c>
      <c r="BX292" s="629"/>
      <c r="BY292" s="522">
        <v>68318.710000000006</v>
      </c>
      <c r="BZ292" s="522">
        <f>511.11+1715.23</f>
        <v>2226.34</v>
      </c>
      <c r="CA292" s="522">
        <f>377</f>
        <v>377</v>
      </c>
      <c r="CB292" s="522">
        <f t="shared" si="391"/>
        <v>70922.05</v>
      </c>
      <c r="CC292" s="522">
        <f t="shared" si="418"/>
        <v>0</v>
      </c>
      <c r="CD292" s="522"/>
      <c r="CE292" s="522"/>
      <c r="CF292" s="522"/>
      <c r="CG292" s="522"/>
      <c r="CH292" s="522"/>
      <c r="CI292" s="522"/>
      <c r="CJ292" s="522"/>
      <c r="CK292" s="543" t="s">
        <v>77</v>
      </c>
      <c r="CL292" s="543" t="s">
        <v>1856</v>
      </c>
      <c r="CM292" s="528" t="s">
        <v>1959</v>
      </c>
      <c r="CN292" s="528" t="s">
        <v>1849</v>
      </c>
      <c r="CO292" s="528"/>
      <c r="CP292" s="544">
        <f t="shared" si="430"/>
        <v>346188.19639919972</v>
      </c>
      <c r="CQ292" s="544">
        <f t="shared" si="431"/>
        <v>25428.652434982854</v>
      </c>
      <c r="CR292" s="544">
        <f t="shared" si="432"/>
        <v>3605.9161658174257</v>
      </c>
      <c r="CS292" s="1688" t="s">
        <v>1826</v>
      </c>
      <c r="CT292" s="1689"/>
      <c r="CU292" s="1689"/>
      <c r="CV292" s="1689"/>
      <c r="CW292" s="1690"/>
      <c r="CX292" s="528"/>
      <c r="CY292" s="528"/>
      <c r="CZ292" s="528"/>
      <c r="DA292" s="528"/>
      <c r="DB292" s="579">
        <v>7947</v>
      </c>
      <c r="DC292" s="628" t="e">
        <f>P292-#REF!</f>
        <v>#REF!</v>
      </c>
      <c r="DD292" s="575"/>
      <c r="DE292" s="575"/>
      <c r="DF292" s="522">
        <f t="shared" si="436"/>
        <v>68.31871000000001</v>
      </c>
      <c r="DG292" s="522">
        <f t="shared" si="436"/>
        <v>2.22634</v>
      </c>
      <c r="DH292" s="522">
        <f t="shared" si="436"/>
        <v>0.377</v>
      </c>
      <c r="DI292" s="522">
        <f t="shared" si="436"/>
        <v>70.922049999999999</v>
      </c>
      <c r="DJ292" s="536"/>
      <c r="DK292" s="536"/>
      <c r="DL292" s="536"/>
      <c r="DM292" s="536"/>
      <c r="DN292" s="536"/>
      <c r="DO292" s="536"/>
      <c r="DP292" s="536"/>
      <c r="DQ292" s="536"/>
      <c r="DR292" s="536"/>
      <c r="DS292" s="536"/>
    </row>
    <row r="293" spans="1:123" s="534" customFormat="1" ht="65.25" customHeight="1">
      <c r="A293" s="537" t="s">
        <v>589</v>
      </c>
      <c r="B293" s="538" t="s">
        <v>590</v>
      </c>
      <c r="C293" s="576">
        <v>306100</v>
      </c>
      <c r="D293" s="576"/>
      <c r="E293" s="525">
        <v>800000</v>
      </c>
      <c r="F293" s="525">
        <v>195000</v>
      </c>
      <c r="G293" s="577">
        <v>0</v>
      </c>
      <c r="H293" s="577">
        <v>0</v>
      </c>
      <c r="I293" s="522">
        <f t="shared" si="385"/>
        <v>251779</v>
      </c>
      <c r="J293" s="522">
        <v>148779</v>
      </c>
      <c r="K293" s="522">
        <v>51500</v>
      </c>
      <c r="L293" s="522">
        <v>51500</v>
      </c>
      <c r="M293" s="522">
        <f t="shared" si="386"/>
        <v>200279</v>
      </c>
      <c r="N293" s="522">
        <v>198779</v>
      </c>
      <c r="O293" s="522">
        <f t="shared" si="387"/>
        <v>15000</v>
      </c>
      <c r="P293" s="522">
        <v>213779</v>
      </c>
      <c r="Q293" s="525">
        <f t="shared" si="399"/>
        <v>-38000</v>
      </c>
      <c r="R293" s="525">
        <f t="shared" si="400"/>
        <v>-15.092601050921644</v>
      </c>
      <c r="S293" s="525">
        <v>0</v>
      </c>
      <c r="T293" s="525">
        <v>0</v>
      </c>
      <c r="U293" s="522">
        <f t="shared" si="388"/>
        <v>260000</v>
      </c>
      <c r="V293" s="522">
        <f t="shared" si="397"/>
        <v>260000</v>
      </c>
      <c r="W293" s="522">
        <v>0</v>
      </c>
      <c r="X293" s="522">
        <f t="shared" si="401"/>
        <v>46221</v>
      </c>
      <c r="Y293" s="522">
        <f t="shared" si="402"/>
        <v>21.620926283685478</v>
      </c>
      <c r="Z293" s="524">
        <f t="shared" si="403"/>
        <v>270000</v>
      </c>
      <c r="AA293" s="522">
        <f t="shared" si="404"/>
        <v>270000</v>
      </c>
      <c r="AB293" s="522">
        <v>0</v>
      </c>
      <c r="AC293" s="522">
        <f t="shared" si="405"/>
        <v>10000</v>
      </c>
      <c r="AD293" s="522">
        <f t="shared" si="420"/>
        <v>3.8461538461538538</v>
      </c>
      <c r="AE293" s="522">
        <f t="shared" si="406"/>
        <v>56221</v>
      </c>
      <c r="AF293" s="522">
        <f t="shared" si="407"/>
        <v>26.298654217673388</v>
      </c>
      <c r="AG293" s="522">
        <f t="shared" si="419"/>
        <v>147910</v>
      </c>
      <c r="AH293" s="522">
        <f t="shared" si="408"/>
        <v>-112090</v>
      </c>
      <c r="AI293" s="522">
        <f t="shared" si="421"/>
        <v>-43.111538461538458</v>
      </c>
      <c r="AJ293" s="522">
        <f t="shared" si="409"/>
        <v>-122090</v>
      </c>
      <c r="AK293" s="522">
        <f t="shared" si="435"/>
        <v>-45.218518518518515</v>
      </c>
      <c r="AL293" s="522">
        <f t="shared" si="392"/>
        <v>147910</v>
      </c>
      <c r="AM293" s="522">
        <f t="shared" si="428"/>
        <v>125000</v>
      </c>
      <c r="AN293" s="522">
        <f t="shared" si="428"/>
        <v>68000</v>
      </c>
      <c r="AO293" s="522">
        <f t="shared" si="410"/>
        <v>-57000</v>
      </c>
      <c r="AP293" s="522">
        <f t="shared" si="423"/>
        <v>-45.599999999999994</v>
      </c>
      <c r="AQ293" s="522">
        <v>40000</v>
      </c>
      <c r="AR293" s="522">
        <v>43000</v>
      </c>
      <c r="AS293" s="522">
        <v>85000</v>
      </c>
      <c r="AT293" s="522">
        <v>25000</v>
      </c>
      <c r="AU293" s="522">
        <f t="shared" si="427"/>
        <v>135000</v>
      </c>
      <c r="AV293" s="522">
        <f t="shared" si="427"/>
        <v>202000</v>
      </c>
      <c r="AW293" s="522">
        <f t="shared" si="411"/>
        <v>67000</v>
      </c>
      <c r="AX293" s="522">
        <f t="shared" si="424"/>
        <v>49.629629629629619</v>
      </c>
      <c r="AY293" s="522">
        <f t="shared" si="376"/>
        <v>79910</v>
      </c>
      <c r="AZ293" s="522">
        <f t="shared" si="412"/>
        <v>122090</v>
      </c>
      <c r="BA293" s="522">
        <f t="shared" si="425"/>
        <v>152.78438243023399</v>
      </c>
      <c r="BB293" s="522">
        <v>80000</v>
      </c>
      <c r="BC293" s="525">
        <f>'[67]Дир_по экон'!AT74</f>
        <v>109500</v>
      </c>
      <c r="BD293" s="525">
        <f t="shared" si="389"/>
        <v>29910</v>
      </c>
      <c r="BE293" s="525">
        <f t="shared" si="413"/>
        <v>-50090</v>
      </c>
      <c r="BF293" s="525">
        <f t="shared" si="414"/>
        <v>-79590</v>
      </c>
      <c r="BG293" s="525">
        <f t="shared" si="398"/>
        <v>205000</v>
      </c>
      <c r="BH293" s="522">
        <f t="shared" si="398"/>
        <v>177500</v>
      </c>
      <c r="BI293" s="522">
        <v>97910</v>
      </c>
      <c r="BJ293" s="522">
        <f t="shared" si="415"/>
        <v>-107090</v>
      </c>
      <c r="BK293" s="522">
        <f t="shared" si="416"/>
        <v>-79590</v>
      </c>
      <c r="BL293" s="525">
        <v>55000</v>
      </c>
      <c r="BM293" s="522">
        <f>'[67]Дир_по экон'!AW74</f>
        <v>92500</v>
      </c>
      <c r="BN293" s="522">
        <f t="shared" si="390"/>
        <v>50000</v>
      </c>
      <c r="BO293" s="522">
        <f t="shared" si="426"/>
        <v>-5000</v>
      </c>
      <c r="BP293" s="522">
        <f t="shared" si="417"/>
        <v>-42500</v>
      </c>
      <c r="BQ293" s="525">
        <v>55000</v>
      </c>
      <c r="BR293" s="522">
        <f>'[67]Дир_по экон'!BB74</f>
        <v>0</v>
      </c>
      <c r="BS293" s="522">
        <f>'[67]Дир_по экон'!BC74</f>
        <v>0</v>
      </c>
      <c r="BT293" s="536"/>
      <c r="BU293" s="522"/>
      <c r="BV293" s="522"/>
      <c r="BW293" s="524">
        <v>147910</v>
      </c>
      <c r="BX293" s="629"/>
      <c r="BY293" s="522">
        <v>143217.06</v>
      </c>
      <c r="BZ293" s="522">
        <f>1334.02+2598.81</f>
        <v>3932.83</v>
      </c>
      <c r="CA293" s="522">
        <f>760.11</f>
        <v>760.11</v>
      </c>
      <c r="CB293" s="522">
        <f t="shared" si="391"/>
        <v>147909.99999999997</v>
      </c>
      <c r="CC293" s="522">
        <f t="shared" si="418"/>
        <v>0</v>
      </c>
      <c r="CD293" s="522"/>
      <c r="CE293" s="522"/>
      <c r="CF293" s="522"/>
      <c r="CG293" s="522"/>
      <c r="CH293" s="522"/>
      <c r="CI293" s="522"/>
      <c r="CJ293" s="522"/>
      <c r="CK293" s="543" t="s">
        <v>77</v>
      </c>
      <c r="CL293" s="543" t="s">
        <v>1856</v>
      </c>
      <c r="CM293" s="528" t="s">
        <v>1959</v>
      </c>
      <c r="CN293" s="528" t="s">
        <v>1849</v>
      </c>
      <c r="CO293" s="528"/>
      <c r="CP293" s="544">
        <f t="shared" si="430"/>
        <v>239881.31707251805</v>
      </c>
      <c r="CQ293" s="544">
        <f t="shared" si="431"/>
        <v>17620.065331312031</v>
      </c>
      <c r="CR293" s="544">
        <f t="shared" si="432"/>
        <v>2498.6175961699196</v>
      </c>
      <c r="CS293" s="1688" t="s">
        <v>1826</v>
      </c>
      <c r="CT293" s="1689"/>
      <c r="CU293" s="1689"/>
      <c r="CV293" s="1689"/>
      <c r="CW293" s="1690"/>
      <c r="CX293" s="528"/>
      <c r="CY293" s="528"/>
      <c r="CZ293" s="528"/>
      <c r="DA293" s="528"/>
      <c r="DB293" s="579">
        <v>43000</v>
      </c>
      <c r="DC293" s="628" t="e">
        <f>P293-#REF!</f>
        <v>#REF!</v>
      </c>
      <c r="DD293" s="575"/>
      <c r="DE293" s="575"/>
      <c r="DF293" s="522">
        <f t="shared" si="436"/>
        <v>143.21706</v>
      </c>
      <c r="DG293" s="522">
        <f t="shared" si="436"/>
        <v>3.93283</v>
      </c>
      <c r="DH293" s="522">
        <f t="shared" si="436"/>
        <v>0.76011000000000006</v>
      </c>
      <c r="DI293" s="522">
        <f t="shared" si="436"/>
        <v>147.90999999999997</v>
      </c>
      <c r="DJ293" s="536"/>
      <c r="DK293" s="536"/>
      <c r="DL293" s="536"/>
      <c r="DM293" s="536"/>
      <c r="DN293" s="536"/>
      <c r="DO293" s="536"/>
      <c r="DP293" s="536"/>
      <c r="DQ293" s="536"/>
      <c r="DR293" s="536"/>
      <c r="DS293" s="536"/>
    </row>
    <row r="294" spans="1:123" s="534" customFormat="1" ht="53.25" customHeight="1">
      <c r="A294" s="537" t="s">
        <v>592</v>
      </c>
      <c r="B294" s="538" t="s">
        <v>593</v>
      </c>
      <c r="C294" s="576">
        <v>371000</v>
      </c>
      <c r="D294" s="576"/>
      <c r="E294" s="576">
        <v>484840</v>
      </c>
      <c r="F294" s="576">
        <v>295530</v>
      </c>
      <c r="G294" s="577">
        <v>0</v>
      </c>
      <c r="H294" s="577">
        <v>0</v>
      </c>
      <c r="I294" s="578">
        <f t="shared" si="385"/>
        <v>332000</v>
      </c>
      <c r="J294" s="578">
        <v>132000</v>
      </c>
      <c r="K294" s="578">
        <v>100000</v>
      </c>
      <c r="L294" s="578">
        <v>100000</v>
      </c>
      <c r="M294" s="578">
        <f t="shared" si="386"/>
        <v>232000</v>
      </c>
      <c r="N294" s="578">
        <v>224000</v>
      </c>
      <c r="O294" s="522">
        <f t="shared" si="387"/>
        <v>68000</v>
      </c>
      <c r="P294" s="522">
        <v>292000</v>
      </c>
      <c r="Q294" s="576">
        <f t="shared" si="399"/>
        <v>-40000</v>
      </c>
      <c r="R294" s="576">
        <f t="shared" si="400"/>
        <v>-12.048192771084345</v>
      </c>
      <c r="S294" s="576">
        <v>158290</v>
      </c>
      <c r="T294" s="576">
        <v>158290</v>
      </c>
      <c r="U294" s="522">
        <f t="shared" si="388"/>
        <v>348932</v>
      </c>
      <c r="V294" s="522">
        <f t="shared" si="397"/>
        <v>190642</v>
      </c>
      <c r="W294" s="522">
        <f t="shared" si="433"/>
        <v>120.43843578242468</v>
      </c>
      <c r="X294" s="522">
        <f t="shared" si="401"/>
        <v>56932</v>
      </c>
      <c r="Y294" s="522">
        <f t="shared" si="402"/>
        <v>19.4972602739726</v>
      </c>
      <c r="Z294" s="524">
        <f t="shared" si="403"/>
        <v>346466</v>
      </c>
      <c r="AA294" s="522">
        <f t="shared" si="404"/>
        <v>188176</v>
      </c>
      <c r="AB294" s="522">
        <f t="shared" si="434"/>
        <v>118.88053572556697</v>
      </c>
      <c r="AC294" s="522">
        <f t="shared" si="405"/>
        <v>-2466</v>
      </c>
      <c r="AD294" s="522">
        <f t="shared" si="420"/>
        <v>-0.70672795845608505</v>
      </c>
      <c r="AE294" s="522">
        <f t="shared" si="406"/>
        <v>54466</v>
      </c>
      <c r="AF294" s="522">
        <f t="shared" si="407"/>
        <v>18.652739726027391</v>
      </c>
      <c r="AG294" s="522">
        <f t="shared" si="419"/>
        <v>310000</v>
      </c>
      <c r="AH294" s="522">
        <f t="shared" si="408"/>
        <v>-38932</v>
      </c>
      <c r="AI294" s="522">
        <f t="shared" si="421"/>
        <v>-11.157474808845279</v>
      </c>
      <c r="AJ294" s="522">
        <f t="shared" si="409"/>
        <v>-36466</v>
      </c>
      <c r="AK294" s="522">
        <f t="shared" si="435"/>
        <v>-10.525130893074646</v>
      </c>
      <c r="AL294" s="522">
        <f t="shared" si="392"/>
        <v>310000</v>
      </c>
      <c r="AM294" s="522">
        <f t="shared" si="428"/>
        <v>174466</v>
      </c>
      <c r="AN294" s="522">
        <f t="shared" si="428"/>
        <v>172000</v>
      </c>
      <c r="AO294" s="522">
        <f t="shared" si="410"/>
        <v>-2466</v>
      </c>
      <c r="AP294" s="522">
        <f t="shared" si="423"/>
        <v>-1.4134559169121701</v>
      </c>
      <c r="AQ294" s="578">
        <v>87233</v>
      </c>
      <c r="AR294" s="578">
        <v>107000</v>
      </c>
      <c r="AS294" s="578">
        <v>87233</v>
      </c>
      <c r="AT294" s="578">
        <v>65000</v>
      </c>
      <c r="AU294" s="578">
        <f t="shared" si="427"/>
        <v>174466</v>
      </c>
      <c r="AV294" s="578">
        <f t="shared" si="427"/>
        <v>174466</v>
      </c>
      <c r="AW294" s="578">
        <f t="shared" si="411"/>
        <v>0</v>
      </c>
      <c r="AX294" s="578">
        <f t="shared" si="424"/>
        <v>0</v>
      </c>
      <c r="AY294" s="578">
        <f t="shared" si="376"/>
        <v>138000</v>
      </c>
      <c r="AZ294" s="578">
        <f t="shared" si="412"/>
        <v>36466</v>
      </c>
      <c r="BA294" s="578">
        <f t="shared" si="425"/>
        <v>26.42463768115941</v>
      </c>
      <c r="BB294" s="578">
        <v>87233</v>
      </c>
      <c r="BC294" s="576">
        <f>'[67]Дир_по корп'!AT19</f>
        <v>87233</v>
      </c>
      <c r="BD294" s="576">
        <f t="shared" si="389"/>
        <v>60000</v>
      </c>
      <c r="BE294" s="576">
        <f t="shared" si="413"/>
        <v>-27233</v>
      </c>
      <c r="BF294" s="576">
        <f t="shared" si="414"/>
        <v>-27233</v>
      </c>
      <c r="BG294" s="576">
        <f t="shared" si="398"/>
        <v>261699</v>
      </c>
      <c r="BH294" s="578">
        <f t="shared" si="398"/>
        <v>259233</v>
      </c>
      <c r="BI294" s="578">
        <v>232000</v>
      </c>
      <c r="BJ294" s="578">
        <f t="shared" si="415"/>
        <v>-29699</v>
      </c>
      <c r="BK294" s="578">
        <f t="shared" si="416"/>
        <v>-27233</v>
      </c>
      <c r="BL294" s="576">
        <v>87233</v>
      </c>
      <c r="BM294" s="578">
        <f>'[67]Дир_по корп'!AW19</f>
        <v>87233</v>
      </c>
      <c r="BN294" s="522">
        <f t="shared" si="390"/>
        <v>78000</v>
      </c>
      <c r="BO294" s="578">
        <f t="shared" si="426"/>
        <v>-9233</v>
      </c>
      <c r="BP294" s="578">
        <f t="shared" si="417"/>
        <v>-9233</v>
      </c>
      <c r="BQ294" s="576">
        <v>87233</v>
      </c>
      <c r="BR294" s="578">
        <f>'[67]Дир_по корп'!BB19</f>
        <v>0</v>
      </c>
      <c r="BS294" s="578">
        <f>'[67]Дир_по корп'!BC19</f>
        <v>0</v>
      </c>
      <c r="BT294" s="536"/>
      <c r="BU294" s="578"/>
      <c r="BV294" s="578"/>
      <c r="BW294" s="586">
        <v>310000</v>
      </c>
      <c r="BX294" s="629"/>
      <c r="BY294" s="522">
        <v>289714.19</v>
      </c>
      <c r="BZ294" s="522">
        <f>5147.72+12108.95</f>
        <v>17256.670000000002</v>
      </c>
      <c r="CA294" s="522">
        <f>3029.14</f>
        <v>3029.14</v>
      </c>
      <c r="CB294" s="522">
        <f t="shared" si="391"/>
        <v>310000</v>
      </c>
      <c r="CC294" s="522">
        <f t="shared" si="418"/>
        <v>0</v>
      </c>
      <c r="CD294" s="578"/>
      <c r="CE294" s="578"/>
      <c r="CF294" s="578"/>
      <c r="CG294" s="578"/>
      <c r="CH294" s="578"/>
      <c r="CI294" s="578"/>
      <c r="CJ294" s="578"/>
      <c r="CK294" s="543" t="s">
        <v>80</v>
      </c>
      <c r="CL294" s="543" t="s">
        <v>1901</v>
      </c>
      <c r="CM294" s="528" t="s">
        <v>1959</v>
      </c>
      <c r="CN294" s="528" t="s">
        <v>1849</v>
      </c>
      <c r="CO294" s="528"/>
      <c r="CP294" s="544">
        <f t="shared" si="430"/>
        <v>321931.7989567226</v>
      </c>
      <c r="CQ294" s="544">
        <f t="shared" si="431"/>
        <v>23646.940908405268</v>
      </c>
      <c r="CR294" s="544">
        <f t="shared" si="432"/>
        <v>3353.2601348721632</v>
      </c>
      <c r="CS294" s="1688" t="s">
        <v>1826</v>
      </c>
      <c r="CT294" s="1689"/>
      <c r="CU294" s="1689"/>
      <c r="CV294" s="1689"/>
      <c r="CW294" s="1690"/>
      <c r="CX294" s="528"/>
      <c r="CY294" s="528"/>
      <c r="CZ294" s="528"/>
      <c r="DA294" s="528"/>
      <c r="DB294" s="579">
        <v>107000</v>
      </c>
      <c r="DC294" s="628" t="e">
        <f>P294-#REF!</f>
        <v>#REF!</v>
      </c>
      <c r="DD294" s="575"/>
      <c r="DE294" s="575"/>
      <c r="DF294" s="522">
        <f t="shared" si="436"/>
        <v>289.71419000000003</v>
      </c>
      <c r="DG294" s="522">
        <f t="shared" si="436"/>
        <v>17.256670000000003</v>
      </c>
      <c r="DH294" s="522">
        <f t="shared" si="436"/>
        <v>3.0291399999999999</v>
      </c>
      <c r="DI294" s="522">
        <f t="shared" si="436"/>
        <v>310</v>
      </c>
      <c r="DJ294" s="536"/>
      <c r="DK294" s="536"/>
      <c r="DL294" s="536"/>
      <c r="DM294" s="536"/>
      <c r="DN294" s="536"/>
      <c r="DO294" s="536"/>
      <c r="DP294" s="536"/>
      <c r="DQ294" s="536"/>
      <c r="DR294" s="536"/>
      <c r="DS294" s="536"/>
    </row>
    <row r="295" spans="1:123" s="534" customFormat="1" ht="95.25" customHeight="1">
      <c r="A295" s="537" t="s">
        <v>595</v>
      </c>
      <c r="B295" s="538" t="s">
        <v>1975</v>
      </c>
      <c r="C295" s="576"/>
      <c r="D295" s="576"/>
      <c r="E295" s="576"/>
      <c r="F295" s="576"/>
      <c r="G295" s="661">
        <v>0</v>
      </c>
      <c r="H295" s="661">
        <v>0</v>
      </c>
      <c r="I295" s="578">
        <f t="shared" si="385"/>
        <v>17993936.66</v>
      </c>
      <c r="J295" s="578">
        <v>3858303.5099999993</v>
      </c>
      <c r="K295" s="578">
        <v>1959880.3</v>
      </c>
      <c r="L295" s="578">
        <v>12175752.85</v>
      </c>
      <c r="M295" s="578">
        <f t="shared" si="386"/>
        <v>5818183.8099999996</v>
      </c>
      <c r="N295" s="578">
        <v>4873491.42</v>
      </c>
      <c r="O295" s="522">
        <f t="shared" si="387"/>
        <v>12495211.33</v>
      </c>
      <c r="P295" s="522">
        <v>17368702.75</v>
      </c>
      <c r="Q295" s="576">
        <f t="shared" si="399"/>
        <v>-625233.91000000015</v>
      </c>
      <c r="R295" s="576">
        <f t="shared" si="400"/>
        <v>-3.4746921800045953</v>
      </c>
      <c r="S295" s="576"/>
      <c r="T295" s="576"/>
      <c r="U295" s="522">
        <f t="shared" si="388"/>
        <v>17829895.9023479</v>
      </c>
      <c r="V295" s="522">
        <f t="shared" si="397"/>
        <v>17829895.9023479</v>
      </c>
      <c r="W295" s="522">
        <v>0</v>
      </c>
      <c r="X295" s="522">
        <f t="shared" si="401"/>
        <v>461193.15234789997</v>
      </c>
      <c r="Y295" s="522">
        <f t="shared" si="402"/>
        <v>2.6553114471827826</v>
      </c>
      <c r="Z295" s="524">
        <f t="shared" si="403"/>
        <v>18283722.861626297</v>
      </c>
      <c r="AA295" s="522">
        <f t="shared" si="404"/>
        <v>18283722.861626297</v>
      </c>
      <c r="AB295" s="522">
        <v>0</v>
      </c>
      <c r="AC295" s="522">
        <f t="shared" si="405"/>
        <v>453826.95927839726</v>
      </c>
      <c r="AD295" s="522">
        <f t="shared" si="420"/>
        <v>2.5453146881168038</v>
      </c>
      <c r="AE295" s="522">
        <f t="shared" si="406"/>
        <v>915020.11162629724</v>
      </c>
      <c r="AF295" s="522">
        <f t="shared" si="407"/>
        <v>5.2682121675799749</v>
      </c>
      <c r="AG295" s="522">
        <f t="shared" si="419"/>
        <v>18165390.399999999</v>
      </c>
      <c r="AH295" s="522">
        <f t="shared" si="408"/>
        <v>335494.49765209854</v>
      </c>
      <c r="AI295" s="522">
        <f t="shared" si="421"/>
        <v>1.8816402489928237</v>
      </c>
      <c r="AJ295" s="522">
        <f t="shared" si="409"/>
        <v>-118332.46162629873</v>
      </c>
      <c r="AK295" s="522">
        <f t="shared" si="435"/>
        <v>-0.64720113360858988</v>
      </c>
      <c r="AL295" s="522">
        <f t="shared" si="392"/>
        <v>18165390.399999999</v>
      </c>
      <c r="AM295" s="522">
        <f t="shared" si="428"/>
        <v>2979868.6764099998</v>
      </c>
      <c r="AN295" s="522">
        <f t="shared" si="428"/>
        <v>2831823.12</v>
      </c>
      <c r="AO295" s="522">
        <f t="shared" si="410"/>
        <v>-148045.55640999973</v>
      </c>
      <c r="AP295" s="522">
        <f t="shared" si="423"/>
        <v>-4.9681906314192901</v>
      </c>
      <c r="AQ295" s="578">
        <v>1041163.8115999999</v>
      </c>
      <c r="AR295" s="578">
        <v>1375904.17</v>
      </c>
      <c r="AS295" s="578">
        <v>1938704.8648099999</v>
      </c>
      <c r="AT295" s="578">
        <v>1455918.9500000002</v>
      </c>
      <c r="AU295" s="578">
        <f t="shared" si="427"/>
        <v>14850027.225937899</v>
      </c>
      <c r="AV295" s="578">
        <f t="shared" si="427"/>
        <v>15451899.741626298</v>
      </c>
      <c r="AW295" s="578">
        <f t="shared" si="411"/>
        <v>601872.51568839885</v>
      </c>
      <c r="AX295" s="578">
        <f t="shared" si="424"/>
        <v>4.0530061428920163</v>
      </c>
      <c r="AY295" s="578">
        <f t="shared" si="376"/>
        <v>15333567.279999997</v>
      </c>
      <c r="AZ295" s="578">
        <f t="shared" si="412"/>
        <v>118332.46162630059</v>
      </c>
      <c r="BA295" s="578">
        <f t="shared" si="425"/>
        <v>0.77172167092940924</v>
      </c>
      <c r="BB295" s="578">
        <v>2021763.8695</v>
      </c>
      <c r="BC295" s="576">
        <f>'[67]Дир_по экон'!AT75</f>
        <v>2050950.2194999999</v>
      </c>
      <c r="BD295" s="576">
        <f t="shared" si="389"/>
        <v>2469889.16</v>
      </c>
      <c r="BE295" s="576">
        <f t="shared" si="413"/>
        <v>448125.29050000012</v>
      </c>
      <c r="BF295" s="576">
        <f t="shared" si="414"/>
        <v>418938.94050000026</v>
      </c>
      <c r="BG295" s="576">
        <f t="shared" si="398"/>
        <v>5001632.5459099999</v>
      </c>
      <c r="BH295" s="578">
        <f t="shared" si="398"/>
        <v>4882773.3394999998</v>
      </c>
      <c r="BI295" s="578">
        <v>5301712.28</v>
      </c>
      <c r="BJ295" s="578">
        <f t="shared" si="415"/>
        <v>300079.73409000039</v>
      </c>
      <c r="BK295" s="578">
        <f t="shared" si="416"/>
        <v>418938.94050000049</v>
      </c>
      <c r="BL295" s="576">
        <v>12828263.356437899</v>
      </c>
      <c r="BM295" s="578">
        <f>'[67]Дир_по экон'!AW75</f>
        <v>13400949.522126298</v>
      </c>
      <c r="BN295" s="522">
        <f t="shared" si="390"/>
        <v>12863678.119999997</v>
      </c>
      <c r="BO295" s="578">
        <f t="shared" si="426"/>
        <v>35414.763562098145</v>
      </c>
      <c r="BP295" s="578">
        <f t="shared" si="417"/>
        <v>-537271.40212630108</v>
      </c>
      <c r="BQ295" s="576">
        <v>12828263.356437899</v>
      </c>
      <c r="BR295" s="578">
        <f>'[67]Дир_по экон'!BB75</f>
        <v>0</v>
      </c>
      <c r="BS295" s="578">
        <f>'[67]Дир_по экон'!BC75</f>
        <v>0</v>
      </c>
      <c r="BT295" s="536"/>
      <c r="BU295" s="578"/>
      <c r="BV295" s="578"/>
      <c r="BW295" s="586">
        <v>18165390.399999999</v>
      </c>
      <c r="BX295" s="629"/>
      <c r="BY295" s="522">
        <v>15667751.66</v>
      </c>
      <c r="BZ295" s="522">
        <f>14814.54+510545.08+1837239.39</f>
        <v>2362599.0099999998</v>
      </c>
      <c r="CA295" s="522">
        <v>135039.73000000001</v>
      </c>
      <c r="CB295" s="522">
        <f t="shared" si="391"/>
        <v>18165390.400000002</v>
      </c>
      <c r="CC295" s="522">
        <f t="shared" si="418"/>
        <v>0</v>
      </c>
      <c r="CD295" s="578"/>
      <c r="CE295" s="578"/>
      <c r="CF295" s="578"/>
      <c r="CG295" s="578"/>
      <c r="CH295" s="578"/>
      <c r="CI295" s="578"/>
      <c r="CJ295" s="578"/>
      <c r="CK295" s="543" t="s">
        <v>77</v>
      </c>
      <c r="CL295" s="543" t="s">
        <v>1856</v>
      </c>
      <c r="CM295" s="528" t="s">
        <v>1959</v>
      </c>
      <c r="CN295" s="528" t="s">
        <v>1849</v>
      </c>
      <c r="CO295" s="528"/>
      <c r="CP295" s="544">
        <f t="shared" si="430"/>
        <v>16450226.58585041</v>
      </c>
      <c r="CQ295" s="544">
        <f t="shared" si="431"/>
        <v>1208322.8101917796</v>
      </c>
      <c r="CR295" s="544">
        <f t="shared" si="432"/>
        <v>171346.50630570931</v>
      </c>
      <c r="CS295" s="1688" t="s">
        <v>1826</v>
      </c>
      <c r="CT295" s="1689"/>
      <c r="CU295" s="1689"/>
      <c r="CV295" s="1689"/>
      <c r="CW295" s="1690"/>
      <c r="CX295" s="528"/>
      <c r="CY295" s="528"/>
      <c r="CZ295" s="528"/>
      <c r="DA295" s="528"/>
      <c r="DB295" s="579">
        <v>1375904.17</v>
      </c>
      <c r="DC295" s="628" t="e">
        <f>P295-#REF!</f>
        <v>#REF!</v>
      </c>
      <c r="DD295" s="575"/>
      <c r="DE295" s="575"/>
      <c r="DF295" s="522">
        <f t="shared" si="436"/>
        <v>15667.75166</v>
      </c>
      <c r="DG295" s="522">
        <f t="shared" si="436"/>
        <v>2362.5990099999999</v>
      </c>
      <c r="DH295" s="522">
        <f t="shared" si="436"/>
        <v>135.03973000000002</v>
      </c>
      <c r="DI295" s="522">
        <f t="shared" si="436"/>
        <v>18165.390400000004</v>
      </c>
      <c r="DJ295" s="536"/>
      <c r="DK295" s="536"/>
      <c r="DL295" s="536"/>
      <c r="DM295" s="536"/>
      <c r="DN295" s="536"/>
      <c r="DO295" s="536"/>
      <c r="DP295" s="536"/>
      <c r="DQ295" s="536"/>
      <c r="DR295" s="536"/>
      <c r="DS295" s="536"/>
    </row>
    <row r="296" spans="1:123" s="534" customFormat="1" ht="53.25" customHeight="1">
      <c r="A296" s="537" t="s">
        <v>1976</v>
      </c>
      <c r="B296" s="538" t="s">
        <v>1440</v>
      </c>
      <c r="C296" s="576"/>
      <c r="D296" s="576"/>
      <c r="E296" s="576"/>
      <c r="F296" s="576"/>
      <c r="G296" s="577">
        <v>0</v>
      </c>
      <c r="H296" s="577">
        <v>0</v>
      </c>
      <c r="I296" s="578">
        <f t="shared" si="385"/>
        <v>0</v>
      </c>
      <c r="J296" s="578"/>
      <c r="K296" s="578">
        <v>0</v>
      </c>
      <c r="L296" s="578">
        <v>0</v>
      </c>
      <c r="M296" s="578">
        <f t="shared" si="386"/>
        <v>0</v>
      </c>
      <c r="N296" s="578"/>
      <c r="O296" s="522">
        <f t="shared" si="387"/>
        <v>224579</v>
      </c>
      <c r="P296" s="522">
        <v>224579</v>
      </c>
      <c r="Q296" s="576">
        <f t="shared" si="399"/>
        <v>224579</v>
      </c>
      <c r="R296" s="576">
        <v>0</v>
      </c>
      <c r="S296" s="576"/>
      <c r="T296" s="576"/>
      <c r="U296" s="522">
        <f t="shared" si="388"/>
        <v>26829.78</v>
      </c>
      <c r="V296" s="522">
        <f t="shared" si="397"/>
        <v>26829.78</v>
      </c>
      <c r="W296" s="522">
        <v>0</v>
      </c>
      <c r="X296" s="522">
        <f t="shared" si="401"/>
        <v>-197749.22</v>
      </c>
      <c r="Y296" s="522">
        <f t="shared" si="402"/>
        <v>-88.053299729716485</v>
      </c>
      <c r="Z296" s="524">
        <f t="shared" si="403"/>
        <v>223256.03</v>
      </c>
      <c r="AA296" s="522">
        <f t="shared" si="404"/>
        <v>223256.03</v>
      </c>
      <c r="AB296" s="522">
        <v>0</v>
      </c>
      <c r="AC296" s="522">
        <f t="shared" si="405"/>
        <v>196426.25</v>
      </c>
      <c r="AD296" s="522">
        <f t="shared" si="420"/>
        <v>732.12024101576696</v>
      </c>
      <c r="AE296" s="522">
        <f t="shared" si="406"/>
        <v>-1322.9700000000012</v>
      </c>
      <c r="AF296" s="522">
        <f t="shared" si="407"/>
        <v>-0.58908891748559711</v>
      </c>
      <c r="AG296" s="522">
        <f t="shared" si="419"/>
        <v>409645.93</v>
      </c>
      <c r="AH296" s="522">
        <f t="shared" si="408"/>
        <v>382816.15</v>
      </c>
      <c r="AI296" s="522">
        <f t="shared" si="421"/>
        <v>1426.8329818582188</v>
      </c>
      <c r="AJ296" s="522">
        <f t="shared" si="409"/>
        <v>186389.9</v>
      </c>
      <c r="AK296" s="522">
        <f t="shared" si="435"/>
        <v>83.487061917207797</v>
      </c>
      <c r="AL296" s="522">
        <f t="shared" si="392"/>
        <v>409645.93</v>
      </c>
      <c r="AM296" s="522">
        <f t="shared" si="428"/>
        <v>24727.78</v>
      </c>
      <c r="AN296" s="522">
        <f t="shared" si="428"/>
        <v>141014.57</v>
      </c>
      <c r="AO296" s="522">
        <f t="shared" si="410"/>
        <v>116286.79000000001</v>
      </c>
      <c r="AP296" s="522">
        <f t="shared" si="423"/>
        <v>470.26781215297126</v>
      </c>
      <c r="AQ296" s="578">
        <v>15765</v>
      </c>
      <c r="AR296" s="578">
        <v>31880</v>
      </c>
      <c r="AS296" s="578">
        <v>8962.7800000000007</v>
      </c>
      <c r="AT296" s="578">
        <v>109134.57</v>
      </c>
      <c r="AU296" s="578">
        <f t="shared" si="427"/>
        <v>2102</v>
      </c>
      <c r="AV296" s="578">
        <f t="shared" si="427"/>
        <v>82241.459999999992</v>
      </c>
      <c r="AW296" s="578">
        <f t="shared" si="411"/>
        <v>80139.459999999992</v>
      </c>
      <c r="AX296" s="578">
        <f t="shared" si="424"/>
        <v>3812.5337773548999</v>
      </c>
      <c r="AY296" s="578">
        <f t="shared" si="376"/>
        <v>268631.36</v>
      </c>
      <c r="AZ296" s="578">
        <f t="shared" si="412"/>
        <v>-186389.9</v>
      </c>
      <c r="BA296" s="578">
        <f t="shared" si="425"/>
        <v>-69.385011489351058</v>
      </c>
      <c r="BB296" s="578">
        <v>0</v>
      </c>
      <c r="BC296" s="576">
        <f>'[67]Дир_по корп'!AT39</f>
        <v>30000</v>
      </c>
      <c r="BD296" s="576">
        <f t="shared" si="389"/>
        <v>180840.26</v>
      </c>
      <c r="BE296" s="576">
        <f t="shared" si="413"/>
        <v>180840.26</v>
      </c>
      <c r="BF296" s="576">
        <f t="shared" si="414"/>
        <v>150840.26</v>
      </c>
      <c r="BG296" s="576">
        <f t="shared" si="398"/>
        <v>24727.78</v>
      </c>
      <c r="BH296" s="578">
        <f t="shared" si="398"/>
        <v>171014.57</v>
      </c>
      <c r="BI296" s="578">
        <v>321854.83</v>
      </c>
      <c r="BJ296" s="578">
        <f t="shared" si="415"/>
        <v>297127.05000000005</v>
      </c>
      <c r="BK296" s="578">
        <f t="shared" si="416"/>
        <v>150840.26</v>
      </c>
      <c r="BL296" s="576">
        <v>2102</v>
      </c>
      <c r="BM296" s="578">
        <f>'[67]Дир_по корп'!AW39</f>
        <v>52241.46</v>
      </c>
      <c r="BN296" s="522">
        <f t="shared" si="390"/>
        <v>87791.099999999977</v>
      </c>
      <c r="BO296" s="578">
        <f t="shared" si="426"/>
        <v>85689.099999999977</v>
      </c>
      <c r="BP296" s="578">
        <f t="shared" si="417"/>
        <v>35549.639999999978</v>
      </c>
      <c r="BQ296" s="576">
        <v>2102</v>
      </c>
      <c r="BR296" s="578">
        <f>'[67]Дир_по корп'!BB39</f>
        <v>0</v>
      </c>
      <c r="BS296" s="578">
        <f>'[67]Дир_по корп'!BC39</f>
        <v>0</v>
      </c>
      <c r="BT296" s="536"/>
      <c r="BU296" s="578"/>
      <c r="BV296" s="578"/>
      <c r="BW296" s="586">
        <f>290729.24+118916.69</f>
        <v>409645.93</v>
      </c>
      <c r="BX296" s="629"/>
      <c r="BY296" s="522">
        <f>266576.75+96709.63</f>
        <v>363286.38</v>
      </c>
      <c r="BZ296" s="522">
        <f>14758.52+6153.16+4843.28+15821.9</f>
        <v>41576.86</v>
      </c>
      <c r="CA296" s="522">
        <f>3240.81+1541.88</f>
        <v>4782.6900000000005</v>
      </c>
      <c r="CB296" s="522">
        <f t="shared" si="391"/>
        <v>409645.93</v>
      </c>
      <c r="CC296" s="522">
        <f t="shared" si="418"/>
        <v>0</v>
      </c>
      <c r="CD296" s="578"/>
      <c r="CE296" s="578"/>
      <c r="CF296" s="578"/>
      <c r="CG296" s="578"/>
      <c r="CH296" s="578"/>
      <c r="CI296" s="578"/>
      <c r="CJ296" s="578"/>
      <c r="CK296" s="543" t="s">
        <v>80</v>
      </c>
      <c r="CL296" s="543" t="s">
        <v>1942</v>
      </c>
      <c r="CM296" s="528" t="s">
        <v>1959</v>
      </c>
      <c r="CN296" s="528"/>
      <c r="CO296" s="528"/>
      <c r="CP296" s="544">
        <f t="shared" si="430"/>
        <v>24753.703704484244</v>
      </c>
      <c r="CQ296" s="544">
        <f t="shared" si="431"/>
        <v>1818.240293941265</v>
      </c>
      <c r="CR296" s="544">
        <f t="shared" si="432"/>
        <v>257.83600157449149</v>
      </c>
      <c r="CS296" s="1688" t="s">
        <v>1826</v>
      </c>
      <c r="CT296" s="1689"/>
      <c r="CU296" s="1689"/>
      <c r="CV296" s="1689"/>
      <c r="CW296" s="1690"/>
      <c r="CX296" s="528"/>
      <c r="CY296" s="528"/>
      <c r="CZ296" s="528"/>
      <c r="DA296" s="528"/>
      <c r="DB296" s="579">
        <v>31880</v>
      </c>
      <c r="DC296" s="628" t="e">
        <f>P296-#REF!</f>
        <v>#REF!</v>
      </c>
      <c r="DD296" s="575"/>
      <c r="DE296" s="575"/>
      <c r="DF296" s="522">
        <f t="shared" si="436"/>
        <v>363.28638000000001</v>
      </c>
      <c r="DG296" s="522">
        <f t="shared" si="436"/>
        <v>41.576860000000003</v>
      </c>
      <c r="DH296" s="522">
        <f t="shared" si="436"/>
        <v>4.7826900000000006</v>
      </c>
      <c r="DI296" s="522">
        <f t="shared" si="436"/>
        <v>409.64593000000002</v>
      </c>
      <c r="DJ296" s="536"/>
      <c r="DK296" s="536"/>
      <c r="DL296" s="536"/>
      <c r="DM296" s="536"/>
      <c r="DN296" s="536"/>
      <c r="DO296" s="536"/>
      <c r="DP296" s="536"/>
      <c r="DQ296" s="536"/>
      <c r="DR296" s="536"/>
      <c r="DS296" s="536"/>
    </row>
    <row r="297" spans="1:123" s="534" customFormat="1" ht="53.25" customHeight="1">
      <c r="A297" s="537" t="s">
        <v>1977</v>
      </c>
      <c r="B297" s="538" t="s">
        <v>1978</v>
      </c>
      <c r="C297" s="576"/>
      <c r="D297" s="576"/>
      <c r="E297" s="576"/>
      <c r="F297" s="576"/>
      <c r="G297" s="577"/>
      <c r="H297" s="577"/>
      <c r="I297" s="578">
        <f t="shared" si="385"/>
        <v>105200</v>
      </c>
      <c r="J297" s="578">
        <v>0</v>
      </c>
      <c r="K297" s="578">
        <v>52600</v>
      </c>
      <c r="L297" s="578">
        <v>52600</v>
      </c>
      <c r="M297" s="578">
        <f t="shared" si="386"/>
        <v>52600</v>
      </c>
      <c r="N297" s="578"/>
      <c r="O297" s="522">
        <f t="shared" si="387"/>
        <v>213359.77</v>
      </c>
      <c r="P297" s="522">
        <v>213359.77</v>
      </c>
      <c r="Q297" s="576">
        <f t="shared" si="399"/>
        <v>108159.76999999999</v>
      </c>
      <c r="R297" s="576">
        <f t="shared" si="400"/>
        <v>102.81346958174905</v>
      </c>
      <c r="S297" s="576"/>
      <c r="T297" s="576"/>
      <c r="U297" s="522">
        <f t="shared" si="388"/>
        <v>110565.2</v>
      </c>
      <c r="V297" s="522">
        <f t="shared" si="397"/>
        <v>110565.2</v>
      </c>
      <c r="W297" s="522">
        <v>0</v>
      </c>
      <c r="X297" s="522">
        <f t="shared" si="401"/>
        <v>-102794.56999999999</v>
      </c>
      <c r="Y297" s="522">
        <f t="shared" si="402"/>
        <v>-48.178984257435218</v>
      </c>
      <c r="Z297" s="524">
        <f t="shared" si="403"/>
        <v>106562.47</v>
      </c>
      <c r="AA297" s="522">
        <f t="shared" si="404"/>
        <v>106562.47</v>
      </c>
      <c r="AB297" s="522">
        <v>0</v>
      </c>
      <c r="AC297" s="522">
        <f t="shared" si="405"/>
        <v>-4002.7299999999959</v>
      </c>
      <c r="AD297" s="522">
        <f t="shared" si="420"/>
        <v>-3.6202439827359711</v>
      </c>
      <c r="AE297" s="522">
        <f t="shared" si="406"/>
        <v>-106797.29999999999</v>
      </c>
      <c r="AF297" s="522">
        <f t="shared" si="407"/>
        <v>-50.055031461648085</v>
      </c>
      <c r="AG297" s="522">
        <f t="shared" si="419"/>
        <v>97961.01</v>
      </c>
      <c r="AH297" s="522">
        <f t="shared" si="408"/>
        <v>-12604.190000000002</v>
      </c>
      <c r="AI297" s="522">
        <f t="shared" si="421"/>
        <v>-11.399780401066522</v>
      </c>
      <c r="AJ297" s="522">
        <f t="shared" si="409"/>
        <v>-8601.4600000000064</v>
      </c>
      <c r="AK297" s="522">
        <f t="shared" si="435"/>
        <v>-8.0717535920479406</v>
      </c>
      <c r="AL297" s="522">
        <f t="shared" si="392"/>
        <v>97961.01</v>
      </c>
      <c r="AM297" s="522">
        <f t="shared" si="428"/>
        <v>55282.6</v>
      </c>
      <c r="AN297" s="522">
        <f t="shared" si="428"/>
        <v>51279.87</v>
      </c>
      <c r="AO297" s="522">
        <f t="shared" si="410"/>
        <v>-4002.7299999999959</v>
      </c>
      <c r="AP297" s="522">
        <f t="shared" si="423"/>
        <v>-7.2404879654719565</v>
      </c>
      <c r="AQ297" s="578">
        <v>27641.3</v>
      </c>
      <c r="AR297" s="578">
        <v>21924.09</v>
      </c>
      <c r="AS297" s="578">
        <v>27641.3</v>
      </c>
      <c r="AT297" s="578">
        <v>29355.780000000002</v>
      </c>
      <c r="AU297" s="578">
        <f t="shared" si="427"/>
        <v>55282.6</v>
      </c>
      <c r="AV297" s="578">
        <f t="shared" si="427"/>
        <v>55282.6</v>
      </c>
      <c r="AW297" s="578">
        <f t="shared" si="411"/>
        <v>0</v>
      </c>
      <c r="AX297" s="578">
        <f t="shared" si="424"/>
        <v>0</v>
      </c>
      <c r="AY297" s="578">
        <f t="shared" si="376"/>
        <v>46681.139999999992</v>
      </c>
      <c r="AZ297" s="578">
        <f t="shared" si="412"/>
        <v>8601.4600000000064</v>
      </c>
      <c r="BA297" s="578">
        <f t="shared" si="425"/>
        <v>18.425985312269603</v>
      </c>
      <c r="BB297" s="578">
        <v>27641.3</v>
      </c>
      <c r="BC297" s="576">
        <f>'[67]Дир_ имущ'!AT61</f>
        <v>27641.3</v>
      </c>
      <c r="BD297" s="576">
        <f t="shared" si="389"/>
        <v>17622.799999999996</v>
      </c>
      <c r="BE297" s="576">
        <f t="shared" si="413"/>
        <v>-10018.500000000004</v>
      </c>
      <c r="BF297" s="576">
        <f t="shared" si="414"/>
        <v>-10018.500000000004</v>
      </c>
      <c r="BG297" s="576">
        <f t="shared" si="398"/>
        <v>82923.899999999994</v>
      </c>
      <c r="BH297" s="578">
        <f t="shared" si="398"/>
        <v>78921.17</v>
      </c>
      <c r="BI297" s="578">
        <v>68902.67</v>
      </c>
      <c r="BJ297" s="578">
        <f t="shared" si="415"/>
        <v>-14021.229999999996</v>
      </c>
      <c r="BK297" s="578">
        <f t="shared" si="416"/>
        <v>-10018.5</v>
      </c>
      <c r="BL297" s="576">
        <v>27641.3</v>
      </c>
      <c r="BM297" s="578">
        <f>'[67]Дир_ имущ'!AW61</f>
        <v>27641.3</v>
      </c>
      <c r="BN297" s="522">
        <f t="shared" si="390"/>
        <v>29058.339999999997</v>
      </c>
      <c r="BO297" s="578">
        <f t="shared" si="426"/>
        <v>1417.0399999999972</v>
      </c>
      <c r="BP297" s="578">
        <f t="shared" si="417"/>
        <v>1417.0399999999972</v>
      </c>
      <c r="BQ297" s="576">
        <v>27641.3</v>
      </c>
      <c r="BR297" s="578">
        <f>'[67]Дир_ имущ'!BB61</f>
        <v>0</v>
      </c>
      <c r="BS297" s="578">
        <f>'[67]Дир_ имущ'!BC61</f>
        <v>0</v>
      </c>
      <c r="BT297" s="536"/>
      <c r="BU297" s="578"/>
      <c r="BV297" s="578"/>
      <c r="BW297" s="586">
        <v>97961.01</v>
      </c>
      <c r="BX297" s="629"/>
      <c r="BY297" s="522">
        <v>89019.14</v>
      </c>
      <c r="BZ297" s="522">
        <f>1917.14+5934.58</f>
        <v>7851.72</v>
      </c>
      <c r="CA297" s="522">
        <v>1090.1500000000001</v>
      </c>
      <c r="CB297" s="522">
        <f t="shared" si="391"/>
        <v>97961.01</v>
      </c>
      <c r="CC297" s="522">
        <f t="shared" si="418"/>
        <v>0</v>
      </c>
      <c r="CD297" s="578"/>
      <c r="CE297" s="578"/>
      <c r="CF297" s="578"/>
      <c r="CG297" s="578"/>
      <c r="CH297" s="578"/>
      <c r="CI297" s="578"/>
      <c r="CJ297" s="578"/>
      <c r="CK297" s="543" t="s">
        <v>1815</v>
      </c>
      <c r="CL297" s="543" t="s">
        <v>1897</v>
      </c>
      <c r="CM297" s="528" t="s">
        <v>1959</v>
      </c>
      <c r="CN297" s="528"/>
      <c r="CO297" s="528"/>
      <c r="CP297" s="544">
        <f t="shared" si="430"/>
        <v>102009.71460917837</v>
      </c>
      <c r="CQ297" s="544">
        <f t="shared" si="431"/>
        <v>7492.9463360368509</v>
      </c>
      <c r="CR297" s="544">
        <f t="shared" si="432"/>
        <v>1062.5390547847937</v>
      </c>
      <c r="CS297" s="1688" t="s">
        <v>1826</v>
      </c>
      <c r="CT297" s="1689"/>
      <c r="CU297" s="1689"/>
      <c r="CV297" s="1689"/>
      <c r="CW297" s="1690"/>
      <c r="CX297" s="528"/>
      <c r="CY297" s="528"/>
      <c r="CZ297" s="528"/>
      <c r="DA297" s="528"/>
      <c r="DB297" s="579">
        <v>21924.09</v>
      </c>
      <c r="DC297" s="628" t="e">
        <f>P297-#REF!</f>
        <v>#REF!</v>
      </c>
      <c r="DD297" s="575"/>
      <c r="DE297" s="575"/>
      <c r="DF297" s="522">
        <f t="shared" si="436"/>
        <v>89.019139999999993</v>
      </c>
      <c r="DG297" s="522">
        <f t="shared" si="436"/>
        <v>7.8517200000000003</v>
      </c>
      <c r="DH297" s="522">
        <f t="shared" si="436"/>
        <v>1.0901500000000002</v>
      </c>
      <c r="DI297" s="522">
        <f t="shared" si="436"/>
        <v>97.961010000000002</v>
      </c>
      <c r="DJ297" s="536"/>
      <c r="DK297" s="536"/>
      <c r="DL297" s="536"/>
      <c r="DM297" s="536"/>
      <c r="DN297" s="536"/>
      <c r="DO297" s="536"/>
      <c r="DP297" s="536"/>
      <c r="DQ297" s="536"/>
      <c r="DR297" s="536"/>
      <c r="DS297" s="536"/>
    </row>
    <row r="298" spans="1:123" s="534" customFormat="1" ht="84.75" customHeight="1">
      <c r="A298" s="537" t="s">
        <v>1979</v>
      </c>
      <c r="B298" s="538" t="s">
        <v>1444</v>
      </c>
      <c r="C298" s="576"/>
      <c r="D298" s="576"/>
      <c r="E298" s="576"/>
      <c r="F298" s="576"/>
      <c r="G298" s="577"/>
      <c r="H298" s="577"/>
      <c r="I298" s="578">
        <f t="shared" si="385"/>
        <v>0</v>
      </c>
      <c r="J298" s="578"/>
      <c r="K298" s="578"/>
      <c r="L298" s="578"/>
      <c r="M298" s="578"/>
      <c r="N298" s="578"/>
      <c r="O298" s="522">
        <f t="shared" si="387"/>
        <v>0</v>
      </c>
      <c r="P298" s="522">
        <v>0</v>
      </c>
      <c r="Q298" s="576">
        <f t="shared" si="399"/>
        <v>0</v>
      </c>
      <c r="R298" s="576">
        <v>0</v>
      </c>
      <c r="S298" s="576"/>
      <c r="T298" s="576"/>
      <c r="U298" s="522">
        <f t="shared" si="388"/>
        <v>1647867.31</v>
      </c>
      <c r="V298" s="522">
        <f t="shared" si="397"/>
        <v>1647867.31</v>
      </c>
      <c r="W298" s="522">
        <v>0</v>
      </c>
      <c r="X298" s="522">
        <f t="shared" si="401"/>
        <v>1647867.31</v>
      </c>
      <c r="Y298" s="522">
        <v>0</v>
      </c>
      <c r="Z298" s="524">
        <f t="shared" si="403"/>
        <v>1610856.28</v>
      </c>
      <c r="AA298" s="522">
        <f t="shared" si="404"/>
        <v>1610856.28</v>
      </c>
      <c r="AB298" s="522">
        <v>0</v>
      </c>
      <c r="AC298" s="522">
        <f t="shared" si="405"/>
        <v>-37011.030000000028</v>
      </c>
      <c r="AD298" s="522">
        <f t="shared" si="420"/>
        <v>-2.2459957652779678</v>
      </c>
      <c r="AE298" s="522">
        <f t="shared" si="406"/>
        <v>1610856.28</v>
      </c>
      <c r="AF298" s="522">
        <v>0</v>
      </c>
      <c r="AG298" s="522">
        <f t="shared" si="419"/>
        <v>1208356</v>
      </c>
      <c r="AH298" s="522">
        <f t="shared" si="408"/>
        <v>-439511.31000000006</v>
      </c>
      <c r="AI298" s="522">
        <f t="shared" si="421"/>
        <v>-26.671523085193073</v>
      </c>
      <c r="AJ298" s="522">
        <f t="shared" si="409"/>
        <v>-402500.28</v>
      </c>
      <c r="AK298" s="522">
        <f t="shared" si="435"/>
        <v>-24.986728176644036</v>
      </c>
      <c r="AL298" s="522">
        <f t="shared" si="392"/>
        <v>1208356</v>
      </c>
      <c r="AM298" s="522">
        <f t="shared" si="428"/>
        <v>663817.03</v>
      </c>
      <c r="AN298" s="522">
        <f t="shared" si="428"/>
        <v>626806</v>
      </c>
      <c r="AO298" s="522">
        <f t="shared" si="410"/>
        <v>-37011.030000000028</v>
      </c>
      <c r="AP298" s="522">
        <f t="shared" si="423"/>
        <v>-5.5754866668605985</v>
      </c>
      <c r="AQ298" s="578">
        <f>333817.03+287500</f>
        <v>621317.03</v>
      </c>
      <c r="AR298" s="578">
        <v>414191</v>
      </c>
      <c r="AS298" s="578">
        <f>0+42500</f>
        <v>42500</v>
      </c>
      <c r="AT298" s="578">
        <v>212615</v>
      </c>
      <c r="AU298" s="578">
        <f t="shared" si="427"/>
        <v>984050.28</v>
      </c>
      <c r="AV298" s="578">
        <f t="shared" si="427"/>
        <v>984050.28</v>
      </c>
      <c r="AW298" s="578">
        <f t="shared" si="411"/>
        <v>0</v>
      </c>
      <c r="AX298" s="578">
        <f t="shared" si="424"/>
        <v>0</v>
      </c>
      <c r="AY298" s="578">
        <f t="shared" si="376"/>
        <v>581550</v>
      </c>
      <c r="AZ298" s="578">
        <f t="shared" si="412"/>
        <v>402500.28</v>
      </c>
      <c r="BA298" s="578">
        <f t="shared" si="425"/>
        <v>69.211637864328083</v>
      </c>
      <c r="BB298" s="578">
        <f>235233.24+287500</f>
        <v>522733.24</v>
      </c>
      <c r="BC298" s="576">
        <f>'[67]Дир_по корп'!AT55</f>
        <v>522733.24</v>
      </c>
      <c r="BD298" s="576">
        <f t="shared" si="389"/>
        <v>481550</v>
      </c>
      <c r="BE298" s="576">
        <f t="shared" si="413"/>
        <v>-41183.239999999991</v>
      </c>
      <c r="BF298" s="576">
        <f t="shared" si="414"/>
        <v>-41183.239999999991</v>
      </c>
      <c r="BG298" s="576">
        <f t="shared" si="398"/>
        <v>1186550.27</v>
      </c>
      <c r="BH298" s="578">
        <f t="shared" si="398"/>
        <v>1149539.24</v>
      </c>
      <c r="BI298" s="578">
        <v>1108356</v>
      </c>
      <c r="BJ298" s="578">
        <f t="shared" si="415"/>
        <v>-78194.270000000019</v>
      </c>
      <c r="BK298" s="578">
        <f t="shared" si="416"/>
        <v>-41183.239999999991</v>
      </c>
      <c r="BL298" s="576">
        <f>333817.04+127500</f>
        <v>461317.04</v>
      </c>
      <c r="BM298" s="578">
        <f>'[67]Дир_по корп'!AW55</f>
        <v>461317.04</v>
      </c>
      <c r="BN298" s="522">
        <f t="shared" si="390"/>
        <v>100000</v>
      </c>
      <c r="BO298" s="578">
        <f t="shared" si="426"/>
        <v>-361317.04</v>
      </c>
      <c r="BP298" s="578">
        <f t="shared" si="417"/>
        <v>-361317.04</v>
      </c>
      <c r="BQ298" s="576">
        <f>333817.04+127500</f>
        <v>461317.04</v>
      </c>
      <c r="BR298" s="578">
        <f>'[67]Дир_по корп'!BB55</f>
        <v>0</v>
      </c>
      <c r="BS298" s="578">
        <f>'[67]Дир_по корп'!BC55</f>
        <v>0</v>
      </c>
      <c r="BT298" s="536"/>
      <c r="BU298" s="578"/>
      <c r="BV298" s="578"/>
      <c r="BW298" s="586">
        <v>1208356</v>
      </c>
      <c r="BX298" s="629"/>
      <c r="BY298" s="522">
        <v>1164748.24</v>
      </c>
      <c r="BZ298" s="522">
        <f>9090.85+19439.42</f>
        <v>28530.269999999997</v>
      </c>
      <c r="CA298" s="522">
        <v>15077.49</v>
      </c>
      <c r="CB298" s="522">
        <f t="shared" si="391"/>
        <v>1208356</v>
      </c>
      <c r="CC298" s="522">
        <f t="shared" si="418"/>
        <v>0</v>
      </c>
      <c r="CD298" s="578"/>
      <c r="CE298" s="578"/>
      <c r="CF298" s="578"/>
      <c r="CG298" s="578"/>
      <c r="CH298" s="578"/>
      <c r="CI298" s="578"/>
      <c r="CJ298" s="578"/>
      <c r="CK298" s="630" t="str">
        <f>'[67]Дир_по корп'!AY55</f>
        <v>Директор по корпоративному управлению</v>
      </c>
      <c r="CL298" s="543" t="s">
        <v>1897</v>
      </c>
      <c r="CM298" s="528" t="s">
        <v>1959</v>
      </c>
      <c r="CN298" s="528"/>
      <c r="CO298" s="528"/>
      <c r="CP298" s="544">
        <f t="shared" si="430"/>
        <v>1520356.0795521054</v>
      </c>
      <c r="CQ298" s="544">
        <f t="shared" si="431"/>
        <v>111675.11407512853</v>
      </c>
      <c r="CR298" s="544">
        <f t="shared" si="432"/>
        <v>15836.116372766124</v>
      </c>
      <c r="CS298" s="1688" t="s">
        <v>1826</v>
      </c>
      <c r="CT298" s="1689"/>
      <c r="CU298" s="1689"/>
      <c r="CV298" s="1689"/>
      <c r="CW298" s="1690"/>
      <c r="CX298" s="528"/>
      <c r="CY298" s="528"/>
      <c r="CZ298" s="528"/>
      <c r="DA298" s="528"/>
      <c r="DB298" s="579">
        <v>414191</v>
      </c>
      <c r="DC298" s="628" t="e">
        <f>P298-#REF!</f>
        <v>#REF!</v>
      </c>
      <c r="DD298" s="575"/>
      <c r="DE298" s="575"/>
      <c r="DF298" s="522">
        <f t="shared" si="436"/>
        <v>1164.7482399999999</v>
      </c>
      <c r="DG298" s="522">
        <f t="shared" si="436"/>
        <v>28.530269999999998</v>
      </c>
      <c r="DH298" s="522">
        <f t="shared" si="436"/>
        <v>15.077489999999999</v>
      </c>
      <c r="DI298" s="522">
        <f t="shared" si="436"/>
        <v>1208.356</v>
      </c>
      <c r="DJ298" s="536"/>
      <c r="DK298" s="536"/>
      <c r="DL298" s="536"/>
      <c r="DM298" s="536"/>
      <c r="DN298" s="536"/>
      <c r="DO298" s="536"/>
      <c r="DP298" s="536"/>
      <c r="DQ298" s="536"/>
      <c r="DR298" s="536"/>
      <c r="DS298" s="536"/>
    </row>
    <row r="299" spans="1:123" s="534" customFormat="1" ht="141">
      <c r="A299" s="537" t="s">
        <v>1980</v>
      </c>
      <c r="B299" s="672" t="s">
        <v>1981</v>
      </c>
      <c r="C299" s="576"/>
      <c r="D299" s="576"/>
      <c r="E299" s="649"/>
      <c r="F299" s="649"/>
      <c r="G299" s="577"/>
      <c r="H299" s="577"/>
      <c r="I299" s="578">
        <f t="shared" si="385"/>
        <v>0</v>
      </c>
      <c r="J299" s="578"/>
      <c r="K299" s="578"/>
      <c r="L299" s="578"/>
      <c r="M299" s="578"/>
      <c r="N299" s="578"/>
      <c r="O299" s="522">
        <f t="shared" si="387"/>
        <v>0</v>
      </c>
      <c r="P299" s="522">
        <v>0</v>
      </c>
      <c r="Q299" s="576">
        <f t="shared" si="399"/>
        <v>0</v>
      </c>
      <c r="R299" s="576">
        <v>0</v>
      </c>
      <c r="S299" s="576"/>
      <c r="T299" s="576"/>
      <c r="U299" s="573">
        <f t="shared" si="388"/>
        <v>0</v>
      </c>
      <c r="V299" s="522">
        <f t="shared" si="397"/>
        <v>0</v>
      </c>
      <c r="W299" s="522">
        <v>0</v>
      </c>
      <c r="X299" s="522">
        <f t="shared" si="401"/>
        <v>0</v>
      </c>
      <c r="Y299" s="522">
        <v>0</v>
      </c>
      <c r="Z299" s="524">
        <f t="shared" si="403"/>
        <v>8584.7000000000007</v>
      </c>
      <c r="AA299" s="522">
        <f t="shared" si="404"/>
        <v>8584.7000000000007</v>
      </c>
      <c r="AB299" s="522">
        <v>0</v>
      </c>
      <c r="AC299" s="522">
        <f t="shared" si="405"/>
        <v>8584.7000000000007</v>
      </c>
      <c r="AD299" s="522">
        <v>0</v>
      </c>
      <c r="AE299" s="522">
        <f t="shared" si="406"/>
        <v>8584.7000000000007</v>
      </c>
      <c r="AF299" s="522">
        <v>0</v>
      </c>
      <c r="AG299" s="522">
        <f t="shared" si="419"/>
        <v>19859.88</v>
      </c>
      <c r="AH299" s="522">
        <f t="shared" si="408"/>
        <v>19859.88</v>
      </c>
      <c r="AI299" s="522">
        <v>0</v>
      </c>
      <c r="AJ299" s="522">
        <f t="shared" si="409"/>
        <v>11275.18</v>
      </c>
      <c r="AK299" s="522">
        <f t="shared" si="435"/>
        <v>131.34040793504721</v>
      </c>
      <c r="AL299" s="522">
        <f t="shared" si="392"/>
        <v>19859.88</v>
      </c>
      <c r="AM299" s="522">
        <f t="shared" si="428"/>
        <v>0</v>
      </c>
      <c r="AN299" s="522">
        <f t="shared" si="428"/>
        <v>8584.7000000000007</v>
      </c>
      <c r="AO299" s="522">
        <f t="shared" si="410"/>
        <v>8584.7000000000007</v>
      </c>
      <c r="AP299" s="522">
        <v>0</v>
      </c>
      <c r="AQ299" s="578">
        <v>0</v>
      </c>
      <c r="AR299" s="578">
        <v>6086.68</v>
      </c>
      <c r="AS299" s="578">
        <v>0</v>
      </c>
      <c r="AT299" s="578">
        <v>2498.0200000000004</v>
      </c>
      <c r="AU299" s="578">
        <f t="shared" si="427"/>
        <v>0</v>
      </c>
      <c r="AV299" s="578">
        <f t="shared" si="427"/>
        <v>0</v>
      </c>
      <c r="AW299" s="578">
        <f t="shared" si="411"/>
        <v>0</v>
      </c>
      <c r="AX299" s="578">
        <v>0</v>
      </c>
      <c r="AY299" s="578">
        <f t="shared" si="376"/>
        <v>11275.18</v>
      </c>
      <c r="AZ299" s="578">
        <f t="shared" si="412"/>
        <v>-11275.18</v>
      </c>
      <c r="BA299" s="578">
        <v>0</v>
      </c>
      <c r="BB299" s="578">
        <v>0</v>
      </c>
      <c r="BC299" s="576">
        <f>'[67]Дир_по экон'!AT41</f>
        <v>0</v>
      </c>
      <c r="BD299" s="576">
        <f t="shared" si="389"/>
        <v>9686.2799999999988</v>
      </c>
      <c r="BE299" s="576">
        <f t="shared" si="413"/>
        <v>9686.2799999999988</v>
      </c>
      <c r="BF299" s="576">
        <f t="shared" si="414"/>
        <v>9686.2799999999988</v>
      </c>
      <c r="BG299" s="576">
        <f t="shared" si="398"/>
        <v>0</v>
      </c>
      <c r="BH299" s="578">
        <f t="shared" si="398"/>
        <v>8584.7000000000007</v>
      </c>
      <c r="BI299" s="578">
        <v>18270.98</v>
      </c>
      <c r="BJ299" s="578">
        <f t="shared" si="415"/>
        <v>18270.98</v>
      </c>
      <c r="BK299" s="578">
        <f t="shared" si="416"/>
        <v>9686.2799999999988</v>
      </c>
      <c r="BL299" s="576">
        <v>0</v>
      </c>
      <c r="BM299" s="578">
        <f>'[67]Дир_по экон'!AW41</f>
        <v>0</v>
      </c>
      <c r="BN299" s="522">
        <f t="shared" si="390"/>
        <v>1588.9000000000015</v>
      </c>
      <c r="BO299" s="578">
        <f t="shared" si="426"/>
        <v>1588.9000000000015</v>
      </c>
      <c r="BP299" s="578">
        <f t="shared" si="417"/>
        <v>1588.9000000000015</v>
      </c>
      <c r="BQ299" s="576">
        <v>0</v>
      </c>
      <c r="BR299" s="578">
        <f>'[67]Дир_по экон'!BB41</f>
        <v>0</v>
      </c>
      <c r="BS299" s="578">
        <f>'[67]Дир_по экон'!BC41</f>
        <v>0</v>
      </c>
      <c r="BT299" s="536"/>
      <c r="BU299" s="578"/>
      <c r="BV299" s="578"/>
      <c r="BW299" s="586">
        <f>5684.52+14175.36</f>
        <v>19859.88</v>
      </c>
      <c r="BX299" s="629"/>
      <c r="BY299" s="522">
        <f>19200.69</f>
        <v>19200.689999999999</v>
      </c>
      <c r="BZ299" s="522">
        <f>7.95+152.59+10.1+241.88</f>
        <v>412.52</v>
      </c>
      <c r="CA299" s="522">
        <f>7.4+239.27</f>
        <v>246.67000000000002</v>
      </c>
      <c r="CB299" s="522">
        <f t="shared" si="391"/>
        <v>19859.879999999997</v>
      </c>
      <c r="CC299" s="522">
        <f t="shared" si="418"/>
        <v>0</v>
      </c>
      <c r="CD299" s="578"/>
      <c r="CE299" s="578"/>
      <c r="CF299" s="578"/>
      <c r="CG299" s="578"/>
      <c r="CH299" s="578"/>
      <c r="CI299" s="578"/>
      <c r="CJ299" s="578"/>
      <c r="CK299" s="543" t="s">
        <v>77</v>
      </c>
      <c r="CL299" s="542" t="s">
        <v>1800</v>
      </c>
      <c r="CM299" s="528" t="s">
        <v>1959</v>
      </c>
      <c r="CN299" s="528"/>
      <c r="CO299" s="528"/>
      <c r="CP299" s="544">
        <f t="shared" si="430"/>
        <v>0</v>
      </c>
      <c r="CQ299" s="544">
        <f t="shared" si="431"/>
        <v>0</v>
      </c>
      <c r="CR299" s="544">
        <f t="shared" si="432"/>
        <v>0</v>
      </c>
      <c r="CS299" s="1688" t="s">
        <v>1826</v>
      </c>
      <c r="CT299" s="1689"/>
      <c r="CU299" s="1689"/>
      <c r="CV299" s="1689"/>
      <c r="CW299" s="1690"/>
      <c r="CX299" s="528"/>
      <c r="CY299" s="528"/>
      <c r="CZ299" s="528"/>
      <c r="DA299" s="528"/>
      <c r="DB299" s="660">
        <f>586.68+5500</f>
        <v>6086.68</v>
      </c>
      <c r="DC299" s="628" t="e">
        <f>P299-#REF!</f>
        <v>#REF!</v>
      </c>
      <c r="DD299" s="575">
        <f>BI256+BI268+BI299</f>
        <v>14628133.039999999</v>
      </c>
      <c r="DE299" s="575"/>
      <c r="DF299" s="522">
        <f t="shared" si="436"/>
        <v>19.200689999999998</v>
      </c>
      <c r="DG299" s="522">
        <f t="shared" si="436"/>
        <v>0.41252</v>
      </c>
      <c r="DH299" s="522">
        <f t="shared" si="436"/>
        <v>0.24667000000000003</v>
      </c>
      <c r="DI299" s="522">
        <f t="shared" si="436"/>
        <v>19.859879999999997</v>
      </c>
      <c r="DJ299" s="536"/>
      <c r="DK299" s="536"/>
      <c r="DL299" s="536"/>
      <c r="DM299" s="536"/>
      <c r="DN299" s="536"/>
      <c r="DO299" s="536"/>
      <c r="DP299" s="536"/>
      <c r="DQ299" s="536"/>
      <c r="DR299" s="536"/>
      <c r="DS299" s="536"/>
    </row>
    <row r="300" spans="1:123" s="534" customFormat="1" ht="84.6">
      <c r="A300" s="537" t="s">
        <v>1982</v>
      </c>
      <c r="B300" s="538" t="s">
        <v>1446</v>
      </c>
      <c r="C300" s="576"/>
      <c r="D300" s="576"/>
      <c r="E300" s="649"/>
      <c r="F300" s="649"/>
      <c r="G300" s="577"/>
      <c r="H300" s="577"/>
      <c r="I300" s="578"/>
      <c r="J300" s="578"/>
      <c r="K300" s="578"/>
      <c r="L300" s="578"/>
      <c r="M300" s="578"/>
      <c r="N300" s="578"/>
      <c r="O300" s="522"/>
      <c r="P300" s="522"/>
      <c r="Q300" s="576">
        <f t="shared" si="399"/>
        <v>0</v>
      </c>
      <c r="R300" s="576">
        <v>0</v>
      </c>
      <c r="S300" s="576"/>
      <c r="T300" s="576"/>
      <c r="U300" s="522"/>
      <c r="V300" s="522">
        <f t="shared" si="397"/>
        <v>0</v>
      </c>
      <c r="W300" s="522">
        <v>0</v>
      </c>
      <c r="X300" s="522">
        <f t="shared" si="401"/>
        <v>0</v>
      </c>
      <c r="Y300" s="522">
        <v>0</v>
      </c>
      <c r="Z300" s="524">
        <f t="shared" si="403"/>
        <v>1012896.66</v>
      </c>
      <c r="AA300" s="522">
        <f t="shared" si="404"/>
        <v>1012896.66</v>
      </c>
      <c r="AB300" s="522">
        <v>0</v>
      </c>
      <c r="AC300" s="522">
        <f t="shared" si="405"/>
        <v>1012896.66</v>
      </c>
      <c r="AD300" s="522">
        <v>0</v>
      </c>
      <c r="AE300" s="522">
        <f t="shared" si="406"/>
        <v>1012896.66</v>
      </c>
      <c r="AF300" s="522">
        <v>0</v>
      </c>
      <c r="AG300" s="522">
        <f t="shared" si="419"/>
        <v>885670</v>
      </c>
      <c r="AH300" s="522">
        <f t="shared" si="408"/>
        <v>885670</v>
      </c>
      <c r="AI300" s="522">
        <v>0</v>
      </c>
      <c r="AJ300" s="522">
        <f t="shared" si="409"/>
        <v>-127226.66000000003</v>
      </c>
      <c r="AK300" s="522">
        <f t="shared" si="435"/>
        <v>-12.560675242033085</v>
      </c>
      <c r="AL300" s="522">
        <f t="shared" si="392"/>
        <v>885670</v>
      </c>
      <c r="AM300" s="522">
        <f t="shared" si="428"/>
        <v>0</v>
      </c>
      <c r="AN300" s="522">
        <f t="shared" si="428"/>
        <v>72100</v>
      </c>
      <c r="AO300" s="522">
        <f t="shared" si="410"/>
        <v>72100</v>
      </c>
      <c r="AP300" s="522">
        <v>0</v>
      </c>
      <c r="AQ300" s="578"/>
      <c r="AR300" s="578">
        <v>36000</v>
      </c>
      <c r="AS300" s="578"/>
      <c r="AT300" s="578">
        <v>36100</v>
      </c>
      <c r="AU300" s="578">
        <f t="shared" si="427"/>
        <v>0</v>
      </c>
      <c r="AV300" s="578">
        <f t="shared" si="427"/>
        <v>940796.66</v>
      </c>
      <c r="AW300" s="578">
        <f t="shared" si="411"/>
        <v>940796.66</v>
      </c>
      <c r="AX300" s="578">
        <v>0</v>
      </c>
      <c r="AY300" s="578">
        <f t="shared" si="376"/>
        <v>813570</v>
      </c>
      <c r="AZ300" s="578">
        <f t="shared" si="412"/>
        <v>127226.66000000003</v>
      </c>
      <c r="BA300" s="578">
        <f t="shared" si="425"/>
        <v>15.638071708642158</v>
      </c>
      <c r="BB300" s="578"/>
      <c r="BC300" s="576">
        <f>'[67]Дир_по корп'!AT40</f>
        <v>190313.98</v>
      </c>
      <c r="BD300" s="576">
        <f t="shared" si="389"/>
        <v>457650</v>
      </c>
      <c r="BE300" s="576">
        <f t="shared" si="413"/>
        <v>457650</v>
      </c>
      <c r="BF300" s="576">
        <f t="shared" si="414"/>
        <v>267336.02</v>
      </c>
      <c r="BG300" s="576">
        <f t="shared" si="398"/>
        <v>0</v>
      </c>
      <c r="BH300" s="578">
        <f t="shared" si="398"/>
        <v>262413.98</v>
      </c>
      <c r="BI300" s="578">
        <v>529750</v>
      </c>
      <c r="BJ300" s="578">
        <f t="shared" si="415"/>
        <v>529750</v>
      </c>
      <c r="BK300" s="578">
        <f t="shared" si="416"/>
        <v>267336.02</v>
      </c>
      <c r="BL300" s="576">
        <v>0</v>
      </c>
      <c r="BM300" s="578">
        <f>'[67]Дир_по корп'!AW40</f>
        <v>750482.68</v>
      </c>
      <c r="BN300" s="522">
        <f t="shared" si="390"/>
        <v>355920</v>
      </c>
      <c r="BO300" s="578">
        <f t="shared" si="426"/>
        <v>355920</v>
      </c>
      <c r="BP300" s="578">
        <f t="shared" si="417"/>
        <v>-394562.68000000005</v>
      </c>
      <c r="BQ300" s="576">
        <v>0</v>
      </c>
      <c r="BR300" s="578">
        <f>'[67]Дир_по корп'!BB40</f>
        <v>0</v>
      </c>
      <c r="BS300" s="578">
        <f>'[67]Дир_по корп'!BC40</f>
        <v>0</v>
      </c>
      <c r="BT300" s="536"/>
      <c r="BU300" s="578"/>
      <c r="BV300" s="578"/>
      <c r="BW300" s="586">
        <f>885670</f>
        <v>885670</v>
      </c>
      <c r="BX300" s="629"/>
      <c r="BY300" s="522">
        <v>806187.64</v>
      </c>
      <c r="BZ300" s="522">
        <f>21553.55+47351.98</f>
        <v>68905.53</v>
      </c>
      <c r="CA300" s="522">
        <v>10576.83</v>
      </c>
      <c r="CB300" s="522">
        <f t="shared" si="391"/>
        <v>885670</v>
      </c>
      <c r="CC300" s="522">
        <f t="shared" si="418"/>
        <v>0</v>
      </c>
      <c r="CD300" s="578"/>
      <c r="CE300" s="578"/>
      <c r="CF300" s="578"/>
      <c r="CG300" s="578"/>
      <c r="CH300" s="578"/>
      <c r="CI300" s="578"/>
      <c r="CJ300" s="578"/>
      <c r="CK300" s="543" t="s">
        <v>80</v>
      </c>
      <c r="CL300" s="543" t="s">
        <v>1942</v>
      </c>
      <c r="CM300" s="528"/>
      <c r="CN300" s="528"/>
      <c r="CO300" s="528"/>
      <c r="CP300" s="544"/>
      <c r="CQ300" s="544"/>
      <c r="CR300" s="544"/>
      <c r="CS300" s="664"/>
      <c r="CT300" s="665"/>
      <c r="CU300" s="665"/>
      <c r="CV300" s="665"/>
      <c r="CW300" s="666"/>
      <c r="CX300" s="528"/>
      <c r="CY300" s="528"/>
      <c r="CZ300" s="528"/>
      <c r="DA300" s="528"/>
      <c r="DB300" s="579">
        <v>36000</v>
      </c>
      <c r="DC300" s="571"/>
      <c r="DD300" s="575"/>
      <c r="DE300" s="575"/>
      <c r="DF300" s="522">
        <f t="shared" si="436"/>
        <v>806.18763999999999</v>
      </c>
      <c r="DG300" s="522">
        <f t="shared" si="436"/>
        <v>68.905529999999999</v>
      </c>
      <c r="DH300" s="522">
        <f t="shared" si="436"/>
        <v>10.576829999999999</v>
      </c>
      <c r="DI300" s="522">
        <f t="shared" si="436"/>
        <v>885.67</v>
      </c>
      <c r="DJ300" s="536"/>
      <c r="DK300" s="536"/>
      <c r="DL300" s="536"/>
      <c r="DM300" s="536"/>
      <c r="DN300" s="536"/>
      <c r="DO300" s="536"/>
      <c r="DP300" s="536"/>
      <c r="DQ300" s="536"/>
      <c r="DR300" s="536"/>
      <c r="DS300" s="536"/>
    </row>
    <row r="301" spans="1:123">
      <c r="A301" s="1694" t="s">
        <v>1983</v>
      </c>
      <c r="B301" s="1694"/>
      <c r="C301" s="580">
        <f t="shared" ref="C301:P301" si="437">C241</f>
        <v>1165224921.02</v>
      </c>
      <c r="D301" s="580">
        <f t="shared" si="437"/>
        <v>140167232.40000001</v>
      </c>
      <c r="E301" s="580">
        <f t="shared" si="437"/>
        <v>663072456.45000005</v>
      </c>
      <c r="F301" s="580">
        <f t="shared" si="437"/>
        <v>708362095.12000012</v>
      </c>
      <c r="G301" s="580">
        <f t="shared" si="437"/>
        <v>190167995.25791135</v>
      </c>
      <c r="H301" s="580">
        <f t="shared" si="437"/>
        <v>0</v>
      </c>
      <c r="I301" s="580">
        <f t="shared" si="437"/>
        <v>954090196.852</v>
      </c>
      <c r="J301" s="580">
        <f t="shared" si="437"/>
        <v>488996137.26999998</v>
      </c>
      <c r="K301" s="580">
        <f t="shared" si="437"/>
        <v>184515379.33000004</v>
      </c>
      <c r="L301" s="580">
        <f t="shared" si="437"/>
        <v>280578680.25199997</v>
      </c>
      <c r="M301" s="580">
        <f t="shared" si="437"/>
        <v>673511516.60000002</v>
      </c>
      <c r="N301" s="580">
        <f t="shared" si="437"/>
        <v>709521927.88</v>
      </c>
      <c r="O301" s="580">
        <f t="shared" si="437"/>
        <v>395955838.72000003</v>
      </c>
      <c r="P301" s="580">
        <f t="shared" si="437"/>
        <v>1105477766.5999997</v>
      </c>
      <c r="Q301" s="580">
        <f t="shared" si="399"/>
        <v>151387569.74799967</v>
      </c>
      <c r="R301" s="580">
        <f t="shared" si="400"/>
        <v>15.867217821491053</v>
      </c>
      <c r="S301" s="580">
        <f>S241</f>
        <v>193468837.09999999</v>
      </c>
      <c r="T301" s="580">
        <f>T241</f>
        <v>193433217.09999999</v>
      </c>
      <c r="U301" s="580">
        <f>U241</f>
        <v>981835031.71448755</v>
      </c>
      <c r="V301" s="580">
        <f t="shared" si="397"/>
        <v>788401814.61448753</v>
      </c>
      <c r="W301" s="580">
        <f t="shared" si="433"/>
        <v>407.58346804877056</v>
      </c>
      <c r="X301" s="580">
        <f t="shared" si="401"/>
        <v>-123642734.88551211</v>
      </c>
      <c r="Y301" s="580">
        <f t="shared" si="402"/>
        <v>-11.184551930500319</v>
      </c>
      <c r="Z301" s="580">
        <f t="shared" si="403"/>
        <v>1244195350.0014963</v>
      </c>
      <c r="AA301" s="580">
        <f t="shared" si="404"/>
        <v>1050762132.9014963</v>
      </c>
      <c r="AB301" s="580">
        <f t="shared" si="434"/>
        <v>543.21700722078117</v>
      </c>
      <c r="AC301" s="580">
        <f t="shared" si="405"/>
        <v>262360318.28700876</v>
      </c>
      <c r="AD301" s="580">
        <f t="shared" si="420"/>
        <v>26.721425678698111</v>
      </c>
      <c r="AE301" s="580">
        <f t="shared" si="406"/>
        <v>138717583.40149665</v>
      </c>
      <c r="AF301" s="580">
        <f t="shared" si="407"/>
        <v>12.548202016593748</v>
      </c>
      <c r="AG301" s="580">
        <f t="shared" si="419"/>
        <v>1505009448.03</v>
      </c>
      <c r="AH301" s="580">
        <f t="shared" si="408"/>
        <v>523174416.31551242</v>
      </c>
      <c r="AI301" s="580">
        <f t="shared" si="421"/>
        <v>53.285368663403801</v>
      </c>
      <c r="AJ301" s="580">
        <f t="shared" si="409"/>
        <v>260814098.02850366</v>
      </c>
      <c r="AK301" s="580">
        <f t="shared" si="435"/>
        <v>20.962471691297509</v>
      </c>
      <c r="AL301" s="580">
        <f>AL241</f>
        <v>1505009448.0300002</v>
      </c>
      <c r="AM301" s="580">
        <f t="shared" si="428"/>
        <v>398051963.19322622</v>
      </c>
      <c r="AN301" s="580">
        <f t="shared" si="428"/>
        <v>726441521.69999993</v>
      </c>
      <c r="AO301" s="580">
        <f t="shared" si="410"/>
        <v>328389558.50677371</v>
      </c>
      <c r="AP301" s="580">
        <f t="shared" si="423"/>
        <v>82.499168166987204</v>
      </c>
      <c r="AQ301" s="580">
        <f>AQ241</f>
        <v>179620355.6285395</v>
      </c>
      <c r="AR301" s="580">
        <f>AR241</f>
        <v>221836476.57000002</v>
      </c>
      <c r="AS301" s="580">
        <f>AS241</f>
        <v>218431607.56468672</v>
      </c>
      <c r="AT301" s="580">
        <f>AT241</f>
        <v>504605045.12999988</v>
      </c>
      <c r="AU301" s="580">
        <f t="shared" si="427"/>
        <v>583783068.52126157</v>
      </c>
      <c r="AV301" s="580">
        <f t="shared" si="427"/>
        <v>517753828.30149639</v>
      </c>
      <c r="AW301" s="580">
        <f t="shared" si="411"/>
        <v>-66029240.219765186</v>
      </c>
      <c r="AX301" s="580">
        <f t="shared" si="424"/>
        <v>-11.310578154830537</v>
      </c>
      <c r="AY301" s="580">
        <f t="shared" si="376"/>
        <v>778567926.33000004</v>
      </c>
      <c r="AZ301" s="580">
        <f t="shared" si="412"/>
        <v>-260814098.02850366</v>
      </c>
      <c r="BA301" s="580">
        <f t="shared" si="425"/>
        <v>-33.499209151592552</v>
      </c>
      <c r="BB301" s="580">
        <f t="shared" ref="BB301:BN301" si="438">BB241</f>
        <v>297212845.60752755</v>
      </c>
      <c r="BC301" s="580">
        <f t="shared" si="438"/>
        <v>227706969.14470005</v>
      </c>
      <c r="BD301" s="580">
        <f t="shared" si="438"/>
        <v>444365072.6500001</v>
      </c>
      <c r="BE301" s="580">
        <f t="shared" si="413"/>
        <v>147152227.04247254</v>
      </c>
      <c r="BF301" s="580">
        <f t="shared" si="414"/>
        <v>216658103.50530005</v>
      </c>
      <c r="BG301" s="580">
        <f t="shared" si="398"/>
        <v>695264808.80075383</v>
      </c>
      <c r="BH301" s="580">
        <f t="shared" si="438"/>
        <v>954148490.84469998</v>
      </c>
      <c r="BI301" s="580">
        <f t="shared" si="438"/>
        <v>1170806594.3499999</v>
      </c>
      <c r="BJ301" s="580">
        <f t="shared" si="415"/>
        <v>475541785.54924607</v>
      </c>
      <c r="BK301" s="580">
        <f t="shared" si="416"/>
        <v>216658103.50529993</v>
      </c>
      <c r="BL301" s="580">
        <f t="shared" si="438"/>
        <v>286570222.91373402</v>
      </c>
      <c r="BM301" s="580">
        <f t="shared" si="438"/>
        <v>290046859.15679634</v>
      </c>
      <c r="BN301" s="580">
        <f t="shared" si="438"/>
        <v>334202853.67999995</v>
      </c>
      <c r="BO301" s="580">
        <f t="shared" si="426"/>
        <v>47632630.766265929</v>
      </c>
      <c r="BP301" s="580">
        <f t="shared" si="417"/>
        <v>44155994.523203611</v>
      </c>
      <c r="BQ301" s="580">
        <f t="shared" ref="BQ301:BS301" si="439">BQ241</f>
        <v>286570222.91373402</v>
      </c>
      <c r="BR301" s="580">
        <f t="shared" si="439"/>
        <v>0</v>
      </c>
      <c r="BS301" s="580">
        <f t="shared" si="439"/>
        <v>0</v>
      </c>
      <c r="BU301" s="580">
        <f t="shared" ref="BU301:BV301" si="440">BU241</f>
        <v>0</v>
      </c>
      <c r="BV301" s="580">
        <f t="shared" si="440"/>
        <v>0</v>
      </c>
      <c r="BW301" s="580">
        <f>BW241</f>
        <v>1505009448.0300002</v>
      </c>
      <c r="BX301" s="581"/>
      <c r="BY301" s="580">
        <f t="shared" ref="BY301:CB301" si="441">BY241</f>
        <v>1404286282.8822761</v>
      </c>
      <c r="BZ301" s="580">
        <f t="shared" si="441"/>
        <v>70884749.760000005</v>
      </c>
      <c r="CA301" s="580">
        <f t="shared" si="441"/>
        <v>29838415.389999986</v>
      </c>
      <c r="CB301" s="580">
        <f t="shared" si="441"/>
        <v>1505009448.0322757</v>
      </c>
      <c r="CC301" s="580">
        <f t="shared" si="418"/>
        <v>-2.2754669189453125E-3</v>
      </c>
      <c r="CD301" s="580"/>
      <c r="CE301" s="580"/>
      <c r="CF301" s="580"/>
      <c r="CG301" s="580"/>
      <c r="CH301" s="580"/>
      <c r="CI301" s="580"/>
      <c r="CJ301" s="580"/>
      <c r="CK301" s="508"/>
      <c r="CL301" s="508"/>
      <c r="CM301" s="528"/>
      <c r="CN301" s="510"/>
      <c r="CO301" s="510"/>
      <c r="CP301" s="582">
        <f>CP241</f>
        <v>900637464.80414701</v>
      </c>
      <c r="CQ301" s="582">
        <f>CQ241</f>
        <v>65554109.064055525</v>
      </c>
      <c r="CR301" s="582">
        <f>CR241</f>
        <v>15643457.846284993</v>
      </c>
      <c r="CS301" s="1679"/>
      <c r="CT301" s="1680"/>
      <c r="CU301" s="1680"/>
      <c r="CV301" s="1680"/>
      <c r="CW301" s="1681"/>
      <c r="CX301" s="510"/>
      <c r="CY301" s="510"/>
      <c r="CZ301" s="510"/>
      <c r="DA301" s="510"/>
      <c r="DB301" s="582">
        <f>DB241</f>
        <v>221836476.57000002</v>
      </c>
      <c r="DD301" s="575"/>
      <c r="DE301" s="575"/>
      <c r="DF301" s="580">
        <f t="shared" si="436"/>
        <v>1404286.282882276</v>
      </c>
      <c r="DG301" s="580">
        <f t="shared" si="436"/>
        <v>70884.749760000006</v>
      </c>
      <c r="DH301" s="580">
        <f t="shared" si="436"/>
        <v>29838.415389999987</v>
      </c>
      <c r="DI301" s="580">
        <f t="shared" si="436"/>
        <v>1505009.4480322758</v>
      </c>
    </row>
    <row r="302" spans="1:123" s="534" customFormat="1">
      <c r="A302" s="583" t="s">
        <v>1984</v>
      </c>
      <c r="B302" s="679"/>
      <c r="C302" s="578"/>
      <c r="D302" s="578"/>
      <c r="E302" s="578"/>
      <c r="F302" s="578"/>
      <c r="G302" s="593"/>
      <c r="H302" s="593"/>
      <c r="I302" s="578"/>
      <c r="J302" s="578"/>
      <c r="K302" s="578"/>
      <c r="L302" s="578"/>
      <c r="M302" s="578"/>
      <c r="N302" s="578"/>
      <c r="O302" s="578"/>
      <c r="P302" s="576"/>
      <c r="Q302" s="578"/>
      <c r="R302" s="578"/>
      <c r="S302" s="578"/>
      <c r="T302" s="578"/>
      <c r="U302" s="578"/>
      <c r="V302" s="578"/>
      <c r="W302" s="578"/>
      <c r="X302" s="578"/>
      <c r="Y302" s="578"/>
      <c r="Z302" s="586"/>
      <c r="AA302" s="578"/>
      <c r="AB302" s="578"/>
      <c r="AC302" s="578"/>
      <c r="AD302" s="578"/>
      <c r="AE302" s="578"/>
      <c r="AF302" s="578"/>
      <c r="AG302" s="578"/>
      <c r="AH302" s="578"/>
      <c r="AI302" s="578"/>
      <c r="AJ302" s="578"/>
      <c r="AK302" s="578"/>
      <c r="AL302" s="578"/>
      <c r="AM302" s="578"/>
      <c r="AN302" s="578"/>
      <c r="AO302" s="578"/>
      <c r="AP302" s="578"/>
      <c r="AQ302" s="578"/>
      <c r="AR302" s="578"/>
      <c r="AS302" s="578"/>
      <c r="AT302" s="578"/>
      <c r="AU302" s="578"/>
      <c r="AV302" s="578"/>
      <c r="AW302" s="578"/>
      <c r="AX302" s="578"/>
      <c r="AY302" s="578"/>
      <c r="AZ302" s="578"/>
      <c r="BA302" s="578"/>
      <c r="BB302" s="578"/>
      <c r="BC302" s="576"/>
      <c r="BD302" s="576"/>
      <c r="BE302" s="576">
        <f t="shared" si="413"/>
        <v>0</v>
      </c>
      <c r="BF302" s="576">
        <f t="shared" si="414"/>
        <v>0</v>
      </c>
      <c r="BG302" s="576">
        <f t="shared" si="398"/>
        <v>0</v>
      </c>
      <c r="BH302" s="578"/>
      <c r="BI302" s="578"/>
      <c r="BJ302" s="578">
        <f t="shared" si="415"/>
        <v>0</v>
      </c>
      <c r="BK302" s="578">
        <f t="shared" si="416"/>
        <v>0</v>
      </c>
      <c r="BL302" s="576"/>
      <c r="BM302" s="578"/>
      <c r="BN302" s="578"/>
      <c r="BO302" s="578">
        <f t="shared" si="426"/>
        <v>0</v>
      </c>
      <c r="BP302" s="578">
        <f t="shared" si="417"/>
        <v>0</v>
      </c>
      <c r="BQ302" s="576"/>
      <c r="BR302" s="578"/>
      <c r="BS302" s="578"/>
      <c r="BT302" s="536"/>
      <c r="BU302" s="578"/>
      <c r="BV302" s="578"/>
      <c r="BW302" s="578"/>
      <c r="BX302" s="574"/>
      <c r="BY302" s="578"/>
      <c r="BZ302" s="578"/>
      <c r="CA302" s="578"/>
      <c r="CB302" s="578"/>
      <c r="CC302" s="578">
        <f t="shared" si="418"/>
        <v>0</v>
      </c>
      <c r="CD302" s="578"/>
      <c r="CE302" s="578"/>
      <c r="CF302" s="578"/>
      <c r="CG302" s="578"/>
      <c r="CH302" s="578"/>
      <c r="CI302" s="578"/>
      <c r="CJ302" s="578"/>
      <c r="CK302" s="587"/>
      <c r="CL302" s="587"/>
      <c r="CM302" s="528"/>
      <c r="CN302" s="528"/>
      <c r="CO302" s="528"/>
      <c r="CP302" s="592"/>
      <c r="CQ302" s="592"/>
      <c r="CR302" s="592"/>
      <c r="CS302" s="1685"/>
      <c r="CT302" s="1686"/>
      <c r="CU302" s="1686"/>
      <c r="CV302" s="1686"/>
      <c r="CW302" s="1687"/>
      <c r="CX302" s="528"/>
      <c r="CY302" s="528"/>
      <c r="CZ302" s="528"/>
      <c r="DA302" s="528"/>
      <c r="DB302" s="588"/>
      <c r="DD302" s="535"/>
      <c r="DE302" s="535"/>
      <c r="DF302" s="578">
        <f t="shared" si="436"/>
        <v>0</v>
      </c>
      <c r="DG302" s="578">
        <f t="shared" si="436"/>
        <v>0</v>
      </c>
      <c r="DH302" s="578">
        <f t="shared" si="436"/>
        <v>0</v>
      </c>
      <c r="DI302" s="578">
        <f t="shared" si="436"/>
        <v>0</v>
      </c>
      <c r="DJ302" s="536"/>
      <c r="DK302" s="536"/>
      <c r="DL302" s="536"/>
      <c r="DM302" s="536"/>
      <c r="DN302" s="536"/>
      <c r="DO302" s="536"/>
      <c r="DP302" s="536"/>
      <c r="DQ302" s="536"/>
      <c r="DR302" s="536"/>
      <c r="DS302" s="536"/>
    </row>
    <row r="303" spans="1:123">
      <c r="A303" s="505" t="s">
        <v>1839</v>
      </c>
      <c r="B303" s="680" t="s">
        <v>1840</v>
      </c>
      <c r="C303" s="580">
        <f t="shared" ref="C303:U303" si="442">C304</f>
        <v>22945008.289999999</v>
      </c>
      <c r="D303" s="580">
        <f t="shared" si="442"/>
        <v>0</v>
      </c>
      <c r="E303" s="580">
        <f t="shared" si="442"/>
        <v>0</v>
      </c>
      <c r="F303" s="580">
        <f t="shared" si="442"/>
        <v>0</v>
      </c>
      <c r="G303" s="580">
        <f t="shared" si="442"/>
        <v>0</v>
      </c>
      <c r="H303" s="580">
        <f t="shared" si="442"/>
        <v>0</v>
      </c>
      <c r="I303" s="580">
        <f t="shared" si="442"/>
        <v>5777676.8399999999</v>
      </c>
      <c r="J303" s="580">
        <f t="shared" si="442"/>
        <v>5777676.8399999999</v>
      </c>
      <c r="K303" s="580">
        <f t="shared" si="442"/>
        <v>0</v>
      </c>
      <c r="L303" s="580">
        <f t="shared" si="442"/>
        <v>0</v>
      </c>
      <c r="M303" s="580">
        <f t="shared" si="442"/>
        <v>5777676.8399999999</v>
      </c>
      <c r="N303" s="580">
        <f t="shared" si="442"/>
        <v>6515346.5499999998</v>
      </c>
      <c r="O303" s="580">
        <f t="shared" si="442"/>
        <v>2810336.5100000007</v>
      </c>
      <c r="P303" s="580">
        <f>P304</f>
        <v>9325683.0600000005</v>
      </c>
      <c r="Q303" s="580">
        <f t="shared" si="399"/>
        <v>3548006.2200000007</v>
      </c>
      <c r="R303" s="580">
        <f t="shared" si="400"/>
        <v>61.408872774545841</v>
      </c>
      <c r="S303" s="580">
        <f t="shared" si="442"/>
        <v>0</v>
      </c>
      <c r="T303" s="580">
        <f t="shared" si="442"/>
        <v>0</v>
      </c>
      <c r="U303" s="580">
        <f t="shared" si="442"/>
        <v>0</v>
      </c>
      <c r="V303" s="580">
        <f t="shared" si="397"/>
        <v>0</v>
      </c>
      <c r="W303" s="580">
        <v>0</v>
      </c>
      <c r="X303" s="580">
        <f t="shared" si="401"/>
        <v>-9325683.0600000005</v>
      </c>
      <c r="Y303" s="580">
        <f t="shared" si="402"/>
        <v>-100</v>
      </c>
      <c r="Z303" s="580">
        <f t="shared" si="403"/>
        <v>0</v>
      </c>
      <c r="AA303" s="580">
        <f t="shared" si="404"/>
        <v>0</v>
      </c>
      <c r="AB303" s="580">
        <v>0</v>
      </c>
      <c r="AC303" s="580">
        <f t="shared" si="405"/>
        <v>0</v>
      </c>
      <c r="AD303" s="580">
        <v>0</v>
      </c>
      <c r="AE303" s="580">
        <f t="shared" si="406"/>
        <v>-9325683.0600000005</v>
      </c>
      <c r="AF303" s="580">
        <f t="shared" si="407"/>
        <v>-100</v>
      </c>
      <c r="AG303" s="580">
        <f t="shared" si="419"/>
        <v>0</v>
      </c>
      <c r="AH303" s="580">
        <f t="shared" si="408"/>
        <v>0</v>
      </c>
      <c r="AI303" s="580">
        <v>0</v>
      </c>
      <c r="AJ303" s="580">
        <f t="shared" si="409"/>
        <v>0</v>
      </c>
      <c r="AK303" s="580">
        <v>0</v>
      </c>
      <c r="AL303" s="580">
        <f t="shared" ref="AL303" si="443">AL304</f>
        <v>0</v>
      </c>
      <c r="AM303" s="580">
        <f t="shared" si="428"/>
        <v>0</v>
      </c>
      <c r="AN303" s="580">
        <f t="shared" si="428"/>
        <v>0</v>
      </c>
      <c r="AO303" s="580">
        <f t="shared" si="410"/>
        <v>0</v>
      </c>
      <c r="AP303" s="580">
        <v>0</v>
      </c>
      <c r="AQ303" s="580">
        <f>AQ304</f>
        <v>0</v>
      </c>
      <c r="AR303" s="580">
        <f>AR304</f>
        <v>0</v>
      </c>
      <c r="AS303" s="580">
        <f>AS304</f>
        <v>0</v>
      </c>
      <c r="AT303" s="580">
        <f>AT304</f>
        <v>0</v>
      </c>
      <c r="AU303" s="580">
        <f t="shared" ref="AU303:AV307" si="444">BB303+BL303</f>
        <v>0</v>
      </c>
      <c r="AV303" s="580">
        <f t="shared" si="444"/>
        <v>0</v>
      </c>
      <c r="AW303" s="580">
        <f t="shared" si="411"/>
        <v>0</v>
      </c>
      <c r="AX303" s="580">
        <v>0</v>
      </c>
      <c r="AY303" s="580">
        <f>BD303+BN303</f>
        <v>0</v>
      </c>
      <c r="AZ303" s="580">
        <f t="shared" si="412"/>
        <v>0</v>
      </c>
      <c r="BA303" s="580">
        <v>0</v>
      </c>
      <c r="BB303" s="580">
        <f t="shared" ref="BB303:BN303" si="445">BB304</f>
        <v>0</v>
      </c>
      <c r="BC303" s="580">
        <f t="shared" si="445"/>
        <v>0</v>
      </c>
      <c r="BD303" s="580">
        <f t="shared" si="445"/>
        <v>0</v>
      </c>
      <c r="BE303" s="580">
        <f t="shared" si="413"/>
        <v>0</v>
      </c>
      <c r="BF303" s="580">
        <f t="shared" si="414"/>
        <v>0</v>
      </c>
      <c r="BG303" s="580">
        <f t="shared" si="398"/>
        <v>0</v>
      </c>
      <c r="BH303" s="580">
        <f t="shared" si="445"/>
        <v>0</v>
      </c>
      <c r="BI303" s="580">
        <f t="shared" si="445"/>
        <v>0</v>
      </c>
      <c r="BJ303" s="580">
        <f t="shared" si="415"/>
        <v>0</v>
      </c>
      <c r="BK303" s="580">
        <f t="shared" si="416"/>
        <v>0</v>
      </c>
      <c r="BL303" s="580">
        <f t="shared" si="445"/>
        <v>0</v>
      </c>
      <c r="BM303" s="580">
        <f t="shared" si="445"/>
        <v>0</v>
      </c>
      <c r="BN303" s="580">
        <f t="shared" si="445"/>
        <v>0</v>
      </c>
      <c r="BO303" s="580">
        <f t="shared" si="426"/>
        <v>0</v>
      </c>
      <c r="BP303" s="580">
        <f t="shared" si="417"/>
        <v>0</v>
      </c>
      <c r="BQ303" s="580">
        <f t="shared" ref="BQ303:BS303" si="446">BQ304</f>
        <v>0</v>
      </c>
      <c r="BR303" s="580">
        <f t="shared" si="446"/>
        <v>0</v>
      </c>
      <c r="BS303" s="580">
        <f t="shared" si="446"/>
        <v>0</v>
      </c>
      <c r="BU303" s="580">
        <f t="shared" ref="BU303:BW303" si="447">BU304</f>
        <v>0</v>
      </c>
      <c r="BV303" s="580">
        <f t="shared" si="447"/>
        <v>0</v>
      </c>
      <c r="BW303" s="580">
        <f t="shared" si="447"/>
        <v>0</v>
      </c>
      <c r="BX303" s="581"/>
      <c r="BY303" s="580">
        <f>BY304</f>
        <v>0</v>
      </c>
      <c r="BZ303" s="580">
        <f t="shared" ref="BZ303:CB303" si="448">BZ304</f>
        <v>0</v>
      </c>
      <c r="CA303" s="580">
        <f t="shared" si="448"/>
        <v>0</v>
      </c>
      <c r="CB303" s="580">
        <f t="shared" si="448"/>
        <v>0</v>
      </c>
      <c r="CC303" s="580">
        <f t="shared" si="418"/>
        <v>0</v>
      </c>
      <c r="CD303" s="580"/>
      <c r="CE303" s="580"/>
      <c r="CF303" s="580"/>
      <c r="CG303" s="580"/>
      <c r="CH303" s="580"/>
      <c r="CI303" s="580"/>
      <c r="CJ303" s="580"/>
      <c r="CK303" s="508"/>
      <c r="CL303" s="508"/>
      <c r="CM303" s="528"/>
      <c r="CN303" s="510"/>
      <c r="CO303" s="510"/>
      <c r="CP303" s="582">
        <f>BL303+CO303</f>
        <v>0</v>
      </c>
      <c r="CQ303" s="582" t="e">
        <f>#REF!+CP303</f>
        <v>#REF!</v>
      </c>
      <c r="CR303" s="582" t="e">
        <f>#REF!+CQ303</f>
        <v>#REF!</v>
      </c>
      <c r="CS303" s="1679"/>
      <c r="CT303" s="1680"/>
      <c r="CU303" s="1680"/>
      <c r="CV303" s="1680"/>
      <c r="CW303" s="1681"/>
      <c r="CX303" s="510"/>
      <c r="CY303" s="510"/>
      <c r="CZ303" s="510"/>
      <c r="DA303" s="510"/>
      <c r="DB303" s="582">
        <f>CT303+DA303</f>
        <v>0</v>
      </c>
      <c r="DD303" s="517"/>
      <c r="DE303" s="517"/>
      <c r="DF303" s="580">
        <f t="shared" si="436"/>
        <v>0</v>
      </c>
      <c r="DG303" s="580">
        <f t="shared" si="436"/>
        <v>0</v>
      </c>
      <c r="DH303" s="580">
        <f t="shared" si="436"/>
        <v>0</v>
      </c>
      <c r="DI303" s="580">
        <f t="shared" si="436"/>
        <v>0</v>
      </c>
    </row>
    <row r="304" spans="1:123">
      <c r="A304" s="505" t="s">
        <v>1985</v>
      </c>
      <c r="B304" s="680" t="s">
        <v>1986</v>
      </c>
      <c r="C304" s="580">
        <f>C305+C306</f>
        <v>22945008.289999999</v>
      </c>
      <c r="D304" s="580">
        <f t="shared" ref="D304:S304" si="449">D305+D306</f>
        <v>0</v>
      </c>
      <c r="E304" s="580">
        <f t="shared" si="449"/>
        <v>0</v>
      </c>
      <c r="F304" s="580">
        <f t="shared" si="449"/>
        <v>0</v>
      </c>
      <c r="G304" s="580">
        <f t="shared" si="449"/>
        <v>0</v>
      </c>
      <c r="H304" s="580">
        <f t="shared" si="449"/>
        <v>0</v>
      </c>
      <c r="I304" s="580">
        <f t="shared" si="449"/>
        <v>5777676.8399999999</v>
      </c>
      <c r="J304" s="580">
        <f>J305+J306</f>
        <v>5777676.8399999999</v>
      </c>
      <c r="K304" s="580">
        <f t="shared" si="449"/>
        <v>0</v>
      </c>
      <c r="L304" s="580">
        <f t="shared" si="449"/>
        <v>0</v>
      </c>
      <c r="M304" s="580">
        <f t="shared" si="449"/>
        <v>5777676.8399999999</v>
      </c>
      <c r="N304" s="580">
        <f t="shared" si="449"/>
        <v>6515346.5499999998</v>
      </c>
      <c r="O304" s="580">
        <f>O305+O306</f>
        <v>2810336.5100000007</v>
      </c>
      <c r="P304" s="580">
        <f>P305+P306</f>
        <v>9325683.0600000005</v>
      </c>
      <c r="Q304" s="580">
        <f t="shared" si="399"/>
        <v>3548006.2200000007</v>
      </c>
      <c r="R304" s="580">
        <f t="shared" si="400"/>
        <v>61.408872774545841</v>
      </c>
      <c r="S304" s="580">
        <f t="shared" si="449"/>
        <v>0</v>
      </c>
      <c r="T304" s="580">
        <f>T305+T306</f>
        <v>0</v>
      </c>
      <c r="U304" s="580">
        <f>U305+U306</f>
        <v>0</v>
      </c>
      <c r="V304" s="580">
        <f t="shared" si="397"/>
        <v>0</v>
      </c>
      <c r="W304" s="580">
        <v>0</v>
      </c>
      <c r="X304" s="580">
        <f t="shared" si="401"/>
        <v>-9325683.0600000005</v>
      </c>
      <c r="Y304" s="580">
        <f t="shared" si="402"/>
        <v>-100</v>
      </c>
      <c r="Z304" s="580">
        <f t="shared" si="403"/>
        <v>0</v>
      </c>
      <c r="AA304" s="580">
        <f t="shared" si="404"/>
        <v>0</v>
      </c>
      <c r="AB304" s="580">
        <v>0</v>
      </c>
      <c r="AC304" s="580">
        <f t="shared" si="405"/>
        <v>0</v>
      </c>
      <c r="AD304" s="580">
        <v>0</v>
      </c>
      <c r="AE304" s="580">
        <f t="shared" si="406"/>
        <v>-9325683.0600000005</v>
      </c>
      <c r="AF304" s="580">
        <f t="shared" si="407"/>
        <v>-100</v>
      </c>
      <c r="AG304" s="580">
        <f t="shared" si="419"/>
        <v>0</v>
      </c>
      <c r="AH304" s="580">
        <f t="shared" si="408"/>
        <v>0</v>
      </c>
      <c r="AI304" s="580">
        <v>0</v>
      </c>
      <c r="AJ304" s="580">
        <f t="shared" si="409"/>
        <v>0</v>
      </c>
      <c r="AK304" s="580">
        <v>0</v>
      </c>
      <c r="AL304" s="580">
        <f>AL305+AL306</f>
        <v>0</v>
      </c>
      <c r="AM304" s="580">
        <f>AQ304+AS304</f>
        <v>0</v>
      </c>
      <c r="AN304" s="580">
        <f>AR304+AT304</f>
        <v>0</v>
      </c>
      <c r="AO304" s="580">
        <f t="shared" si="410"/>
        <v>0</v>
      </c>
      <c r="AP304" s="580">
        <v>0</v>
      </c>
      <c r="AQ304" s="580">
        <f>AQ305+AQ306</f>
        <v>0</v>
      </c>
      <c r="AR304" s="580">
        <f>AR305+AR306</f>
        <v>0</v>
      </c>
      <c r="AS304" s="580">
        <f>AS305+AS306</f>
        <v>0</v>
      </c>
      <c r="AT304" s="580">
        <f>AT305+AT306</f>
        <v>0</v>
      </c>
      <c r="AU304" s="580">
        <f t="shared" si="444"/>
        <v>0</v>
      </c>
      <c r="AV304" s="580">
        <f t="shared" si="444"/>
        <v>0</v>
      </c>
      <c r="AW304" s="580">
        <f t="shared" si="411"/>
        <v>0</v>
      </c>
      <c r="AX304" s="580">
        <v>0</v>
      </c>
      <c r="AY304" s="580">
        <f>BD304+BN304</f>
        <v>0</v>
      </c>
      <c r="AZ304" s="580">
        <f t="shared" si="412"/>
        <v>0</v>
      </c>
      <c r="BA304" s="580">
        <v>0</v>
      </c>
      <c r="BB304" s="580">
        <f t="shared" ref="BB304:BN304" si="450">BB305+BB306</f>
        <v>0</v>
      </c>
      <c r="BC304" s="580">
        <f t="shared" si="450"/>
        <v>0</v>
      </c>
      <c r="BD304" s="580">
        <f t="shared" si="450"/>
        <v>0</v>
      </c>
      <c r="BE304" s="580">
        <f t="shared" si="413"/>
        <v>0</v>
      </c>
      <c r="BF304" s="580">
        <f t="shared" si="414"/>
        <v>0</v>
      </c>
      <c r="BG304" s="580">
        <f t="shared" si="398"/>
        <v>0</v>
      </c>
      <c r="BH304" s="580">
        <f t="shared" ref="BH304:BI304" si="451">BH305+BH306</f>
        <v>0</v>
      </c>
      <c r="BI304" s="580">
        <f t="shared" si="451"/>
        <v>0</v>
      </c>
      <c r="BJ304" s="580">
        <f t="shared" si="415"/>
        <v>0</v>
      </c>
      <c r="BK304" s="580">
        <f t="shared" si="416"/>
        <v>0</v>
      </c>
      <c r="BL304" s="580">
        <f t="shared" si="450"/>
        <v>0</v>
      </c>
      <c r="BM304" s="580">
        <f t="shared" si="450"/>
        <v>0</v>
      </c>
      <c r="BN304" s="580">
        <f t="shared" si="450"/>
        <v>0</v>
      </c>
      <c r="BO304" s="580">
        <f t="shared" si="426"/>
        <v>0</v>
      </c>
      <c r="BP304" s="580">
        <f t="shared" si="417"/>
        <v>0</v>
      </c>
      <c r="BQ304" s="580">
        <f t="shared" ref="BQ304:BS304" si="452">BQ305+BQ306</f>
        <v>0</v>
      </c>
      <c r="BR304" s="580">
        <f t="shared" si="452"/>
        <v>0</v>
      </c>
      <c r="BS304" s="580">
        <f t="shared" si="452"/>
        <v>0</v>
      </c>
      <c r="BU304" s="580">
        <f t="shared" ref="BU304:BW304" si="453">BU305+BU306</f>
        <v>0</v>
      </c>
      <c r="BV304" s="580">
        <f t="shared" si="453"/>
        <v>0</v>
      </c>
      <c r="BW304" s="580">
        <f t="shared" si="453"/>
        <v>0</v>
      </c>
      <c r="BX304" s="581"/>
      <c r="BY304" s="580">
        <f>BY305+BY306</f>
        <v>0</v>
      </c>
      <c r="BZ304" s="580">
        <f t="shared" ref="BZ304:CB304" si="454">BZ305+BZ306</f>
        <v>0</v>
      </c>
      <c r="CA304" s="580">
        <f t="shared" si="454"/>
        <v>0</v>
      </c>
      <c r="CB304" s="580">
        <f t="shared" si="454"/>
        <v>0</v>
      </c>
      <c r="CC304" s="580">
        <f t="shared" si="418"/>
        <v>0</v>
      </c>
      <c r="CD304" s="580"/>
      <c r="CE304" s="580"/>
      <c r="CF304" s="580"/>
      <c r="CG304" s="580"/>
      <c r="CH304" s="580"/>
      <c r="CI304" s="580"/>
      <c r="CJ304" s="580"/>
      <c r="CK304" s="508"/>
      <c r="CL304" s="508"/>
      <c r="CM304" s="528"/>
      <c r="CN304" s="510"/>
      <c r="CO304" s="510"/>
      <c r="CP304" s="582">
        <f>BL304+CO304</f>
        <v>0</v>
      </c>
      <c r="CQ304" s="582" t="e">
        <f>#REF!+CP304</f>
        <v>#REF!</v>
      </c>
      <c r="CR304" s="582" t="e">
        <f>#REF!+CQ304</f>
        <v>#REF!</v>
      </c>
      <c r="CS304" s="1679"/>
      <c r="CT304" s="1680"/>
      <c r="CU304" s="1680"/>
      <c r="CV304" s="1680"/>
      <c r="CW304" s="1681"/>
      <c r="CX304" s="510"/>
      <c r="CY304" s="510"/>
      <c r="CZ304" s="510"/>
      <c r="DA304" s="510"/>
      <c r="DB304" s="582">
        <f>CT304+DA304</f>
        <v>0</v>
      </c>
      <c r="DD304" s="517"/>
      <c r="DE304" s="517"/>
      <c r="DF304" s="580">
        <f t="shared" si="436"/>
        <v>0</v>
      </c>
      <c r="DG304" s="580">
        <f t="shared" si="436"/>
        <v>0</v>
      </c>
      <c r="DH304" s="580">
        <f t="shared" si="436"/>
        <v>0</v>
      </c>
      <c r="DI304" s="580">
        <f t="shared" si="436"/>
        <v>0</v>
      </c>
    </row>
    <row r="305" spans="1:123" s="534" customFormat="1" ht="35.25" customHeight="1">
      <c r="A305" s="537" t="s">
        <v>1430</v>
      </c>
      <c r="B305" s="681" t="s">
        <v>1431</v>
      </c>
      <c r="C305" s="578">
        <v>22945008.289999999</v>
      </c>
      <c r="D305" s="578"/>
      <c r="E305" s="578"/>
      <c r="F305" s="576">
        <v>0</v>
      </c>
      <c r="G305" s="577">
        <v>0</v>
      </c>
      <c r="H305" s="577">
        <v>0</v>
      </c>
      <c r="I305" s="578">
        <f>J305+K305+L305</f>
        <v>5777676.8399999999</v>
      </c>
      <c r="J305" s="578">
        <v>5777676.8399999999</v>
      </c>
      <c r="K305" s="578"/>
      <c r="L305" s="578"/>
      <c r="M305" s="578">
        <f>J305+K305</f>
        <v>5777676.8399999999</v>
      </c>
      <c r="N305" s="578">
        <v>6515346.5499999998</v>
      </c>
      <c r="O305" s="522">
        <f>P305-N305</f>
        <v>2810336.5100000007</v>
      </c>
      <c r="P305" s="578">
        <v>9325683.0600000005</v>
      </c>
      <c r="Q305" s="578">
        <f t="shared" si="399"/>
        <v>3548006.2200000007</v>
      </c>
      <c r="R305" s="578">
        <f t="shared" si="400"/>
        <v>61.408872774545841</v>
      </c>
      <c r="S305" s="578"/>
      <c r="T305" s="578"/>
      <c r="U305" s="578">
        <f>AQ305+AS305+BB305+BL305</f>
        <v>0</v>
      </c>
      <c r="V305" s="578">
        <f t="shared" si="397"/>
        <v>0</v>
      </c>
      <c r="W305" s="578">
        <v>0</v>
      </c>
      <c r="X305" s="578">
        <f t="shared" si="401"/>
        <v>-9325683.0600000005</v>
      </c>
      <c r="Y305" s="578">
        <f t="shared" si="402"/>
        <v>-100</v>
      </c>
      <c r="Z305" s="586">
        <f t="shared" si="403"/>
        <v>0</v>
      </c>
      <c r="AA305" s="578">
        <f t="shared" si="404"/>
        <v>0</v>
      </c>
      <c r="AB305" s="578">
        <v>0</v>
      </c>
      <c r="AC305" s="578">
        <f t="shared" si="405"/>
        <v>0</v>
      </c>
      <c r="AD305" s="578">
        <v>0</v>
      </c>
      <c r="AE305" s="578">
        <f t="shared" si="406"/>
        <v>-9325683.0600000005</v>
      </c>
      <c r="AF305" s="578">
        <f t="shared" si="407"/>
        <v>-100</v>
      </c>
      <c r="AG305" s="578">
        <f t="shared" si="419"/>
        <v>0</v>
      </c>
      <c r="AH305" s="578">
        <f t="shared" si="408"/>
        <v>0</v>
      </c>
      <c r="AI305" s="578">
        <v>0</v>
      </c>
      <c r="AJ305" s="578">
        <f t="shared" si="409"/>
        <v>0</v>
      </c>
      <c r="AK305" s="578">
        <v>0</v>
      </c>
      <c r="AL305" s="522">
        <f t="shared" ref="AL305:AL306" si="455">BW305</f>
        <v>0</v>
      </c>
      <c r="AM305" s="578">
        <f t="shared" si="428"/>
        <v>0</v>
      </c>
      <c r="AN305" s="578">
        <f t="shared" si="428"/>
        <v>0</v>
      </c>
      <c r="AO305" s="578">
        <f t="shared" si="410"/>
        <v>0</v>
      </c>
      <c r="AP305" s="578">
        <v>0</v>
      </c>
      <c r="AQ305" s="578">
        <v>0</v>
      </c>
      <c r="AR305" s="578">
        <v>0</v>
      </c>
      <c r="AS305" s="578">
        <v>0</v>
      </c>
      <c r="AT305" s="578">
        <v>0</v>
      </c>
      <c r="AU305" s="578">
        <f t="shared" si="444"/>
        <v>0</v>
      </c>
      <c r="AV305" s="578">
        <f t="shared" si="444"/>
        <v>0</v>
      </c>
      <c r="AW305" s="578">
        <f t="shared" si="411"/>
        <v>0</v>
      </c>
      <c r="AX305" s="578">
        <v>0</v>
      </c>
      <c r="AY305" s="578">
        <f>BD305+BN305</f>
        <v>0</v>
      </c>
      <c r="AZ305" s="578">
        <f t="shared" si="412"/>
        <v>0</v>
      </c>
      <c r="BA305" s="578">
        <v>0</v>
      </c>
      <c r="BB305" s="578">
        <v>0</v>
      </c>
      <c r="BC305" s="576">
        <f>'[67]Дир_по экон'!AT42</f>
        <v>0</v>
      </c>
      <c r="BD305" s="576">
        <f>BI305-AN305</f>
        <v>0</v>
      </c>
      <c r="BE305" s="576">
        <f t="shared" si="413"/>
        <v>0</v>
      </c>
      <c r="BF305" s="576">
        <f t="shared" si="414"/>
        <v>0</v>
      </c>
      <c r="BG305" s="576">
        <f t="shared" si="398"/>
        <v>0</v>
      </c>
      <c r="BH305" s="578">
        <f>AN305+BC305</f>
        <v>0</v>
      </c>
      <c r="BI305" s="578"/>
      <c r="BJ305" s="578">
        <f t="shared" si="415"/>
        <v>0</v>
      </c>
      <c r="BK305" s="578">
        <f t="shared" si="416"/>
        <v>0</v>
      </c>
      <c r="BL305" s="576">
        <v>0</v>
      </c>
      <c r="BM305" s="578">
        <f>'[67]Дир_по экон'!AW42</f>
        <v>0</v>
      </c>
      <c r="BN305" s="522">
        <f t="shared" ref="BN305:BN306" si="456">AL305-BI305</f>
        <v>0</v>
      </c>
      <c r="BO305" s="578">
        <f t="shared" si="426"/>
        <v>0</v>
      </c>
      <c r="BP305" s="578">
        <f t="shared" si="417"/>
        <v>0</v>
      </c>
      <c r="BQ305" s="576">
        <v>0</v>
      </c>
      <c r="BR305" s="578">
        <f>'[67]Дир_по экон'!BB42</f>
        <v>0</v>
      </c>
      <c r="BS305" s="578">
        <f>'[67]Дир_по экон'!BC42</f>
        <v>0</v>
      </c>
      <c r="BT305" s="536"/>
      <c r="BU305" s="578"/>
      <c r="BV305" s="578"/>
      <c r="BW305" s="578"/>
      <c r="BX305" s="574"/>
      <c r="BY305" s="578">
        <f>AI305</f>
        <v>0</v>
      </c>
      <c r="BZ305" s="578"/>
      <c r="CA305" s="578"/>
      <c r="CB305" s="578"/>
      <c r="CC305" s="578">
        <f t="shared" si="418"/>
        <v>0</v>
      </c>
      <c r="CD305" s="578"/>
      <c r="CE305" s="578"/>
      <c r="CF305" s="578"/>
      <c r="CG305" s="578"/>
      <c r="CH305" s="578"/>
      <c r="CI305" s="578"/>
      <c r="CJ305" s="578"/>
      <c r="CK305" s="543" t="s">
        <v>77</v>
      </c>
      <c r="CL305" s="542" t="s">
        <v>1800</v>
      </c>
      <c r="CM305" s="528"/>
      <c r="CN305" s="528"/>
      <c r="CO305" s="528"/>
      <c r="CP305" s="630">
        <f>U305</f>
        <v>0</v>
      </c>
      <c r="CQ305" s="630"/>
      <c r="CR305" s="630"/>
      <c r="CS305" s="1685"/>
      <c r="CT305" s="1686"/>
      <c r="CU305" s="1686"/>
      <c r="CV305" s="1686"/>
      <c r="CW305" s="1687"/>
      <c r="CX305" s="528"/>
      <c r="CY305" s="528"/>
      <c r="CZ305" s="528"/>
      <c r="DA305" s="528"/>
      <c r="DB305" s="579"/>
      <c r="DD305" s="535"/>
      <c r="DE305" s="535"/>
      <c r="DF305" s="578">
        <f t="shared" si="436"/>
        <v>0</v>
      </c>
      <c r="DG305" s="578">
        <f t="shared" si="436"/>
        <v>0</v>
      </c>
      <c r="DH305" s="578">
        <f t="shared" si="436"/>
        <v>0</v>
      </c>
      <c r="DI305" s="578">
        <f t="shared" si="436"/>
        <v>0</v>
      </c>
      <c r="DJ305" s="536"/>
      <c r="DK305" s="536"/>
      <c r="DL305" s="536"/>
      <c r="DM305" s="536"/>
      <c r="DN305" s="536"/>
      <c r="DO305" s="536"/>
      <c r="DP305" s="536"/>
      <c r="DQ305" s="536"/>
      <c r="DR305" s="536"/>
      <c r="DS305" s="536"/>
    </row>
    <row r="306" spans="1:123" s="534" customFormat="1" ht="55.5" customHeight="1">
      <c r="A306" s="537" t="s">
        <v>1435</v>
      </c>
      <c r="B306" s="681" t="s">
        <v>1436</v>
      </c>
      <c r="C306" s="578"/>
      <c r="D306" s="578"/>
      <c r="E306" s="578"/>
      <c r="F306" s="576">
        <v>0</v>
      </c>
      <c r="G306" s="577">
        <v>0</v>
      </c>
      <c r="H306" s="577">
        <v>0</v>
      </c>
      <c r="I306" s="578">
        <f>J306+K306+L306</f>
        <v>0</v>
      </c>
      <c r="J306" s="578">
        <v>0</v>
      </c>
      <c r="K306" s="578"/>
      <c r="L306" s="578"/>
      <c r="M306" s="578">
        <f>J306+K306</f>
        <v>0</v>
      </c>
      <c r="N306" s="578"/>
      <c r="O306" s="522">
        <f>P306-N306</f>
        <v>0</v>
      </c>
      <c r="P306" s="578"/>
      <c r="Q306" s="578">
        <f t="shared" si="399"/>
        <v>0</v>
      </c>
      <c r="R306" s="578">
        <v>0</v>
      </c>
      <c r="S306" s="578"/>
      <c r="T306" s="578"/>
      <c r="U306" s="578">
        <f>AQ306+AS306+BB306+BL306</f>
        <v>0</v>
      </c>
      <c r="V306" s="578">
        <f t="shared" si="397"/>
        <v>0</v>
      </c>
      <c r="W306" s="578">
        <v>0</v>
      </c>
      <c r="X306" s="578">
        <f t="shared" si="401"/>
        <v>0</v>
      </c>
      <c r="Y306" s="578">
        <v>0</v>
      </c>
      <c r="Z306" s="586">
        <f t="shared" si="403"/>
        <v>0</v>
      </c>
      <c r="AA306" s="578">
        <f t="shared" si="404"/>
        <v>0</v>
      </c>
      <c r="AB306" s="578">
        <v>0</v>
      </c>
      <c r="AC306" s="578">
        <f t="shared" si="405"/>
        <v>0</v>
      </c>
      <c r="AD306" s="578">
        <v>0</v>
      </c>
      <c r="AE306" s="578">
        <f t="shared" si="406"/>
        <v>0</v>
      </c>
      <c r="AF306" s="578">
        <v>0</v>
      </c>
      <c r="AG306" s="578">
        <f t="shared" si="419"/>
        <v>0</v>
      </c>
      <c r="AH306" s="578">
        <f t="shared" si="408"/>
        <v>0</v>
      </c>
      <c r="AI306" s="578">
        <v>0</v>
      </c>
      <c r="AJ306" s="578">
        <f t="shared" si="409"/>
        <v>0</v>
      </c>
      <c r="AK306" s="578">
        <v>0</v>
      </c>
      <c r="AL306" s="522">
        <f t="shared" si="455"/>
        <v>0</v>
      </c>
      <c r="AM306" s="578">
        <f t="shared" si="428"/>
        <v>0</v>
      </c>
      <c r="AN306" s="578">
        <f t="shared" si="428"/>
        <v>0</v>
      </c>
      <c r="AO306" s="578">
        <f t="shared" si="410"/>
        <v>0</v>
      </c>
      <c r="AP306" s="578">
        <v>0</v>
      </c>
      <c r="AQ306" s="578">
        <v>0</v>
      </c>
      <c r="AR306" s="578">
        <v>0</v>
      </c>
      <c r="AS306" s="578">
        <v>0</v>
      </c>
      <c r="AT306" s="578">
        <v>0</v>
      </c>
      <c r="AU306" s="578">
        <f t="shared" si="444"/>
        <v>0</v>
      </c>
      <c r="AV306" s="578">
        <f t="shared" si="444"/>
        <v>0</v>
      </c>
      <c r="AW306" s="578">
        <f t="shared" si="411"/>
        <v>0</v>
      </c>
      <c r="AX306" s="578">
        <v>0</v>
      </c>
      <c r="AY306" s="578">
        <f>BD306+BN306</f>
        <v>0</v>
      </c>
      <c r="AZ306" s="578">
        <f t="shared" si="412"/>
        <v>0</v>
      </c>
      <c r="BA306" s="578">
        <v>0</v>
      </c>
      <c r="BB306" s="578">
        <v>0</v>
      </c>
      <c r="BC306" s="576">
        <f>'[67]Дир_по экон'!AT43</f>
        <v>0</v>
      </c>
      <c r="BD306" s="576">
        <f>BI306-AN306</f>
        <v>0</v>
      </c>
      <c r="BE306" s="576">
        <f t="shared" si="413"/>
        <v>0</v>
      </c>
      <c r="BF306" s="576">
        <f t="shared" si="414"/>
        <v>0</v>
      </c>
      <c r="BG306" s="576">
        <f t="shared" si="398"/>
        <v>0</v>
      </c>
      <c r="BH306" s="578">
        <f>AN306+BC306</f>
        <v>0</v>
      </c>
      <c r="BI306" s="578"/>
      <c r="BJ306" s="578">
        <f t="shared" si="415"/>
        <v>0</v>
      </c>
      <c r="BK306" s="578">
        <f t="shared" si="416"/>
        <v>0</v>
      </c>
      <c r="BL306" s="576">
        <v>0</v>
      </c>
      <c r="BM306" s="578">
        <f>'[67]Дир_по экон'!AW43</f>
        <v>0</v>
      </c>
      <c r="BN306" s="522">
        <f t="shared" si="456"/>
        <v>0</v>
      </c>
      <c r="BO306" s="578">
        <f t="shared" si="426"/>
        <v>0</v>
      </c>
      <c r="BP306" s="578">
        <f t="shared" si="417"/>
        <v>0</v>
      </c>
      <c r="BQ306" s="576">
        <v>0</v>
      </c>
      <c r="BR306" s="578">
        <f>'[67]Дир_по экон'!BB43</f>
        <v>0</v>
      </c>
      <c r="BS306" s="578">
        <f>'[67]Дир_по экон'!BC43</f>
        <v>0</v>
      </c>
      <c r="BT306" s="536"/>
      <c r="BU306" s="578"/>
      <c r="BV306" s="578"/>
      <c r="BW306" s="578"/>
      <c r="BX306" s="574"/>
      <c r="BY306" s="522">
        <f>AI306*$BZ$7/100</f>
        <v>0</v>
      </c>
      <c r="BZ306" s="522">
        <f>AI306*$BZ$8/100</f>
        <v>0</v>
      </c>
      <c r="CA306" s="522">
        <f>AI306*$BZ$9/100</f>
        <v>0</v>
      </c>
      <c r="CB306" s="522"/>
      <c r="CC306" s="522">
        <f t="shared" si="418"/>
        <v>0</v>
      </c>
      <c r="CD306" s="578"/>
      <c r="CE306" s="578"/>
      <c r="CF306" s="578"/>
      <c r="CG306" s="578"/>
      <c r="CH306" s="578"/>
      <c r="CI306" s="578"/>
      <c r="CJ306" s="578"/>
      <c r="CK306" s="543" t="s">
        <v>77</v>
      </c>
      <c r="CL306" s="542" t="s">
        <v>1800</v>
      </c>
      <c r="CM306" s="528"/>
      <c r="CN306" s="528"/>
      <c r="CO306" s="528"/>
      <c r="CP306" s="544">
        <f>U306*$CU$7/100</f>
        <v>0</v>
      </c>
      <c r="CQ306" s="544">
        <f>U306*$CU$8/100</f>
        <v>0</v>
      </c>
      <c r="CR306" s="544">
        <f>U306*$CU$9/100</f>
        <v>0</v>
      </c>
      <c r="CS306" s="1688" t="s">
        <v>1826</v>
      </c>
      <c r="CT306" s="1689"/>
      <c r="CU306" s="1689"/>
      <c r="CV306" s="1689"/>
      <c r="CW306" s="1690"/>
      <c r="CX306" s="528"/>
      <c r="CY306" s="528"/>
      <c r="CZ306" s="528"/>
      <c r="DA306" s="528"/>
      <c r="DB306" s="579"/>
      <c r="DD306" s="535"/>
      <c r="DE306" s="535"/>
      <c r="DF306" s="522">
        <f t="shared" si="436"/>
        <v>0</v>
      </c>
      <c r="DG306" s="522">
        <f t="shared" si="436"/>
        <v>0</v>
      </c>
      <c r="DH306" s="522">
        <f t="shared" si="436"/>
        <v>0</v>
      </c>
      <c r="DI306" s="522">
        <f t="shared" si="436"/>
        <v>0</v>
      </c>
      <c r="DJ306" s="536"/>
      <c r="DK306" s="536"/>
      <c r="DL306" s="536"/>
      <c r="DM306" s="536"/>
      <c r="DN306" s="536"/>
      <c r="DO306" s="536"/>
      <c r="DP306" s="536"/>
      <c r="DQ306" s="536"/>
      <c r="DR306" s="536"/>
      <c r="DS306" s="536"/>
    </row>
    <row r="307" spans="1:123">
      <c r="A307" s="1666" t="s">
        <v>1987</v>
      </c>
      <c r="B307" s="1666"/>
      <c r="C307" s="580">
        <f t="shared" ref="C307:U307" si="457">C303</f>
        <v>22945008.289999999</v>
      </c>
      <c r="D307" s="580">
        <f t="shared" si="457"/>
        <v>0</v>
      </c>
      <c r="E307" s="580">
        <f t="shared" si="457"/>
        <v>0</v>
      </c>
      <c r="F307" s="580">
        <f t="shared" si="457"/>
        <v>0</v>
      </c>
      <c r="G307" s="580">
        <f t="shared" si="457"/>
        <v>0</v>
      </c>
      <c r="H307" s="580">
        <f t="shared" si="457"/>
        <v>0</v>
      </c>
      <c r="I307" s="580">
        <f t="shared" si="457"/>
        <v>5777676.8399999999</v>
      </c>
      <c r="J307" s="580">
        <f t="shared" si="457"/>
        <v>5777676.8399999999</v>
      </c>
      <c r="K307" s="580">
        <f t="shared" si="457"/>
        <v>0</v>
      </c>
      <c r="L307" s="580">
        <f t="shared" si="457"/>
        <v>0</v>
      </c>
      <c r="M307" s="580">
        <f t="shared" si="457"/>
        <v>5777676.8399999999</v>
      </c>
      <c r="N307" s="580">
        <f t="shared" si="457"/>
        <v>6515346.5499999998</v>
      </c>
      <c r="O307" s="580">
        <f>O303</f>
        <v>2810336.5100000007</v>
      </c>
      <c r="P307" s="580">
        <f>P303</f>
        <v>9325683.0600000005</v>
      </c>
      <c r="Q307" s="580">
        <f t="shared" si="399"/>
        <v>3548006.2200000007</v>
      </c>
      <c r="R307" s="580">
        <f t="shared" si="400"/>
        <v>61.408872774545841</v>
      </c>
      <c r="S307" s="580">
        <f t="shared" si="457"/>
        <v>0</v>
      </c>
      <c r="T307" s="580">
        <f t="shared" si="457"/>
        <v>0</v>
      </c>
      <c r="U307" s="580">
        <f t="shared" si="457"/>
        <v>0</v>
      </c>
      <c r="V307" s="580">
        <f t="shared" si="397"/>
        <v>0</v>
      </c>
      <c r="W307" s="580">
        <v>0</v>
      </c>
      <c r="X307" s="580">
        <f t="shared" si="401"/>
        <v>-9325683.0600000005</v>
      </c>
      <c r="Y307" s="580">
        <f t="shared" si="402"/>
        <v>-100</v>
      </c>
      <c r="Z307" s="580">
        <f t="shared" si="403"/>
        <v>0</v>
      </c>
      <c r="AA307" s="580">
        <f t="shared" si="404"/>
        <v>0</v>
      </c>
      <c r="AB307" s="580">
        <v>0</v>
      </c>
      <c r="AC307" s="580">
        <f t="shared" si="405"/>
        <v>0</v>
      </c>
      <c r="AD307" s="580">
        <v>0</v>
      </c>
      <c r="AE307" s="580">
        <f t="shared" si="406"/>
        <v>-9325683.0600000005</v>
      </c>
      <c r="AF307" s="580">
        <f t="shared" si="407"/>
        <v>-100</v>
      </c>
      <c r="AG307" s="580">
        <f t="shared" si="419"/>
        <v>0</v>
      </c>
      <c r="AH307" s="580">
        <f t="shared" si="408"/>
        <v>0</v>
      </c>
      <c r="AI307" s="580">
        <v>0</v>
      </c>
      <c r="AJ307" s="580">
        <f t="shared" si="409"/>
        <v>0</v>
      </c>
      <c r="AK307" s="580">
        <v>0</v>
      </c>
      <c r="AL307" s="580">
        <f t="shared" ref="AL307" si="458">AL303</f>
        <v>0</v>
      </c>
      <c r="AM307" s="580">
        <f t="shared" si="428"/>
        <v>0</v>
      </c>
      <c r="AN307" s="580">
        <f t="shared" si="428"/>
        <v>0</v>
      </c>
      <c r="AO307" s="580">
        <f t="shared" si="410"/>
        <v>0</v>
      </c>
      <c r="AP307" s="580">
        <v>0</v>
      </c>
      <c r="AQ307" s="580">
        <f>AQ303</f>
        <v>0</v>
      </c>
      <c r="AR307" s="580">
        <f>AR303</f>
        <v>0</v>
      </c>
      <c r="AS307" s="580">
        <f>AS303</f>
        <v>0</v>
      </c>
      <c r="AT307" s="580">
        <f>AT303</f>
        <v>0</v>
      </c>
      <c r="AU307" s="580">
        <f t="shared" si="444"/>
        <v>0</v>
      </c>
      <c r="AV307" s="580">
        <f t="shared" si="444"/>
        <v>0</v>
      </c>
      <c r="AW307" s="580">
        <f t="shared" si="411"/>
        <v>0</v>
      </c>
      <c r="AX307" s="580">
        <v>0</v>
      </c>
      <c r="AY307" s="580">
        <f>BD307+BN307</f>
        <v>0</v>
      </c>
      <c r="AZ307" s="580">
        <f t="shared" si="412"/>
        <v>0</v>
      </c>
      <c r="BA307" s="580">
        <v>0</v>
      </c>
      <c r="BB307" s="580">
        <f t="shared" ref="BB307:BN307" si="459">BB303</f>
        <v>0</v>
      </c>
      <c r="BC307" s="580">
        <f t="shared" si="459"/>
        <v>0</v>
      </c>
      <c r="BD307" s="580">
        <f t="shared" si="459"/>
        <v>0</v>
      </c>
      <c r="BE307" s="580">
        <f t="shared" si="413"/>
        <v>0</v>
      </c>
      <c r="BF307" s="580">
        <f t="shared" si="414"/>
        <v>0</v>
      </c>
      <c r="BG307" s="580">
        <f t="shared" si="398"/>
        <v>0</v>
      </c>
      <c r="BH307" s="580">
        <f t="shared" si="459"/>
        <v>0</v>
      </c>
      <c r="BI307" s="580">
        <f t="shared" si="459"/>
        <v>0</v>
      </c>
      <c r="BJ307" s="580">
        <f t="shared" si="415"/>
        <v>0</v>
      </c>
      <c r="BK307" s="580">
        <f t="shared" si="416"/>
        <v>0</v>
      </c>
      <c r="BL307" s="580">
        <f t="shared" si="459"/>
        <v>0</v>
      </c>
      <c r="BM307" s="580">
        <f t="shared" si="459"/>
        <v>0</v>
      </c>
      <c r="BN307" s="580">
        <f t="shared" si="459"/>
        <v>0</v>
      </c>
      <c r="BO307" s="580">
        <f t="shared" si="426"/>
        <v>0</v>
      </c>
      <c r="BP307" s="580">
        <f t="shared" si="417"/>
        <v>0</v>
      </c>
      <c r="BQ307" s="580">
        <f t="shared" ref="BQ307:BS307" si="460">BQ303</f>
        <v>0</v>
      </c>
      <c r="BR307" s="580">
        <f t="shared" si="460"/>
        <v>0</v>
      </c>
      <c r="BS307" s="580">
        <f t="shared" si="460"/>
        <v>0</v>
      </c>
      <c r="BU307" s="580">
        <f t="shared" ref="BU307:BW307" si="461">BU303</f>
        <v>0</v>
      </c>
      <c r="BV307" s="580">
        <f t="shared" si="461"/>
        <v>0</v>
      </c>
      <c r="BW307" s="580">
        <f t="shared" si="461"/>
        <v>0</v>
      </c>
      <c r="BX307" s="581"/>
      <c r="BY307" s="580">
        <f>BY303</f>
        <v>0</v>
      </c>
      <c r="BZ307" s="580">
        <f t="shared" ref="BZ307" si="462">BZ303</f>
        <v>0</v>
      </c>
      <c r="CA307" s="580">
        <f>CA303</f>
        <v>0</v>
      </c>
      <c r="CB307" s="580">
        <f>CB303</f>
        <v>0</v>
      </c>
      <c r="CC307" s="580">
        <f t="shared" si="418"/>
        <v>0</v>
      </c>
      <c r="CD307" s="580"/>
      <c r="CE307" s="580"/>
      <c r="CF307" s="580"/>
      <c r="CG307" s="580"/>
      <c r="CH307" s="580"/>
      <c r="CI307" s="580"/>
      <c r="CJ307" s="580"/>
      <c r="CK307" s="682"/>
      <c r="CL307" s="682"/>
      <c r="CM307" s="528"/>
      <c r="CN307" s="510"/>
      <c r="CO307" s="510"/>
      <c r="CP307" s="582">
        <f>BL307+CO307</f>
        <v>0</v>
      </c>
      <c r="CQ307" s="582" t="e">
        <f>#REF!+CP307</f>
        <v>#REF!</v>
      </c>
      <c r="CR307" s="582" t="e">
        <f>#REF!+CQ307</f>
        <v>#REF!</v>
      </c>
      <c r="CS307" s="1679"/>
      <c r="CT307" s="1680"/>
      <c r="CU307" s="1680"/>
      <c r="CV307" s="1680"/>
      <c r="CW307" s="1681"/>
      <c r="CX307" s="510"/>
      <c r="CY307" s="510"/>
      <c r="CZ307" s="510"/>
      <c r="DA307" s="510"/>
      <c r="DB307" s="582">
        <f>CT307+DA307</f>
        <v>0</v>
      </c>
      <c r="DD307" s="517"/>
      <c r="DE307" s="517"/>
      <c r="DF307" s="580">
        <f t="shared" si="436"/>
        <v>0</v>
      </c>
      <c r="DG307" s="580">
        <f t="shared" si="436"/>
        <v>0</v>
      </c>
      <c r="DH307" s="580">
        <f t="shared" si="436"/>
        <v>0</v>
      </c>
      <c r="DI307" s="580">
        <f t="shared" si="436"/>
        <v>0</v>
      </c>
    </row>
    <row r="308" spans="1:123" s="534" customFormat="1">
      <c r="A308" s="667" t="s">
        <v>1988</v>
      </c>
      <c r="B308" s="584"/>
      <c r="C308" s="578"/>
      <c r="D308" s="578"/>
      <c r="E308" s="578"/>
      <c r="F308" s="578"/>
      <c r="G308" s="593"/>
      <c r="H308" s="593"/>
      <c r="I308" s="578"/>
      <c r="J308" s="578"/>
      <c r="K308" s="578"/>
      <c r="L308" s="578"/>
      <c r="M308" s="578"/>
      <c r="N308" s="576"/>
      <c r="O308" s="576">
        <f>O5-O28-O34-O241-O303</f>
        <v>190234503.06999969</v>
      </c>
      <c r="P308" s="576">
        <f>P5-P28-P34-P241-P303</f>
        <v>276616280.03000182</v>
      </c>
      <c r="Q308" s="578">
        <f t="shared" si="399"/>
        <v>276616280.03000182</v>
      </c>
      <c r="R308" s="578"/>
      <c r="S308" s="578"/>
      <c r="T308" s="578"/>
      <c r="U308" s="576"/>
      <c r="V308" s="576">
        <f t="shared" si="397"/>
        <v>0</v>
      </c>
      <c r="W308" s="576"/>
      <c r="X308" s="576">
        <f t="shared" si="401"/>
        <v>-276616280.03000182</v>
      </c>
      <c r="Y308" s="576">
        <f t="shared" si="402"/>
        <v>-100</v>
      </c>
      <c r="Z308" s="586"/>
      <c r="AA308" s="578"/>
      <c r="AB308" s="578"/>
      <c r="AC308" s="578"/>
      <c r="AD308" s="578"/>
      <c r="AE308" s="578"/>
      <c r="AF308" s="578"/>
      <c r="AG308" s="578"/>
      <c r="AH308" s="578"/>
      <c r="AI308" s="578"/>
      <c r="AJ308" s="578"/>
      <c r="AK308" s="578"/>
      <c r="AL308" s="576"/>
      <c r="AM308" s="578"/>
      <c r="AN308" s="578"/>
      <c r="AO308" s="578"/>
      <c r="AP308" s="578"/>
      <c r="AQ308" s="578"/>
      <c r="AR308" s="578"/>
      <c r="AS308" s="578"/>
      <c r="AT308" s="578"/>
      <c r="AU308" s="578"/>
      <c r="AV308" s="578"/>
      <c r="AW308" s="578"/>
      <c r="AX308" s="578"/>
      <c r="AY308" s="578"/>
      <c r="AZ308" s="578"/>
      <c r="BA308" s="578"/>
      <c r="BB308" s="578"/>
      <c r="BC308" s="576"/>
      <c r="BD308" s="576"/>
      <c r="BE308" s="576">
        <f t="shared" si="413"/>
        <v>0</v>
      </c>
      <c r="BF308" s="576">
        <f t="shared" si="414"/>
        <v>0</v>
      </c>
      <c r="BG308" s="576">
        <f t="shared" si="398"/>
        <v>0</v>
      </c>
      <c r="BH308" s="578"/>
      <c r="BI308" s="578"/>
      <c r="BJ308" s="578">
        <f t="shared" si="415"/>
        <v>0</v>
      </c>
      <c r="BK308" s="578">
        <f t="shared" si="416"/>
        <v>0</v>
      </c>
      <c r="BL308" s="576"/>
      <c r="BM308" s="578"/>
      <c r="BN308" s="578"/>
      <c r="BO308" s="578">
        <f t="shared" si="426"/>
        <v>0</v>
      </c>
      <c r="BP308" s="578">
        <f t="shared" si="417"/>
        <v>0</v>
      </c>
      <c r="BQ308" s="576"/>
      <c r="BR308" s="578"/>
      <c r="BS308" s="578"/>
      <c r="BT308" s="536"/>
      <c r="BU308" s="578"/>
      <c r="BV308" s="578"/>
      <c r="BW308" s="578"/>
      <c r="BX308" s="574"/>
      <c r="BY308" s="578"/>
      <c r="BZ308" s="578"/>
      <c r="CA308" s="578"/>
      <c r="CB308" s="578"/>
      <c r="CC308" s="578">
        <f t="shared" si="418"/>
        <v>0</v>
      </c>
      <c r="CD308" s="578"/>
      <c r="CE308" s="578"/>
      <c r="CF308" s="578"/>
      <c r="CG308" s="578"/>
      <c r="CH308" s="578"/>
      <c r="CI308" s="578"/>
      <c r="CJ308" s="578"/>
      <c r="CK308" s="587"/>
      <c r="CL308" s="587"/>
      <c r="CM308" s="528"/>
      <c r="CN308" s="528"/>
      <c r="CO308" s="528"/>
      <c r="CP308" s="592"/>
      <c r="CQ308" s="592"/>
      <c r="CR308" s="592"/>
      <c r="CS308" s="1685"/>
      <c r="CT308" s="1686"/>
      <c r="CU308" s="1686"/>
      <c r="CV308" s="1686"/>
      <c r="CW308" s="1687"/>
      <c r="CX308" s="528"/>
      <c r="CY308" s="528"/>
      <c r="CZ308" s="528"/>
      <c r="DA308" s="528"/>
      <c r="DB308" s="588">
        <f>DB5-(DB31+DB34)-DB241</f>
        <v>113836376.53898349</v>
      </c>
      <c r="DD308" s="535"/>
      <c r="DE308" s="535"/>
      <c r="DF308" s="578">
        <f t="shared" si="436"/>
        <v>0</v>
      </c>
      <c r="DG308" s="578">
        <f t="shared" si="436"/>
        <v>0</v>
      </c>
      <c r="DH308" s="578">
        <f t="shared" si="436"/>
        <v>0</v>
      </c>
      <c r="DI308" s="578">
        <f t="shared" si="436"/>
        <v>0</v>
      </c>
      <c r="DJ308" s="536"/>
      <c r="DK308" s="536"/>
      <c r="DL308" s="536"/>
      <c r="DM308" s="536"/>
      <c r="DN308" s="536"/>
      <c r="DO308" s="536"/>
      <c r="DP308" s="536"/>
      <c r="DQ308" s="536"/>
      <c r="DR308" s="536"/>
      <c r="DS308" s="536"/>
    </row>
    <row r="309" spans="1:123">
      <c r="A309" s="505" t="s">
        <v>1839</v>
      </c>
      <c r="B309" s="506" t="s">
        <v>1840</v>
      </c>
      <c r="C309" s="580">
        <f t="shared" ref="C309:U309" si="463">C310</f>
        <v>147633000</v>
      </c>
      <c r="D309" s="580">
        <f t="shared" si="463"/>
        <v>120732581.28</v>
      </c>
      <c r="E309" s="580">
        <f t="shared" si="463"/>
        <v>120072339.49470405</v>
      </c>
      <c r="F309" s="580">
        <f t="shared" si="463"/>
        <v>95835064.179999992</v>
      </c>
      <c r="G309" s="580">
        <f t="shared" si="463"/>
        <v>33181132.5</v>
      </c>
      <c r="H309" s="580">
        <f t="shared" si="463"/>
        <v>0</v>
      </c>
      <c r="I309" s="580">
        <f t="shared" si="463"/>
        <v>50632265.682514772</v>
      </c>
      <c r="J309" s="580">
        <f t="shared" si="463"/>
        <v>20866745.34</v>
      </c>
      <c r="K309" s="580">
        <f t="shared" si="463"/>
        <v>14752865.216535646</v>
      </c>
      <c r="L309" s="580">
        <f t="shared" si="463"/>
        <v>15012655.125979125</v>
      </c>
      <c r="M309" s="580">
        <f t="shared" si="463"/>
        <v>35619610.556535646</v>
      </c>
      <c r="N309" s="580">
        <f t="shared" si="463"/>
        <v>17974109.34</v>
      </c>
      <c r="O309" s="580">
        <f t="shared" si="463"/>
        <v>-3671109.3399999994</v>
      </c>
      <c r="P309" s="580">
        <f t="shared" si="463"/>
        <v>14303000</v>
      </c>
      <c r="Q309" s="580">
        <f t="shared" si="399"/>
        <v>-36329265.682514772</v>
      </c>
      <c r="R309" s="580">
        <f t="shared" si="400"/>
        <v>-71.751214749729513</v>
      </c>
      <c r="S309" s="580">
        <f t="shared" si="463"/>
        <v>28008806.770054098</v>
      </c>
      <c r="T309" s="580">
        <f t="shared" si="463"/>
        <v>94894848.929851964</v>
      </c>
      <c r="U309" s="580">
        <f t="shared" si="463"/>
        <v>228059763.4919475</v>
      </c>
      <c r="V309" s="580">
        <f t="shared" si="397"/>
        <v>133164914.56209554</v>
      </c>
      <c r="W309" s="580">
        <f t="shared" si="433"/>
        <v>140.32891781147524</v>
      </c>
      <c r="X309" s="580">
        <f t="shared" si="401"/>
        <v>213756763.4919475</v>
      </c>
      <c r="Y309" s="580">
        <f t="shared" si="402"/>
        <v>1494.4890127382193</v>
      </c>
      <c r="Z309" s="580">
        <f t="shared" si="403"/>
        <v>183393081.09129608</v>
      </c>
      <c r="AA309" s="580">
        <f t="shared" si="404"/>
        <v>88498232.161444113</v>
      </c>
      <c r="AB309" s="580">
        <f t="shared" si="434"/>
        <v>93.259258178348176</v>
      </c>
      <c r="AC309" s="580">
        <f t="shared" si="405"/>
        <v>-44666682.400651425</v>
      </c>
      <c r="AD309" s="580">
        <f t="shared" si="420"/>
        <v>-19.585516408828752</v>
      </c>
      <c r="AE309" s="580">
        <f t="shared" si="406"/>
        <v>169090081.09129608</v>
      </c>
      <c r="AF309" s="580">
        <f t="shared" si="407"/>
        <v>1182.2001055114038</v>
      </c>
      <c r="AG309" s="580">
        <f t="shared" si="419"/>
        <v>0</v>
      </c>
      <c r="AH309" s="580">
        <f t="shared" si="408"/>
        <v>-228059763.4919475</v>
      </c>
      <c r="AI309" s="580">
        <f t="shared" si="421"/>
        <v>-100</v>
      </c>
      <c r="AJ309" s="580">
        <f t="shared" si="409"/>
        <v>-183393081.09129608</v>
      </c>
      <c r="AK309" s="580">
        <f t="shared" ref="AK309:AK315" si="464">AG309/Z309*100-100</f>
        <v>-100</v>
      </c>
      <c r="AL309" s="580">
        <f t="shared" ref="AL309" si="465">AL310</f>
        <v>0</v>
      </c>
      <c r="AM309" s="580">
        <f t="shared" si="428"/>
        <v>148390734.76748228</v>
      </c>
      <c r="AN309" s="580">
        <f t="shared" si="428"/>
        <v>125855269.94</v>
      </c>
      <c r="AO309" s="580">
        <f t="shared" si="410"/>
        <v>-22535464.827482283</v>
      </c>
      <c r="AP309" s="580">
        <f t="shared" si="423"/>
        <v>-15.186571360262988</v>
      </c>
      <c r="AQ309" s="580">
        <f t="shared" ref="AQ309:BN309" si="466">AQ310</f>
        <v>107505822.86040799</v>
      </c>
      <c r="AR309" s="580">
        <f t="shared" si="466"/>
        <v>105686119.89999999</v>
      </c>
      <c r="AS309" s="580">
        <f t="shared" si="466"/>
        <v>40884911.907074302</v>
      </c>
      <c r="AT309" s="580">
        <f t="shared" si="466"/>
        <v>20169150.040000003</v>
      </c>
      <c r="AU309" s="580">
        <f t="shared" ref="AU309:AV324" si="467">BB309+BL309</f>
        <v>79669028.724465042</v>
      </c>
      <c r="AV309" s="580">
        <f t="shared" si="467"/>
        <v>57537811.151296079</v>
      </c>
      <c r="AW309" s="580">
        <f t="shared" si="411"/>
        <v>-22131217.573168963</v>
      </c>
      <c r="AX309" s="580">
        <f t="shared" si="424"/>
        <v>-27.778947387082724</v>
      </c>
      <c r="AY309" s="580">
        <f t="shared" ref="AY309:AY319" si="468">BD309+BN309</f>
        <v>-125855269.94</v>
      </c>
      <c r="AZ309" s="580">
        <f t="shared" si="412"/>
        <v>183393081.09129608</v>
      </c>
      <c r="BA309" s="580">
        <f t="shared" si="425"/>
        <v>-145.71744288397821</v>
      </c>
      <c r="BB309" s="580">
        <f t="shared" si="466"/>
        <v>41434128.808756441</v>
      </c>
      <c r="BC309" s="580">
        <f t="shared" si="466"/>
        <v>25085090.615497839</v>
      </c>
      <c r="BD309" s="580">
        <f t="shared" si="466"/>
        <v>11452801.229999995</v>
      </c>
      <c r="BE309" s="580">
        <f t="shared" si="413"/>
        <v>-29981327.578756444</v>
      </c>
      <c r="BF309" s="580">
        <f t="shared" si="414"/>
        <v>-13632289.385497844</v>
      </c>
      <c r="BG309" s="580">
        <f t="shared" si="398"/>
        <v>189824863.57623872</v>
      </c>
      <c r="BH309" s="580">
        <f t="shared" si="466"/>
        <v>150940360.55549783</v>
      </c>
      <c r="BI309" s="580">
        <f t="shared" si="466"/>
        <v>137308071.16999999</v>
      </c>
      <c r="BJ309" s="580">
        <f t="shared" si="415"/>
        <v>-52516792.406238735</v>
      </c>
      <c r="BK309" s="580">
        <f t="shared" si="416"/>
        <v>-13632289.385497838</v>
      </c>
      <c r="BL309" s="580">
        <f t="shared" si="466"/>
        <v>38234899.915708601</v>
      </c>
      <c r="BM309" s="580">
        <f t="shared" si="466"/>
        <v>32452720.535798237</v>
      </c>
      <c r="BN309" s="580">
        <f t="shared" si="466"/>
        <v>-137308071.16999999</v>
      </c>
      <c r="BO309" s="580">
        <f t="shared" si="426"/>
        <v>-175542971.08570859</v>
      </c>
      <c r="BP309" s="580">
        <f t="shared" si="417"/>
        <v>-169760791.70579821</v>
      </c>
      <c r="BQ309" s="580">
        <f t="shared" ref="BQ309:BS309" si="469">BQ310</f>
        <v>38234899.915708601</v>
      </c>
      <c r="BR309" s="580">
        <f t="shared" si="469"/>
        <v>0</v>
      </c>
      <c r="BS309" s="580">
        <f t="shared" si="469"/>
        <v>0</v>
      </c>
      <c r="BU309" s="580">
        <f t="shared" ref="BU309:BW309" si="470">BU310</f>
        <v>0</v>
      </c>
      <c r="BV309" s="580">
        <f t="shared" si="470"/>
        <v>0</v>
      </c>
      <c r="BW309" s="580">
        <f t="shared" si="470"/>
        <v>0</v>
      </c>
      <c r="BX309" s="581"/>
      <c r="BY309" s="580">
        <f>BY310</f>
        <v>0</v>
      </c>
      <c r="BZ309" s="580">
        <f t="shared" ref="BZ309:CB309" si="471">BZ310</f>
        <v>0</v>
      </c>
      <c r="CA309" s="580">
        <f t="shared" si="471"/>
        <v>0</v>
      </c>
      <c r="CB309" s="580">
        <f t="shared" si="471"/>
        <v>0</v>
      </c>
      <c r="CC309" s="580">
        <f t="shared" si="418"/>
        <v>0</v>
      </c>
      <c r="CD309" s="580"/>
      <c r="CE309" s="580"/>
      <c r="CF309" s="580"/>
      <c r="CG309" s="580"/>
      <c r="CH309" s="580"/>
      <c r="CI309" s="580"/>
      <c r="CJ309" s="580"/>
      <c r="CK309" s="508"/>
      <c r="CL309" s="508"/>
      <c r="CM309" s="510"/>
      <c r="CN309" s="510"/>
      <c r="CO309" s="510"/>
      <c r="CP309" s="582">
        <f>CP310</f>
        <v>182955482.39043942</v>
      </c>
      <c r="CQ309" s="582" t="e">
        <f>CQ310</f>
        <v>#REF!</v>
      </c>
      <c r="CR309" s="582" t="e">
        <f>CR310</f>
        <v>#REF!</v>
      </c>
      <c r="CS309" s="1679"/>
      <c r="CT309" s="1680"/>
      <c r="CU309" s="1680"/>
      <c r="CV309" s="1680"/>
      <c r="CW309" s="1681"/>
      <c r="CX309" s="510"/>
      <c r="CY309" s="510"/>
      <c r="CZ309" s="510"/>
      <c r="DA309" s="510"/>
      <c r="DB309" s="582">
        <f>DB310</f>
        <v>105686119.89999999</v>
      </c>
      <c r="DD309" s="517"/>
      <c r="DE309" s="517"/>
      <c r="DF309" s="580">
        <f t="shared" si="436"/>
        <v>0</v>
      </c>
      <c r="DG309" s="580">
        <f t="shared" si="436"/>
        <v>0</v>
      </c>
      <c r="DH309" s="580">
        <f t="shared" si="436"/>
        <v>0</v>
      </c>
      <c r="DI309" s="580">
        <f t="shared" si="436"/>
        <v>0</v>
      </c>
    </row>
    <row r="310" spans="1:123" ht="82.8">
      <c r="A310" s="505" t="s">
        <v>1989</v>
      </c>
      <c r="B310" s="506" t="s">
        <v>1990</v>
      </c>
      <c r="C310" s="580">
        <f>SUM(C311:C317)</f>
        <v>147633000</v>
      </c>
      <c r="D310" s="580">
        <f t="shared" ref="D310:S310" si="472">SUM(D311:D317)</f>
        <v>120732581.28</v>
      </c>
      <c r="E310" s="580">
        <f t="shared" si="472"/>
        <v>120072339.49470405</v>
      </c>
      <c r="F310" s="580">
        <f t="shared" si="472"/>
        <v>95835064.179999992</v>
      </c>
      <c r="G310" s="580">
        <f t="shared" si="472"/>
        <v>33181132.5</v>
      </c>
      <c r="H310" s="580">
        <f t="shared" si="472"/>
        <v>0</v>
      </c>
      <c r="I310" s="580">
        <f t="shared" si="472"/>
        <v>50632265.682514772</v>
      </c>
      <c r="J310" s="580">
        <f>SUM(J311:J317)</f>
        <v>20866745.34</v>
      </c>
      <c r="K310" s="580">
        <f t="shared" si="472"/>
        <v>14752865.216535646</v>
      </c>
      <c r="L310" s="580">
        <f t="shared" si="472"/>
        <v>15012655.125979125</v>
      </c>
      <c r="M310" s="580">
        <f t="shared" si="472"/>
        <v>35619610.556535646</v>
      </c>
      <c r="N310" s="580">
        <f t="shared" si="472"/>
        <v>17974109.34</v>
      </c>
      <c r="O310" s="580">
        <f>SUM(O311:O317)</f>
        <v>-3671109.3399999994</v>
      </c>
      <c r="P310" s="580">
        <f>SUM(P311:P317)</f>
        <v>14303000</v>
      </c>
      <c r="Q310" s="580">
        <f t="shared" si="399"/>
        <v>-36329265.682514772</v>
      </c>
      <c r="R310" s="580">
        <f t="shared" si="400"/>
        <v>-71.751214749729513</v>
      </c>
      <c r="S310" s="580">
        <f t="shared" si="472"/>
        <v>28008806.770054098</v>
      </c>
      <c r="T310" s="580">
        <f>SUM(T311:T317)</f>
        <v>94894848.929851964</v>
      </c>
      <c r="U310" s="580">
        <f>SUM(U311:U317)</f>
        <v>228059763.4919475</v>
      </c>
      <c r="V310" s="580">
        <f t="shared" si="397"/>
        <v>133164914.56209554</v>
      </c>
      <c r="W310" s="580">
        <f t="shared" si="433"/>
        <v>140.32891781147524</v>
      </c>
      <c r="X310" s="580">
        <f t="shared" si="401"/>
        <v>213756763.4919475</v>
      </c>
      <c r="Y310" s="580">
        <f t="shared" si="402"/>
        <v>1494.4890127382193</v>
      </c>
      <c r="Z310" s="580">
        <f>AN310+AV310</f>
        <v>183393081.09129608</v>
      </c>
      <c r="AA310" s="580">
        <f t="shared" si="404"/>
        <v>88498232.161444113</v>
      </c>
      <c r="AB310" s="580">
        <f t="shared" si="434"/>
        <v>93.259258178348176</v>
      </c>
      <c r="AC310" s="580">
        <f t="shared" si="405"/>
        <v>-44666682.400651425</v>
      </c>
      <c r="AD310" s="580">
        <f t="shared" si="420"/>
        <v>-19.585516408828752</v>
      </c>
      <c r="AE310" s="580">
        <f t="shared" si="406"/>
        <v>169090081.09129608</v>
      </c>
      <c r="AF310" s="580">
        <f t="shared" si="407"/>
        <v>1182.2001055114038</v>
      </c>
      <c r="AG310" s="580">
        <f t="shared" si="419"/>
        <v>0</v>
      </c>
      <c r="AH310" s="580">
        <f t="shared" si="408"/>
        <v>-228059763.4919475</v>
      </c>
      <c r="AI310" s="580">
        <f t="shared" si="421"/>
        <v>-100</v>
      </c>
      <c r="AJ310" s="580">
        <f t="shared" si="409"/>
        <v>-183393081.09129608</v>
      </c>
      <c r="AK310" s="580">
        <f t="shared" si="464"/>
        <v>-100</v>
      </c>
      <c r="AL310" s="580">
        <f>SUM(AL311:AL317)</f>
        <v>0</v>
      </c>
      <c r="AM310" s="580">
        <f t="shared" si="428"/>
        <v>148390734.76748228</v>
      </c>
      <c r="AN310" s="580">
        <f t="shared" si="428"/>
        <v>125855269.94</v>
      </c>
      <c r="AO310" s="580">
        <f t="shared" si="410"/>
        <v>-22535464.827482283</v>
      </c>
      <c r="AP310" s="580">
        <f t="shared" si="423"/>
        <v>-15.186571360262988</v>
      </c>
      <c r="AQ310" s="580">
        <f>SUM(AQ311:AQ317)</f>
        <v>107505822.86040799</v>
      </c>
      <c r="AR310" s="580">
        <f>SUM(AR311:AR317)</f>
        <v>105686119.89999999</v>
      </c>
      <c r="AS310" s="580">
        <f>SUM(AS311:AS317)</f>
        <v>40884911.907074302</v>
      </c>
      <c r="AT310" s="580">
        <f>SUM(AT311:AT317)</f>
        <v>20169150.040000003</v>
      </c>
      <c r="AU310" s="580">
        <f t="shared" si="467"/>
        <v>79669028.724465042</v>
      </c>
      <c r="AV310" s="580">
        <f t="shared" si="467"/>
        <v>57537811.151296079</v>
      </c>
      <c r="AW310" s="580">
        <f t="shared" si="411"/>
        <v>-22131217.573168963</v>
      </c>
      <c r="AX310" s="580">
        <f t="shared" si="424"/>
        <v>-27.778947387082724</v>
      </c>
      <c r="AY310" s="580">
        <f t="shared" si="468"/>
        <v>-125855269.94</v>
      </c>
      <c r="AZ310" s="580">
        <f t="shared" si="412"/>
        <v>183393081.09129608</v>
      </c>
      <c r="BA310" s="580">
        <f t="shared" si="425"/>
        <v>-145.71744288397821</v>
      </c>
      <c r="BB310" s="580">
        <f t="shared" ref="BB310:BN310" si="473">SUM(BB311:BB317)</f>
        <v>41434128.808756441</v>
      </c>
      <c r="BC310" s="580">
        <f t="shared" si="473"/>
        <v>25085090.615497839</v>
      </c>
      <c r="BD310" s="580">
        <f t="shared" si="473"/>
        <v>11452801.229999995</v>
      </c>
      <c r="BE310" s="580">
        <f t="shared" si="413"/>
        <v>-29981327.578756444</v>
      </c>
      <c r="BF310" s="580">
        <f t="shared" si="414"/>
        <v>-13632289.385497844</v>
      </c>
      <c r="BG310" s="580">
        <f t="shared" si="398"/>
        <v>189824863.57623872</v>
      </c>
      <c r="BH310" s="580">
        <f t="shared" si="473"/>
        <v>150940360.55549783</v>
      </c>
      <c r="BI310" s="580">
        <f t="shared" si="473"/>
        <v>137308071.16999999</v>
      </c>
      <c r="BJ310" s="580">
        <f t="shared" si="415"/>
        <v>-52516792.406238735</v>
      </c>
      <c r="BK310" s="580">
        <f t="shared" si="416"/>
        <v>-13632289.385497838</v>
      </c>
      <c r="BL310" s="580">
        <f t="shared" si="473"/>
        <v>38234899.915708601</v>
      </c>
      <c r="BM310" s="580">
        <f t="shared" si="473"/>
        <v>32452720.535798237</v>
      </c>
      <c r="BN310" s="580">
        <f t="shared" si="473"/>
        <v>-137308071.16999999</v>
      </c>
      <c r="BO310" s="580">
        <f t="shared" si="426"/>
        <v>-175542971.08570859</v>
      </c>
      <c r="BP310" s="580">
        <f t="shared" si="417"/>
        <v>-169760791.70579821</v>
      </c>
      <c r="BQ310" s="580">
        <f t="shared" ref="BQ310:BS310" si="474">SUM(BQ311:BQ317)</f>
        <v>38234899.915708601</v>
      </c>
      <c r="BR310" s="580">
        <f t="shared" si="474"/>
        <v>0</v>
      </c>
      <c r="BS310" s="580">
        <f t="shared" si="474"/>
        <v>0</v>
      </c>
      <c r="BU310" s="580">
        <f t="shared" ref="BU310:BW310" si="475">SUM(BU311:BU317)</f>
        <v>0</v>
      </c>
      <c r="BV310" s="580">
        <f t="shared" si="475"/>
        <v>0</v>
      </c>
      <c r="BW310" s="580">
        <f t="shared" si="475"/>
        <v>0</v>
      </c>
      <c r="BX310" s="581"/>
      <c r="BY310" s="580">
        <f>SUM(BY311:BY317)</f>
        <v>0</v>
      </c>
      <c r="BZ310" s="580">
        <f t="shared" ref="BZ310:CB310" si="476">SUM(BZ311:BZ317)</f>
        <v>0</v>
      </c>
      <c r="CA310" s="580">
        <f t="shared" si="476"/>
        <v>0</v>
      </c>
      <c r="CB310" s="580">
        <f t="shared" si="476"/>
        <v>0</v>
      </c>
      <c r="CC310" s="580">
        <f t="shared" si="418"/>
        <v>0</v>
      </c>
      <c r="CD310" s="580"/>
      <c r="CE310" s="580"/>
      <c r="CF310" s="580"/>
      <c r="CG310" s="580"/>
      <c r="CH310" s="580"/>
      <c r="CI310" s="580"/>
      <c r="CJ310" s="580"/>
      <c r="CK310" s="508"/>
      <c r="CL310" s="508"/>
      <c r="CM310" s="510"/>
      <c r="CN310" s="510"/>
      <c r="CO310" s="510"/>
      <c r="CP310" s="582">
        <f>SUM(CP311:CP317)</f>
        <v>182955482.39043942</v>
      </c>
      <c r="CQ310" s="582" t="e">
        <f>SUM(CQ311:CQ317)</f>
        <v>#REF!</v>
      </c>
      <c r="CR310" s="582" t="e">
        <f>SUM(CR311:CR317)</f>
        <v>#REF!</v>
      </c>
      <c r="CS310" s="1679"/>
      <c r="CT310" s="1680"/>
      <c r="CU310" s="1680"/>
      <c r="CV310" s="1680"/>
      <c r="CW310" s="1681"/>
      <c r="CX310" s="510"/>
      <c r="CY310" s="510"/>
      <c r="CZ310" s="510"/>
      <c r="DA310" s="510"/>
      <c r="DB310" s="582">
        <f>SUM(DB311:DB317)</f>
        <v>105686119.89999999</v>
      </c>
      <c r="DD310" s="572"/>
      <c r="DE310" s="572"/>
      <c r="DF310" s="580">
        <f t="shared" si="436"/>
        <v>0</v>
      </c>
      <c r="DG310" s="580">
        <f t="shared" si="436"/>
        <v>0</v>
      </c>
      <c r="DH310" s="580">
        <f t="shared" si="436"/>
        <v>0</v>
      </c>
      <c r="DI310" s="580">
        <f t="shared" si="436"/>
        <v>0</v>
      </c>
    </row>
    <row r="311" spans="1:123" s="534" customFormat="1" ht="58.5" customHeight="1">
      <c r="A311" s="537" t="s">
        <v>1241</v>
      </c>
      <c r="B311" s="538" t="s">
        <v>1242</v>
      </c>
      <c r="C311" s="578">
        <v>35421000</v>
      </c>
      <c r="D311" s="576">
        <v>120732581.28</v>
      </c>
      <c r="E311" s="576">
        <v>87318886.204704046</v>
      </c>
      <c r="F311" s="576">
        <v>69266981.099999994</v>
      </c>
      <c r="G311" s="577">
        <v>33181132.5</v>
      </c>
      <c r="H311" s="577">
        <v>0</v>
      </c>
      <c r="I311" s="578">
        <f t="shared" ref="I311:I318" si="477">J311+K311+L311</f>
        <v>16793300.856114771</v>
      </c>
      <c r="J311" s="578">
        <v>0</v>
      </c>
      <c r="K311" s="578">
        <v>18246300.222535636</v>
      </c>
      <c r="L311" s="578">
        <v>-1452999.3664208651</v>
      </c>
      <c r="M311" s="578">
        <f t="shared" ref="M311:M317" si="478">J311+K311</f>
        <v>18246300.222535636</v>
      </c>
      <c r="N311" s="578">
        <v>12169433.539999999</v>
      </c>
      <c r="O311" s="522">
        <f t="shared" ref="O311:O318" si="479">P311-N311</f>
        <v>2591566.4600000009</v>
      </c>
      <c r="P311" s="578">
        <v>14761000</v>
      </c>
      <c r="Q311" s="576">
        <f t="shared" si="399"/>
        <v>-2032300.8561147712</v>
      </c>
      <c r="R311" s="576">
        <f t="shared" si="400"/>
        <v>-12.101854623623737</v>
      </c>
      <c r="S311" s="576">
        <f>28008.8067700541*1000</f>
        <v>28008806.770054098</v>
      </c>
      <c r="T311" s="576">
        <v>94894848.929851964</v>
      </c>
      <c r="U311" s="578">
        <f>(U26-U31-U239-U301-U307)*0.2</f>
        <v>88597255.901424229</v>
      </c>
      <c r="V311" s="578">
        <f t="shared" si="397"/>
        <v>-6297593.028427735</v>
      </c>
      <c r="W311" s="578">
        <f t="shared" si="433"/>
        <v>-6.6363908046084106</v>
      </c>
      <c r="X311" s="578">
        <f t="shared" si="401"/>
        <v>73836255.901424229</v>
      </c>
      <c r="Y311" s="578">
        <f t="shared" si="402"/>
        <v>500.21174650378862</v>
      </c>
      <c r="Z311" s="586">
        <f t="shared" si="403"/>
        <v>57905132.3769968</v>
      </c>
      <c r="AA311" s="578">
        <f t="shared" si="404"/>
        <v>-36989716.552855164</v>
      </c>
      <c r="AB311" s="578">
        <f t="shared" si="434"/>
        <v>-38.979688539468192</v>
      </c>
      <c r="AC311" s="578">
        <f t="shared" si="405"/>
        <v>-30692123.524427429</v>
      </c>
      <c r="AD311" s="578">
        <f t="shared" si="420"/>
        <v>-34.64229587265811</v>
      </c>
      <c r="AE311" s="578">
        <f t="shared" si="406"/>
        <v>43144132.3769968</v>
      </c>
      <c r="AF311" s="578">
        <f t="shared" si="407"/>
        <v>292.28461741749749</v>
      </c>
      <c r="AG311" s="578">
        <f t="shared" si="419"/>
        <v>0</v>
      </c>
      <c r="AH311" s="578">
        <f t="shared" si="408"/>
        <v>-88597255.901424229</v>
      </c>
      <c r="AI311" s="578">
        <f t="shared" si="421"/>
        <v>-100</v>
      </c>
      <c r="AJ311" s="578">
        <f t="shared" si="409"/>
        <v>-57905132.3769968</v>
      </c>
      <c r="AK311" s="578">
        <f t="shared" si="464"/>
        <v>-100</v>
      </c>
      <c r="AL311" s="578"/>
      <c r="AM311" s="578">
        <f>AQ311+AS311</f>
        <v>53753129.966800287</v>
      </c>
      <c r="AN311" s="578">
        <f>AR311+AT311</f>
        <v>36502119.340000004</v>
      </c>
      <c r="AO311" s="578">
        <f t="shared" si="410"/>
        <v>-17251010.626800284</v>
      </c>
      <c r="AP311" s="578">
        <f t="shared" si="423"/>
        <v>-32.093034652038085</v>
      </c>
      <c r="AQ311" s="578">
        <f>(AQ26-AQ31-AQ239-AQ301-AQ307)*0.2</f>
        <v>21553218.204087988</v>
      </c>
      <c r="AR311" s="578">
        <v>18433880.75</v>
      </c>
      <c r="AS311" s="578">
        <f>(AS26-AS31-AS239-AS301-AS307)*0.2</f>
        <v>32199911.7627123</v>
      </c>
      <c r="AT311" s="578">
        <v>18068238.590000004</v>
      </c>
      <c r="AU311" s="578">
        <f t="shared" si="467"/>
        <v>34844125.934623718</v>
      </c>
      <c r="AV311" s="578">
        <f t="shared" si="467"/>
        <v>21403013.036996797</v>
      </c>
      <c r="AW311" s="578">
        <f t="shared" si="411"/>
        <v>-13441112.897626922</v>
      </c>
      <c r="AX311" s="578">
        <f t="shared" si="424"/>
        <v>-38.574975084310637</v>
      </c>
      <c r="AY311" s="578">
        <f t="shared" si="468"/>
        <v>-36502119.340000004</v>
      </c>
      <c r="AZ311" s="578">
        <f t="shared" si="412"/>
        <v>57905132.3769968</v>
      </c>
      <c r="BA311" s="578">
        <f t="shared" si="425"/>
        <v>-158.634987293855</v>
      </c>
      <c r="BB311" s="578">
        <f t="shared" ref="BB311:BM311" si="480">(BB26-BB31-BB239-BB301-BB307)*0.2</f>
        <v>17968751.796456423</v>
      </c>
      <c r="BC311" s="576">
        <f t="shared" si="480"/>
        <v>12627423.504557826</v>
      </c>
      <c r="BD311" s="576">
        <f t="shared" ref="BD311:BD318" si="481">BI311-AN311</f>
        <v>6686518.4299999997</v>
      </c>
      <c r="BE311" s="576">
        <f t="shared" si="413"/>
        <v>-11282233.366456423</v>
      </c>
      <c r="BF311" s="576">
        <f t="shared" si="414"/>
        <v>-5940905.0745578259</v>
      </c>
      <c r="BG311" s="576">
        <f t="shared" si="398"/>
        <v>71721881.763256714</v>
      </c>
      <c r="BH311" s="578">
        <f t="shared" si="398"/>
        <v>49129542.844557829</v>
      </c>
      <c r="BI311" s="578">
        <f>79536000-36347362.23</f>
        <v>43188637.770000003</v>
      </c>
      <c r="BJ311" s="578">
        <f t="shared" si="415"/>
        <v>-28533243.99325671</v>
      </c>
      <c r="BK311" s="578">
        <f t="shared" si="416"/>
        <v>-5940905.0745578259</v>
      </c>
      <c r="BL311" s="576">
        <f t="shared" si="480"/>
        <v>16875374.138167299</v>
      </c>
      <c r="BM311" s="578">
        <f t="shared" si="480"/>
        <v>8775589.5324389692</v>
      </c>
      <c r="BN311" s="522">
        <f t="shared" ref="BN311:BN318" si="482">AL311-BI311</f>
        <v>-43188637.770000003</v>
      </c>
      <c r="BO311" s="578">
        <f t="shared" si="426"/>
        <v>-60064011.908167303</v>
      </c>
      <c r="BP311" s="578">
        <f t="shared" si="417"/>
        <v>-51964227.302438974</v>
      </c>
      <c r="BQ311" s="576">
        <f t="shared" ref="BQ311:BS311" si="483">(BQ26-BQ31-BQ239-BQ301-BQ307)*0.2</f>
        <v>16875374.138167299</v>
      </c>
      <c r="BR311" s="578">
        <f t="shared" si="483"/>
        <v>0</v>
      </c>
      <c r="BS311" s="578">
        <f t="shared" si="483"/>
        <v>0</v>
      </c>
      <c r="BT311" s="536"/>
      <c r="BU311" s="578"/>
      <c r="BV311" s="578"/>
      <c r="BW311" s="578"/>
      <c r="BX311" s="574"/>
      <c r="BY311" s="578"/>
      <c r="BZ311" s="578"/>
      <c r="CA311" s="578"/>
      <c r="CB311" s="578"/>
      <c r="CC311" s="578">
        <f t="shared" si="418"/>
        <v>0</v>
      </c>
      <c r="CD311" s="578"/>
      <c r="CE311" s="578"/>
      <c r="CF311" s="578"/>
      <c r="CG311" s="578"/>
      <c r="CH311" s="578"/>
      <c r="CI311" s="578"/>
      <c r="CJ311" s="578"/>
      <c r="CK311" s="542" t="s">
        <v>1881</v>
      </c>
      <c r="CL311" s="542" t="s">
        <v>1991</v>
      </c>
      <c r="CM311" s="528" t="s">
        <v>1990</v>
      </c>
      <c r="CN311" s="528" t="s">
        <v>1849</v>
      </c>
      <c r="CO311" s="528"/>
      <c r="CP311" s="579">
        <f>(CP26-CP31-CP239-CP301-CP307)*0.2</f>
        <v>56557054.114280753</v>
      </c>
      <c r="CQ311" s="579" t="e">
        <f>(CQ26-CQ31-CQ239-CQ301-CQ307)*0.2</f>
        <v>#REF!</v>
      </c>
      <c r="CR311" s="579" t="e">
        <f>(CR26-CR31-CR239-CR301-CR307)*0.2</f>
        <v>#REF!</v>
      </c>
      <c r="CS311" s="1688" t="s">
        <v>1992</v>
      </c>
      <c r="CT311" s="1689"/>
      <c r="CU311" s="1689"/>
      <c r="CV311" s="1689"/>
      <c r="CW311" s="1690"/>
      <c r="CX311" s="528"/>
      <c r="CY311" s="528"/>
      <c r="CZ311" s="528"/>
      <c r="DA311" s="528"/>
      <c r="DB311" s="579">
        <f>30811777.14-12377896.39</f>
        <v>18433880.75</v>
      </c>
      <c r="DD311" s="535"/>
      <c r="DE311" s="535"/>
      <c r="DF311" s="578">
        <f t="shared" si="436"/>
        <v>0</v>
      </c>
      <c r="DG311" s="578">
        <f t="shared" si="436"/>
        <v>0</v>
      </c>
      <c r="DH311" s="578">
        <f t="shared" si="436"/>
        <v>0</v>
      </c>
      <c r="DI311" s="578">
        <f t="shared" si="436"/>
        <v>0</v>
      </c>
      <c r="DJ311" s="536"/>
      <c r="DK311" s="536"/>
      <c r="DL311" s="536"/>
      <c r="DM311" s="536"/>
      <c r="DN311" s="536"/>
      <c r="DO311" s="536"/>
      <c r="DP311" s="536"/>
      <c r="DQ311" s="536"/>
      <c r="DR311" s="536"/>
      <c r="DS311" s="536"/>
    </row>
    <row r="312" spans="1:123" s="534" customFormat="1" ht="53.25" customHeight="1">
      <c r="A312" s="537" t="s">
        <v>1246</v>
      </c>
      <c r="B312" s="538" t="s">
        <v>1247</v>
      </c>
      <c r="C312" s="578">
        <v>83652000</v>
      </c>
      <c r="D312" s="578"/>
      <c r="E312" s="578">
        <v>0</v>
      </c>
      <c r="F312" s="576">
        <v>22993640.02</v>
      </c>
      <c r="G312" s="577">
        <v>0</v>
      </c>
      <c r="H312" s="577">
        <v>0</v>
      </c>
      <c r="I312" s="578">
        <f t="shared" si="477"/>
        <v>-699107.79</v>
      </c>
      <c r="J312" s="578">
        <v>-699107.79</v>
      </c>
      <c r="K312" s="578">
        <v>0</v>
      </c>
      <c r="L312" s="578">
        <v>0</v>
      </c>
      <c r="M312" s="578">
        <f t="shared" si="478"/>
        <v>-699107.79</v>
      </c>
      <c r="N312" s="578">
        <v>-2055526.54</v>
      </c>
      <c r="O312" s="522">
        <f t="shared" si="479"/>
        <v>-138473.45999999996</v>
      </c>
      <c r="P312" s="578">
        <v>-2194000</v>
      </c>
      <c r="Q312" s="578">
        <f t="shared" si="399"/>
        <v>-1494892.21</v>
      </c>
      <c r="R312" s="578">
        <f t="shared" si="400"/>
        <v>213.82857284425336</v>
      </c>
      <c r="S312" s="576"/>
      <c r="T312" s="576"/>
      <c r="U312" s="578">
        <v>0</v>
      </c>
      <c r="V312" s="578">
        <f t="shared" si="397"/>
        <v>0</v>
      </c>
      <c r="W312" s="578">
        <v>0</v>
      </c>
      <c r="X312" s="578">
        <f t="shared" si="401"/>
        <v>2194000</v>
      </c>
      <c r="Y312" s="578">
        <f t="shared" si="402"/>
        <v>-100</v>
      </c>
      <c r="Z312" s="586">
        <f t="shared" si="403"/>
        <v>2648243.7999999998</v>
      </c>
      <c r="AA312" s="578">
        <f t="shared" si="404"/>
        <v>2648243.7999999998</v>
      </c>
      <c r="AB312" s="578">
        <v>0</v>
      </c>
      <c r="AC312" s="578">
        <f t="shared" si="405"/>
        <v>2648243.7999999998</v>
      </c>
      <c r="AD312" s="578">
        <v>0</v>
      </c>
      <c r="AE312" s="578">
        <f t="shared" si="406"/>
        <v>4842243.8</v>
      </c>
      <c r="AF312" s="578">
        <f t="shared" si="407"/>
        <v>-220.70391066545125</v>
      </c>
      <c r="AG312" s="578">
        <f t="shared" si="419"/>
        <v>0</v>
      </c>
      <c r="AH312" s="578">
        <f t="shared" si="408"/>
        <v>0</v>
      </c>
      <c r="AI312" s="578">
        <v>0</v>
      </c>
      <c r="AJ312" s="578">
        <f t="shared" si="409"/>
        <v>-2648243.7999999998</v>
      </c>
      <c r="AK312" s="578">
        <f t="shared" si="464"/>
        <v>-100</v>
      </c>
      <c r="AL312" s="578"/>
      <c r="AM312" s="578">
        <f t="shared" si="428"/>
        <v>0</v>
      </c>
      <c r="AN312" s="578">
        <f t="shared" si="428"/>
        <v>2648243.7999999998</v>
      </c>
      <c r="AO312" s="578">
        <f t="shared" si="410"/>
        <v>2648243.7999999998</v>
      </c>
      <c r="AP312" s="578">
        <v>0</v>
      </c>
      <c r="AQ312" s="578">
        <v>0</v>
      </c>
      <c r="AR312" s="578">
        <v>4223707.51</v>
      </c>
      <c r="AS312" s="578">
        <v>0</v>
      </c>
      <c r="AT312" s="578">
        <v>-1575463.71</v>
      </c>
      <c r="AU312" s="578">
        <f t="shared" si="467"/>
        <v>0</v>
      </c>
      <c r="AV312" s="578">
        <f t="shared" si="467"/>
        <v>0</v>
      </c>
      <c r="AW312" s="578">
        <f t="shared" si="411"/>
        <v>0</v>
      </c>
      <c r="AX312" s="578">
        <v>0</v>
      </c>
      <c r="AY312" s="578">
        <f t="shared" si="468"/>
        <v>-2648243.7999999998</v>
      </c>
      <c r="AZ312" s="578">
        <f t="shared" si="412"/>
        <v>2648243.7999999998</v>
      </c>
      <c r="BA312" s="578">
        <v>0</v>
      </c>
      <c r="BB312" s="578">
        <v>0</v>
      </c>
      <c r="BC312" s="576">
        <f>'[67]Дир_по экон'!AT45</f>
        <v>0</v>
      </c>
      <c r="BD312" s="576">
        <f t="shared" si="481"/>
        <v>1123249.1900000004</v>
      </c>
      <c r="BE312" s="576">
        <f t="shared" si="413"/>
        <v>1123249.1900000004</v>
      </c>
      <c r="BF312" s="576">
        <f t="shared" si="414"/>
        <v>1123249.1900000004</v>
      </c>
      <c r="BG312" s="576">
        <f t="shared" si="398"/>
        <v>0</v>
      </c>
      <c r="BH312" s="578">
        <f t="shared" si="398"/>
        <v>2648243.7999999998</v>
      </c>
      <c r="BI312" s="578">
        <v>3771492.99</v>
      </c>
      <c r="BJ312" s="578">
        <f t="shared" si="415"/>
        <v>3771492.99</v>
      </c>
      <c r="BK312" s="578">
        <f t="shared" si="416"/>
        <v>1123249.1900000004</v>
      </c>
      <c r="BL312" s="576">
        <v>0</v>
      </c>
      <c r="BM312" s="578">
        <f>'[67]Дир_по экон'!AW45</f>
        <v>0</v>
      </c>
      <c r="BN312" s="522">
        <f t="shared" si="482"/>
        <v>-3771492.99</v>
      </c>
      <c r="BO312" s="578">
        <f t="shared" si="426"/>
        <v>-3771492.99</v>
      </c>
      <c r="BP312" s="578">
        <f t="shared" si="417"/>
        <v>-3771492.99</v>
      </c>
      <c r="BQ312" s="576">
        <v>0</v>
      </c>
      <c r="BR312" s="578">
        <f>'[67]Дир_по экон'!BB45</f>
        <v>0</v>
      </c>
      <c r="BS312" s="578">
        <f>'[67]Дир_по экон'!BC45</f>
        <v>0</v>
      </c>
      <c r="BT312" s="536"/>
      <c r="BU312" s="578"/>
      <c r="BV312" s="578"/>
      <c r="BW312" s="578"/>
      <c r="BX312" s="574"/>
      <c r="BY312" s="522"/>
      <c r="BZ312" s="522"/>
      <c r="CA312" s="522"/>
      <c r="CB312" s="522"/>
      <c r="CC312" s="522">
        <f t="shared" si="418"/>
        <v>0</v>
      </c>
      <c r="CD312" s="578"/>
      <c r="CE312" s="578"/>
      <c r="CF312" s="578"/>
      <c r="CG312" s="578"/>
      <c r="CH312" s="578"/>
      <c r="CI312" s="578"/>
      <c r="CJ312" s="578"/>
      <c r="CK312" s="543" t="s">
        <v>77</v>
      </c>
      <c r="CL312" s="542" t="s">
        <v>1800</v>
      </c>
      <c r="CM312" s="528" t="s">
        <v>1990</v>
      </c>
      <c r="CN312" s="528" t="s">
        <v>1849</v>
      </c>
      <c r="CO312" s="528"/>
      <c r="CP312" s="544">
        <f>U312*$CU$7/100</f>
        <v>0</v>
      </c>
      <c r="CQ312" s="544">
        <f>U312*$CU$8/100</f>
        <v>0</v>
      </c>
      <c r="CR312" s="544">
        <f>U312*$CU$9/100</f>
        <v>0</v>
      </c>
      <c r="CS312" s="1688" t="s">
        <v>1826</v>
      </c>
      <c r="CT312" s="1689"/>
      <c r="CU312" s="1689"/>
      <c r="CV312" s="1689"/>
      <c r="CW312" s="1690"/>
      <c r="CX312" s="528"/>
      <c r="CY312" s="528"/>
      <c r="CZ312" s="528"/>
      <c r="DA312" s="528"/>
      <c r="DB312" s="579">
        <v>4223707.51</v>
      </c>
      <c r="DD312" s="535"/>
      <c r="DE312" s="535"/>
      <c r="DF312" s="522">
        <f t="shared" si="436"/>
        <v>0</v>
      </c>
      <c r="DG312" s="522">
        <f t="shared" si="436"/>
        <v>0</v>
      </c>
      <c r="DH312" s="522">
        <f t="shared" si="436"/>
        <v>0</v>
      </c>
      <c r="DI312" s="522">
        <f t="shared" si="436"/>
        <v>0</v>
      </c>
      <c r="DJ312" s="536"/>
      <c r="DK312" s="536"/>
      <c r="DL312" s="536"/>
      <c r="DM312" s="536"/>
      <c r="DN312" s="536"/>
      <c r="DO312" s="536"/>
      <c r="DP312" s="536"/>
      <c r="DQ312" s="536"/>
      <c r="DR312" s="536"/>
      <c r="DS312" s="536"/>
    </row>
    <row r="313" spans="1:123" s="534" customFormat="1" ht="56.25" customHeight="1">
      <c r="A313" s="537" t="s">
        <v>1250</v>
      </c>
      <c r="B313" s="538" t="s">
        <v>1251</v>
      </c>
      <c r="C313" s="578">
        <v>-2050000</v>
      </c>
      <c r="D313" s="578"/>
      <c r="E313" s="578">
        <v>0</v>
      </c>
      <c r="F313" s="576">
        <v>-1906538.02</v>
      </c>
      <c r="G313" s="577">
        <v>0</v>
      </c>
      <c r="H313" s="577">
        <v>0</v>
      </c>
      <c r="I313" s="578">
        <f t="shared" si="477"/>
        <v>-10445774.49</v>
      </c>
      <c r="J313" s="578">
        <v>-10445774.49</v>
      </c>
      <c r="K313" s="578">
        <v>0</v>
      </c>
      <c r="L313" s="578">
        <v>0</v>
      </c>
      <c r="M313" s="578">
        <f t="shared" si="478"/>
        <v>-10445774.49</v>
      </c>
      <c r="N313" s="578">
        <v>-3273671.39</v>
      </c>
      <c r="O313" s="522">
        <f t="shared" si="479"/>
        <v>-2124328.61</v>
      </c>
      <c r="P313" s="578">
        <v>-5398000</v>
      </c>
      <c r="Q313" s="578">
        <f t="shared" si="399"/>
        <v>5047774.49</v>
      </c>
      <c r="R313" s="578">
        <f t="shared" si="400"/>
        <v>-48.323601996504514</v>
      </c>
      <c r="S313" s="576"/>
      <c r="T313" s="576"/>
      <c r="U313" s="578">
        <v>0</v>
      </c>
      <c r="V313" s="578">
        <f t="shared" si="397"/>
        <v>0</v>
      </c>
      <c r="W313" s="578">
        <v>0</v>
      </c>
      <c r="X313" s="578">
        <f t="shared" si="401"/>
        <v>5398000</v>
      </c>
      <c r="Y313" s="578">
        <f t="shared" si="402"/>
        <v>-100</v>
      </c>
      <c r="Z313" s="586">
        <f t="shared" si="403"/>
        <v>-979673.85999999987</v>
      </c>
      <c r="AA313" s="578">
        <f t="shared" si="404"/>
        <v>-979673.85999999987</v>
      </c>
      <c r="AB313" s="578">
        <v>0</v>
      </c>
      <c r="AC313" s="578">
        <f t="shared" si="405"/>
        <v>-979673.85999999987</v>
      </c>
      <c r="AD313" s="578">
        <v>0</v>
      </c>
      <c r="AE313" s="578">
        <f t="shared" si="406"/>
        <v>4418326.1400000006</v>
      </c>
      <c r="AF313" s="578">
        <f t="shared" si="407"/>
        <v>-81.851169692478692</v>
      </c>
      <c r="AG313" s="578">
        <f t="shared" si="419"/>
        <v>0</v>
      </c>
      <c r="AH313" s="578">
        <f t="shared" si="408"/>
        <v>0</v>
      </c>
      <c r="AI313" s="578">
        <v>0</v>
      </c>
      <c r="AJ313" s="578">
        <f t="shared" si="409"/>
        <v>979673.85999999987</v>
      </c>
      <c r="AK313" s="578">
        <f t="shared" si="464"/>
        <v>-100</v>
      </c>
      <c r="AL313" s="578"/>
      <c r="AM313" s="578">
        <f t="shared" si="428"/>
        <v>0</v>
      </c>
      <c r="AN313" s="578">
        <f t="shared" si="428"/>
        <v>-979673.85999999987</v>
      </c>
      <c r="AO313" s="578">
        <f t="shared" si="410"/>
        <v>-979673.85999999987</v>
      </c>
      <c r="AP313" s="578">
        <v>0</v>
      </c>
      <c r="AQ313" s="578">
        <v>0</v>
      </c>
      <c r="AR313" s="578">
        <v>109635.25</v>
      </c>
      <c r="AS313" s="578">
        <v>0</v>
      </c>
      <c r="AT313" s="578">
        <v>-1089309.1099999999</v>
      </c>
      <c r="AU313" s="578">
        <f t="shared" si="467"/>
        <v>0</v>
      </c>
      <c r="AV313" s="578">
        <f t="shared" si="467"/>
        <v>0</v>
      </c>
      <c r="AW313" s="578">
        <f t="shared" si="411"/>
        <v>0</v>
      </c>
      <c r="AX313" s="578">
        <v>0</v>
      </c>
      <c r="AY313" s="578">
        <f t="shared" si="468"/>
        <v>979673.85999999987</v>
      </c>
      <c r="AZ313" s="578">
        <f t="shared" si="412"/>
        <v>-979673.85999999987</v>
      </c>
      <c r="BA313" s="578">
        <v>0</v>
      </c>
      <c r="BB313" s="578">
        <v>0</v>
      </c>
      <c r="BC313" s="576">
        <f>'[67]Дир_по экон'!AT46</f>
        <v>0</v>
      </c>
      <c r="BD313" s="576">
        <f t="shared" si="481"/>
        <v>-1435747.96</v>
      </c>
      <c r="BE313" s="576">
        <f t="shared" si="413"/>
        <v>-1435747.96</v>
      </c>
      <c r="BF313" s="576">
        <f t="shared" si="414"/>
        <v>-1435747.96</v>
      </c>
      <c r="BG313" s="576">
        <f t="shared" si="398"/>
        <v>0</v>
      </c>
      <c r="BH313" s="578">
        <f t="shared" si="398"/>
        <v>-979673.85999999987</v>
      </c>
      <c r="BI313" s="578">
        <v>-2415421.8199999998</v>
      </c>
      <c r="BJ313" s="578">
        <f t="shared" si="415"/>
        <v>-2415421.8199999998</v>
      </c>
      <c r="BK313" s="578">
        <f t="shared" si="416"/>
        <v>-1435747.96</v>
      </c>
      <c r="BL313" s="576">
        <v>0</v>
      </c>
      <c r="BM313" s="578">
        <f>'[67]Дир_по экон'!AW46</f>
        <v>0</v>
      </c>
      <c r="BN313" s="522">
        <f t="shared" si="482"/>
        <v>2415421.8199999998</v>
      </c>
      <c r="BO313" s="578">
        <f t="shared" si="426"/>
        <v>2415421.8199999998</v>
      </c>
      <c r="BP313" s="578">
        <f t="shared" si="417"/>
        <v>2415421.8199999998</v>
      </c>
      <c r="BQ313" s="576">
        <v>0</v>
      </c>
      <c r="BR313" s="578">
        <f>'[67]Дир_по экон'!BB46</f>
        <v>0</v>
      </c>
      <c r="BS313" s="578">
        <f>'[67]Дир_по экон'!BC46</f>
        <v>0</v>
      </c>
      <c r="BT313" s="536"/>
      <c r="BU313" s="578"/>
      <c r="BV313" s="578"/>
      <c r="BW313" s="578"/>
      <c r="BX313" s="574"/>
      <c r="BY313" s="522"/>
      <c r="BZ313" s="522"/>
      <c r="CA313" s="522"/>
      <c r="CB313" s="522"/>
      <c r="CC313" s="522">
        <f t="shared" si="418"/>
        <v>0</v>
      </c>
      <c r="CD313" s="578"/>
      <c r="CE313" s="578"/>
      <c r="CF313" s="578"/>
      <c r="CG313" s="578"/>
      <c r="CH313" s="578"/>
      <c r="CI313" s="578"/>
      <c r="CJ313" s="578"/>
      <c r="CK313" s="543" t="s">
        <v>77</v>
      </c>
      <c r="CL313" s="542" t="s">
        <v>1800</v>
      </c>
      <c r="CM313" s="528" t="s">
        <v>1990</v>
      </c>
      <c r="CN313" s="528" t="s">
        <v>1849</v>
      </c>
      <c r="CO313" s="528"/>
      <c r="CP313" s="544">
        <f>U313*$CU$7/100</f>
        <v>0</v>
      </c>
      <c r="CQ313" s="544">
        <f>U313*$CU$8/100</f>
        <v>0</v>
      </c>
      <c r="CR313" s="544">
        <f>U313*$CU$9/100</f>
        <v>0</v>
      </c>
      <c r="CS313" s="1688" t="s">
        <v>1826</v>
      </c>
      <c r="CT313" s="1689"/>
      <c r="CU313" s="1689"/>
      <c r="CV313" s="1689"/>
      <c r="CW313" s="1690"/>
      <c r="CX313" s="528"/>
      <c r="CY313" s="528"/>
      <c r="CZ313" s="528"/>
      <c r="DA313" s="528"/>
      <c r="DB313" s="579">
        <v>109635.25</v>
      </c>
      <c r="DD313" s="535"/>
      <c r="DE313" s="535"/>
      <c r="DF313" s="522">
        <f t="shared" si="436"/>
        <v>0</v>
      </c>
      <c r="DG313" s="522">
        <f t="shared" si="436"/>
        <v>0</v>
      </c>
      <c r="DH313" s="522">
        <f t="shared" si="436"/>
        <v>0</v>
      </c>
      <c r="DI313" s="522">
        <f t="shared" si="436"/>
        <v>0</v>
      </c>
      <c r="DJ313" s="536"/>
      <c r="DK313" s="536"/>
      <c r="DL313" s="536"/>
      <c r="DM313" s="536"/>
      <c r="DN313" s="536"/>
      <c r="DO313" s="536"/>
      <c r="DP313" s="536"/>
      <c r="DQ313" s="536"/>
      <c r="DR313" s="536"/>
      <c r="DS313" s="536"/>
    </row>
    <row r="314" spans="1:123" s="534" customFormat="1" ht="36.75" customHeight="1">
      <c r="A314" s="537" t="s">
        <v>1254</v>
      </c>
      <c r="B314" s="538" t="s">
        <v>1255</v>
      </c>
      <c r="C314" s="578"/>
      <c r="D314" s="578"/>
      <c r="E314" s="578">
        <v>0</v>
      </c>
      <c r="F314" s="576">
        <v>5480981.0800000001</v>
      </c>
      <c r="G314" s="577">
        <v>0</v>
      </c>
      <c r="H314" s="577">
        <v>0</v>
      </c>
      <c r="I314" s="578">
        <f t="shared" si="477"/>
        <v>32011627.620000001</v>
      </c>
      <c r="J314" s="578">
        <v>32011627.620000001</v>
      </c>
      <c r="K314" s="578"/>
      <c r="L314" s="578">
        <v>0</v>
      </c>
      <c r="M314" s="578">
        <f t="shared" si="478"/>
        <v>32011627.620000001</v>
      </c>
      <c r="N314" s="578">
        <v>11133873.73</v>
      </c>
      <c r="O314" s="522">
        <f t="shared" si="479"/>
        <v>-3999873.7300000004</v>
      </c>
      <c r="P314" s="578">
        <v>7134000</v>
      </c>
      <c r="Q314" s="578">
        <f t="shared" si="399"/>
        <v>-24877627.620000001</v>
      </c>
      <c r="R314" s="578">
        <f t="shared" si="400"/>
        <v>-77.714347784231791</v>
      </c>
      <c r="S314" s="576"/>
      <c r="T314" s="576"/>
      <c r="U314" s="578">
        <f>AQ314+AS314+BB314+BL314</f>
        <v>11707000</v>
      </c>
      <c r="V314" s="578">
        <f t="shared" si="397"/>
        <v>11707000</v>
      </c>
      <c r="W314" s="578">
        <v>0</v>
      </c>
      <c r="X314" s="578">
        <f t="shared" si="401"/>
        <v>4573000</v>
      </c>
      <c r="Y314" s="578">
        <f t="shared" si="402"/>
        <v>64.101485842444646</v>
      </c>
      <c r="Z314" s="586">
        <f t="shared" si="403"/>
        <v>562901</v>
      </c>
      <c r="AA314" s="578">
        <f t="shared" si="404"/>
        <v>562901</v>
      </c>
      <c r="AB314" s="578">
        <v>0</v>
      </c>
      <c r="AC314" s="578">
        <f t="shared" si="405"/>
        <v>-11144099</v>
      </c>
      <c r="AD314" s="578">
        <f t="shared" si="420"/>
        <v>-95.1917570684206</v>
      </c>
      <c r="AE314" s="578">
        <f t="shared" si="406"/>
        <v>-6571099</v>
      </c>
      <c r="AF314" s="578">
        <f t="shared" si="407"/>
        <v>-92.109601906363892</v>
      </c>
      <c r="AG314" s="578">
        <f t="shared" si="419"/>
        <v>0</v>
      </c>
      <c r="AH314" s="578">
        <f t="shared" si="408"/>
        <v>-11707000</v>
      </c>
      <c r="AI314" s="578">
        <f t="shared" si="421"/>
        <v>-100</v>
      </c>
      <c r="AJ314" s="578">
        <f t="shared" si="409"/>
        <v>-562901</v>
      </c>
      <c r="AK314" s="578">
        <f t="shared" si="464"/>
        <v>-100</v>
      </c>
      <c r="AL314" s="578"/>
      <c r="AM314" s="578">
        <f t="shared" si="428"/>
        <v>11707000</v>
      </c>
      <c r="AN314" s="578">
        <f t="shared" si="428"/>
        <v>562901</v>
      </c>
      <c r="AO314" s="578">
        <f t="shared" si="410"/>
        <v>-11144099</v>
      </c>
      <c r="AP314" s="578">
        <f t="shared" si="423"/>
        <v>-95.1917570684206</v>
      </c>
      <c r="AQ314" s="578">
        <v>11707000</v>
      </c>
      <c r="AR314" s="578">
        <v>1312889</v>
      </c>
      <c r="AS314" s="578">
        <v>0</v>
      </c>
      <c r="AT314" s="578">
        <v>-749988</v>
      </c>
      <c r="AU314" s="578">
        <f t="shared" si="467"/>
        <v>0</v>
      </c>
      <c r="AV314" s="578">
        <f t="shared" si="467"/>
        <v>0</v>
      </c>
      <c r="AW314" s="578">
        <f t="shared" si="411"/>
        <v>0</v>
      </c>
      <c r="AX314" s="578">
        <v>0</v>
      </c>
      <c r="AY314" s="578">
        <f t="shared" si="468"/>
        <v>-562901</v>
      </c>
      <c r="AZ314" s="578">
        <f t="shared" si="412"/>
        <v>562901</v>
      </c>
      <c r="BA314" s="578">
        <v>0</v>
      </c>
      <c r="BB314" s="578">
        <v>0</v>
      </c>
      <c r="BC314" s="576">
        <f>'[67]Дир_по экон'!AT47</f>
        <v>0</v>
      </c>
      <c r="BD314" s="576">
        <f t="shared" si="481"/>
        <v>18018.560000000056</v>
      </c>
      <c r="BE314" s="576">
        <f t="shared" si="413"/>
        <v>18018.560000000056</v>
      </c>
      <c r="BF314" s="576">
        <f t="shared" si="414"/>
        <v>18018.560000000056</v>
      </c>
      <c r="BG314" s="576">
        <f t="shared" si="398"/>
        <v>11707000</v>
      </c>
      <c r="BH314" s="578">
        <f t="shared" si="398"/>
        <v>562901</v>
      </c>
      <c r="BI314" s="578">
        <v>580919.56000000006</v>
      </c>
      <c r="BJ314" s="578">
        <f t="shared" si="415"/>
        <v>-11126080.439999999</v>
      </c>
      <c r="BK314" s="578">
        <f t="shared" si="416"/>
        <v>18018.560000000056</v>
      </c>
      <c r="BL314" s="576">
        <v>0</v>
      </c>
      <c r="BM314" s="578">
        <f>'[67]Дир_по экон'!AW47</f>
        <v>0</v>
      </c>
      <c r="BN314" s="522">
        <f t="shared" si="482"/>
        <v>-580919.56000000006</v>
      </c>
      <c r="BO314" s="578">
        <f t="shared" si="426"/>
        <v>-580919.56000000006</v>
      </c>
      <c r="BP314" s="578">
        <f t="shared" si="417"/>
        <v>-580919.56000000006</v>
      </c>
      <c r="BQ314" s="576">
        <v>0</v>
      </c>
      <c r="BR314" s="578">
        <f>'[67]Дир_по экон'!BB47</f>
        <v>0</v>
      </c>
      <c r="BS314" s="578">
        <f>'[67]Дир_по экон'!BC47</f>
        <v>0</v>
      </c>
      <c r="BT314" s="536"/>
      <c r="BU314" s="578"/>
      <c r="BV314" s="578"/>
      <c r="BW314" s="578"/>
      <c r="BX314" s="574"/>
      <c r="BY314" s="522"/>
      <c r="BZ314" s="522"/>
      <c r="CA314" s="522"/>
      <c r="CB314" s="522"/>
      <c r="CC314" s="522">
        <f t="shared" si="418"/>
        <v>0</v>
      </c>
      <c r="CD314" s="578"/>
      <c r="CE314" s="578"/>
      <c r="CF314" s="578"/>
      <c r="CG314" s="578"/>
      <c r="CH314" s="578"/>
      <c r="CI314" s="578"/>
      <c r="CJ314" s="578"/>
      <c r="CK314" s="543" t="s">
        <v>77</v>
      </c>
      <c r="CL314" s="542" t="s">
        <v>1800</v>
      </c>
      <c r="CM314" s="528" t="s">
        <v>1990</v>
      </c>
      <c r="CN314" s="528" t="s">
        <v>1849</v>
      </c>
      <c r="CO314" s="528"/>
      <c r="CP314" s="544">
        <f>U314*$CU$7/100</f>
        <v>10801117.611415265</v>
      </c>
      <c r="CQ314" s="544">
        <f>U314*$CU$8/100</f>
        <v>793377.32628334593</v>
      </c>
      <c r="CR314" s="544">
        <f>U314*$CU$9/100</f>
        <v>112505.06230138942</v>
      </c>
      <c r="CS314" s="1688" t="s">
        <v>1826</v>
      </c>
      <c r="CT314" s="1689"/>
      <c r="CU314" s="1689"/>
      <c r="CV314" s="1689"/>
      <c r="CW314" s="1690"/>
      <c r="CX314" s="528"/>
      <c r="CY314" s="528"/>
      <c r="CZ314" s="528"/>
      <c r="DA314" s="528"/>
      <c r="DB314" s="579">
        <f>1312889</f>
        <v>1312889</v>
      </c>
      <c r="DD314" s="535"/>
      <c r="DE314" s="535"/>
      <c r="DF314" s="522">
        <f t="shared" si="436"/>
        <v>0</v>
      </c>
      <c r="DG314" s="522">
        <f t="shared" si="436"/>
        <v>0</v>
      </c>
      <c r="DH314" s="522">
        <f t="shared" si="436"/>
        <v>0</v>
      </c>
      <c r="DI314" s="522">
        <f t="shared" si="436"/>
        <v>0</v>
      </c>
      <c r="DJ314" s="536"/>
      <c r="DK314" s="536"/>
      <c r="DL314" s="536"/>
      <c r="DM314" s="536"/>
      <c r="DN314" s="536"/>
      <c r="DO314" s="536"/>
      <c r="DP314" s="536"/>
      <c r="DQ314" s="536"/>
      <c r="DR314" s="536"/>
      <c r="DS314" s="536"/>
    </row>
    <row r="315" spans="1:123" s="534" customFormat="1" ht="53.25" customHeight="1">
      <c r="A315" s="537" t="s">
        <v>1258</v>
      </c>
      <c r="B315" s="538" t="s">
        <v>1259</v>
      </c>
      <c r="C315" s="578"/>
      <c r="D315" s="578"/>
      <c r="E315" s="578">
        <v>0</v>
      </c>
      <c r="F315" s="576"/>
      <c r="G315" s="577">
        <v>0</v>
      </c>
      <c r="H315" s="577">
        <v>0</v>
      </c>
      <c r="I315" s="578">
        <f t="shared" si="477"/>
        <v>0</v>
      </c>
      <c r="J315" s="578">
        <v>0</v>
      </c>
      <c r="K315" s="578">
        <v>0</v>
      </c>
      <c r="L315" s="578">
        <v>0</v>
      </c>
      <c r="M315" s="578">
        <f t="shared" si="478"/>
        <v>0</v>
      </c>
      <c r="N315" s="578"/>
      <c r="O315" s="522">
        <f t="shared" si="479"/>
        <v>0</v>
      </c>
      <c r="P315" s="578"/>
      <c r="Q315" s="578">
        <f t="shared" si="399"/>
        <v>0</v>
      </c>
      <c r="R315" s="578">
        <v>0</v>
      </c>
      <c r="S315" s="576"/>
      <c r="T315" s="576"/>
      <c r="U315" s="578">
        <f>AQ315+AS315+BB315+BL315</f>
        <v>69227000</v>
      </c>
      <c r="V315" s="578">
        <f t="shared" si="397"/>
        <v>69227000</v>
      </c>
      <c r="W315" s="578">
        <v>0</v>
      </c>
      <c r="X315" s="578">
        <f t="shared" si="401"/>
        <v>69227000</v>
      </c>
      <c r="Y315" s="578">
        <v>0</v>
      </c>
      <c r="Z315" s="586">
        <f t="shared" si="403"/>
        <v>66030799</v>
      </c>
      <c r="AA315" s="578">
        <f t="shared" si="404"/>
        <v>66030799</v>
      </c>
      <c r="AB315" s="578">
        <v>0</v>
      </c>
      <c r="AC315" s="578">
        <f t="shared" si="405"/>
        <v>-3196201</v>
      </c>
      <c r="AD315" s="578">
        <f t="shared" si="420"/>
        <v>-4.6169861470235674</v>
      </c>
      <c r="AE315" s="578">
        <f t="shared" si="406"/>
        <v>66030799</v>
      </c>
      <c r="AF315" s="578">
        <v>0</v>
      </c>
      <c r="AG315" s="578">
        <f t="shared" si="419"/>
        <v>0</v>
      </c>
      <c r="AH315" s="578">
        <f t="shared" si="408"/>
        <v>-69227000</v>
      </c>
      <c r="AI315" s="578">
        <f t="shared" si="421"/>
        <v>-100</v>
      </c>
      <c r="AJ315" s="578">
        <f t="shared" si="409"/>
        <v>-66030799</v>
      </c>
      <c r="AK315" s="578">
        <f t="shared" si="464"/>
        <v>-100</v>
      </c>
      <c r="AL315" s="578"/>
      <c r="AM315" s="578">
        <f t="shared" si="428"/>
        <v>69227000</v>
      </c>
      <c r="AN315" s="578">
        <f t="shared" si="428"/>
        <v>66030799</v>
      </c>
      <c r="AO315" s="578">
        <f t="shared" si="410"/>
        <v>-3196201</v>
      </c>
      <c r="AP315" s="578">
        <f t="shared" si="423"/>
        <v>-4.6169861470235674</v>
      </c>
      <c r="AQ315" s="578">
        <v>69227000</v>
      </c>
      <c r="AR315" s="578">
        <v>69227111</v>
      </c>
      <c r="AS315" s="578">
        <v>0</v>
      </c>
      <c r="AT315" s="578">
        <v>-3196312</v>
      </c>
      <c r="AU315" s="578">
        <f t="shared" si="467"/>
        <v>0</v>
      </c>
      <c r="AV315" s="578">
        <f t="shared" si="467"/>
        <v>0</v>
      </c>
      <c r="AW315" s="578">
        <f t="shared" si="411"/>
        <v>0</v>
      </c>
      <c r="AX315" s="578">
        <v>0</v>
      </c>
      <c r="AY315" s="578">
        <f t="shared" si="468"/>
        <v>-66030799</v>
      </c>
      <c r="AZ315" s="578">
        <f t="shared" si="412"/>
        <v>66030799</v>
      </c>
      <c r="BA315" s="578">
        <v>0</v>
      </c>
      <c r="BB315" s="578">
        <v>0</v>
      </c>
      <c r="BC315" s="576">
        <f>'[67]Дир_по экон'!AT48</f>
        <v>0</v>
      </c>
      <c r="BD315" s="576">
        <f t="shared" si="481"/>
        <v>-10195718.560000002</v>
      </c>
      <c r="BE315" s="576">
        <f t="shared" si="413"/>
        <v>-10195718.560000002</v>
      </c>
      <c r="BF315" s="576">
        <f t="shared" si="414"/>
        <v>-10195718.560000002</v>
      </c>
      <c r="BG315" s="576">
        <f t="shared" si="398"/>
        <v>69227000</v>
      </c>
      <c r="BH315" s="578">
        <f t="shared" si="398"/>
        <v>66030799</v>
      </c>
      <c r="BI315" s="578">
        <f>56416000-580919.56</f>
        <v>55835080.439999998</v>
      </c>
      <c r="BJ315" s="578">
        <f t="shared" si="415"/>
        <v>-13391919.560000002</v>
      </c>
      <c r="BK315" s="578">
        <f t="shared" si="416"/>
        <v>-10195718.560000002</v>
      </c>
      <c r="BL315" s="576">
        <v>0</v>
      </c>
      <c r="BM315" s="578">
        <f>'[67]Дир_по экон'!AW48</f>
        <v>0</v>
      </c>
      <c r="BN315" s="522">
        <f t="shared" si="482"/>
        <v>-55835080.439999998</v>
      </c>
      <c r="BO315" s="578">
        <f t="shared" si="426"/>
        <v>-55835080.439999998</v>
      </c>
      <c r="BP315" s="578">
        <f t="shared" si="417"/>
        <v>-55835080.439999998</v>
      </c>
      <c r="BQ315" s="576">
        <v>0</v>
      </c>
      <c r="BR315" s="578">
        <f>'[67]Дир_по экон'!BB48</f>
        <v>0</v>
      </c>
      <c r="BS315" s="578">
        <f>'[67]Дир_по экон'!BC48</f>
        <v>0</v>
      </c>
      <c r="BT315" s="536"/>
      <c r="BU315" s="578"/>
      <c r="BV315" s="578"/>
      <c r="BW315" s="578"/>
      <c r="BX315" s="574"/>
      <c r="BY315" s="522"/>
      <c r="BZ315" s="522"/>
      <c r="CA315" s="522"/>
      <c r="CB315" s="522"/>
      <c r="CC315" s="522">
        <f t="shared" si="418"/>
        <v>0</v>
      </c>
      <c r="CD315" s="578"/>
      <c r="CE315" s="578"/>
      <c r="CF315" s="578"/>
      <c r="CG315" s="578"/>
      <c r="CH315" s="578"/>
      <c r="CI315" s="578"/>
      <c r="CJ315" s="578"/>
      <c r="CK315" s="543" t="s">
        <v>77</v>
      </c>
      <c r="CL315" s="542" t="s">
        <v>1800</v>
      </c>
      <c r="CM315" s="528" t="s">
        <v>1990</v>
      </c>
      <c r="CN315" s="528" t="s">
        <v>1849</v>
      </c>
      <c r="CO315" s="528"/>
      <c r="CP315" s="544">
        <f>U315*$CU$7/100</f>
        <v>63870245.911458492</v>
      </c>
      <c r="CQ315" s="544">
        <f>U315*$CU$8/100</f>
        <v>4691477.9334259154</v>
      </c>
      <c r="CR315" s="544">
        <f>U315*$CU$9/100</f>
        <v>665276.15511559625</v>
      </c>
      <c r="CS315" s="1688" t="s">
        <v>1826</v>
      </c>
      <c r="CT315" s="1689"/>
      <c r="CU315" s="1689"/>
      <c r="CV315" s="1689"/>
      <c r="CW315" s="1690"/>
      <c r="CX315" s="528"/>
      <c r="CY315" s="528"/>
      <c r="CZ315" s="528"/>
      <c r="DA315" s="528"/>
      <c r="DB315" s="579">
        <v>69227111</v>
      </c>
      <c r="DD315" s="575"/>
      <c r="DE315" s="575"/>
      <c r="DF315" s="522">
        <f t="shared" si="436"/>
        <v>0</v>
      </c>
      <c r="DG315" s="522">
        <f t="shared" si="436"/>
        <v>0</v>
      </c>
      <c r="DH315" s="522">
        <f t="shared" si="436"/>
        <v>0</v>
      </c>
      <c r="DI315" s="522">
        <f t="shared" si="436"/>
        <v>0</v>
      </c>
      <c r="DJ315" s="536"/>
      <c r="DK315" s="536"/>
      <c r="DL315" s="536"/>
      <c r="DM315" s="536"/>
      <c r="DN315" s="536"/>
      <c r="DO315" s="536"/>
      <c r="DP315" s="536"/>
      <c r="DQ315" s="536"/>
      <c r="DR315" s="536"/>
      <c r="DS315" s="536"/>
    </row>
    <row r="316" spans="1:123" s="534" customFormat="1" ht="41.25" customHeight="1">
      <c r="A316" s="537" t="s">
        <v>1262</v>
      </c>
      <c r="B316" s="538" t="s">
        <v>1263</v>
      </c>
      <c r="C316" s="578"/>
      <c r="D316" s="578"/>
      <c r="E316" s="578"/>
      <c r="F316" s="576"/>
      <c r="G316" s="577">
        <v>0</v>
      </c>
      <c r="H316" s="577">
        <v>0</v>
      </c>
      <c r="I316" s="578">
        <f t="shared" si="477"/>
        <v>0</v>
      </c>
      <c r="J316" s="522">
        <v>0</v>
      </c>
      <c r="K316" s="522">
        <v>0</v>
      </c>
      <c r="L316" s="522">
        <v>0</v>
      </c>
      <c r="M316" s="578">
        <f t="shared" si="478"/>
        <v>0</v>
      </c>
      <c r="N316" s="578"/>
      <c r="O316" s="522">
        <f t="shared" si="479"/>
        <v>0</v>
      </c>
      <c r="P316" s="578"/>
      <c r="Q316" s="576">
        <f t="shared" si="399"/>
        <v>0</v>
      </c>
      <c r="R316" s="576">
        <v>0</v>
      </c>
      <c r="S316" s="576"/>
      <c r="T316" s="576"/>
      <c r="U316" s="578">
        <v>0</v>
      </c>
      <c r="V316" s="578">
        <f t="shared" si="397"/>
        <v>0</v>
      </c>
      <c r="W316" s="578">
        <v>0</v>
      </c>
      <c r="X316" s="578">
        <f t="shared" si="401"/>
        <v>0</v>
      </c>
      <c r="Y316" s="578">
        <v>0</v>
      </c>
      <c r="Z316" s="586">
        <f t="shared" si="403"/>
        <v>0</v>
      </c>
      <c r="AA316" s="578">
        <f t="shared" si="404"/>
        <v>0</v>
      </c>
      <c r="AB316" s="578">
        <v>0</v>
      </c>
      <c r="AC316" s="578">
        <f t="shared" si="405"/>
        <v>0</v>
      </c>
      <c r="AD316" s="578">
        <v>0</v>
      </c>
      <c r="AE316" s="578">
        <f t="shared" si="406"/>
        <v>0</v>
      </c>
      <c r="AF316" s="578">
        <v>0</v>
      </c>
      <c r="AG316" s="578">
        <f t="shared" si="419"/>
        <v>0</v>
      </c>
      <c r="AH316" s="578">
        <f t="shared" si="408"/>
        <v>0</v>
      </c>
      <c r="AI316" s="578">
        <v>0</v>
      </c>
      <c r="AJ316" s="578">
        <f t="shared" si="409"/>
        <v>0</v>
      </c>
      <c r="AK316" s="578">
        <v>0</v>
      </c>
      <c r="AL316" s="578"/>
      <c r="AM316" s="578">
        <f t="shared" si="428"/>
        <v>0</v>
      </c>
      <c r="AN316" s="578">
        <f t="shared" si="428"/>
        <v>0</v>
      </c>
      <c r="AO316" s="578">
        <f t="shared" si="410"/>
        <v>0</v>
      </c>
      <c r="AP316" s="578">
        <v>0</v>
      </c>
      <c r="AQ316" s="578">
        <v>0</v>
      </c>
      <c r="AR316" s="578">
        <v>0</v>
      </c>
      <c r="AS316" s="578">
        <v>0</v>
      </c>
      <c r="AT316" s="578">
        <v>0</v>
      </c>
      <c r="AU316" s="578">
        <f t="shared" si="467"/>
        <v>0</v>
      </c>
      <c r="AV316" s="578">
        <f t="shared" si="467"/>
        <v>0</v>
      </c>
      <c r="AW316" s="578">
        <f t="shared" si="411"/>
        <v>0</v>
      </c>
      <c r="AX316" s="578">
        <v>0</v>
      </c>
      <c r="AY316" s="578">
        <f t="shared" si="468"/>
        <v>0</v>
      </c>
      <c r="AZ316" s="578">
        <f t="shared" si="412"/>
        <v>0</v>
      </c>
      <c r="BA316" s="578">
        <v>0</v>
      </c>
      <c r="BB316" s="578">
        <v>0</v>
      </c>
      <c r="BC316" s="576">
        <f>'[67]Дир_по фин'!AT14</f>
        <v>0</v>
      </c>
      <c r="BD316" s="576">
        <f t="shared" si="481"/>
        <v>0</v>
      </c>
      <c r="BE316" s="576">
        <f t="shared" si="413"/>
        <v>0</v>
      </c>
      <c r="BF316" s="576">
        <f t="shared" si="414"/>
        <v>0</v>
      </c>
      <c r="BG316" s="576">
        <f t="shared" si="398"/>
        <v>0</v>
      </c>
      <c r="BH316" s="578">
        <f t="shared" si="398"/>
        <v>0</v>
      </c>
      <c r="BI316" s="578">
        <v>0</v>
      </c>
      <c r="BJ316" s="578">
        <f t="shared" si="415"/>
        <v>0</v>
      </c>
      <c r="BK316" s="578">
        <f t="shared" si="416"/>
        <v>0</v>
      </c>
      <c r="BL316" s="576">
        <v>0</v>
      </c>
      <c r="BM316" s="578">
        <f>'[67]Дир_по фин'!AW14</f>
        <v>0</v>
      </c>
      <c r="BN316" s="522">
        <f t="shared" si="482"/>
        <v>0</v>
      </c>
      <c r="BO316" s="578">
        <f t="shared" si="426"/>
        <v>0</v>
      </c>
      <c r="BP316" s="578">
        <f t="shared" si="417"/>
        <v>0</v>
      </c>
      <c r="BQ316" s="576">
        <v>0</v>
      </c>
      <c r="BR316" s="578">
        <f>'[67]Дир_по фин'!BB14</f>
        <v>0</v>
      </c>
      <c r="BS316" s="578">
        <f>'[67]Дир_по фин'!BC14</f>
        <v>0</v>
      </c>
      <c r="BT316" s="536"/>
      <c r="BU316" s="578"/>
      <c r="BV316" s="578"/>
      <c r="BW316" s="578"/>
      <c r="BX316" s="574"/>
      <c r="BY316" s="522"/>
      <c r="BZ316" s="522"/>
      <c r="CA316" s="522"/>
      <c r="CB316" s="522"/>
      <c r="CC316" s="522">
        <f t="shared" si="418"/>
        <v>0</v>
      </c>
      <c r="CD316" s="578"/>
      <c r="CE316" s="578"/>
      <c r="CF316" s="578"/>
      <c r="CG316" s="578"/>
      <c r="CH316" s="578"/>
      <c r="CI316" s="578"/>
      <c r="CJ316" s="578"/>
      <c r="CK316" s="542" t="s">
        <v>1993</v>
      </c>
      <c r="CL316" s="542" t="s">
        <v>1994</v>
      </c>
      <c r="CM316" s="528" t="s">
        <v>1990</v>
      </c>
      <c r="CN316" s="528" t="s">
        <v>1849</v>
      </c>
      <c r="CO316" s="528"/>
      <c r="CP316" s="544">
        <f>U316*$CU$7/100</f>
        <v>0</v>
      </c>
      <c r="CQ316" s="544">
        <f>U316*$CU$8/100</f>
        <v>0</v>
      </c>
      <c r="CR316" s="544">
        <f>U316*$CU$9/100</f>
        <v>0</v>
      </c>
      <c r="CS316" s="1688" t="s">
        <v>1826</v>
      </c>
      <c r="CT316" s="1689"/>
      <c r="CU316" s="1689"/>
      <c r="CV316" s="1689"/>
      <c r="CW316" s="1690"/>
      <c r="CX316" s="528"/>
      <c r="CY316" s="528"/>
      <c r="CZ316" s="528"/>
      <c r="DA316" s="528"/>
      <c r="DB316" s="579"/>
      <c r="DD316" s="575"/>
      <c r="DE316" s="575"/>
      <c r="DF316" s="522">
        <f t="shared" si="436"/>
        <v>0</v>
      </c>
      <c r="DG316" s="522">
        <f t="shared" si="436"/>
        <v>0</v>
      </c>
      <c r="DH316" s="522">
        <f t="shared" si="436"/>
        <v>0</v>
      </c>
      <c r="DI316" s="522">
        <f t="shared" si="436"/>
        <v>0</v>
      </c>
      <c r="DJ316" s="536"/>
      <c r="DK316" s="536"/>
      <c r="DL316" s="536"/>
      <c r="DM316" s="536"/>
      <c r="DN316" s="536"/>
      <c r="DO316" s="536"/>
      <c r="DP316" s="536"/>
      <c r="DQ316" s="536"/>
      <c r="DR316" s="536"/>
      <c r="DS316" s="536"/>
    </row>
    <row r="317" spans="1:123" s="534" customFormat="1" ht="68.25" customHeight="1">
      <c r="A317" s="537" t="s">
        <v>1267</v>
      </c>
      <c r="B317" s="538" t="s">
        <v>1268</v>
      </c>
      <c r="C317" s="578">
        <v>30610000</v>
      </c>
      <c r="D317" s="578"/>
      <c r="E317" s="576">
        <v>32753453.29000001</v>
      </c>
      <c r="F317" s="576"/>
      <c r="G317" s="577">
        <v>0</v>
      </c>
      <c r="H317" s="577">
        <v>0</v>
      </c>
      <c r="I317" s="578">
        <f t="shared" si="477"/>
        <v>12972219.486400001</v>
      </c>
      <c r="J317" s="578">
        <v>0</v>
      </c>
      <c r="K317" s="578">
        <v>-3493435.0059999898</v>
      </c>
      <c r="L317" s="578">
        <v>16465654.492399991</v>
      </c>
      <c r="M317" s="578">
        <f t="shared" si="478"/>
        <v>-3493435.0059999898</v>
      </c>
      <c r="N317" s="578"/>
      <c r="O317" s="522">
        <f t="shared" si="479"/>
        <v>0</v>
      </c>
      <c r="P317" s="578"/>
      <c r="Q317" s="576">
        <f t="shared" si="399"/>
        <v>-12972219.486400001</v>
      </c>
      <c r="R317" s="576">
        <f t="shared" si="400"/>
        <v>-100</v>
      </c>
      <c r="S317" s="576"/>
      <c r="T317" s="576"/>
      <c r="U317" s="578">
        <f>(U301-U243-U244-U245-U246-U248-U250-U249)*0.2</f>
        <v>58528507.59052328</v>
      </c>
      <c r="V317" s="578">
        <f t="shared" si="397"/>
        <v>58528507.59052328</v>
      </c>
      <c r="W317" s="578">
        <v>0</v>
      </c>
      <c r="X317" s="578">
        <f t="shared" si="401"/>
        <v>58528507.59052328</v>
      </c>
      <c r="Y317" s="578">
        <v>0</v>
      </c>
      <c r="Z317" s="586">
        <f t="shared" si="403"/>
        <v>57225678.774299279</v>
      </c>
      <c r="AA317" s="578">
        <f t="shared" si="404"/>
        <v>57225678.774299279</v>
      </c>
      <c r="AB317" s="578">
        <v>0</v>
      </c>
      <c r="AC317" s="578">
        <f t="shared" si="405"/>
        <v>-1302828.8162240013</v>
      </c>
      <c r="AD317" s="578">
        <f t="shared" si="420"/>
        <v>-2.2259730682675922</v>
      </c>
      <c r="AE317" s="578">
        <f t="shared" si="406"/>
        <v>57225678.774299279</v>
      </c>
      <c r="AF317" s="578">
        <v>0</v>
      </c>
      <c r="AG317" s="578">
        <f t="shared" si="419"/>
        <v>0</v>
      </c>
      <c r="AH317" s="578">
        <f t="shared" si="408"/>
        <v>-58528507.59052328</v>
      </c>
      <c r="AI317" s="578">
        <f t="shared" si="421"/>
        <v>-100</v>
      </c>
      <c r="AJ317" s="578">
        <f t="shared" si="409"/>
        <v>-57225678.774299279</v>
      </c>
      <c r="AK317" s="578">
        <f>AG317/Z317*100-100</f>
        <v>-100</v>
      </c>
      <c r="AL317" s="578"/>
      <c r="AM317" s="578">
        <f t="shared" si="428"/>
        <v>13703604.800682005</v>
      </c>
      <c r="AN317" s="578">
        <f t="shared" si="428"/>
        <v>21090880.66</v>
      </c>
      <c r="AO317" s="578">
        <f t="shared" si="410"/>
        <v>7387275.8593179956</v>
      </c>
      <c r="AP317" s="578">
        <f t="shared" si="423"/>
        <v>53.907537226630637</v>
      </c>
      <c r="AQ317" s="578">
        <f>(AQ301-AQ243-AQ244-AQ245-AQ246-AQ248-AQ250-AQ249)*0.2</f>
        <v>5018604.656320001</v>
      </c>
      <c r="AR317" s="578">
        <v>12378896.390000001</v>
      </c>
      <c r="AS317" s="578">
        <f>(AS301-AS243-AS244-AS245-AS246-AS248-AS250-AS249)*0.2</f>
        <v>8685000.1443620026</v>
      </c>
      <c r="AT317" s="578">
        <v>8711984.2699999996</v>
      </c>
      <c r="AU317" s="578">
        <f t="shared" si="467"/>
        <v>44824902.789841324</v>
      </c>
      <c r="AV317" s="578">
        <f t="shared" si="467"/>
        <v>36134798.114299282</v>
      </c>
      <c r="AW317" s="578">
        <f t="shared" si="411"/>
        <v>-8690104.6755420417</v>
      </c>
      <c r="AX317" s="578">
        <f t="shared" si="424"/>
        <v>-19.386778631255581</v>
      </c>
      <c r="AY317" s="578">
        <f t="shared" si="468"/>
        <v>-21090880.66</v>
      </c>
      <c r="AZ317" s="578">
        <f t="shared" si="412"/>
        <v>57225678.774299279</v>
      </c>
      <c r="BA317" s="578">
        <f t="shared" si="425"/>
        <v>-271.32901511709224</v>
      </c>
      <c r="BB317" s="578">
        <f t="shared" ref="BB317:BM317" si="484">(BB301-BB243-BB244-BB245-BB246-BB248-BB250-BB249)*0.2</f>
        <v>23465377.012300014</v>
      </c>
      <c r="BC317" s="576">
        <f t="shared" si="484"/>
        <v>12457667.110940013</v>
      </c>
      <c r="BD317" s="576">
        <f>BI317-AN317</f>
        <v>15256481.569999997</v>
      </c>
      <c r="BE317" s="576">
        <f t="shared" si="413"/>
        <v>-8208895.4423000179</v>
      </c>
      <c r="BF317" s="576">
        <f t="shared" si="414"/>
        <v>2798814.4590599835</v>
      </c>
      <c r="BG317" s="576">
        <f t="shared" si="398"/>
        <v>37168981.812982023</v>
      </c>
      <c r="BH317" s="578">
        <f t="shared" si="398"/>
        <v>33548547.770940013</v>
      </c>
      <c r="BI317" s="578">
        <v>36347362.229999997</v>
      </c>
      <c r="BJ317" s="578">
        <f t="shared" si="415"/>
        <v>-821619.58298202604</v>
      </c>
      <c r="BK317" s="578">
        <f t="shared" si="416"/>
        <v>2798814.4590599835</v>
      </c>
      <c r="BL317" s="576">
        <f t="shared" si="484"/>
        <v>21359525.777541306</v>
      </c>
      <c r="BM317" s="578">
        <f t="shared" si="484"/>
        <v>23677131.003359269</v>
      </c>
      <c r="BN317" s="522">
        <f t="shared" si="482"/>
        <v>-36347362.229999997</v>
      </c>
      <c r="BO317" s="578">
        <f t="shared" si="426"/>
        <v>-57706888.007541299</v>
      </c>
      <c r="BP317" s="578">
        <f t="shared" si="417"/>
        <v>-60024493.233359262</v>
      </c>
      <c r="BQ317" s="576">
        <f t="shared" ref="BQ317:BS317" si="485">(BQ301-BQ243-BQ244-BQ245-BQ246-BQ248-BQ250-BQ249)*0.2</f>
        <v>21359525.777541306</v>
      </c>
      <c r="BR317" s="578">
        <f t="shared" si="485"/>
        <v>0</v>
      </c>
      <c r="BS317" s="578">
        <f t="shared" si="485"/>
        <v>0</v>
      </c>
      <c r="BT317" s="536"/>
      <c r="BU317" s="578"/>
      <c r="BV317" s="578"/>
      <c r="BW317" s="578"/>
      <c r="BX317" s="574"/>
      <c r="BY317" s="578"/>
      <c r="BZ317" s="578"/>
      <c r="CA317" s="578"/>
      <c r="CB317" s="578"/>
      <c r="CC317" s="578">
        <f t="shared" si="418"/>
        <v>0</v>
      </c>
      <c r="CD317" s="578"/>
      <c r="CE317" s="578"/>
      <c r="CF317" s="578"/>
      <c r="CG317" s="578"/>
      <c r="CH317" s="578"/>
      <c r="CI317" s="578"/>
      <c r="CJ317" s="578"/>
      <c r="CK317" s="543" t="s">
        <v>77</v>
      </c>
      <c r="CL317" s="542" t="s">
        <v>1800</v>
      </c>
      <c r="CM317" s="528" t="s">
        <v>1990</v>
      </c>
      <c r="CN317" s="528" t="s">
        <v>1849</v>
      </c>
      <c r="CO317" s="528"/>
      <c r="CP317" s="579">
        <f>(CP301-CP243-CP244-CP245-CP246-CP248-CP250-CP249)*0.2</f>
        <v>51727064.753284924</v>
      </c>
      <c r="CQ317" s="579">
        <f>(CQ301-CQ243-CQ244-CQ245-CQ246-CQ248-CQ250-CQ249)*0.2</f>
        <v>3679391.4655222218</v>
      </c>
      <c r="CR317" s="579">
        <f>(CR301-CR243-CR244-CR245-CR246-CR248-CR250-CR249)*0.2</f>
        <v>3122051.3717161231</v>
      </c>
      <c r="CS317" s="1688" t="s">
        <v>1992</v>
      </c>
      <c r="CT317" s="1689"/>
      <c r="CU317" s="1689"/>
      <c r="CV317" s="1689"/>
      <c r="CW317" s="1690"/>
      <c r="CX317" s="528"/>
      <c r="CY317" s="528"/>
      <c r="CZ317" s="528"/>
      <c r="DA317" s="528"/>
      <c r="DB317" s="579">
        <f>12377896.39+1000</f>
        <v>12378896.390000001</v>
      </c>
      <c r="DD317" s="535"/>
      <c r="DE317" s="535"/>
      <c r="DF317" s="578">
        <f t="shared" si="436"/>
        <v>0</v>
      </c>
      <c r="DG317" s="578">
        <f t="shared" si="436"/>
        <v>0</v>
      </c>
      <c r="DH317" s="578">
        <f t="shared" si="436"/>
        <v>0</v>
      </c>
      <c r="DI317" s="578">
        <f t="shared" si="436"/>
        <v>0</v>
      </c>
      <c r="DJ317" s="536"/>
      <c r="DK317" s="536"/>
      <c r="DL317" s="536"/>
      <c r="DM317" s="536"/>
      <c r="DN317" s="536"/>
      <c r="DO317" s="536"/>
      <c r="DP317" s="536"/>
      <c r="DQ317" s="536"/>
      <c r="DR317" s="536"/>
      <c r="DS317" s="536"/>
    </row>
    <row r="318" spans="1:123" s="534" customFormat="1" ht="210" customHeight="1">
      <c r="A318" s="520" t="s">
        <v>1995</v>
      </c>
      <c r="B318" s="521" t="s">
        <v>1996</v>
      </c>
      <c r="C318" s="578"/>
      <c r="D318" s="578"/>
      <c r="E318" s="576"/>
      <c r="F318" s="576"/>
      <c r="G318" s="577"/>
      <c r="H318" s="577"/>
      <c r="I318" s="578">
        <f t="shared" si="477"/>
        <v>0</v>
      </c>
      <c r="J318" s="578"/>
      <c r="K318" s="578"/>
      <c r="L318" s="578"/>
      <c r="M318" s="578"/>
      <c r="N318" s="578"/>
      <c r="O318" s="522">
        <f t="shared" si="479"/>
        <v>0</v>
      </c>
      <c r="P318" s="578"/>
      <c r="Q318" s="576">
        <f t="shared" si="399"/>
        <v>0</v>
      </c>
      <c r="R318" s="576">
        <v>0</v>
      </c>
      <c r="S318" s="576"/>
      <c r="T318" s="576"/>
      <c r="U318" s="578">
        <v>0</v>
      </c>
      <c r="V318" s="578">
        <f t="shared" si="397"/>
        <v>0</v>
      </c>
      <c r="W318" s="578">
        <v>0</v>
      </c>
      <c r="X318" s="578">
        <f t="shared" si="401"/>
        <v>0</v>
      </c>
      <c r="Y318" s="578">
        <v>0</v>
      </c>
      <c r="Z318" s="586">
        <f t="shared" si="403"/>
        <v>0</v>
      </c>
      <c r="AA318" s="578">
        <f t="shared" si="404"/>
        <v>0</v>
      </c>
      <c r="AB318" s="578">
        <v>0</v>
      </c>
      <c r="AC318" s="578">
        <f t="shared" si="405"/>
        <v>0</v>
      </c>
      <c r="AD318" s="578">
        <v>0</v>
      </c>
      <c r="AE318" s="578">
        <f t="shared" si="406"/>
        <v>0</v>
      </c>
      <c r="AF318" s="578">
        <v>0</v>
      </c>
      <c r="AG318" s="578">
        <f t="shared" si="419"/>
        <v>0</v>
      </c>
      <c r="AH318" s="578">
        <f t="shared" si="408"/>
        <v>0</v>
      </c>
      <c r="AI318" s="578">
        <v>0</v>
      </c>
      <c r="AJ318" s="578">
        <f t="shared" si="409"/>
        <v>0</v>
      </c>
      <c r="AK318" s="578">
        <v>0</v>
      </c>
      <c r="AL318" s="578"/>
      <c r="AM318" s="578">
        <f t="shared" si="428"/>
        <v>0</v>
      </c>
      <c r="AN318" s="578">
        <f t="shared" si="428"/>
        <v>0</v>
      </c>
      <c r="AO318" s="578">
        <f t="shared" si="410"/>
        <v>0</v>
      </c>
      <c r="AP318" s="578">
        <v>0</v>
      </c>
      <c r="AQ318" s="578">
        <v>0</v>
      </c>
      <c r="AR318" s="578">
        <v>0</v>
      </c>
      <c r="AS318" s="578">
        <v>0</v>
      </c>
      <c r="AT318" s="578">
        <v>0</v>
      </c>
      <c r="AU318" s="578">
        <f t="shared" si="467"/>
        <v>0</v>
      </c>
      <c r="AV318" s="578">
        <f t="shared" si="467"/>
        <v>0</v>
      </c>
      <c r="AW318" s="578">
        <f t="shared" si="411"/>
        <v>0</v>
      </c>
      <c r="AX318" s="578">
        <v>0</v>
      </c>
      <c r="AY318" s="578">
        <f t="shared" si="468"/>
        <v>0</v>
      </c>
      <c r="AZ318" s="578">
        <f t="shared" si="412"/>
        <v>0</v>
      </c>
      <c r="BA318" s="578">
        <v>0</v>
      </c>
      <c r="BB318" s="578">
        <v>0</v>
      </c>
      <c r="BC318" s="576"/>
      <c r="BD318" s="576">
        <f t="shared" si="481"/>
        <v>0</v>
      </c>
      <c r="BE318" s="576">
        <f t="shared" si="413"/>
        <v>0</v>
      </c>
      <c r="BF318" s="576">
        <f t="shared" si="414"/>
        <v>0</v>
      </c>
      <c r="BG318" s="576">
        <f t="shared" si="398"/>
        <v>0</v>
      </c>
      <c r="BH318" s="578">
        <f t="shared" si="398"/>
        <v>0</v>
      </c>
      <c r="BI318" s="578">
        <v>0</v>
      </c>
      <c r="BJ318" s="578">
        <f t="shared" si="415"/>
        <v>0</v>
      </c>
      <c r="BK318" s="578">
        <f t="shared" si="416"/>
        <v>0</v>
      </c>
      <c r="BL318" s="576">
        <v>0</v>
      </c>
      <c r="BM318" s="578"/>
      <c r="BN318" s="522">
        <f t="shared" si="482"/>
        <v>0</v>
      </c>
      <c r="BO318" s="578">
        <f t="shared" si="426"/>
        <v>0</v>
      </c>
      <c r="BP318" s="578">
        <f t="shared" si="417"/>
        <v>0</v>
      </c>
      <c r="BQ318" s="576">
        <v>0</v>
      </c>
      <c r="BR318" s="578"/>
      <c r="BS318" s="578"/>
      <c r="BT318" s="536"/>
      <c r="BU318" s="578"/>
      <c r="BV318" s="578"/>
      <c r="BW318" s="578"/>
      <c r="BX318" s="574"/>
      <c r="BY318" s="522"/>
      <c r="BZ318" s="522"/>
      <c r="CA318" s="522"/>
      <c r="CB318" s="522"/>
      <c r="CC318" s="522">
        <f t="shared" si="418"/>
        <v>0</v>
      </c>
      <c r="CD318" s="578"/>
      <c r="CE318" s="578"/>
      <c r="CF318" s="578"/>
      <c r="CG318" s="578"/>
      <c r="CH318" s="578"/>
      <c r="CI318" s="578"/>
      <c r="CJ318" s="578"/>
      <c r="CK318" s="543" t="s">
        <v>80</v>
      </c>
      <c r="CL318" s="542" t="s">
        <v>1821</v>
      </c>
      <c r="CM318" s="528"/>
      <c r="CN318" s="528"/>
      <c r="CO318" s="528"/>
      <c r="CP318" s="544">
        <f>U318*$CU$7/100</f>
        <v>0</v>
      </c>
      <c r="CQ318" s="544">
        <f>U318*$CU$8/100</f>
        <v>0</v>
      </c>
      <c r="CR318" s="544">
        <f>U318*$CU$9/100</f>
        <v>0</v>
      </c>
      <c r="CS318" s="1688" t="s">
        <v>1826</v>
      </c>
      <c r="CT318" s="1689"/>
      <c r="CU318" s="1689"/>
      <c r="CV318" s="1689"/>
      <c r="CW318" s="1690"/>
      <c r="CX318" s="528"/>
      <c r="CY318" s="528"/>
      <c r="CZ318" s="528"/>
      <c r="DA318" s="528"/>
      <c r="DB318" s="579"/>
      <c r="DD318" s="535"/>
      <c r="DE318" s="535"/>
      <c r="DF318" s="522">
        <f t="shared" si="436"/>
        <v>0</v>
      </c>
      <c r="DG318" s="522">
        <f t="shared" si="436"/>
        <v>0</v>
      </c>
      <c r="DH318" s="522">
        <f t="shared" si="436"/>
        <v>0</v>
      </c>
      <c r="DI318" s="522">
        <f t="shared" si="436"/>
        <v>0</v>
      </c>
      <c r="DJ318" s="536"/>
      <c r="DK318" s="536"/>
      <c r="DL318" s="536"/>
      <c r="DM318" s="536"/>
      <c r="DN318" s="536"/>
      <c r="DO318" s="536"/>
      <c r="DP318" s="536"/>
      <c r="DQ318" s="536"/>
      <c r="DR318" s="536"/>
      <c r="DS318" s="536"/>
    </row>
    <row r="319" spans="1:123">
      <c r="A319" s="1666" t="s">
        <v>1997</v>
      </c>
      <c r="B319" s="1666"/>
      <c r="C319" s="580">
        <f t="shared" ref="C319:T319" si="486">C309</f>
        <v>147633000</v>
      </c>
      <c r="D319" s="580">
        <f t="shared" si="486"/>
        <v>120732581.28</v>
      </c>
      <c r="E319" s="580">
        <f t="shared" si="486"/>
        <v>120072339.49470405</v>
      </c>
      <c r="F319" s="580">
        <f t="shared" si="486"/>
        <v>95835064.179999992</v>
      </c>
      <c r="G319" s="580">
        <f t="shared" si="486"/>
        <v>33181132.5</v>
      </c>
      <c r="H319" s="580">
        <f t="shared" si="486"/>
        <v>0</v>
      </c>
      <c r="I319" s="580">
        <f t="shared" si="486"/>
        <v>50632265.682514772</v>
      </c>
      <c r="J319" s="580">
        <f t="shared" si="486"/>
        <v>20866745.34</v>
      </c>
      <c r="K319" s="580">
        <f t="shared" si="486"/>
        <v>14752865.216535646</v>
      </c>
      <c r="L319" s="580">
        <f t="shared" si="486"/>
        <v>15012655.125979125</v>
      </c>
      <c r="M319" s="580">
        <f t="shared" si="486"/>
        <v>35619610.556535646</v>
      </c>
      <c r="N319" s="580">
        <f t="shared" si="486"/>
        <v>17974109.34</v>
      </c>
      <c r="O319" s="580">
        <f>O309</f>
        <v>-3671109.3399999994</v>
      </c>
      <c r="P319" s="580">
        <f>P309</f>
        <v>14303000</v>
      </c>
      <c r="Q319" s="580">
        <f t="shared" si="399"/>
        <v>-36329265.682514772</v>
      </c>
      <c r="R319" s="580">
        <f t="shared" si="400"/>
        <v>-71.751214749729513</v>
      </c>
      <c r="S319" s="580">
        <f t="shared" si="486"/>
        <v>28008806.770054098</v>
      </c>
      <c r="T319" s="580">
        <f t="shared" si="486"/>
        <v>94894848.929851964</v>
      </c>
      <c r="U319" s="580">
        <f>U309</f>
        <v>228059763.4919475</v>
      </c>
      <c r="V319" s="580">
        <f t="shared" si="397"/>
        <v>133164914.56209554</v>
      </c>
      <c r="W319" s="580">
        <f t="shared" si="433"/>
        <v>140.32891781147524</v>
      </c>
      <c r="X319" s="580">
        <f t="shared" si="401"/>
        <v>213756763.4919475</v>
      </c>
      <c r="Y319" s="580">
        <f t="shared" si="402"/>
        <v>1494.4890127382193</v>
      </c>
      <c r="Z319" s="580">
        <f t="shared" si="403"/>
        <v>183393081.09129608</v>
      </c>
      <c r="AA319" s="580">
        <f t="shared" si="404"/>
        <v>88498232.161444113</v>
      </c>
      <c r="AB319" s="580">
        <f t="shared" si="434"/>
        <v>93.259258178348176</v>
      </c>
      <c r="AC319" s="580">
        <f t="shared" si="405"/>
        <v>-44666682.400651425</v>
      </c>
      <c r="AD319" s="580">
        <f t="shared" si="420"/>
        <v>-19.585516408828752</v>
      </c>
      <c r="AE319" s="580">
        <f t="shared" si="406"/>
        <v>169090081.09129608</v>
      </c>
      <c r="AF319" s="580">
        <f t="shared" si="407"/>
        <v>1182.2001055114038</v>
      </c>
      <c r="AG319" s="580">
        <f t="shared" si="419"/>
        <v>0</v>
      </c>
      <c r="AH319" s="580">
        <f t="shared" si="408"/>
        <v>-228059763.4919475</v>
      </c>
      <c r="AI319" s="580">
        <f t="shared" si="421"/>
        <v>-100</v>
      </c>
      <c r="AJ319" s="580">
        <f t="shared" si="409"/>
        <v>-183393081.09129608</v>
      </c>
      <c r="AK319" s="580">
        <f>AG319/Z319*100-100</f>
        <v>-100</v>
      </c>
      <c r="AL319" s="580">
        <f>AL309</f>
        <v>0</v>
      </c>
      <c r="AM319" s="580">
        <f t="shared" si="428"/>
        <v>148390734.76748228</v>
      </c>
      <c r="AN319" s="580">
        <f t="shared" si="428"/>
        <v>125855269.94</v>
      </c>
      <c r="AO319" s="580">
        <f t="shared" si="410"/>
        <v>-22535464.827482283</v>
      </c>
      <c r="AP319" s="580">
        <f t="shared" si="423"/>
        <v>-15.186571360262988</v>
      </c>
      <c r="AQ319" s="580">
        <f>AQ309</f>
        <v>107505822.86040799</v>
      </c>
      <c r="AR319" s="580">
        <f>AR309</f>
        <v>105686119.89999999</v>
      </c>
      <c r="AS319" s="580">
        <f>AS309</f>
        <v>40884911.907074302</v>
      </c>
      <c r="AT319" s="580">
        <f>AT309</f>
        <v>20169150.040000003</v>
      </c>
      <c r="AU319" s="580">
        <f t="shared" si="467"/>
        <v>79669028.724465042</v>
      </c>
      <c r="AV319" s="580">
        <f t="shared" si="467"/>
        <v>57537811.151296079</v>
      </c>
      <c r="AW319" s="580">
        <f t="shared" si="411"/>
        <v>-22131217.573168963</v>
      </c>
      <c r="AX319" s="580">
        <f t="shared" si="424"/>
        <v>-27.778947387082724</v>
      </c>
      <c r="AY319" s="580">
        <f t="shared" si="468"/>
        <v>-125855269.94</v>
      </c>
      <c r="AZ319" s="580">
        <f t="shared" si="412"/>
        <v>183393081.09129608</v>
      </c>
      <c r="BA319" s="580">
        <f t="shared" si="425"/>
        <v>-145.71744288397821</v>
      </c>
      <c r="BB319" s="580">
        <f t="shared" ref="BB319:BN319" si="487">BB309</f>
        <v>41434128.808756441</v>
      </c>
      <c r="BC319" s="580">
        <f t="shared" si="487"/>
        <v>25085090.615497839</v>
      </c>
      <c r="BD319" s="580">
        <f t="shared" si="487"/>
        <v>11452801.229999995</v>
      </c>
      <c r="BE319" s="580">
        <f t="shared" si="413"/>
        <v>-29981327.578756444</v>
      </c>
      <c r="BF319" s="580">
        <f t="shared" si="414"/>
        <v>-13632289.385497844</v>
      </c>
      <c r="BG319" s="580">
        <f t="shared" si="398"/>
        <v>189824863.57623872</v>
      </c>
      <c r="BH319" s="580">
        <f t="shared" si="487"/>
        <v>150940360.55549783</v>
      </c>
      <c r="BI319" s="580">
        <f t="shared" si="487"/>
        <v>137308071.16999999</v>
      </c>
      <c r="BJ319" s="580">
        <f t="shared" si="415"/>
        <v>-52516792.406238735</v>
      </c>
      <c r="BK319" s="580">
        <f t="shared" si="416"/>
        <v>-13632289.385497838</v>
      </c>
      <c r="BL319" s="580">
        <f t="shared" si="487"/>
        <v>38234899.915708601</v>
      </c>
      <c r="BM319" s="580">
        <f t="shared" si="487"/>
        <v>32452720.535798237</v>
      </c>
      <c r="BN319" s="580">
        <f t="shared" si="487"/>
        <v>-137308071.16999999</v>
      </c>
      <c r="BO319" s="580">
        <f t="shared" si="426"/>
        <v>-175542971.08570859</v>
      </c>
      <c r="BP319" s="580">
        <f t="shared" si="417"/>
        <v>-169760791.70579821</v>
      </c>
      <c r="BQ319" s="580">
        <f t="shared" ref="BQ319:BS319" si="488">BQ309</f>
        <v>38234899.915708601</v>
      </c>
      <c r="BR319" s="580">
        <f t="shared" si="488"/>
        <v>0</v>
      </c>
      <c r="BS319" s="580">
        <f t="shared" si="488"/>
        <v>0</v>
      </c>
      <c r="BU319" s="580">
        <f t="shared" ref="BU319:BW319" si="489">BU309</f>
        <v>0</v>
      </c>
      <c r="BV319" s="580">
        <f t="shared" si="489"/>
        <v>0</v>
      </c>
      <c r="BW319" s="580">
        <f t="shared" si="489"/>
        <v>0</v>
      </c>
      <c r="BX319" s="581"/>
      <c r="BY319" s="580">
        <f>BY309</f>
        <v>0</v>
      </c>
      <c r="BZ319" s="580">
        <f t="shared" ref="BZ319:CB319" si="490">BZ309</f>
        <v>0</v>
      </c>
      <c r="CA319" s="580">
        <f t="shared" si="490"/>
        <v>0</v>
      </c>
      <c r="CB319" s="580">
        <f t="shared" si="490"/>
        <v>0</v>
      </c>
      <c r="CC319" s="580">
        <f t="shared" si="418"/>
        <v>0</v>
      </c>
      <c r="CD319" s="580"/>
      <c r="CE319" s="580"/>
      <c r="CF319" s="580"/>
      <c r="CG319" s="580"/>
      <c r="CH319" s="580"/>
      <c r="CI319" s="580"/>
      <c r="CJ319" s="580"/>
      <c r="CK319" s="508"/>
      <c r="CL319" s="508"/>
      <c r="CM319" s="510"/>
      <c r="CN319" s="510"/>
      <c r="CO319" s="510"/>
      <c r="CP319" s="582">
        <f>CP309</f>
        <v>182955482.39043942</v>
      </c>
      <c r="CQ319" s="582" t="e">
        <f>CQ309</f>
        <v>#REF!</v>
      </c>
      <c r="CR319" s="582" t="e">
        <f>CR309</f>
        <v>#REF!</v>
      </c>
      <c r="CS319" s="1679"/>
      <c r="CT319" s="1680"/>
      <c r="CU319" s="1680"/>
      <c r="CV319" s="1680"/>
      <c r="CW319" s="1681"/>
      <c r="CX319" s="510"/>
      <c r="CY319" s="510"/>
      <c r="CZ319" s="510"/>
      <c r="DA319" s="510"/>
      <c r="DB319" s="582">
        <f>DB309</f>
        <v>105686119.89999999</v>
      </c>
      <c r="DD319" s="517"/>
      <c r="DE319" s="517"/>
      <c r="DF319" s="580">
        <f t="shared" si="436"/>
        <v>0</v>
      </c>
      <c r="DG319" s="580">
        <f t="shared" si="436"/>
        <v>0</v>
      </c>
      <c r="DH319" s="580">
        <f t="shared" si="436"/>
        <v>0</v>
      </c>
      <c r="DI319" s="580">
        <f t="shared" si="436"/>
        <v>0</v>
      </c>
    </row>
    <row r="320" spans="1:123" s="623" customFormat="1" ht="24.75" customHeight="1">
      <c r="A320" s="683" t="s">
        <v>1270</v>
      </c>
      <c r="B320" s="684"/>
      <c r="C320" s="685"/>
      <c r="D320" s="686"/>
      <c r="E320" s="686"/>
      <c r="F320" s="686"/>
      <c r="G320" s="687">
        <v>341940252.76786846</v>
      </c>
      <c r="H320" s="687"/>
      <c r="I320" s="686"/>
      <c r="J320" s="686"/>
      <c r="K320" s="686"/>
      <c r="L320" s="686"/>
      <c r="M320" s="686"/>
      <c r="N320" s="686"/>
      <c r="O320" s="686"/>
      <c r="P320" s="686"/>
      <c r="Q320" s="686">
        <f t="shared" si="399"/>
        <v>0</v>
      </c>
      <c r="R320" s="686"/>
      <c r="S320" s="686">
        <v>287812533.32999998</v>
      </c>
      <c r="T320" s="686">
        <v>345140297.77159983</v>
      </c>
      <c r="U320" s="686"/>
      <c r="V320" s="686">
        <f t="shared" si="397"/>
        <v>-345140297.77159983</v>
      </c>
      <c r="W320" s="686">
        <f t="shared" si="433"/>
        <v>-100</v>
      </c>
      <c r="X320" s="686">
        <f t="shared" si="401"/>
        <v>0</v>
      </c>
      <c r="Y320" s="686"/>
      <c r="Z320" s="688"/>
      <c r="AA320" s="689">
        <f t="shared" si="404"/>
        <v>-345140297.77159983</v>
      </c>
      <c r="AB320" s="689">
        <f t="shared" si="434"/>
        <v>-100</v>
      </c>
      <c r="AC320" s="689"/>
      <c r="AD320" s="689"/>
      <c r="AE320" s="689">
        <f t="shared" si="406"/>
        <v>0</v>
      </c>
      <c r="AF320" s="689"/>
      <c r="AG320" s="689"/>
      <c r="AH320" s="689"/>
      <c r="AI320" s="689"/>
      <c r="AJ320" s="689"/>
      <c r="AK320" s="689"/>
      <c r="AL320" s="686"/>
      <c r="AM320" s="689"/>
      <c r="AN320" s="689"/>
      <c r="AO320" s="689"/>
      <c r="AP320" s="689"/>
      <c r="AQ320" s="689"/>
      <c r="AR320" s="689"/>
      <c r="AS320" s="689"/>
      <c r="AT320" s="689"/>
      <c r="AU320" s="689">
        <f t="shared" si="467"/>
        <v>0</v>
      </c>
      <c r="AV320" s="689"/>
      <c r="AW320" s="689"/>
      <c r="AX320" s="689"/>
      <c r="AY320" s="689"/>
      <c r="AZ320" s="689">
        <f t="shared" si="412"/>
        <v>0</v>
      </c>
      <c r="BA320" s="689"/>
      <c r="BB320" s="689"/>
      <c r="BC320" s="686"/>
      <c r="BD320" s="686"/>
      <c r="BE320" s="686">
        <f t="shared" si="413"/>
        <v>0</v>
      </c>
      <c r="BF320" s="686">
        <f t="shared" si="414"/>
        <v>0</v>
      </c>
      <c r="BG320" s="686">
        <f t="shared" si="398"/>
        <v>0</v>
      </c>
      <c r="BH320" s="689"/>
      <c r="BI320" s="689"/>
      <c r="BJ320" s="689">
        <f t="shared" si="415"/>
        <v>0</v>
      </c>
      <c r="BK320" s="689">
        <f t="shared" si="416"/>
        <v>0</v>
      </c>
      <c r="BL320" s="686"/>
      <c r="BM320" s="689"/>
      <c r="BN320" s="689"/>
      <c r="BO320" s="689">
        <f t="shared" si="426"/>
        <v>0</v>
      </c>
      <c r="BP320" s="689">
        <f t="shared" si="417"/>
        <v>0</v>
      </c>
      <c r="BQ320" s="686"/>
      <c r="BR320" s="689"/>
      <c r="BS320" s="689"/>
      <c r="BT320" s="621"/>
      <c r="BU320" s="689"/>
      <c r="BV320" s="689"/>
      <c r="BW320" s="689"/>
      <c r="BX320" s="625"/>
      <c r="BY320" s="689"/>
      <c r="BZ320" s="689"/>
      <c r="CA320" s="689"/>
      <c r="CB320" s="689"/>
      <c r="CC320" s="689">
        <f t="shared" si="418"/>
        <v>0</v>
      </c>
      <c r="CD320" s="689"/>
      <c r="CE320" s="689"/>
      <c r="CF320" s="689"/>
      <c r="CG320" s="689"/>
      <c r="CH320" s="689"/>
      <c r="CI320" s="689"/>
      <c r="CJ320" s="689"/>
      <c r="CK320" s="543"/>
      <c r="CL320" s="543"/>
      <c r="CM320" s="622"/>
      <c r="CN320" s="622"/>
      <c r="CO320" s="622"/>
      <c r="CP320" s="690"/>
      <c r="CQ320" s="690"/>
      <c r="CR320" s="690"/>
      <c r="CS320" s="1691"/>
      <c r="CT320" s="1692"/>
      <c r="CU320" s="1692"/>
      <c r="CV320" s="1692"/>
      <c r="CW320" s="1693"/>
      <c r="CX320" s="622"/>
      <c r="CY320" s="622"/>
      <c r="CZ320" s="622"/>
      <c r="DA320" s="622"/>
      <c r="DB320" s="690"/>
      <c r="DD320" s="624"/>
      <c r="DE320" s="624"/>
      <c r="DF320" s="689">
        <f t="shared" si="436"/>
        <v>0</v>
      </c>
      <c r="DG320" s="689">
        <f t="shared" si="436"/>
        <v>0</v>
      </c>
      <c r="DH320" s="689">
        <f t="shared" si="436"/>
        <v>0</v>
      </c>
      <c r="DI320" s="689">
        <f t="shared" si="436"/>
        <v>0</v>
      </c>
      <c r="DJ320" s="621"/>
      <c r="DK320" s="621"/>
      <c r="DL320" s="621"/>
      <c r="DM320" s="621"/>
      <c r="DN320" s="621"/>
      <c r="DO320" s="621"/>
      <c r="DP320" s="621"/>
      <c r="DQ320" s="621"/>
      <c r="DR320" s="621"/>
      <c r="DS320" s="621"/>
    </row>
    <row r="321" spans="1:123" ht="36" customHeight="1">
      <c r="A321" s="1666" t="s">
        <v>1998</v>
      </c>
      <c r="B321" s="1666"/>
      <c r="C321" s="580">
        <f t="shared" ref="C321:P321" si="491">C28+C34</f>
        <v>8147795124.3359995</v>
      </c>
      <c r="D321" s="580">
        <f t="shared" si="491"/>
        <v>7445164898.0980644</v>
      </c>
      <c r="E321" s="580">
        <f t="shared" si="491"/>
        <v>8288122904.1764793</v>
      </c>
      <c r="F321" s="580">
        <f t="shared" si="491"/>
        <v>7997322139.7600002</v>
      </c>
      <c r="G321" s="580">
        <f t="shared" si="491"/>
        <v>5837161755.5767145</v>
      </c>
      <c r="H321" s="580">
        <f t="shared" si="491"/>
        <v>0</v>
      </c>
      <c r="I321" s="580">
        <f t="shared" si="491"/>
        <v>6311854733.6400013</v>
      </c>
      <c r="J321" s="580">
        <f t="shared" si="491"/>
        <v>3014771139.2399998</v>
      </c>
      <c r="K321" s="580">
        <f t="shared" si="491"/>
        <v>1584452549.79</v>
      </c>
      <c r="L321" s="580">
        <f t="shared" si="491"/>
        <v>1712631044.6100001</v>
      </c>
      <c r="M321" s="580">
        <f t="shared" si="491"/>
        <v>4599223689.0300007</v>
      </c>
      <c r="N321" s="580">
        <f t="shared" si="491"/>
        <v>4522685602.5500002</v>
      </c>
      <c r="O321" s="580">
        <f t="shared" si="491"/>
        <v>1798596226.9299998</v>
      </c>
      <c r="P321" s="580">
        <f t="shared" si="491"/>
        <v>6321281829.4799995</v>
      </c>
      <c r="Q321" s="580">
        <f t="shared" si="399"/>
        <v>9427095.8399982452</v>
      </c>
      <c r="R321" s="580">
        <f t="shared" si="400"/>
        <v>0.14935539928946184</v>
      </c>
      <c r="S321" s="580">
        <f>S28+S34</f>
        <v>6167295517.3510056</v>
      </c>
      <c r="T321" s="580">
        <f>T28+T34</f>
        <v>6513347443.0355263</v>
      </c>
      <c r="U321" s="580">
        <f>U28+U34</f>
        <v>6743181123.6267624</v>
      </c>
      <c r="V321" s="580">
        <f t="shared" si="397"/>
        <v>229833680.59123611</v>
      </c>
      <c r="W321" s="580">
        <f t="shared" si="433"/>
        <v>3.5286568481309786</v>
      </c>
      <c r="X321" s="580">
        <f t="shared" si="401"/>
        <v>421899294.14676285</v>
      </c>
      <c r="Y321" s="580">
        <f t="shared" si="402"/>
        <v>6.6742680603036604</v>
      </c>
      <c r="Z321" s="580">
        <f t="shared" si="403"/>
        <v>6828596209.5517445</v>
      </c>
      <c r="AA321" s="580">
        <f t="shared" si="404"/>
        <v>315248766.51621819</v>
      </c>
      <c r="AB321" s="580">
        <f t="shared" si="434"/>
        <v>4.8400422251894781</v>
      </c>
      <c r="AC321" s="580">
        <f t="shared" si="405"/>
        <v>85415085.924982071</v>
      </c>
      <c r="AD321" s="580">
        <f t="shared" si="420"/>
        <v>1.266688293833667</v>
      </c>
      <c r="AE321" s="580">
        <f t="shared" si="406"/>
        <v>507314380.07174492</v>
      </c>
      <c r="AF321" s="580">
        <f t="shared" si="407"/>
        <v>8.025498526356273</v>
      </c>
      <c r="AG321" s="580">
        <f t="shared" si="419"/>
        <v>7005809026.2630005</v>
      </c>
      <c r="AH321" s="580">
        <f t="shared" si="408"/>
        <v>262627902.6362381</v>
      </c>
      <c r="AI321" s="580">
        <f t="shared" si="421"/>
        <v>3.8947182023042899</v>
      </c>
      <c r="AJ321" s="580">
        <f t="shared" si="409"/>
        <v>177212816.71125603</v>
      </c>
      <c r="AK321" s="580">
        <f>AG321/Z321*100-100</f>
        <v>2.5951573540601771</v>
      </c>
      <c r="AL321" s="580">
        <f>AL28+AL34</f>
        <v>7005809026.2630005</v>
      </c>
      <c r="AM321" s="580">
        <f t="shared" si="428"/>
        <v>3393029900.1568923</v>
      </c>
      <c r="AN321" s="580">
        <f t="shared" si="428"/>
        <v>3301002990.8099999</v>
      </c>
      <c r="AO321" s="580">
        <f t="shared" si="410"/>
        <v>-92026909.346892357</v>
      </c>
      <c r="AP321" s="580">
        <f t="shared" si="423"/>
        <v>-2.7122339635921549</v>
      </c>
      <c r="AQ321" s="580">
        <f>AQ28+AQ34</f>
        <v>1845448081.4108405</v>
      </c>
      <c r="AR321" s="580">
        <f>AR28+AR34</f>
        <v>1856660589.52</v>
      </c>
      <c r="AS321" s="580">
        <f>AS28+AS34</f>
        <v>1547581818.7460518</v>
      </c>
      <c r="AT321" s="580">
        <f>AT28+AT34</f>
        <v>1444342401.29</v>
      </c>
      <c r="AU321" s="580">
        <f t="shared" si="467"/>
        <v>3350151223.4698696</v>
      </c>
      <c r="AV321" s="580">
        <f>BC321+BM321</f>
        <v>3527593218.741744</v>
      </c>
      <c r="AW321" s="580">
        <f t="shared" si="411"/>
        <v>177441995.27187443</v>
      </c>
      <c r="AX321" s="580">
        <f t="shared" si="424"/>
        <v>5.2965368855227837</v>
      </c>
      <c r="AY321" s="580">
        <f>BD321+BN321</f>
        <v>3704806035.4530001</v>
      </c>
      <c r="AZ321" s="580">
        <f t="shared" si="412"/>
        <v>-177212816.71125603</v>
      </c>
      <c r="BA321" s="580">
        <f t="shared" si="425"/>
        <v>-4.7833223930058608</v>
      </c>
      <c r="BB321" s="580">
        <f t="shared" ref="BB321:BN321" si="492">BB28+BB34</f>
        <v>1625020889.3096802</v>
      </c>
      <c r="BC321" s="580">
        <f t="shared" si="492"/>
        <v>1739815513.04514</v>
      </c>
      <c r="BD321" s="580">
        <f t="shared" si="492"/>
        <v>1758844622.28</v>
      </c>
      <c r="BE321" s="580">
        <f t="shared" si="413"/>
        <v>133823732.97031975</v>
      </c>
      <c r="BF321" s="580">
        <f t="shared" si="414"/>
        <v>19029109.234859943</v>
      </c>
      <c r="BG321" s="580">
        <f t="shared" si="398"/>
        <v>5018050789.4665728</v>
      </c>
      <c r="BH321" s="580">
        <f t="shared" si="492"/>
        <v>5040818503.8551397</v>
      </c>
      <c r="BI321" s="580">
        <f t="shared" si="492"/>
        <v>5059847613.0900002</v>
      </c>
      <c r="BJ321" s="580">
        <f t="shared" si="415"/>
        <v>41796823.623427391</v>
      </c>
      <c r="BK321" s="580">
        <f t="shared" si="416"/>
        <v>19029109.23486042</v>
      </c>
      <c r="BL321" s="580">
        <f t="shared" si="492"/>
        <v>1725130334.1601896</v>
      </c>
      <c r="BM321" s="580">
        <f t="shared" si="492"/>
        <v>1787777705.6966043</v>
      </c>
      <c r="BN321" s="580">
        <f t="shared" si="492"/>
        <v>1945961413.1729999</v>
      </c>
      <c r="BO321" s="580">
        <f t="shared" si="426"/>
        <v>220831079.01281023</v>
      </c>
      <c r="BP321" s="580">
        <f t="shared" si="417"/>
        <v>158183707.47639561</v>
      </c>
      <c r="BQ321" s="580">
        <f t="shared" ref="BQ321:BS321" si="493">BQ28+BQ34</f>
        <v>1725130334.1601896</v>
      </c>
      <c r="BR321" s="580">
        <f t="shared" si="493"/>
        <v>0</v>
      </c>
      <c r="BS321" s="580">
        <f t="shared" si="493"/>
        <v>0</v>
      </c>
      <c r="BU321" s="580">
        <f>BU28+BU34</f>
        <v>6605350697.6800003</v>
      </c>
      <c r="BV321" s="580">
        <f>BV28+BV34</f>
        <v>400458328.58299994</v>
      </c>
      <c r="BW321" s="580">
        <f>BW307+BW301</f>
        <v>1505009448.0300002</v>
      </c>
      <c r="BX321" s="581"/>
      <c r="BY321" s="580">
        <f>BY28+BY34</f>
        <v>6900400455.54</v>
      </c>
      <c r="BZ321" s="580">
        <f t="shared" ref="BZ321:CB321" si="494">BZ28+BZ34</f>
        <v>71668869.850000009</v>
      </c>
      <c r="CA321" s="580">
        <f t="shared" si="494"/>
        <v>33739700.870000005</v>
      </c>
      <c r="CB321" s="580">
        <f t="shared" si="494"/>
        <v>7005809026.2600002</v>
      </c>
      <c r="CC321" s="580">
        <f t="shared" si="418"/>
        <v>3.0002593994140625E-3</v>
      </c>
      <c r="CD321" s="580"/>
      <c r="CE321" s="580"/>
      <c r="CF321" s="580"/>
      <c r="CG321" s="580"/>
      <c r="CH321" s="580"/>
      <c r="CI321" s="580"/>
      <c r="CJ321" s="580"/>
      <c r="CK321" s="682"/>
      <c r="CL321" s="682"/>
      <c r="CM321" s="510"/>
      <c r="CN321" s="510"/>
      <c r="CO321" s="510"/>
      <c r="CP321" s="582">
        <f>CP28+CP34</f>
        <v>6555924321.4213581</v>
      </c>
      <c r="CQ321" s="582">
        <f>CQ28+CQ34</f>
        <v>160817811.79253244</v>
      </c>
      <c r="CR321" s="582">
        <f>CR28+CR34</f>
        <v>26438990.412871424</v>
      </c>
      <c r="CS321" s="1679"/>
      <c r="CT321" s="1680"/>
      <c r="CU321" s="1680"/>
      <c r="CV321" s="1680"/>
      <c r="CW321" s="1681"/>
      <c r="CX321" s="510"/>
      <c r="CY321" s="510"/>
      <c r="CZ321" s="510"/>
      <c r="DA321" s="510"/>
      <c r="DB321" s="582">
        <f>DB28+DB34</f>
        <v>1856660589.52</v>
      </c>
      <c r="DD321" s="517"/>
      <c r="DE321" s="517"/>
      <c r="DF321" s="580">
        <f t="shared" si="436"/>
        <v>6900400.4555399995</v>
      </c>
      <c r="DG321" s="580">
        <f t="shared" si="436"/>
        <v>71668.869850000003</v>
      </c>
      <c r="DH321" s="580">
        <f t="shared" si="436"/>
        <v>33739.700870000008</v>
      </c>
      <c r="DI321" s="580">
        <f t="shared" si="436"/>
        <v>7005809.0262600007</v>
      </c>
    </row>
    <row r="322" spans="1:123" s="534" customFormat="1">
      <c r="A322" s="691"/>
      <c r="B322" s="679"/>
      <c r="C322" s="585"/>
      <c r="D322" s="585"/>
      <c r="E322" s="585"/>
      <c r="F322" s="692"/>
      <c r="G322" s="693"/>
      <c r="H322" s="693"/>
      <c r="I322" s="692"/>
      <c r="J322" s="692"/>
      <c r="K322" s="692"/>
      <c r="L322" s="692"/>
      <c r="M322" s="692"/>
      <c r="N322" s="692"/>
      <c r="O322" s="692"/>
      <c r="P322" s="692"/>
      <c r="Q322" s="692">
        <f t="shared" si="399"/>
        <v>0</v>
      </c>
      <c r="R322" s="692"/>
      <c r="S322" s="692"/>
      <c r="T322" s="692"/>
      <c r="U322" s="692"/>
      <c r="V322" s="692">
        <f t="shared" si="397"/>
        <v>0</v>
      </c>
      <c r="W322" s="692"/>
      <c r="X322" s="692">
        <f t="shared" si="401"/>
        <v>0</v>
      </c>
      <c r="Y322" s="692"/>
      <c r="Z322" s="694"/>
      <c r="AA322" s="692">
        <f t="shared" si="404"/>
        <v>0</v>
      </c>
      <c r="AB322" s="692" t="e">
        <f t="shared" si="434"/>
        <v>#DIV/0!</v>
      </c>
      <c r="AC322" s="692"/>
      <c r="AD322" s="692"/>
      <c r="AE322" s="692">
        <f t="shared" si="406"/>
        <v>0</v>
      </c>
      <c r="AF322" s="692"/>
      <c r="AG322" s="692"/>
      <c r="AH322" s="692"/>
      <c r="AI322" s="692"/>
      <c r="AJ322" s="692"/>
      <c r="AK322" s="692"/>
      <c r="AL322" s="692"/>
      <c r="AM322" s="692"/>
      <c r="AN322" s="692"/>
      <c r="AO322" s="692"/>
      <c r="AP322" s="692"/>
      <c r="AQ322" s="692"/>
      <c r="AR322" s="692"/>
      <c r="AS322" s="692"/>
      <c r="AT322" s="692"/>
      <c r="AU322" s="692">
        <f t="shared" si="467"/>
        <v>0</v>
      </c>
      <c r="AV322" s="692"/>
      <c r="AW322" s="692">
        <f t="shared" si="411"/>
        <v>0</v>
      </c>
      <c r="AX322" s="692"/>
      <c r="AY322" s="692"/>
      <c r="AZ322" s="692">
        <f t="shared" si="412"/>
        <v>0</v>
      </c>
      <c r="BA322" s="692"/>
      <c r="BB322" s="692"/>
      <c r="BC322" s="695"/>
      <c r="BD322" s="695"/>
      <c r="BE322" s="695">
        <f t="shared" si="413"/>
        <v>0</v>
      </c>
      <c r="BF322" s="695">
        <f t="shared" si="414"/>
        <v>0</v>
      </c>
      <c r="BG322" s="695">
        <f t="shared" si="398"/>
        <v>0</v>
      </c>
      <c r="BH322" s="692"/>
      <c r="BI322" s="692"/>
      <c r="BJ322" s="692">
        <f t="shared" si="415"/>
        <v>0</v>
      </c>
      <c r="BK322" s="692">
        <f t="shared" si="416"/>
        <v>0</v>
      </c>
      <c r="BL322" s="695"/>
      <c r="BM322" s="692"/>
      <c r="BN322" s="692"/>
      <c r="BO322" s="692">
        <f t="shared" si="426"/>
        <v>0</v>
      </c>
      <c r="BP322" s="692">
        <f t="shared" si="417"/>
        <v>0</v>
      </c>
      <c r="BQ322" s="695"/>
      <c r="BR322" s="692"/>
      <c r="BS322" s="692"/>
      <c r="BT322" s="536"/>
      <c r="BU322" s="692"/>
      <c r="BV322" s="692"/>
      <c r="BW322" s="692"/>
      <c r="BX322" s="574"/>
      <c r="BY322" s="692"/>
      <c r="BZ322" s="692"/>
      <c r="CA322" s="692"/>
      <c r="CB322" s="692"/>
      <c r="CC322" s="692">
        <f t="shared" si="418"/>
        <v>0</v>
      </c>
      <c r="CD322" s="692"/>
      <c r="CE322" s="692"/>
      <c r="CF322" s="692"/>
      <c r="CG322" s="692"/>
      <c r="CH322" s="692"/>
      <c r="CI322" s="692"/>
      <c r="CJ322" s="692"/>
      <c r="CK322" s="605"/>
      <c r="CL322" s="605"/>
      <c r="CM322" s="528"/>
      <c r="CN322" s="528"/>
      <c r="CO322" s="528"/>
      <c r="CP322" s="696"/>
      <c r="CQ322" s="696"/>
      <c r="CR322" s="696"/>
      <c r="CS322" s="1682"/>
      <c r="CT322" s="1683"/>
      <c r="CU322" s="1683"/>
      <c r="CV322" s="1683"/>
      <c r="CW322" s="1684"/>
      <c r="CX322" s="528"/>
      <c r="CY322" s="528"/>
      <c r="CZ322" s="528"/>
      <c r="DA322" s="528"/>
      <c r="DB322" s="696"/>
      <c r="DD322" s="535"/>
      <c r="DE322" s="535"/>
      <c r="DF322" s="692">
        <f t="shared" si="436"/>
        <v>0</v>
      </c>
      <c r="DG322" s="692">
        <f t="shared" si="436"/>
        <v>0</v>
      </c>
      <c r="DH322" s="692">
        <f t="shared" si="436"/>
        <v>0</v>
      </c>
      <c r="DI322" s="692">
        <f t="shared" si="436"/>
        <v>0</v>
      </c>
      <c r="DJ322" s="536"/>
      <c r="DK322" s="536"/>
      <c r="DL322" s="536"/>
      <c r="DM322" s="536"/>
      <c r="DN322" s="536"/>
      <c r="DO322" s="536"/>
      <c r="DP322" s="536"/>
      <c r="DQ322" s="536"/>
      <c r="DR322" s="536"/>
      <c r="DS322" s="536"/>
    </row>
    <row r="323" spans="1:123" ht="35.25" customHeight="1">
      <c r="A323" s="1666" t="s">
        <v>1999</v>
      </c>
      <c r="B323" s="1666"/>
      <c r="C323" s="580">
        <f t="shared" ref="C323:P323" si="495">C319+C307+C301+C239</f>
        <v>5238804821.3359995</v>
      </c>
      <c r="D323" s="580">
        <f t="shared" si="495"/>
        <v>3620325852.7041779</v>
      </c>
      <c r="E323" s="580">
        <f t="shared" si="495"/>
        <v>4962487590.1211834</v>
      </c>
      <c r="F323" s="580">
        <f t="shared" si="495"/>
        <v>4749429879.8499994</v>
      </c>
      <c r="G323" s="580">
        <f t="shared" si="495"/>
        <v>3589630233.7346258</v>
      </c>
      <c r="H323" s="580">
        <f t="shared" si="495"/>
        <v>0</v>
      </c>
      <c r="I323" s="580">
        <f t="shared" si="495"/>
        <v>4914270872.4545155</v>
      </c>
      <c r="J323" s="580">
        <f t="shared" si="495"/>
        <v>2388886683.25</v>
      </c>
      <c r="K323" s="580">
        <f t="shared" si="495"/>
        <v>1227347720.5665357</v>
      </c>
      <c r="L323" s="580">
        <f t="shared" si="495"/>
        <v>1298036468.6379793</v>
      </c>
      <c r="M323" s="580">
        <f t="shared" si="495"/>
        <v>3616234403.8165359</v>
      </c>
      <c r="N323" s="580">
        <f t="shared" si="495"/>
        <v>3523074836.0100002</v>
      </c>
      <c r="O323" s="580">
        <f t="shared" si="495"/>
        <v>1382510666.2800002</v>
      </c>
      <c r="P323" s="580">
        <f t="shared" si="495"/>
        <v>4905585502.29</v>
      </c>
      <c r="Q323" s="580">
        <f t="shared" si="399"/>
        <v>-8685370.1645154953</v>
      </c>
      <c r="R323" s="580">
        <f t="shared" si="400"/>
        <v>-0.17673771735292121</v>
      </c>
      <c r="S323" s="580">
        <f>S319+S307+S301+S239</f>
        <v>3800439661.2210593</v>
      </c>
      <c r="T323" s="580">
        <f>T319+T307+T301+T239</f>
        <v>3826951210.1849184</v>
      </c>
      <c r="U323" s="580">
        <f>U319+U307+U301+U239</f>
        <v>4978351619.9634867</v>
      </c>
      <c r="V323" s="580">
        <f t="shared" si="397"/>
        <v>1151400409.7785683</v>
      </c>
      <c r="W323" s="580">
        <f t="shared" si="433"/>
        <v>30.08662369967692</v>
      </c>
      <c r="X323" s="580">
        <f t="shared" si="401"/>
        <v>72766117.67348671</v>
      </c>
      <c r="Y323" s="580">
        <f t="shared" si="402"/>
        <v>1.4833319618936116</v>
      </c>
      <c r="Z323" s="580">
        <f t="shared" si="403"/>
        <v>5232784805.518281</v>
      </c>
      <c r="AA323" s="580">
        <f t="shared" si="404"/>
        <v>1405833595.3333626</v>
      </c>
      <c r="AB323" s="580">
        <f t="shared" si="434"/>
        <v>36.735080175360594</v>
      </c>
      <c r="AC323" s="580">
        <f t="shared" si="405"/>
        <v>254433185.55479431</v>
      </c>
      <c r="AD323" s="580">
        <f t="shared" si="420"/>
        <v>5.1107917836599199</v>
      </c>
      <c r="AE323" s="580">
        <f t="shared" si="406"/>
        <v>327199303.22828102</v>
      </c>
      <c r="AF323" s="580">
        <f t="shared" si="407"/>
        <v>6.6699337535863776</v>
      </c>
      <c r="AG323" s="580">
        <f t="shared" si="419"/>
        <v>5317356219.7530003</v>
      </c>
      <c r="AH323" s="580">
        <f t="shared" si="408"/>
        <v>339004599.78951359</v>
      </c>
      <c r="AI323" s="580">
        <f t="shared" si="421"/>
        <v>6.8095752503717364</v>
      </c>
      <c r="AJ323" s="580">
        <f t="shared" si="409"/>
        <v>84571414.234719276</v>
      </c>
      <c r="AK323" s="580">
        <f>AG323/Z323*100-100</f>
        <v>1.6161836837917321</v>
      </c>
      <c r="AL323" s="580">
        <f>AL319+AL307+AL301+AL239</f>
        <v>5317356219.7530003</v>
      </c>
      <c r="AM323" s="580">
        <f t="shared" si="428"/>
        <v>2501638473.0667157</v>
      </c>
      <c r="AN323" s="580">
        <f t="shared" si="428"/>
        <v>2694771768.4700003</v>
      </c>
      <c r="AO323" s="580">
        <f t="shared" si="410"/>
        <v>193133295.40328455</v>
      </c>
      <c r="AP323" s="580">
        <f t="shared" si="423"/>
        <v>7.7202720330138703</v>
      </c>
      <c r="AQ323" s="580">
        <f>AQ319+AQ307+AQ301+AQ239</f>
        <v>1170894917.8415389</v>
      </c>
      <c r="AR323" s="580">
        <f>AR319+AR307+AR301+AR239</f>
        <v>1228200321.3800001</v>
      </c>
      <c r="AS323" s="580">
        <f>AS319+AS307+AS301+AS239</f>
        <v>1330743555.2251768</v>
      </c>
      <c r="AT323" s="580">
        <f>AT319+AT307+AT301+AT239</f>
        <v>1466571447.0899999</v>
      </c>
      <c r="AU323" s="580">
        <f t="shared" si="467"/>
        <v>2476713146.8967714</v>
      </c>
      <c r="AV323" s="580">
        <f>BC323+BM323</f>
        <v>2538013037.0482807</v>
      </c>
      <c r="AW323" s="580">
        <f t="shared" si="411"/>
        <v>61299890.151509285</v>
      </c>
      <c r="AX323" s="580">
        <f t="shared" si="424"/>
        <v>2.475050056899633</v>
      </c>
      <c r="AY323" s="580">
        <f>BD323+BN323</f>
        <v>2622584451.283</v>
      </c>
      <c r="AZ323" s="580">
        <f t="shared" si="412"/>
        <v>-84571414.234719276</v>
      </c>
      <c r="BA323" s="580">
        <f t="shared" si="425"/>
        <v>-3.2247355921501679</v>
      </c>
      <c r="BB323" s="580">
        <f t="shared" ref="BB323:BN323" si="496">BB319+BB307+BB301+BB239</f>
        <v>1292091823.1495223</v>
      </c>
      <c r="BC323" s="580">
        <f t="shared" si="496"/>
        <v>1296866730.5125723</v>
      </c>
      <c r="BD323" s="580">
        <f t="shared" si="496"/>
        <v>1436108417.5400002</v>
      </c>
      <c r="BE323" s="580">
        <f t="shared" si="413"/>
        <v>144016594.3904779</v>
      </c>
      <c r="BF323" s="580">
        <f t="shared" si="414"/>
        <v>139241687.02742791</v>
      </c>
      <c r="BG323" s="580">
        <f t="shared" si="398"/>
        <v>3793730296.216238</v>
      </c>
      <c r="BH323" s="580">
        <f t="shared" si="496"/>
        <v>3991638498.9825716</v>
      </c>
      <c r="BI323" s="580">
        <f t="shared" si="496"/>
        <v>4130880186.0100007</v>
      </c>
      <c r="BJ323" s="580">
        <f t="shared" si="415"/>
        <v>337149889.79376268</v>
      </c>
      <c r="BK323" s="580">
        <f t="shared" si="416"/>
        <v>139241687.0274291</v>
      </c>
      <c r="BL323" s="580">
        <f t="shared" si="496"/>
        <v>1184621323.7472491</v>
      </c>
      <c r="BM323" s="580">
        <f t="shared" si="496"/>
        <v>1241146306.5357084</v>
      </c>
      <c r="BN323" s="580">
        <f t="shared" si="496"/>
        <v>1186476033.7429998</v>
      </c>
      <c r="BO323" s="580">
        <f t="shared" si="426"/>
        <v>1854709.9957506657</v>
      </c>
      <c r="BP323" s="580">
        <f t="shared" si="417"/>
        <v>-54670272.792708635</v>
      </c>
      <c r="BQ323" s="580">
        <f t="shared" ref="BQ323:BS323" si="497">BQ319+BQ307+BQ301+BQ239</f>
        <v>1184621323.7472491</v>
      </c>
      <c r="BR323" s="580">
        <f t="shared" si="497"/>
        <v>0</v>
      </c>
      <c r="BS323" s="580">
        <f t="shared" si="497"/>
        <v>0</v>
      </c>
      <c r="BU323" s="580"/>
      <c r="BV323" s="580">
        <f t="shared" ref="BV323:BW323" si="498">BV313</f>
        <v>0</v>
      </c>
      <c r="BW323" s="580">
        <f t="shared" si="498"/>
        <v>0</v>
      </c>
      <c r="BX323" s="581"/>
      <c r="BY323" s="580">
        <f>BY319+BY307+BY301+BY239</f>
        <v>5111224483.8822765</v>
      </c>
      <c r="BZ323" s="580">
        <f t="shared" ref="BZ323:CB323" si="499">BZ319+BZ307+BZ301+BZ239</f>
        <v>142553619.61000001</v>
      </c>
      <c r="CA323" s="580">
        <f t="shared" si="499"/>
        <v>63578116.25999999</v>
      </c>
      <c r="CB323" s="580">
        <f t="shared" si="499"/>
        <v>5317356219.7522755</v>
      </c>
      <c r="CC323" s="580">
        <f t="shared" si="418"/>
        <v>7.2479248046875E-4</v>
      </c>
      <c r="CD323" s="580"/>
      <c r="CE323" s="580"/>
      <c r="CF323" s="580"/>
      <c r="CG323" s="580"/>
      <c r="CH323" s="580"/>
      <c r="CI323" s="580"/>
      <c r="CJ323" s="580"/>
      <c r="CK323" s="682"/>
      <c r="CL323" s="682"/>
      <c r="CM323" s="510"/>
      <c r="CN323" s="510"/>
      <c r="CO323" s="510"/>
      <c r="CP323" s="582">
        <f>CP319+CP307+CP301+CP239</f>
        <v>4664792969.7462349</v>
      </c>
      <c r="CQ323" s="582" t="e">
        <f>CQ319+CQ307+CQ301+CQ239</f>
        <v>#REF!</v>
      </c>
      <c r="CR323" s="582" t="e">
        <f>CR319+CR307+CR301+CR239</f>
        <v>#REF!</v>
      </c>
      <c r="CS323" s="1679"/>
      <c r="CT323" s="1680"/>
      <c r="CU323" s="1680"/>
      <c r="CV323" s="1680"/>
      <c r="CW323" s="1681"/>
      <c r="CX323" s="510"/>
      <c r="CY323" s="510"/>
      <c r="CZ323" s="510"/>
      <c r="DA323" s="510"/>
      <c r="DB323" s="582">
        <f>DB319+DB307+DB301+DB239</f>
        <v>1228200321.3800001</v>
      </c>
      <c r="DD323" s="517"/>
      <c r="DE323" s="517"/>
      <c r="DF323" s="580">
        <f t="shared" si="436"/>
        <v>5111224.4838822763</v>
      </c>
      <c r="DG323" s="580">
        <f t="shared" si="436"/>
        <v>142553.61961000002</v>
      </c>
      <c r="DH323" s="580">
        <f t="shared" si="436"/>
        <v>63578.116259999988</v>
      </c>
      <c r="DI323" s="580">
        <f t="shared" si="436"/>
        <v>5317356.2197522754</v>
      </c>
    </row>
    <row r="324" spans="1:123" s="534" customFormat="1">
      <c r="A324" s="697"/>
      <c r="B324" s="698"/>
      <c r="C324" s="699"/>
      <c r="D324" s="689"/>
      <c r="E324" s="689"/>
      <c r="F324" s="689"/>
      <c r="G324" s="700"/>
      <c r="H324" s="700"/>
      <c r="I324" s="689"/>
      <c r="J324" s="689"/>
      <c r="K324" s="689"/>
      <c r="L324" s="689"/>
      <c r="M324" s="689"/>
      <c r="N324" s="689"/>
      <c r="O324" s="689"/>
      <c r="P324" s="689"/>
      <c r="Q324" s="689">
        <f t="shared" si="399"/>
        <v>0</v>
      </c>
      <c r="R324" s="689"/>
      <c r="S324" s="689"/>
      <c r="T324" s="689"/>
      <c r="U324" s="689"/>
      <c r="V324" s="689">
        <f t="shared" si="397"/>
        <v>0</v>
      </c>
      <c r="W324" s="689"/>
      <c r="X324" s="689">
        <f t="shared" si="401"/>
        <v>0</v>
      </c>
      <c r="Y324" s="689"/>
      <c r="Z324" s="688"/>
      <c r="AA324" s="689">
        <f t="shared" si="404"/>
        <v>0</v>
      </c>
      <c r="AB324" s="689" t="e">
        <f t="shared" si="434"/>
        <v>#DIV/0!</v>
      </c>
      <c r="AC324" s="689"/>
      <c r="AD324" s="689"/>
      <c r="AE324" s="689">
        <f t="shared" si="406"/>
        <v>0</v>
      </c>
      <c r="AF324" s="689"/>
      <c r="AG324" s="689"/>
      <c r="AH324" s="689"/>
      <c r="AI324" s="689"/>
      <c r="AJ324" s="689"/>
      <c r="AK324" s="689"/>
      <c r="AL324" s="689"/>
      <c r="AM324" s="689"/>
      <c r="AN324" s="689"/>
      <c r="AO324" s="689"/>
      <c r="AP324" s="689"/>
      <c r="AQ324" s="689"/>
      <c r="AR324" s="689"/>
      <c r="AS324" s="689"/>
      <c r="AT324" s="689"/>
      <c r="AU324" s="689">
        <f t="shared" si="467"/>
        <v>0</v>
      </c>
      <c r="AV324" s="689"/>
      <c r="AW324" s="689"/>
      <c r="AX324" s="689"/>
      <c r="AY324" s="689"/>
      <c r="AZ324" s="689">
        <f t="shared" si="412"/>
        <v>0</v>
      </c>
      <c r="BA324" s="689"/>
      <c r="BB324" s="689"/>
      <c r="BC324" s="686"/>
      <c r="BD324" s="686"/>
      <c r="BE324" s="686">
        <f t="shared" si="413"/>
        <v>0</v>
      </c>
      <c r="BF324" s="686">
        <f t="shared" si="414"/>
        <v>0</v>
      </c>
      <c r="BG324" s="686">
        <f t="shared" si="398"/>
        <v>0</v>
      </c>
      <c r="BH324" s="689"/>
      <c r="BI324" s="689"/>
      <c r="BJ324" s="689">
        <f t="shared" si="415"/>
        <v>0</v>
      </c>
      <c r="BK324" s="689">
        <f t="shared" si="416"/>
        <v>0</v>
      </c>
      <c r="BL324" s="686"/>
      <c r="BM324" s="689"/>
      <c r="BN324" s="689"/>
      <c r="BO324" s="689">
        <f t="shared" si="426"/>
        <v>0</v>
      </c>
      <c r="BP324" s="689">
        <f t="shared" si="417"/>
        <v>0</v>
      </c>
      <c r="BQ324" s="686"/>
      <c r="BR324" s="689"/>
      <c r="BS324" s="689"/>
      <c r="BT324" s="536"/>
      <c r="BU324" s="689"/>
      <c r="BV324" s="689"/>
      <c r="BW324" s="689"/>
      <c r="BX324" s="574"/>
      <c r="BY324" s="689"/>
      <c r="BZ324" s="689"/>
      <c r="CA324" s="689"/>
      <c r="CB324" s="689"/>
      <c r="CC324" s="689"/>
      <c r="CD324" s="689"/>
      <c r="CE324" s="689"/>
      <c r="CF324" s="689"/>
      <c r="CG324" s="689"/>
      <c r="CH324" s="689"/>
      <c r="CI324" s="689"/>
      <c r="CJ324" s="689"/>
      <c r="CK324" s="605"/>
      <c r="CL324" s="605"/>
      <c r="CM324" s="528"/>
      <c r="CN324" s="528"/>
      <c r="CO324" s="528"/>
      <c r="CP324" s="701"/>
      <c r="CQ324" s="701"/>
      <c r="CR324" s="701"/>
      <c r="CS324" s="1685"/>
      <c r="CT324" s="1686"/>
      <c r="CU324" s="1686"/>
      <c r="CV324" s="1686"/>
      <c r="CW324" s="1687"/>
      <c r="CX324" s="528"/>
      <c r="CY324" s="528"/>
      <c r="CZ324" s="528"/>
      <c r="DA324" s="528"/>
      <c r="DB324" s="701"/>
      <c r="DD324" s="535"/>
      <c r="DE324" s="535"/>
      <c r="DF324" s="689">
        <f t="shared" si="436"/>
        <v>0</v>
      </c>
      <c r="DG324" s="689">
        <f t="shared" si="436"/>
        <v>0</v>
      </c>
      <c r="DH324" s="689">
        <f t="shared" si="436"/>
        <v>0</v>
      </c>
      <c r="DI324" s="689">
        <f t="shared" si="436"/>
        <v>0</v>
      </c>
      <c r="DJ324" s="536"/>
      <c r="DK324" s="536"/>
      <c r="DL324" s="536"/>
      <c r="DM324" s="536"/>
      <c r="DN324" s="536"/>
      <c r="DO324" s="536"/>
      <c r="DP324" s="536"/>
      <c r="DQ324" s="536"/>
      <c r="DR324" s="536"/>
      <c r="DS324" s="536"/>
    </row>
    <row r="325" spans="1:123" ht="42" customHeight="1">
      <c r="A325" s="1666" t="s">
        <v>2000</v>
      </c>
      <c r="B325" s="1666"/>
      <c r="C325" s="580">
        <f>C5-C28-C34-C241-C303-C309</f>
        <v>226883861.33400053</v>
      </c>
      <c r="D325" s="580">
        <v>1059865060.2947531</v>
      </c>
      <c r="E325" s="580">
        <f>E5-E28-E34-E241-E303-E309</f>
        <v>316522091.52881664</v>
      </c>
      <c r="F325" s="580">
        <f>F5-F28-F34-F241-F303-F309</f>
        <v>294606233.59999996</v>
      </c>
      <c r="G325" s="580">
        <f>G5-G28-G34-G241-G303-G309-G320</f>
        <v>64196800.857505739</v>
      </c>
      <c r="H325" s="580">
        <f t="shared" ref="H325:P325" si="500">H5-H28-H34-H241-H303-H309</f>
        <v>0</v>
      </c>
      <c r="I325" s="580">
        <f t="shared" si="500"/>
        <v>91140747.608058736</v>
      </c>
      <c r="J325" s="702">
        <f t="shared" si="500"/>
        <v>36939763.670000613</v>
      </c>
      <c r="K325" s="580">
        <f t="shared" si="500"/>
        <v>76478635.896142527</v>
      </c>
      <c r="L325" s="580">
        <f t="shared" si="500"/>
        <v>-22277651.958083451</v>
      </c>
      <c r="M325" s="580">
        <f t="shared" si="500"/>
        <v>113418399.56614219</v>
      </c>
      <c r="N325" s="580">
        <f t="shared" si="500"/>
        <v>68407667.619999871</v>
      </c>
      <c r="O325" s="580">
        <f t="shared" si="500"/>
        <v>193905612.4099997</v>
      </c>
      <c r="P325" s="702">
        <f t="shared" si="500"/>
        <v>262313280.03000182</v>
      </c>
      <c r="Q325" s="580">
        <f t="shared" si="399"/>
        <v>171172532.42194307</v>
      </c>
      <c r="R325" s="580">
        <f t="shared" si="400"/>
        <v>187.81120071348624</v>
      </c>
      <c r="S325" s="580">
        <f>S5-S28-S34-S241-S303-S309-S320</f>
        <v>69018846.127390444</v>
      </c>
      <c r="T325" s="580">
        <f>T5-T28-T34-T241-T303-T309-T320</f>
        <v>336598640.83139211</v>
      </c>
      <c r="U325" s="594">
        <f>U5-U28-U34-U241-U303-U309</f>
        <v>214926516.01517358</v>
      </c>
      <c r="V325" s="702">
        <f>U325-T325</f>
        <v>-121672124.81621853</v>
      </c>
      <c r="W325" s="702">
        <f t="shared" si="433"/>
        <v>-36.147538954908057</v>
      </c>
      <c r="X325" s="702">
        <f t="shared" si="401"/>
        <v>-47386764.014828235</v>
      </c>
      <c r="Y325" s="702">
        <f t="shared" si="402"/>
        <v>-18.064950432325972</v>
      </c>
      <c r="Z325" s="580">
        <f>Z5-Z28-Z34-Z241-Z303-Z309</f>
        <v>114473944.73368847</v>
      </c>
      <c r="AA325" s="580">
        <f t="shared" si="404"/>
        <v>-222124696.09770364</v>
      </c>
      <c r="AB325" s="580">
        <f t="shared" si="434"/>
        <v>-65.990966436780596</v>
      </c>
      <c r="AC325" s="580">
        <f t="shared" si="405"/>
        <v>-100452571.28148511</v>
      </c>
      <c r="AD325" s="580">
        <f t="shared" si="420"/>
        <v>-46.738100604763567</v>
      </c>
      <c r="AE325" s="580">
        <f t="shared" si="406"/>
        <v>-147839335.29631335</v>
      </c>
      <c r="AF325" s="580">
        <f t="shared" si="407"/>
        <v>-56.359836329828347</v>
      </c>
      <c r="AG325" s="580">
        <f t="shared" si="419"/>
        <v>231014398.57699993</v>
      </c>
      <c r="AH325" s="580">
        <f t="shared" si="408"/>
        <v>16087882.561826348</v>
      </c>
      <c r="AI325" s="580">
        <f t="shared" si="421"/>
        <v>7.4852944439347482</v>
      </c>
      <c r="AJ325" s="580">
        <f t="shared" si="409"/>
        <v>116540453.84331146</v>
      </c>
      <c r="AK325" s="580">
        <f>AG325/Z325*100-100</f>
        <v>101.80522224024907</v>
      </c>
      <c r="AL325" s="594">
        <f>AL5-AL28-AL34-AL241-AL303-AL309</f>
        <v>231014398.57699823</v>
      </c>
      <c r="AM325" s="580">
        <f t="shared" si="428"/>
        <v>120374915.06651913</v>
      </c>
      <c r="AN325" s="580">
        <f t="shared" si="428"/>
        <v>64996690.700000137</v>
      </c>
      <c r="AO325" s="580">
        <f t="shared" si="410"/>
        <v>-55378224.366518989</v>
      </c>
      <c r="AP325" s="580">
        <f t="shared" si="423"/>
        <v>-46.004787904454183</v>
      </c>
      <c r="AQ325" s="580">
        <f>AQ5-AQ28-AQ34-AQ241-AQ303-AQ309</f>
        <v>260268.16003192961</v>
      </c>
      <c r="AR325" s="580">
        <f>AR5-AR28-AR34-AR241-AR303-AR309</f>
        <v>8150256.6389832646</v>
      </c>
      <c r="AS325" s="580">
        <f>AS5-AS28-AS34-AS241-AS303-AS309</f>
        <v>120114646.9064872</v>
      </c>
      <c r="AT325" s="580">
        <f>AT5-AT28-AT34-AT241-AT303-AT309</f>
        <v>56846434.061016873</v>
      </c>
      <c r="AU325" s="580">
        <f t="shared" ref="AU325" si="501">BB325+BL325</f>
        <v>94551600.948653549</v>
      </c>
      <c r="AV325" s="580">
        <f>BC325+BM325</f>
        <v>49477254.03368789</v>
      </c>
      <c r="AW325" s="580">
        <f t="shared" si="411"/>
        <v>-45074346.914965659</v>
      </c>
      <c r="AX325" s="580">
        <f t="shared" si="424"/>
        <v>-47.671690867977347</v>
      </c>
      <c r="AY325" s="580">
        <f>BD325+BN325</f>
        <v>166017707.8769998</v>
      </c>
      <c r="AZ325" s="580">
        <f t="shared" si="412"/>
        <v>-116540453.84331191</v>
      </c>
      <c r="BA325" s="580">
        <f t="shared" si="425"/>
        <v>-70.197604420400211</v>
      </c>
      <c r="BB325" s="580">
        <f t="shared" ref="BB325:BN325" si="502">BB5-BB28-BB34-BB241-BB303-BB309</f>
        <v>48409630.173525661</v>
      </c>
      <c r="BC325" s="580">
        <f t="shared" si="502"/>
        <v>38052026.907291278</v>
      </c>
      <c r="BD325" s="580">
        <f t="shared" si="502"/>
        <v>20417492.859999441</v>
      </c>
      <c r="BE325" s="580">
        <f t="shared" si="413"/>
        <v>-27992137.313526221</v>
      </c>
      <c r="BF325" s="580">
        <f t="shared" si="414"/>
        <v>-17634534.047291838</v>
      </c>
      <c r="BG325" s="580">
        <f t="shared" si="398"/>
        <v>168784545.24004477</v>
      </c>
      <c r="BH325" s="580">
        <f t="shared" si="502"/>
        <v>103048717.6072914</v>
      </c>
      <c r="BI325" s="580">
        <f>BI5-BI28-BI34-BI241-BI303-BI309</f>
        <v>85414183.559999555</v>
      </c>
      <c r="BJ325" s="580">
        <f t="shared" si="415"/>
        <v>-83370361.680045217</v>
      </c>
      <c r="BK325" s="580">
        <f t="shared" si="416"/>
        <v>-17634534.047291845</v>
      </c>
      <c r="BL325" s="580">
        <f t="shared" si="502"/>
        <v>46141970.775127888</v>
      </c>
      <c r="BM325" s="580">
        <f t="shared" si="502"/>
        <v>11425227.126396611</v>
      </c>
      <c r="BN325" s="580">
        <f t="shared" si="502"/>
        <v>145600215.01700035</v>
      </c>
      <c r="BO325" s="580">
        <f t="shared" si="426"/>
        <v>99458244.24187246</v>
      </c>
      <c r="BP325" s="580">
        <f t="shared" si="417"/>
        <v>134174987.89060374</v>
      </c>
      <c r="BQ325" s="580">
        <f t="shared" ref="BQ325:BS325" si="503">BQ5-BQ28-BQ34-BQ241-BQ303-BQ309</f>
        <v>46141970.775127888</v>
      </c>
      <c r="BR325" s="580">
        <f t="shared" si="503"/>
        <v>0</v>
      </c>
      <c r="BS325" s="580">
        <f t="shared" si="503"/>
        <v>0</v>
      </c>
      <c r="BU325" s="594"/>
      <c r="BV325" s="580"/>
      <c r="BW325" s="580"/>
      <c r="BX325" s="703"/>
      <c r="BY325" s="594">
        <f>BY5-BY28-BY34-BY241-BY303-BY309</f>
        <v>-61273425.802276134</v>
      </c>
      <c r="BZ325" s="594">
        <f t="shared" ref="BZ325:CB325" si="504">BZ5-BZ28-BZ34-BZ241-BZ303-BZ309</f>
        <v>226107900.55999994</v>
      </c>
      <c r="CA325" s="594">
        <f t="shared" si="504"/>
        <v>66179923.820000023</v>
      </c>
      <c r="CB325" s="594">
        <f t="shared" si="504"/>
        <v>231014398.57772303</v>
      </c>
      <c r="CC325" s="594"/>
      <c r="CD325" s="580"/>
      <c r="CE325" s="580"/>
      <c r="CF325" s="580"/>
      <c r="CG325" s="580"/>
      <c r="CH325" s="580"/>
      <c r="CI325" s="580"/>
      <c r="CJ325" s="580"/>
      <c r="CK325" s="682"/>
      <c r="CL325" s="682"/>
      <c r="CM325" s="510"/>
      <c r="CN325" s="510"/>
      <c r="CO325" s="510"/>
      <c r="CP325" s="704">
        <f>CP5-CP28-CP34-CP241-CP303-CP309</f>
        <v>99829788.180964321</v>
      </c>
      <c r="CQ325" s="704" t="e">
        <f>CQ5-CQ28-CQ34-CQ241-CQ303-CQ309</f>
        <v>#REF!</v>
      </c>
      <c r="CR325" s="704" t="e">
        <f>CR5-CR28-CR34-CR241-CR303-CR309</f>
        <v>#REF!</v>
      </c>
      <c r="CS325" s="1667"/>
      <c r="CT325" s="1668"/>
      <c r="CU325" s="1668"/>
      <c r="CV325" s="1668"/>
      <c r="CW325" s="1669"/>
      <c r="CX325" s="510"/>
      <c r="CY325" s="510"/>
      <c r="CZ325" s="510"/>
      <c r="DA325" s="510"/>
      <c r="DB325" s="704">
        <f>DB5-DB28-DB34-DB241-DB303-DB309</f>
        <v>8150256.6389832646</v>
      </c>
      <c r="DD325" s="517"/>
      <c r="DE325" s="517"/>
      <c r="DF325" s="594">
        <f t="shared" si="436"/>
        <v>-61273.425802276135</v>
      </c>
      <c r="DG325" s="594">
        <f t="shared" si="436"/>
        <v>226107.90055999995</v>
      </c>
      <c r="DH325" s="594">
        <f t="shared" si="436"/>
        <v>66179.923820000025</v>
      </c>
      <c r="DI325" s="594">
        <f t="shared" si="436"/>
        <v>231014.39857772301</v>
      </c>
    </row>
    <row r="326" spans="1:123" s="534" customFormat="1" ht="112.95" customHeight="1">
      <c r="A326" s="705"/>
      <c r="B326" s="706"/>
      <c r="C326" s="707"/>
      <c r="D326" s="708"/>
      <c r="E326" s="708"/>
      <c r="F326" s="708"/>
      <c r="G326" s="709"/>
      <c r="H326" s="709"/>
      <c r="I326" s="708"/>
      <c r="J326" s="708"/>
      <c r="K326" s="708"/>
      <c r="L326" s="708"/>
      <c r="M326" s="708"/>
      <c r="N326" s="708"/>
      <c r="O326" s="708"/>
      <c r="P326" s="708"/>
      <c r="Q326" s="708"/>
      <c r="R326" s="708"/>
      <c r="S326" s="708"/>
      <c r="T326" s="708"/>
      <c r="U326" s="710"/>
      <c r="V326" s="710"/>
      <c r="W326" s="710"/>
      <c r="X326" s="710"/>
      <c r="Y326" s="710"/>
      <c r="Z326" s="711">
        <f>AN326+AV326</f>
        <v>0</v>
      </c>
      <c r="AA326" s="710"/>
      <c r="AB326" s="710"/>
      <c r="AC326" s="710"/>
      <c r="AD326" s="710"/>
      <c r="AE326" s="710"/>
      <c r="AF326" s="710"/>
      <c r="AG326" s="708"/>
      <c r="AH326" s="710"/>
      <c r="AI326" s="710"/>
      <c r="AJ326" s="710"/>
      <c r="AK326" s="710"/>
      <c r="AL326" s="710"/>
      <c r="AM326" s="710"/>
      <c r="AN326" s="710"/>
      <c r="AO326" s="710"/>
      <c r="AP326" s="710"/>
      <c r="AQ326" s="710"/>
      <c r="AR326" s="710"/>
      <c r="AS326" s="710"/>
      <c r="AT326" s="710"/>
      <c r="AU326" s="710"/>
      <c r="AV326" s="710"/>
      <c r="AW326" s="710"/>
      <c r="AX326" s="710"/>
      <c r="AY326" s="710"/>
      <c r="AZ326" s="710"/>
      <c r="BA326" s="710"/>
      <c r="BB326" s="710"/>
      <c r="BC326" s="710"/>
      <c r="BD326" s="710"/>
      <c r="BE326" s="710"/>
      <c r="BF326" s="710"/>
      <c r="BG326" s="710"/>
      <c r="BH326" s="708"/>
      <c r="BI326" s="708"/>
      <c r="BJ326" s="708"/>
      <c r="BK326" s="708"/>
      <c r="BL326" s="708"/>
      <c r="BM326" s="708"/>
      <c r="BN326" s="710"/>
      <c r="BO326" s="708"/>
      <c r="BP326" s="708"/>
      <c r="BQ326" s="708"/>
      <c r="BR326" s="708"/>
      <c r="BS326" s="710"/>
      <c r="BT326" s="536"/>
      <c r="BU326" s="712"/>
      <c r="BV326" s="712"/>
      <c r="BW326" s="712"/>
      <c r="BX326" s="574"/>
      <c r="BY326" s="713"/>
      <c r="BZ326" s="713"/>
      <c r="CA326" s="713"/>
      <c r="CB326" s="713"/>
      <c r="CC326" s="713"/>
      <c r="CD326" s="710"/>
      <c r="CE326" s="710"/>
      <c r="CF326" s="710"/>
      <c r="CG326" s="710"/>
      <c r="CH326" s="710"/>
      <c r="CI326" s="710"/>
      <c r="CJ326" s="710"/>
      <c r="CK326" s="587"/>
      <c r="CL326" s="587"/>
      <c r="CS326" s="536"/>
      <c r="CT326" s="536"/>
      <c r="CU326" s="536"/>
      <c r="CV326" s="536"/>
      <c r="CW326" s="536"/>
      <c r="DD326" s="535"/>
      <c r="DE326" s="535"/>
      <c r="DF326" s="1078">
        <f>DF5-DF28-DF34-DF241</f>
        <v>-61273.425802276004</v>
      </c>
      <c r="DG326" s="713"/>
      <c r="DH326" s="713"/>
      <c r="DI326" s="713"/>
      <c r="DJ326" s="536"/>
      <c r="DK326" s="536"/>
      <c r="DL326" s="536"/>
      <c r="DM326" s="536"/>
      <c r="DN326" s="536"/>
      <c r="DO326" s="536"/>
      <c r="DP326" s="536"/>
      <c r="DQ326" s="536"/>
      <c r="DR326" s="536"/>
      <c r="DS326" s="536"/>
    </row>
    <row r="327" spans="1:123" ht="14.25" customHeight="1">
      <c r="A327" s="1670" t="s">
        <v>2001</v>
      </c>
      <c r="B327" s="1670"/>
      <c r="C327" s="714"/>
      <c r="D327" s="712"/>
      <c r="E327" s="712"/>
      <c r="F327" s="712"/>
      <c r="G327" s="715"/>
      <c r="H327" s="715"/>
      <c r="I327" s="712"/>
      <c r="J327" s="712"/>
      <c r="K327" s="712"/>
      <c r="L327" s="712"/>
      <c r="M327" s="712"/>
      <c r="N327" s="712"/>
      <c r="O327" s="712"/>
      <c r="P327" s="712">
        <f>P5-P28-P34-P241</f>
        <v>285941963.09000182</v>
      </c>
      <c r="Q327" s="712">
        <f>Q5-Q28-Q34-Q241</f>
        <v>138391272.95942736</v>
      </c>
      <c r="R327" s="712"/>
      <c r="S327" s="712">
        <f>S5-S28-S34-S241</f>
        <v>384840186.22744453</v>
      </c>
      <c r="T327" s="712">
        <f>T5-T28-T34-T241</f>
        <v>776633787.53284395</v>
      </c>
      <c r="U327" s="712">
        <f>U5-U28-U34-U241</f>
        <v>442986279.50712109</v>
      </c>
      <c r="V327" s="712"/>
      <c r="W327" s="712"/>
      <c r="X327" s="712"/>
      <c r="Y327" s="712"/>
      <c r="Z327" s="716">
        <f>AN327+AV327</f>
        <v>0</v>
      </c>
      <c r="AA327" s="712"/>
      <c r="AB327" s="712"/>
      <c r="AC327" s="712"/>
      <c r="AD327" s="712"/>
      <c r="AE327" s="712"/>
      <c r="AF327" s="712"/>
      <c r="AG327" s="712"/>
      <c r="AH327" s="712"/>
      <c r="AI327" s="712"/>
      <c r="AJ327" s="712"/>
      <c r="AK327" s="712"/>
      <c r="AL327" s="712"/>
      <c r="AM327" s="712"/>
      <c r="AN327" s="712"/>
      <c r="AO327" s="712"/>
      <c r="AP327" s="712"/>
      <c r="AQ327" s="712"/>
      <c r="AR327" s="712"/>
      <c r="AS327" s="712"/>
      <c r="AT327" s="712"/>
      <c r="AU327" s="712"/>
      <c r="AV327" s="712"/>
      <c r="AW327" s="712"/>
      <c r="AX327" s="712"/>
      <c r="AY327" s="712"/>
      <c r="AZ327" s="712"/>
      <c r="BA327" s="712"/>
      <c r="BB327" s="712"/>
      <c r="BC327" s="713"/>
      <c r="BD327" s="713"/>
      <c r="BE327" s="713"/>
      <c r="BF327" s="713"/>
      <c r="BG327" s="713"/>
      <c r="BH327" s="712"/>
      <c r="BI327" s="712"/>
      <c r="BJ327" s="712"/>
      <c r="BK327" s="712"/>
      <c r="BL327" s="712"/>
      <c r="BM327" s="712"/>
      <c r="BN327" s="712"/>
      <c r="BO327" s="712"/>
      <c r="BP327" s="712"/>
      <c r="BQ327" s="712"/>
      <c r="BR327" s="712"/>
      <c r="BS327" s="712"/>
      <c r="BU327" s="712"/>
      <c r="BV327" s="712"/>
      <c r="BW327" s="712"/>
      <c r="BY327" s="710"/>
      <c r="BZ327" s="710"/>
      <c r="CA327" s="710"/>
      <c r="CB327" s="710"/>
      <c r="CC327" s="710"/>
      <c r="CD327" s="712"/>
      <c r="CE327" s="712"/>
      <c r="CF327" s="712"/>
      <c r="CG327" s="712"/>
      <c r="CH327" s="712"/>
      <c r="CI327" s="712"/>
      <c r="CJ327" s="712"/>
      <c r="CK327" s="712">
        <f>CK5-CK28-CK34-CK241</f>
        <v>0</v>
      </c>
      <c r="CL327" s="712">
        <f>CL5-CL28-CL34-CL241</f>
        <v>0</v>
      </c>
      <c r="DD327" s="517"/>
      <c r="DE327" s="517"/>
      <c r="DF327" s="710"/>
      <c r="DG327" s="710"/>
      <c r="DH327" s="710"/>
      <c r="DI327" s="710"/>
    </row>
    <row r="328" spans="1:123" s="534" customFormat="1" ht="17.25" customHeight="1">
      <c r="A328" s="717"/>
      <c r="B328" s="528"/>
      <c r="C328" s="718"/>
      <c r="D328" s="712"/>
      <c r="E328" s="712"/>
      <c r="F328" s="712"/>
      <c r="G328" s="712"/>
      <c r="H328" s="712"/>
      <c r="I328" s="712"/>
      <c r="J328" s="712"/>
      <c r="K328" s="712"/>
      <c r="L328" s="712"/>
      <c r="M328" s="712"/>
      <c r="N328" s="712">
        <f>N5-N28-N34-N241</f>
        <v>92897123.509999871</v>
      </c>
      <c r="O328" s="712"/>
      <c r="P328" s="712">
        <f>P34+P28</f>
        <v>6321281829.4799995</v>
      </c>
      <c r="Q328" s="712">
        <f>Q34+Q28</f>
        <v>9427095.8399991989</v>
      </c>
      <c r="R328" s="712"/>
      <c r="S328" s="712">
        <f>S34+S28</f>
        <v>6167295517.3510056</v>
      </c>
      <c r="T328" s="712">
        <f>T34+T28</f>
        <v>6513347443.0355263</v>
      </c>
      <c r="U328" s="712">
        <f>U34+U28</f>
        <v>6743181123.6267624</v>
      </c>
      <c r="V328" s="712"/>
      <c r="W328" s="712"/>
      <c r="X328" s="712"/>
      <c r="Y328" s="712"/>
      <c r="Z328" s="716"/>
      <c r="AA328" s="712"/>
      <c r="AB328" s="712"/>
      <c r="AC328" s="712"/>
      <c r="AD328" s="712"/>
      <c r="AE328" s="712"/>
      <c r="AF328" s="712"/>
      <c r="AG328" s="712"/>
      <c r="AH328" s="712"/>
      <c r="AI328" s="712"/>
      <c r="AJ328" s="712"/>
      <c r="AK328" s="712"/>
      <c r="AL328" s="712"/>
      <c r="AM328" s="712"/>
      <c r="AN328" s="712"/>
      <c r="AO328" s="712"/>
      <c r="AP328" s="712"/>
      <c r="AQ328" s="712"/>
      <c r="AR328" s="712"/>
      <c r="AS328" s="712"/>
      <c r="AT328" s="712"/>
      <c r="AU328" s="712"/>
      <c r="AV328" s="712"/>
      <c r="AW328" s="712"/>
      <c r="AX328" s="712"/>
      <c r="AY328" s="712"/>
      <c r="AZ328" s="712"/>
      <c r="BA328" s="712"/>
      <c r="BB328" s="712"/>
      <c r="BC328" s="713"/>
      <c r="BD328" s="713"/>
      <c r="BE328" s="713"/>
      <c r="BF328" s="713"/>
      <c r="BG328" s="713"/>
      <c r="BH328" s="712"/>
      <c r="BI328" s="712"/>
      <c r="BJ328" s="712"/>
      <c r="BK328" s="712"/>
      <c r="BL328" s="712"/>
      <c r="BM328" s="712"/>
      <c r="BN328" s="712"/>
      <c r="BO328" s="712"/>
      <c r="BP328" s="712"/>
      <c r="BQ328" s="712"/>
      <c r="BR328" s="712"/>
      <c r="BS328" s="712"/>
      <c r="BT328" s="536"/>
      <c r="BU328" s="712"/>
      <c r="BV328" s="712"/>
      <c r="BW328" s="712"/>
      <c r="BX328" s="574"/>
      <c r="BY328" s="712"/>
      <c r="BZ328" s="712"/>
      <c r="CA328" s="712"/>
      <c r="CB328" s="712"/>
      <c r="CC328" s="712"/>
      <c r="CD328" s="712"/>
      <c r="CE328" s="712"/>
      <c r="CF328" s="712"/>
      <c r="CG328" s="712"/>
      <c r="CH328" s="712"/>
      <c r="CI328" s="712"/>
      <c r="CJ328" s="712"/>
      <c r="CK328" s="712">
        <f>CK34+CK28</f>
        <v>0</v>
      </c>
      <c r="CL328" s="712">
        <f>CL34+CL28</f>
        <v>0</v>
      </c>
      <c r="CS328" s="536"/>
      <c r="CT328" s="536"/>
      <c r="CU328" s="536"/>
      <c r="CV328" s="536"/>
      <c r="CW328" s="536"/>
      <c r="DD328" s="535"/>
      <c r="DE328" s="535"/>
      <c r="DF328" s="712"/>
      <c r="DG328" s="712"/>
      <c r="DH328" s="712"/>
      <c r="DI328" s="712"/>
      <c r="DJ328" s="536"/>
      <c r="DK328" s="536"/>
      <c r="DL328" s="536"/>
      <c r="DM328" s="536"/>
      <c r="DN328" s="536"/>
      <c r="DO328" s="536"/>
      <c r="DP328" s="536"/>
      <c r="DQ328" s="536"/>
      <c r="DR328" s="536"/>
      <c r="DS328" s="536"/>
    </row>
    <row r="329" spans="1:123" ht="16.5" customHeight="1">
      <c r="A329" s="1671" t="s">
        <v>2002</v>
      </c>
      <c r="B329" s="1671"/>
      <c r="C329" s="719"/>
      <c r="D329" s="713">
        <v>4530576792.5341778</v>
      </c>
      <c r="E329" s="712"/>
      <c r="F329" s="712"/>
      <c r="G329" s="712"/>
      <c r="H329" s="712"/>
      <c r="I329" s="712"/>
      <c r="J329" s="712"/>
      <c r="K329" s="712"/>
      <c r="L329" s="712"/>
      <c r="M329" s="712"/>
      <c r="N329" s="712"/>
      <c r="O329" s="712"/>
      <c r="P329" s="712">
        <f>P5-P28-P34-P241-P309</f>
        <v>271638963.09000182</v>
      </c>
      <c r="Q329" s="712">
        <f>Q5-Q28-Q34-Q241-Q309</f>
        <v>174720538.64194214</v>
      </c>
      <c r="R329" s="712"/>
      <c r="S329" s="712">
        <f>S5-S28-S34-S241-S309</f>
        <v>356831379.45739043</v>
      </c>
      <c r="T329" s="712">
        <f>T5-T28-T34-T241-T309</f>
        <v>681738938.60299194</v>
      </c>
      <c r="U329" s="712"/>
      <c r="V329" s="712"/>
      <c r="W329" s="712"/>
      <c r="X329" s="712"/>
      <c r="Y329" s="712"/>
      <c r="Z329" s="716"/>
      <c r="AA329" s="712"/>
      <c r="AB329" s="712"/>
      <c r="AC329" s="712"/>
      <c r="AD329" s="712"/>
      <c r="AE329" s="712"/>
      <c r="AF329" s="712"/>
      <c r="AG329" s="712"/>
      <c r="AH329" s="712"/>
      <c r="AI329" s="712"/>
      <c r="AJ329" s="712"/>
      <c r="AK329" s="712"/>
      <c r="AL329" s="712"/>
      <c r="AM329" s="712"/>
      <c r="AN329" s="712"/>
      <c r="AO329" s="712"/>
      <c r="AP329" s="712"/>
      <c r="AQ329" s="712"/>
      <c r="AR329" s="712"/>
      <c r="AS329" s="712"/>
      <c r="AT329" s="712"/>
      <c r="AU329" s="712"/>
      <c r="AV329" s="712"/>
      <c r="AW329" s="712"/>
      <c r="AX329" s="712"/>
      <c r="AY329" s="712"/>
      <c r="AZ329" s="712"/>
      <c r="BA329" s="712"/>
      <c r="BB329" s="712"/>
      <c r="BC329" s="713"/>
      <c r="BD329" s="713"/>
      <c r="BE329" s="713"/>
      <c r="BF329" s="713"/>
      <c r="BG329" s="713"/>
      <c r="BH329" s="712"/>
      <c r="BI329" s="712"/>
      <c r="BJ329" s="712"/>
      <c r="BK329" s="712"/>
      <c r="BL329" s="712"/>
      <c r="BM329" s="712"/>
      <c r="BN329" s="712"/>
      <c r="BO329" s="712"/>
      <c r="BP329" s="712"/>
      <c r="BQ329" s="712"/>
      <c r="BR329" s="712"/>
      <c r="BS329" s="712"/>
      <c r="BU329" s="720"/>
      <c r="BV329" s="720"/>
      <c r="BW329" s="720"/>
      <c r="BY329" s="712"/>
      <c r="BZ329" s="712"/>
      <c r="CA329" s="712"/>
      <c r="CB329" s="712"/>
      <c r="CC329" s="712"/>
      <c r="CD329" s="712"/>
      <c r="CE329" s="712"/>
      <c r="CF329" s="712"/>
      <c r="CG329" s="712"/>
      <c r="CH329" s="712"/>
      <c r="CI329" s="712"/>
      <c r="CJ329" s="712"/>
      <c r="CK329" s="712">
        <f>CK5-CK28-CK34-CK241-CK309</f>
        <v>0</v>
      </c>
      <c r="CL329" s="712">
        <f>CL5-CL28-CL34-CL241-CL309</f>
        <v>0</v>
      </c>
      <c r="DD329" s="517"/>
      <c r="DE329" s="517"/>
      <c r="DF329" s="712"/>
      <c r="DG329" s="712"/>
      <c r="DH329" s="712"/>
      <c r="DI329" s="712"/>
    </row>
    <row r="330" spans="1:123" ht="17.25" customHeight="1">
      <c r="A330" s="1672" t="s">
        <v>2003</v>
      </c>
      <c r="B330" s="1673"/>
      <c r="C330" s="509"/>
      <c r="D330" s="713">
        <v>414629919.19</v>
      </c>
      <c r="E330" s="721"/>
      <c r="F330" s="721"/>
      <c r="G330" s="713"/>
      <c r="H330" s="713"/>
      <c r="I330" s="721"/>
      <c r="J330" s="721"/>
      <c r="K330" s="721"/>
      <c r="L330" s="721"/>
      <c r="M330" s="721"/>
      <c r="N330" s="721"/>
      <c r="O330" s="721"/>
      <c r="P330" s="721"/>
      <c r="Q330" s="721"/>
      <c r="R330" s="721"/>
      <c r="S330" s="721"/>
      <c r="T330" s="721"/>
      <c r="U330" s="713"/>
      <c r="V330" s="713"/>
      <c r="W330" s="713"/>
      <c r="X330" s="713"/>
      <c r="Y330" s="713"/>
      <c r="Z330" s="716"/>
      <c r="AA330" s="713"/>
      <c r="AB330" s="713"/>
      <c r="AC330" s="713"/>
      <c r="AD330" s="713"/>
      <c r="AE330" s="713"/>
      <c r="AF330" s="713"/>
      <c r="AG330" s="712"/>
      <c r="AH330" s="713"/>
      <c r="AI330" s="713"/>
      <c r="AJ330" s="713"/>
      <c r="AK330" s="713"/>
      <c r="AL330" s="713"/>
      <c r="AM330" s="713"/>
      <c r="AN330" s="713"/>
      <c r="AO330" s="713"/>
      <c r="AP330" s="713"/>
      <c r="AQ330" s="713"/>
      <c r="AR330" s="713"/>
      <c r="AS330" s="713"/>
      <c r="AT330" s="713"/>
      <c r="AU330" s="713"/>
      <c r="AV330" s="713"/>
      <c r="AW330" s="713"/>
      <c r="AX330" s="713"/>
      <c r="AY330" s="713"/>
      <c r="AZ330" s="713"/>
      <c r="BA330" s="713"/>
      <c r="BB330" s="713"/>
      <c r="BC330" s="713"/>
      <c r="BD330" s="713"/>
      <c r="BE330" s="713"/>
      <c r="BF330" s="713"/>
      <c r="BG330" s="713"/>
      <c r="BH330" s="712"/>
      <c r="BI330" s="712"/>
      <c r="BJ330" s="712"/>
      <c r="BK330" s="712"/>
      <c r="BL330" s="712"/>
      <c r="BM330" s="712"/>
      <c r="BN330" s="713"/>
      <c r="BO330" s="712"/>
      <c r="BP330" s="712"/>
      <c r="BQ330" s="712"/>
      <c r="BR330" s="712"/>
      <c r="BS330" s="713"/>
      <c r="BU330" s="722"/>
      <c r="BV330" s="722"/>
      <c r="BW330" s="722"/>
      <c r="BY330" s="712"/>
      <c r="BZ330" s="712"/>
      <c r="CA330" s="712"/>
      <c r="CB330" s="712"/>
      <c r="CC330" s="712"/>
      <c r="CD330" s="713"/>
      <c r="CE330" s="713"/>
      <c r="CF330" s="713"/>
      <c r="CG330" s="713"/>
      <c r="CH330" s="713"/>
      <c r="CI330" s="713"/>
      <c r="CJ330" s="713"/>
      <c r="CK330" s="723"/>
      <c r="CL330" s="723"/>
      <c r="DD330" s="517"/>
      <c r="DE330" s="517"/>
      <c r="DF330" s="712"/>
      <c r="DG330" s="712"/>
      <c r="DH330" s="712"/>
      <c r="DI330" s="712"/>
    </row>
    <row r="331" spans="1:123" ht="27.75" customHeight="1">
      <c r="A331" s="1656" t="s">
        <v>2004</v>
      </c>
      <c r="B331" s="1657"/>
      <c r="C331" s="724"/>
      <c r="D331" s="725">
        <v>22823285.300000001</v>
      </c>
      <c r="E331" s="726"/>
      <c r="F331" s="726"/>
      <c r="G331" s="722"/>
      <c r="H331" s="722"/>
      <c r="I331" s="726"/>
      <c r="J331" s="726"/>
      <c r="K331" s="726"/>
      <c r="L331" s="726"/>
      <c r="M331" s="726"/>
      <c r="N331" s="726"/>
      <c r="O331" s="726"/>
      <c r="P331" s="726"/>
      <c r="Q331" s="726"/>
      <c r="R331" s="726"/>
      <c r="S331" s="726"/>
      <c r="T331" s="726"/>
      <c r="U331" s="722"/>
      <c r="V331" s="722"/>
      <c r="W331" s="722"/>
      <c r="X331" s="722"/>
      <c r="Y331" s="722"/>
      <c r="Z331" s="727"/>
      <c r="AA331" s="722"/>
      <c r="AB331" s="722"/>
      <c r="AC331" s="722"/>
      <c r="AD331" s="722"/>
      <c r="AE331" s="722"/>
      <c r="AF331" s="722"/>
      <c r="AG331" s="728"/>
      <c r="AH331" s="722"/>
      <c r="AI331" s="722"/>
      <c r="AJ331" s="722"/>
      <c r="AK331" s="722"/>
      <c r="AL331" s="722"/>
      <c r="AM331" s="722"/>
      <c r="AN331" s="722"/>
      <c r="AO331" s="722"/>
      <c r="AP331" s="722"/>
      <c r="AQ331" s="722"/>
      <c r="AR331" s="722"/>
      <c r="AS331" s="722"/>
      <c r="AT331" s="722"/>
      <c r="AU331" s="722"/>
      <c r="AV331" s="722"/>
      <c r="AW331" s="722"/>
      <c r="AX331" s="722"/>
      <c r="AY331" s="722"/>
      <c r="AZ331" s="722"/>
      <c r="BA331" s="722"/>
      <c r="BB331" s="722"/>
      <c r="BC331" s="722"/>
      <c r="BD331" s="722"/>
      <c r="BE331" s="722"/>
      <c r="BF331" s="722"/>
      <c r="BG331" s="722"/>
      <c r="BH331" s="728"/>
      <c r="BI331" s="728"/>
      <c r="BJ331" s="728"/>
      <c r="BK331" s="728"/>
      <c r="BL331" s="728"/>
      <c r="BM331" s="728"/>
      <c r="BN331" s="722"/>
      <c r="BO331" s="728"/>
      <c r="BP331" s="728"/>
      <c r="BQ331" s="728"/>
      <c r="BR331" s="728"/>
      <c r="BS331" s="722"/>
      <c r="BU331" s="710"/>
      <c r="BV331" s="710"/>
      <c r="BW331" s="710"/>
      <c r="BY331" s="713"/>
      <c r="BZ331" s="713"/>
      <c r="CA331" s="713"/>
      <c r="CB331" s="713"/>
      <c r="CC331" s="713"/>
      <c r="CD331" s="722"/>
      <c r="CE331" s="722"/>
      <c r="CF331" s="722"/>
      <c r="CG331" s="722"/>
      <c r="CH331" s="722"/>
      <c r="CI331" s="722"/>
      <c r="CJ331" s="722"/>
      <c r="CK331" s="729"/>
      <c r="CL331" s="729"/>
      <c r="DD331" s="517"/>
      <c r="DE331" s="517"/>
      <c r="DF331" s="713"/>
      <c r="DG331" s="713"/>
      <c r="DH331" s="713"/>
      <c r="DI331" s="713"/>
    </row>
    <row r="332" spans="1:123" ht="34.5" customHeight="1">
      <c r="A332" s="1656" t="s">
        <v>2005</v>
      </c>
      <c r="B332" s="1657"/>
      <c r="C332" s="724"/>
      <c r="D332" s="722">
        <v>40740057.969999999</v>
      </c>
      <c r="E332" s="726"/>
      <c r="F332" s="726"/>
      <c r="G332" s="722"/>
      <c r="H332" s="722"/>
      <c r="I332" s="726"/>
      <c r="J332" s="726"/>
      <c r="K332" s="726"/>
      <c r="L332" s="726"/>
      <c r="M332" s="726"/>
      <c r="N332" s="726"/>
      <c r="O332" s="726"/>
      <c r="P332" s="726"/>
      <c r="Q332" s="726"/>
      <c r="R332" s="726"/>
      <c r="S332" s="726"/>
      <c r="T332" s="726"/>
      <c r="U332" s="722"/>
      <c r="V332" s="722"/>
      <c r="W332" s="722"/>
      <c r="X332" s="722"/>
      <c r="Y332" s="722"/>
      <c r="Z332" s="727"/>
      <c r="AA332" s="722"/>
      <c r="AB332" s="722"/>
      <c r="AC332" s="722"/>
      <c r="AD332" s="722"/>
      <c r="AE332" s="722"/>
      <c r="AF332" s="722"/>
      <c r="AG332" s="728"/>
      <c r="AH332" s="722"/>
      <c r="AI332" s="722"/>
      <c r="AJ332" s="722"/>
      <c r="AK332" s="722"/>
      <c r="AL332" s="722"/>
      <c r="AM332" s="722"/>
      <c r="AN332" s="722"/>
      <c r="AO332" s="722"/>
      <c r="AP332" s="722"/>
      <c r="AQ332" s="722"/>
      <c r="AR332" s="722"/>
      <c r="AS332" s="722"/>
      <c r="AT332" s="722"/>
      <c r="AU332" s="722"/>
      <c r="AV332" s="722"/>
      <c r="AW332" s="722"/>
      <c r="AX332" s="722"/>
      <c r="AY332" s="722"/>
      <c r="AZ332" s="722"/>
      <c r="BA332" s="722"/>
      <c r="BB332" s="722"/>
      <c r="BC332" s="722"/>
      <c r="BD332" s="722"/>
      <c r="BE332" s="722"/>
      <c r="BF332" s="722"/>
      <c r="BG332" s="722"/>
      <c r="BH332" s="728"/>
      <c r="BI332" s="728"/>
      <c r="BJ332" s="728"/>
      <c r="BK332" s="728"/>
      <c r="BL332" s="728"/>
      <c r="BM332" s="728"/>
      <c r="BN332" s="722"/>
      <c r="BO332" s="728"/>
      <c r="BP332" s="728"/>
      <c r="BQ332" s="728"/>
      <c r="BR332" s="728"/>
      <c r="BS332" s="722"/>
      <c r="BU332" s="712"/>
      <c r="BV332" s="712"/>
      <c r="BW332" s="712"/>
      <c r="BY332" s="722"/>
      <c r="BZ332" s="722"/>
      <c r="CA332" s="722"/>
      <c r="CB332" s="722"/>
      <c r="CC332" s="722"/>
      <c r="CD332" s="722"/>
      <c r="CE332" s="722"/>
      <c r="CF332" s="722"/>
      <c r="CG332" s="722"/>
      <c r="CH332" s="722"/>
      <c r="CI332" s="722"/>
      <c r="CJ332" s="722"/>
      <c r="CK332" s="729"/>
      <c r="CL332" s="729"/>
      <c r="DD332" s="517"/>
      <c r="DE332" s="517"/>
      <c r="DF332" s="722"/>
      <c r="DG332" s="722"/>
      <c r="DH332" s="722"/>
      <c r="DI332" s="722"/>
    </row>
    <row r="333" spans="1:123" ht="17.25" customHeight="1">
      <c r="A333" s="1656" t="s">
        <v>2006</v>
      </c>
      <c r="B333" s="1657"/>
      <c r="C333" s="724"/>
      <c r="D333" s="722">
        <v>4737062.67</v>
      </c>
      <c r="E333" s="726"/>
      <c r="F333" s="726"/>
      <c r="G333" s="722"/>
      <c r="H333" s="722"/>
      <c r="I333" s="726"/>
      <c r="J333" s="726"/>
      <c r="K333" s="726"/>
      <c r="L333" s="726"/>
      <c r="M333" s="726"/>
      <c r="N333" s="726"/>
      <c r="O333" s="726"/>
      <c r="P333" s="726"/>
      <c r="Q333" s="726"/>
      <c r="R333" s="726"/>
      <c r="S333" s="726"/>
      <c r="T333" s="726"/>
      <c r="U333" s="722"/>
      <c r="V333" s="722"/>
      <c r="W333" s="722"/>
      <c r="X333" s="722"/>
      <c r="Y333" s="722"/>
      <c r="Z333" s="727"/>
      <c r="AA333" s="722"/>
      <c r="AB333" s="722"/>
      <c r="AC333" s="722"/>
      <c r="AD333" s="722"/>
      <c r="AE333" s="722"/>
      <c r="AF333" s="722"/>
      <c r="AG333" s="728"/>
      <c r="AH333" s="722"/>
      <c r="AI333" s="722"/>
      <c r="AJ333" s="722"/>
      <c r="AK333" s="722"/>
      <c r="AL333" s="722"/>
      <c r="AM333" s="722"/>
      <c r="AN333" s="730"/>
      <c r="AO333" s="722"/>
      <c r="AP333" s="722"/>
      <c r="AQ333" s="722"/>
      <c r="AR333" s="722"/>
      <c r="AS333" s="722"/>
      <c r="AT333" s="722"/>
      <c r="AU333" s="722"/>
      <c r="AV333" s="722"/>
      <c r="AW333" s="722"/>
      <c r="AX333" s="722"/>
      <c r="AY333" s="722"/>
      <c r="AZ333" s="722"/>
      <c r="BA333" s="722"/>
      <c r="BB333" s="722"/>
      <c r="BC333" s="722"/>
      <c r="BD333" s="722"/>
      <c r="BE333" s="722"/>
      <c r="BF333" s="722"/>
      <c r="BG333" s="722"/>
      <c r="BH333" s="728"/>
      <c r="BI333" s="728"/>
      <c r="BJ333" s="728"/>
      <c r="BK333" s="728"/>
      <c r="BL333" s="728"/>
      <c r="BM333" s="728"/>
      <c r="BN333" s="722"/>
      <c r="BO333" s="728"/>
      <c r="BP333" s="728"/>
      <c r="BQ333" s="728"/>
      <c r="BR333" s="728"/>
      <c r="BS333" s="722"/>
      <c r="BU333" s="712"/>
      <c r="BV333" s="712"/>
      <c r="BW333" s="712"/>
      <c r="BY333" s="722"/>
      <c r="BZ333" s="722"/>
      <c r="CA333" s="722"/>
      <c r="CB333" s="722"/>
      <c r="CC333" s="722"/>
      <c r="CD333" s="722"/>
      <c r="CE333" s="722"/>
      <c r="CF333" s="722"/>
      <c r="CG333" s="722"/>
      <c r="CH333" s="722"/>
      <c r="CI333" s="722"/>
      <c r="CJ333" s="722"/>
      <c r="CK333" s="731"/>
      <c r="CL333" s="731"/>
      <c r="DD333" s="517"/>
      <c r="DE333" s="517"/>
      <c r="DF333" s="722"/>
      <c r="DG333" s="722"/>
      <c r="DH333" s="722"/>
      <c r="DI333" s="722"/>
    </row>
    <row r="334" spans="1:123" ht="16.5" customHeight="1">
      <c r="A334" s="1658"/>
      <c r="B334" s="1659"/>
      <c r="C334" s="724"/>
      <c r="D334" s="726"/>
      <c r="E334" s="726"/>
      <c r="F334" s="726"/>
      <c r="G334" s="722"/>
      <c r="H334" s="722"/>
      <c r="I334" s="726"/>
      <c r="J334" s="726"/>
      <c r="K334" s="726"/>
      <c r="L334" s="726"/>
      <c r="M334" s="726"/>
      <c r="N334" s="726"/>
      <c r="O334" s="726"/>
      <c r="P334" s="726"/>
      <c r="Q334" s="726"/>
      <c r="R334" s="726"/>
      <c r="S334" s="726"/>
      <c r="T334" s="726"/>
      <c r="U334" s="722"/>
      <c r="V334" s="722"/>
      <c r="W334" s="722"/>
      <c r="X334" s="722"/>
      <c r="Y334" s="722"/>
      <c r="Z334" s="727"/>
      <c r="AA334" s="722"/>
      <c r="AB334" s="722"/>
      <c r="AC334" s="722"/>
      <c r="AD334" s="722"/>
      <c r="AE334" s="722"/>
      <c r="AF334" s="722"/>
      <c r="AG334" s="728"/>
      <c r="AH334" s="722"/>
      <c r="AI334" s="722"/>
      <c r="AJ334" s="722"/>
      <c r="AK334" s="722"/>
      <c r="AL334" s="722"/>
      <c r="AM334" s="722"/>
      <c r="AN334" s="722"/>
      <c r="AO334" s="722"/>
      <c r="AP334" s="722"/>
      <c r="AQ334" s="722"/>
      <c r="AR334" s="722"/>
      <c r="AS334" s="722"/>
      <c r="AT334" s="722"/>
      <c r="AU334" s="722"/>
      <c r="AV334" s="722"/>
      <c r="AW334" s="722"/>
      <c r="AX334" s="722"/>
      <c r="AY334" s="722"/>
      <c r="AZ334" s="722"/>
      <c r="BA334" s="722"/>
      <c r="BB334" s="722"/>
      <c r="BC334" s="722"/>
      <c r="BD334" s="722"/>
      <c r="BE334" s="722"/>
      <c r="BF334" s="722"/>
      <c r="BG334" s="722"/>
      <c r="BH334" s="728"/>
      <c r="BI334" s="728"/>
      <c r="BJ334" s="728"/>
      <c r="BK334" s="728"/>
      <c r="BL334" s="728"/>
      <c r="BM334" s="728"/>
      <c r="BN334" s="722"/>
      <c r="BO334" s="728"/>
      <c r="BP334" s="728"/>
      <c r="BQ334" s="728"/>
      <c r="BR334" s="728"/>
      <c r="BS334" s="722"/>
      <c r="BU334" s="712"/>
      <c r="BV334" s="712"/>
      <c r="BW334" s="712"/>
      <c r="BY334" s="722"/>
      <c r="BZ334" s="722"/>
      <c r="CA334" s="722"/>
      <c r="CB334" s="722"/>
      <c r="CC334" s="722"/>
      <c r="CD334" s="722"/>
      <c r="CE334" s="722"/>
      <c r="CF334" s="722"/>
      <c r="CG334" s="722"/>
      <c r="CH334" s="722"/>
      <c r="CI334" s="722"/>
      <c r="CJ334" s="722"/>
      <c r="CK334" s="732"/>
      <c r="CL334" s="732"/>
      <c r="DD334" s="517"/>
      <c r="DE334" s="517"/>
      <c r="DF334" s="722"/>
      <c r="DG334" s="722"/>
      <c r="DH334" s="722"/>
      <c r="DI334" s="722"/>
    </row>
    <row r="335" spans="1:123" ht="15.75" customHeight="1">
      <c r="A335" s="1660" t="s">
        <v>2007</v>
      </c>
      <c r="B335" s="1661"/>
      <c r="C335" s="510"/>
      <c r="D335" s="713">
        <v>1053806806.41</v>
      </c>
      <c r="E335" s="721"/>
      <c r="F335" s="721"/>
      <c r="G335" s="713"/>
      <c r="H335" s="713"/>
      <c r="I335" s="721"/>
      <c r="J335" s="721"/>
      <c r="K335" s="721"/>
      <c r="L335" s="721"/>
      <c r="M335" s="721"/>
      <c r="N335" s="721"/>
      <c r="O335" s="721"/>
      <c r="P335" s="721"/>
      <c r="Q335" s="721"/>
      <c r="R335" s="721"/>
      <c r="S335" s="721"/>
      <c r="T335" s="721"/>
      <c r="U335" s="713"/>
      <c r="V335" s="713"/>
      <c r="W335" s="713"/>
      <c r="X335" s="713"/>
      <c r="Y335" s="713"/>
      <c r="Z335" s="716"/>
      <c r="AA335" s="713"/>
      <c r="AB335" s="713"/>
      <c r="AC335" s="713"/>
      <c r="AD335" s="713"/>
      <c r="AE335" s="713"/>
      <c r="AF335" s="713"/>
      <c r="AG335" s="712"/>
      <c r="AH335" s="713"/>
      <c r="AI335" s="713"/>
      <c r="AJ335" s="713"/>
      <c r="AK335" s="713"/>
      <c r="AL335" s="713"/>
      <c r="AM335" s="713"/>
      <c r="AN335" s="713"/>
      <c r="AO335" s="713"/>
      <c r="AP335" s="713"/>
      <c r="AQ335" s="713"/>
      <c r="AR335" s="713"/>
      <c r="AS335" s="713"/>
      <c r="AT335" s="713"/>
      <c r="AU335" s="713"/>
      <c r="AV335" s="713"/>
      <c r="AW335" s="713"/>
      <c r="AX335" s="713"/>
      <c r="AY335" s="713"/>
      <c r="AZ335" s="713"/>
      <c r="BA335" s="713"/>
      <c r="BB335" s="713"/>
      <c r="BC335" s="713"/>
      <c r="BD335" s="713"/>
      <c r="BE335" s="713"/>
      <c r="BF335" s="713"/>
      <c r="BG335" s="713"/>
      <c r="BH335" s="712"/>
      <c r="BI335" s="712"/>
      <c r="BJ335" s="712"/>
      <c r="BK335" s="712"/>
      <c r="BL335" s="712"/>
      <c r="BM335" s="712"/>
      <c r="BN335" s="713"/>
      <c r="BO335" s="712"/>
      <c r="BP335" s="712"/>
      <c r="BQ335" s="712"/>
      <c r="BR335" s="712"/>
      <c r="BS335" s="713"/>
      <c r="BU335" s="720"/>
      <c r="BV335" s="720"/>
      <c r="BW335" s="720"/>
      <c r="BY335" s="722"/>
      <c r="BZ335" s="722"/>
      <c r="CA335" s="722"/>
      <c r="CB335" s="722"/>
      <c r="CC335" s="722"/>
      <c r="CD335" s="713"/>
      <c r="CE335" s="713"/>
      <c r="CF335" s="713"/>
      <c r="CG335" s="713"/>
      <c r="CH335" s="713"/>
      <c r="CI335" s="713"/>
      <c r="CJ335" s="713"/>
      <c r="CK335" s="543"/>
      <c r="CL335" s="543"/>
      <c r="DF335" s="722"/>
      <c r="DG335" s="722"/>
      <c r="DH335" s="722"/>
      <c r="DI335" s="722"/>
    </row>
    <row r="336" spans="1:123" ht="17.25" customHeight="1">
      <c r="A336" s="733"/>
      <c r="B336" s="734"/>
      <c r="C336" s="735"/>
      <c r="E336" s="736">
        <v>4962487590.1211834</v>
      </c>
      <c r="G336" s="736">
        <f>G28+G34</f>
        <v>5837161755.5767145</v>
      </c>
      <c r="I336" s="736">
        <f t="shared" ref="I336:Q336" si="505">I5</f>
        <v>7413495620.6225748</v>
      </c>
      <c r="J336" s="736">
        <f t="shared" si="505"/>
        <v>3567351462.3600006</v>
      </c>
      <c r="K336" s="736">
        <f t="shared" si="505"/>
        <v>1860199430.2326782</v>
      </c>
      <c r="L336" s="736">
        <f t="shared" si="505"/>
        <v>1985944728.029896</v>
      </c>
      <c r="M336" s="736">
        <f t="shared" si="505"/>
        <v>5427550892.5926781</v>
      </c>
      <c r="N336" s="736">
        <f t="shared" si="505"/>
        <v>5325104653.9400005</v>
      </c>
      <c r="O336" s="736">
        <f t="shared" si="505"/>
        <v>2387596905.2299995</v>
      </c>
      <c r="P336" s="736">
        <f t="shared" si="505"/>
        <v>7712701559.170001</v>
      </c>
      <c r="Q336" s="736">
        <f t="shared" si="505"/>
        <v>299205938.54742622</v>
      </c>
      <c r="S336" s="736">
        <f>S5</f>
        <v>6745604540.6784496</v>
      </c>
      <c r="BH336" s="738"/>
      <c r="BI336" s="738"/>
      <c r="BJ336" s="738"/>
      <c r="BK336" s="738"/>
      <c r="BO336" s="738"/>
      <c r="BP336" s="738"/>
      <c r="BU336" s="722"/>
      <c r="BV336" s="722"/>
      <c r="BW336" s="722"/>
      <c r="BY336" s="713"/>
      <c r="BZ336" s="713"/>
      <c r="CA336" s="713"/>
      <c r="CB336" s="713"/>
      <c r="CC336" s="713"/>
      <c r="CK336" s="740"/>
      <c r="CL336" s="740"/>
      <c r="DF336" s="713"/>
      <c r="DG336" s="713"/>
      <c r="DH336" s="713"/>
      <c r="DI336" s="713"/>
    </row>
    <row r="337" spans="1:123" ht="17.25" customHeight="1">
      <c r="A337" s="741" t="s">
        <v>2008</v>
      </c>
      <c r="C337" s="628"/>
      <c r="D337" s="628"/>
      <c r="E337" s="628"/>
      <c r="F337" s="628"/>
      <c r="G337" s="628"/>
      <c r="H337" s="628"/>
      <c r="I337" s="736">
        <f t="shared" ref="I337:Q337" si="506">I28+I34+I241+I303+I309</f>
        <v>7322354873.0145168</v>
      </c>
      <c r="J337" s="736">
        <f t="shared" si="506"/>
        <v>3530411698.6900001</v>
      </c>
      <c r="K337" s="736">
        <f t="shared" si="506"/>
        <v>1783720794.3365355</v>
      </c>
      <c r="L337" s="736">
        <f t="shared" si="506"/>
        <v>2008222379.9879792</v>
      </c>
      <c r="M337" s="736">
        <f t="shared" si="506"/>
        <v>5314132493.0265369</v>
      </c>
      <c r="N337" s="736">
        <f t="shared" si="506"/>
        <v>5256696986.3200006</v>
      </c>
      <c r="O337" s="736">
        <f t="shared" si="506"/>
        <v>2193691292.8199997</v>
      </c>
      <c r="P337" s="736">
        <f t="shared" si="506"/>
        <v>7450388279.1399994</v>
      </c>
      <c r="Q337" s="736">
        <f t="shared" si="506"/>
        <v>128033406.12548409</v>
      </c>
      <c r="S337" s="736">
        <f>S28+S34+S241+S303+S309</f>
        <v>6388773161.2210598</v>
      </c>
      <c r="BH337" s="738"/>
      <c r="BI337" s="738"/>
      <c r="BJ337" s="738"/>
      <c r="BK337" s="738"/>
      <c r="BO337" s="738"/>
      <c r="BP337" s="738"/>
      <c r="BU337" s="722"/>
      <c r="BV337" s="722"/>
      <c r="BW337" s="722"/>
      <c r="BY337" s="713"/>
      <c r="BZ337" s="713"/>
      <c r="CA337" s="713"/>
      <c r="CB337" s="713"/>
      <c r="CC337" s="713"/>
      <c r="DF337" s="713"/>
      <c r="DG337" s="713"/>
      <c r="DH337" s="713"/>
      <c r="DI337" s="713"/>
    </row>
    <row r="338" spans="1:123" s="743" customFormat="1" ht="17.25" customHeight="1">
      <c r="A338" s="742"/>
      <c r="C338" s="744">
        <f>C13-C14</f>
        <v>714459591.94000006</v>
      </c>
      <c r="D338" s="744">
        <f>D13-D14</f>
        <v>0</v>
      </c>
      <c r="E338" s="744">
        <f>E13-E14</f>
        <v>91154874.439999998</v>
      </c>
      <c r="F338" s="744">
        <f>F13-F14</f>
        <v>249230197.58000001</v>
      </c>
      <c r="G338" s="744">
        <f>G13-G14</f>
        <v>0</v>
      </c>
      <c r="H338" s="744"/>
      <c r="I338" s="744">
        <f t="shared" ref="I338:S338" si="507">I336-I337</f>
        <v>91140747.608057976</v>
      </c>
      <c r="J338" s="744">
        <f t="shared" si="507"/>
        <v>36939763.670000553</v>
      </c>
      <c r="K338" s="744">
        <f t="shared" si="507"/>
        <v>76478635.896142721</v>
      </c>
      <c r="L338" s="744">
        <f t="shared" si="507"/>
        <v>-22277651.958083153</v>
      </c>
      <c r="M338" s="744">
        <f t="shared" si="507"/>
        <v>113418399.56614113</v>
      </c>
      <c r="N338" s="744">
        <f t="shared" si="507"/>
        <v>68407667.619999886</v>
      </c>
      <c r="O338" s="744">
        <f t="shared" si="507"/>
        <v>193905612.40999985</v>
      </c>
      <c r="P338" s="744">
        <f t="shared" si="507"/>
        <v>262313280.03000164</v>
      </c>
      <c r="Q338" s="744">
        <f t="shared" si="507"/>
        <v>171172532.42194211</v>
      </c>
      <c r="R338" s="744"/>
      <c r="S338" s="744">
        <f t="shared" si="507"/>
        <v>356831379.45738983</v>
      </c>
      <c r="T338" s="744"/>
      <c r="U338" s="744"/>
      <c r="V338" s="744"/>
      <c r="W338" s="744"/>
      <c r="X338" s="744"/>
      <c r="Y338" s="744"/>
      <c r="Z338" s="745"/>
      <c r="AA338" s="744"/>
      <c r="AB338" s="744"/>
      <c r="AC338" s="744"/>
      <c r="AD338" s="744"/>
      <c r="AE338" s="744"/>
      <c r="AF338" s="744"/>
      <c r="AG338" s="571"/>
      <c r="AH338" s="744"/>
      <c r="AI338" s="744"/>
      <c r="AJ338" s="744"/>
      <c r="AK338" s="744"/>
      <c r="AL338" s="744"/>
      <c r="AM338" s="744"/>
      <c r="AN338" s="744"/>
      <c r="AO338" s="744"/>
      <c r="AP338" s="744"/>
      <c r="AQ338" s="744"/>
      <c r="AR338" s="744"/>
      <c r="AS338" s="744"/>
      <c r="AT338" s="744"/>
      <c r="AU338" s="744"/>
      <c r="AV338" s="744"/>
      <c r="AW338" s="744"/>
      <c r="AX338" s="744"/>
      <c r="AY338" s="744"/>
      <c r="AZ338" s="744"/>
      <c r="BA338" s="744"/>
      <c r="BB338" s="744"/>
      <c r="BC338" s="746"/>
      <c r="BD338" s="746"/>
      <c r="BE338" s="746"/>
      <c r="BF338" s="746"/>
      <c r="BG338" s="746"/>
      <c r="BH338" s="571"/>
      <c r="BI338" s="571"/>
      <c r="BJ338" s="571"/>
      <c r="BK338" s="571"/>
      <c r="BL338" s="571"/>
      <c r="BM338" s="571"/>
      <c r="BN338" s="744"/>
      <c r="BO338" s="571"/>
      <c r="BP338" s="571"/>
      <c r="BQ338" s="571"/>
      <c r="BR338" s="571"/>
      <c r="BS338" s="744"/>
      <c r="BT338" s="747"/>
      <c r="BU338" s="722"/>
      <c r="BV338" s="722"/>
      <c r="BW338" s="722"/>
      <c r="BX338" s="465"/>
      <c r="BY338" s="736"/>
      <c r="BZ338" s="736"/>
      <c r="CA338" s="736"/>
      <c r="CB338" s="736"/>
      <c r="CC338" s="736"/>
      <c r="CD338" s="744"/>
      <c r="CE338" s="744"/>
      <c r="CF338" s="744"/>
      <c r="CG338" s="744"/>
      <c r="CH338" s="744"/>
      <c r="CI338" s="744"/>
      <c r="CJ338" s="744"/>
      <c r="CK338" s="748"/>
      <c r="CL338" s="748"/>
      <c r="CS338" s="747"/>
      <c r="CT338" s="747"/>
      <c r="CU338" s="747"/>
      <c r="CV338" s="747"/>
      <c r="CW338" s="747"/>
      <c r="DF338" s="736"/>
      <c r="DG338" s="736"/>
      <c r="DH338" s="736"/>
      <c r="DI338" s="736"/>
      <c r="DJ338" s="747"/>
      <c r="DK338" s="747"/>
      <c r="DL338" s="747"/>
      <c r="DM338" s="747"/>
      <c r="DN338" s="747"/>
      <c r="DO338" s="747"/>
      <c r="DP338" s="747"/>
      <c r="DQ338" s="747"/>
      <c r="DR338" s="747"/>
      <c r="DS338" s="747"/>
    </row>
    <row r="339" spans="1:123" ht="17.25" customHeight="1">
      <c r="C339" s="628">
        <v>5091171821.3299999</v>
      </c>
      <c r="BH339" s="738"/>
      <c r="BI339" s="738"/>
      <c r="BJ339" s="738"/>
      <c r="BK339" s="738"/>
      <c r="BO339" s="738"/>
      <c r="BP339" s="738"/>
      <c r="BU339" s="722"/>
      <c r="BV339" s="722"/>
      <c r="BW339" s="722"/>
      <c r="BX339" s="749"/>
    </row>
    <row r="340" spans="1:123" ht="17.25" customHeight="1">
      <c r="C340" s="628"/>
      <c r="BH340" s="738"/>
      <c r="BI340" s="738"/>
      <c r="BJ340" s="738"/>
      <c r="BK340" s="738"/>
      <c r="BO340" s="738"/>
      <c r="BP340" s="738"/>
      <c r="BU340" s="713"/>
      <c r="BV340" s="713"/>
      <c r="BW340" s="713"/>
      <c r="BY340" s="571"/>
      <c r="BZ340" s="571"/>
      <c r="CA340" s="571"/>
      <c r="CB340" s="571"/>
      <c r="CC340" s="571"/>
      <c r="DF340" s="571"/>
      <c r="DG340" s="571"/>
      <c r="DH340" s="571"/>
      <c r="DI340" s="571"/>
    </row>
    <row r="341" spans="1:123" ht="17.25" customHeight="1">
      <c r="C341" s="628"/>
      <c r="BH341" s="738"/>
      <c r="BI341" s="738"/>
      <c r="BJ341" s="738"/>
      <c r="BK341" s="738"/>
      <c r="BO341" s="738"/>
      <c r="BP341" s="738"/>
    </row>
    <row r="342" spans="1:123" ht="17.25" customHeight="1">
      <c r="C342" s="628"/>
      <c r="BH342" s="738"/>
      <c r="BI342" s="738"/>
      <c r="BJ342" s="738"/>
      <c r="BK342" s="738"/>
      <c r="BO342" s="738"/>
      <c r="BP342" s="738"/>
      <c r="BY342" s="750"/>
      <c r="BZ342" s="750"/>
      <c r="CA342" s="750"/>
      <c r="CB342" s="750"/>
      <c r="CC342" s="750"/>
      <c r="DF342" s="750"/>
      <c r="DG342" s="750"/>
      <c r="DH342" s="750"/>
      <c r="DI342" s="750"/>
    </row>
    <row r="343" spans="1:123" ht="17.25" customHeight="1" outlineLevel="1">
      <c r="C343" s="628"/>
      <c r="D343" s="628"/>
      <c r="E343" s="628"/>
      <c r="BH343" s="738"/>
      <c r="BI343" s="738"/>
      <c r="BJ343" s="738"/>
      <c r="BK343" s="738"/>
      <c r="BO343" s="738"/>
      <c r="BP343" s="738"/>
      <c r="BU343" s="571"/>
      <c r="BV343" s="571"/>
      <c r="BW343" s="571"/>
      <c r="BY343" s="751"/>
      <c r="BZ343" s="751"/>
      <c r="CA343" s="751"/>
      <c r="CB343" s="751"/>
      <c r="CC343" s="751"/>
      <c r="DF343" s="751"/>
      <c r="DG343" s="751"/>
      <c r="DH343" s="751"/>
      <c r="DI343" s="751"/>
    </row>
    <row r="344" spans="1:123" ht="17.25" customHeight="1" outlineLevel="1">
      <c r="C344" s="628">
        <f>SUBTOTAL(9,C8:C317)</f>
        <v>49487807804.370049</v>
      </c>
      <c r="D344" s="628">
        <f>SUBTOTAL(9,D8:D317)</f>
        <v>39284076423.375084</v>
      </c>
      <c r="E344" s="628">
        <f>SUBTOTAL(9,E8:E317)</f>
        <v>56710358523.916496</v>
      </c>
      <c r="F344" s="628"/>
      <c r="BH344" s="738"/>
      <c r="BI344" s="738"/>
      <c r="BJ344" s="738"/>
      <c r="BK344" s="738"/>
      <c r="BO344" s="738"/>
      <c r="BP344" s="738"/>
      <c r="BU344" s="752"/>
      <c r="BV344" s="752"/>
      <c r="BW344" s="752"/>
      <c r="BY344" s="752"/>
      <c r="BZ344" s="752"/>
      <c r="CA344" s="752"/>
      <c r="CB344" s="752"/>
      <c r="CC344" s="752"/>
      <c r="DF344" s="752"/>
      <c r="DG344" s="752"/>
      <c r="DH344" s="752"/>
      <c r="DI344" s="752"/>
    </row>
    <row r="345" spans="1:123" ht="17.25" customHeight="1" outlineLevel="1">
      <c r="D345" s="464"/>
      <c r="E345" s="464"/>
      <c r="BH345" s="738"/>
      <c r="BI345" s="738"/>
      <c r="BJ345" s="738"/>
      <c r="BK345" s="738"/>
      <c r="BO345" s="738"/>
      <c r="BP345" s="738"/>
      <c r="BU345" s="752"/>
      <c r="BV345" s="752"/>
      <c r="BW345" s="752"/>
      <c r="BY345" s="752"/>
      <c r="BZ345" s="752"/>
      <c r="CA345" s="752"/>
      <c r="CB345" s="752"/>
      <c r="CC345" s="752"/>
      <c r="DF345" s="752"/>
      <c r="DG345" s="752"/>
      <c r="DH345" s="752"/>
      <c r="DI345" s="752"/>
    </row>
    <row r="346" spans="1:123" ht="17.25" customHeight="1" outlineLevel="1">
      <c r="C346" s="628"/>
      <c r="BH346" s="738"/>
      <c r="BI346" s="738"/>
      <c r="BJ346" s="738"/>
      <c r="BK346" s="738"/>
      <c r="BO346" s="738"/>
      <c r="BP346" s="738"/>
      <c r="BU346" s="752"/>
      <c r="BV346" s="752"/>
      <c r="BW346" s="752"/>
      <c r="BY346" s="752"/>
      <c r="BZ346" s="752"/>
      <c r="CA346" s="752"/>
      <c r="CB346" s="752"/>
      <c r="CC346" s="752"/>
      <c r="DF346" s="752"/>
      <c r="DG346" s="752"/>
      <c r="DH346" s="752"/>
      <c r="DI346" s="752"/>
    </row>
    <row r="347" spans="1:123" outlineLevel="1">
      <c r="B347" s="534" t="s">
        <v>1464</v>
      </c>
      <c r="C347" s="628">
        <f>C34-C35-C231-C232-C233-C234-C222</f>
        <v>3584477939.8959994</v>
      </c>
      <c r="D347" s="464"/>
      <c r="E347" s="464"/>
      <c r="F347" s="464"/>
      <c r="G347" s="736">
        <f>G320+G323+G325</f>
        <v>3995767287.3600001</v>
      </c>
      <c r="BH347" s="738"/>
      <c r="BI347" s="738"/>
      <c r="BJ347" s="738"/>
      <c r="BK347" s="738"/>
      <c r="BO347" s="738"/>
      <c r="BP347" s="738"/>
      <c r="BU347" s="752"/>
      <c r="BV347" s="752"/>
      <c r="BW347" s="752"/>
      <c r="BY347" s="752"/>
      <c r="BZ347" s="752"/>
      <c r="CA347" s="752"/>
      <c r="CB347" s="752"/>
      <c r="CC347" s="752"/>
      <c r="DF347" s="752"/>
      <c r="DG347" s="752"/>
      <c r="DH347" s="752"/>
      <c r="DI347" s="752"/>
    </row>
    <row r="348" spans="1:123" outlineLevel="1">
      <c r="B348" s="534" t="s">
        <v>2009</v>
      </c>
      <c r="C348" s="628">
        <f>C241-C243-C251-C258-C272-C259-C248-C260-C268-C262+C305</f>
        <v>144523456.23999995</v>
      </c>
      <c r="F348" s="736">
        <f>7996050*1000-F321</f>
        <v>-1272139.7600002289</v>
      </c>
      <c r="I348" s="753"/>
      <c r="M348" s="753"/>
      <c r="N348" s="753"/>
      <c r="O348" s="753"/>
      <c r="P348" s="753"/>
      <c r="Q348" s="753"/>
      <c r="R348" s="753"/>
      <c r="S348" s="754"/>
      <c r="BH348" s="738"/>
      <c r="BI348" s="738"/>
      <c r="BJ348" s="738"/>
      <c r="BK348" s="738"/>
      <c r="BO348" s="738"/>
      <c r="BP348" s="738"/>
      <c r="BU348" s="755"/>
      <c r="BV348" s="755"/>
      <c r="BW348" s="755"/>
      <c r="BY348" s="755"/>
      <c r="BZ348" s="755"/>
      <c r="CA348" s="755"/>
      <c r="CB348" s="755"/>
      <c r="CC348" s="755"/>
      <c r="DF348" s="755"/>
      <c r="DG348" s="755"/>
      <c r="DH348" s="755"/>
      <c r="DI348" s="755"/>
    </row>
    <row r="349" spans="1:123" ht="17.25" customHeight="1" outlineLevel="1">
      <c r="B349" s="534" t="s">
        <v>2010</v>
      </c>
      <c r="C349" s="628"/>
      <c r="G349" s="736">
        <v>0</v>
      </c>
      <c r="BH349" s="738"/>
      <c r="BI349" s="738"/>
      <c r="BJ349" s="738"/>
      <c r="BK349" s="738"/>
      <c r="BO349" s="738"/>
      <c r="BP349" s="738"/>
      <c r="BU349" s="755"/>
      <c r="BV349" s="755"/>
      <c r="BW349" s="755"/>
      <c r="BY349" s="755"/>
      <c r="BZ349" s="755"/>
      <c r="CA349" s="755"/>
      <c r="CB349" s="755"/>
      <c r="CC349" s="755"/>
      <c r="DF349" s="755"/>
      <c r="DG349" s="755"/>
      <c r="DH349" s="755"/>
      <c r="DI349" s="755"/>
    </row>
    <row r="350" spans="1:123" ht="17.25" customHeight="1" outlineLevel="1">
      <c r="B350" s="534" t="s">
        <v>2011</v>
      </c>
      <c r="G350" s="736">
        <v>0</v>
      </c>
      <c r="S350" s="756"/>
      <c r="BH350" s="738"/>
      <c r="BI350" s="738"/>
      <c r="BJ350" s="738"/>
      <c r="BK350" s="738"/>
      <c r="BO350" s="738"/>
      <c r="BP350" s="738"/>
      <c r="BU350" s="752"/>
      <c r="BV350" s="752"/>
      <c r="BW350" s="752"/>
      <c r="BY350" s="752"/>
      <c r="BZ350" s="752"/>
      <c r="CA350" s="752"/>
      <c r="CB350" s="752"/>
      <c r="CC350" s="752"/>
      <c r="DF350" s="752"/>
      <c r="DG350" s="752"/>
      <c r="DH350" s="752"/>
      <c r="DI350" s="752"/>
    </row>
    <row r="351" spans="1:123" outlineLevel="1">
      <c r="B351" s="534" t="s">
        <v>1465</v>
      </c>
      <c r="F351" s="464"/>
      <c r="G351" s="628">
        <f>G347+G349+G350</f>
        <v>3995767287.3600001</v>
      </c>
      <c r="H351" s="628"/>
      <c r="I351" s="757"/>
      <c r="J351" s="464"/>
      <c r="K351" s="464"/>
      <c r="L351" s="464"/>
      <c r="M351" s="758"/>
      <c r="N351" s="758"/>
      <c r="O351" s="758"/>
      <c r="P351" s="758"/>
      <c r="Q351" s="758"/>
      <c r="R351" s="758"/>
      <c r="S351" s="464"/>
      <c r="T351" s="464"/>
      <c r="U351" s="464"/>
      <c r="V351" s="464"/>
      <c r="W351" s="464"/>
      <c r="X351" s="464"/>
      <c r="Y351" s="464"/>
      <c r="Z351" s="759"/>
      <c r="AA351" s="464"/>
      <c r="AB351" s="464"/>
      <c r="AC351" s="464"/>
      <c r="AD351" s="464"/>
      <c r="AE351" s="464"/>
      <c r="AF351" s="464"/>
      <c r="AG351" s="534"/>
      <c r="AH351" s="464"/>
      <c r="AI351" s="464"/>
      <c r="AJ351" s="464"/>
      <c r="AK351" s="464"/>
      <c r="AL351" s="464"/>
      <c r="AM351" s="464"/>
      <c r="AN351" s="464"/>
      <c r="AO351" s="464"/>
      <c r="AP351" s="464"/>
      <c r="AQ351" s="464"/>
      <c r="AR351" s="464"/>
      <c r="AS351" s="464"/>
      <c r="AT351" s="464"/>
      <c r="AU351" s="464"/>
      <c r="AV351" s="464"/>
      <c r="AW351" s="464"/>
      <c r="AX351" s="464"/>
      <c r="AY351" s="464"/>
      <c r="AZ351" s="464"/>
      <c r="BA351" s="464"/>
      <c r="BB351" s="464"/>
      <c r="BC351" s="623"/>
      <c r="BD351" s="623"/>
      <c r="BE351" s="623"/>
      <c r="BF351" s="623"/>
      <c r="BG351" s="623"/>
      <c r="BH351" s="534"/>
      <c r="BI351" s="534"/>
      <c r="BJ351" s="534"/>
      <c r="BK351" s="534"/>
      <c r="BL351" s="534"/>
      <c r="BM351" s="534"/>
      <c r="BN351" s="464"/>
      <c r="BO351" s="534"/>
      <c r="BP351" s="534"/>
      <c r="BQ351" s="534"/>
      <c r="BR351" s="534"/>
      <c r="BS351" s="464"/>
      <c r="BU351" s="752"/>
      <c r="BV351" s="752"/>
      <c r="BW351" s="752"/>
      <c r="BY351" s="752"/>
      <c r="BZ351" s="752"/>
      <c r="CA351" s="752"/>
      <c r="CB351" s="752"/>
      <c r="CC351" s="752"/>
      <c r="CD351" s="464"/>
      <c r="CE351" s="464"/>
      <c r="CF351" s="464"/>
      <c r="CG351" s="464"/>
      <c r="CH351" s="464"/>
      <c r="CI351" s="464"/>
      <c r="CJ351" s="464"/>
      <c r="DF351" s="752"/>
      <c r="DG351" s="752"/>
      <c r="DH351" s="752"/>
      <c r="DI351" s="752"/>
    </row>
    <row r="352" spans="1:123" outlineLevel="1">
      <c r="B352" s="534" t="s">
        <v>2012</v>
      </c>
      <c r="C352" s="628">
        <f>C347+C348</f>
        <v>3729001396.1359992</v>
      </c>
      <c r="F352" s="464"/>
      <c r="G352" s="628">
        <f>3995767.27677093*1000</f>
        <v>3995767276.7709298</v>
      </c>
      <c r="H352" s="628"/>
      <c r="I352" s="757"/>
      <c r="J352" s="464"/>
      <c r="K352" s="464"/>
      <c r="L352" s="464"/>
      <c r="M352" s="758"/>
      <c r="N352" s="758"/>
      <c r="O352" s="758"/>
      <c r="P352" s="758"/>
      <c r="Q352" s="758"/>
      <c r="R352" s="758"/>
      <c r="S352" s="760"/>
      <c r="T352" s="464"/>
      <c r="U352" s="464"/>
      <c r="V352" s="464"/>
      <c r="W352" s="464"/>
      <c r="X352" s="464"/>
      <c r="Y352" s="464"/>
      <c r="Z352" s="759"/>
      <c r="AA352" s="464"/>
      <c r="AB352" s="464"/>
      <c r="AC352" s="464"/>
      <c r="AD352" s="464"/>
      <c r="AE352" s="464"/>
      <c r="AF352" s="464"/>
      <c r="AG352" s="534"/>
      <c r="AH352" s="464"/>
      <c r="AI352" s="464"/>
      <c r="AJ352" s="464"/>
      <c r="AK352" s="464"/>
      <c r="AL352" s="464"/>
      <c r="AM352" s="464"/>
      <c r="AN352" s="464"/>
      <c r="AO352" s="464"/>
      <c r="AP352" s="464"/>
      <c r="AQ352" s="464"/>
      <c r="AR352" s="464"/>
      <c r="AS352" s="464"/>
      <c r="AT352" s="464"/>
      <c r="AU352" s="464"/>
      <c r="AV352" s="464"/>
      <c r="AW352" s="464"/>
      <c r="AX352" s="464"/>
      <c r="AY352" s="464"/>
      <c r="AZ352" s="464"/>
      <c r="BA352" s="464"/>
      <c r="BB352" s="464"/>
      <c r="BC352" s="623"/>
      <c r="BD352" s="623"/>
      <c r="BE352" s="623"/>
      <c r="BF352" s="623"/>
      <c r="BG352" s="623"/>
      <c r="BH352" s="534"/>
      <c r="BI352" s="534"/>
      <c r="BJ352" s="534"/>
      <c r="BK352" s="534"/>
      <c r="BL352" s="534"/>
      <c r="BM352" s="534"/>
      <c r="BN352" s="464"/>
      <c r="BO352" s="534"/>
      <c r="BP352" s="534"/>
      <c r="BQ352" s="534"/>
      <c r="BR352" s="534"/>
      <c r="BS352" s="464"/>
      <c r="BU352" s="752"/>
      <c r="BV352" s="752"/>
      <c r="BW352" s="752"/>
      <c r="BY352" s="752"/>
      <c r="BZ352" s="752"/>
      <c r="CA352" s="752"/>
      <c r="CB352" s="752"/>
      <c r="CC352" s="752"/>
      <c r="CD352" s="464"/>
      <c r="CE352" s="464"/>
      <c r="CF352" s="464"/>
      <c r="CG352" s="464"/>
      <c r="CH352" s="464"/>
      <c r="CI352" s="464"/>
      <c r="CJ352" s="464"/>
      <c r="DF352" s="752"/>
      <c r="DG352" s="752"/>
      <c r="DH352" s="752"/>
      <c r="DI352" s="752"/>
    </row>
    <row r="353" spans="1:123" outlineLevel="1">
      <c r="B353" s="534" t="s">
        <v>2013</v>
      </c>
      <c r="C353" s="628" t="e">
        <f>#REF!</f>
        <v>#REF!</v>
      </c>
      <c r="F353" s="464"/>
      <c r="G353" s="761">
        <f>G352-G351</f>
        <v>-10.589070320129395</v>
      </c>
      <c r="H353" s="761"/>
      <c r="I353" s="757"/>
      <c r="J353" s="464"/>
      <c r="K353" s="464"/>
      <c r="L353" s="464"/>
      <c r="M353" s="758"/>
      <c r="N353" s="758"/>
      <c r="O353" s="758"/>
      <c r="P353" s="758"/>
      <c r="Q353" s="758"/>
      <c r="R353" s="758"/>
      <c r="S353" s="464"/>
      <c r="T353" s="464"/>
      <c r="U353" s="464"/>
      <c r="V353" s="464"/>
      <c r="W353" s="464"/>
      <c r="X353" s="464"/>
      <c r="Y353" s="464"/>
      <c r="Z353" s="759"/>
      <c r="AA353" s="464"/>
      <c r="AB353" s="464"/>
      <c r="AC353" s="464"/>
      <c r="AD353" s="464"/>
      <c r="AE353" s="464"/>
      <c r="AF353" s="464"/>
      <c r="AG353" s="534"/>
      <c r="AH353" s="464"/>
      <c r="AI353" s="464"/>
      <c r="AJ353" s="464"/>
      <c r="AK353" s="464"/>
      <c r="AL353" s="464"/>
      <c r="AM353" s="464"/>
      <c r="AN353" s="464"/>
      <c r="AO353" s="464"/>
      <c r="AP353" s="464"/>
      <c r="AQ353" s="464"/>
      <c r="AR353" s="464"/>
      <c r="AS353" s="464"/>
      <c r="AT353" s="464"/>
      <c r="AU353" s="464"/>
      <c r="AV353" s="464"/>
      <c r="AW353" s="464"/>
      <c r="AX353" s="464"/>
      <c r="AY353" s="464"/>
      <c r="AZ353" s="464"/>
      <c r="BA353" s="464"/>
      <c r="BB353" s="464"/>
      <c r="BC353" s="623"/>
      <c r="BD353" s="623"/>
      <c r="BE353" s="623"/>
      <c r="BF353" s="623"/>
      <c r="BG353" s="623"/>
      <c r="BH353" s="534"/>
      <c r="BI353" s="534"/>
      <c r="BJ353" s="534"/>
      <c r="BK353" s="534"/>
      <c r="BL353" s="534"/>
      <c r="BM353" s="534"/>
      <c r="BN353" s="464"/>
      <c r="BO353" s="534"/>
      <c r="BP353" s="534"/>
      <c r="BQ353" s="534"/>
      <c r="BR353" s="534"/>
      <c r="BS353" s="464"/>
      <c r="BU353" s="752"/>
      <c r="BV353" s="752"/>
      <c r="BW353" s="752"/>
      <c r="BY353" s="752"/>
      <c r="BZ353" s="752"/>
      <c r="CA353" s="752"/>
      <c r="CB353" s="752"/>
      <c r="CC353" s="752"/>
      <c r="CD353" s="464"/>
      <c r="CE353" s="464"/>
      <c r="CF353" s="464"/>
      <c r="CG353" s="464"/>
      <c r="CH353" s="464"/>
      <c r="CI353" s="464"/>
      <c r="CJ353" s="464"/>
      <c r="DF353" s="752"/>
      <c r="DG353" s="752"/>
      <c r="DH353" s="752"/>
      <c r="DI353" s="752"/>
    </row>
    <row r="354" spans="1:123" outlineLevel="1">
      <c r="C354" s="628"/>
      <c r="F354" s="464"/>
      <c r="G354" s="464"/>
      <c r="H354" s="464"/>
      <c r="I354" s="757"/>
      <c r="J354" s="464"/>
      <c r="K354" s="464"/>
      <c r="L354" s="464"/>
      <c r="M354" s="758"/>
      <c r="N354" s="758"/>
      <c r="O354" s="758"/>
      <c r="P354" s="758"/>
      <c r="Q354" s="758"/>
      <c r="R354" s="758"/>
      <c r="S354" s="464"/>
      <c r="T354" s="464"/>
      <c r="U354" s="464"/>
      <c r="V354" s="464"/>
      <c r="W354" s="464"/>
      <c r="X354" s="464"/>
      <c r="Y354" s="464"/>
      <c r="Z354" s="759"/>
      <c r="AA354" s="464"/>
      <c r="AB354" s="464"/>
      <c r="AC354" s="464"/>
      <c r="AD354" s="464"/>
      <c r="AE354" s="464"/>
      <c r="AF354" s="464"/>
      <c r="AG354" s="534"/>
      <c r="AH354" s="464"/>
      <c r="AI354" s="464"/>
      <c r="AJ354" s="464"/>
      <c r="AK354" s="464"/>
      <c r="AL354" s="464"/>
      <c r="AM354" s="464"/>
      <c r="AN354" s="464"/>
      <c r="AO354" s="464"/>
      <c r="AP354" s="464"/>
      <c r="AQ354" s="464"/>
      <c r="AR354" s="464"/>
      <c r="AS354" s="464"/>
      <c r="AT354" s="464"/>
      <c r="AU354" s="464"/>
      <c r="AV354" s="464"/>
      <c r="AW354" s="464"/>
      <c r="AX354" s="464"/>
      <c r="AY354" s="464"/>
      <c r="AZ354" s="464"/>
      <c r="BA354" s="464"/>
      <c r="BB354" s="464"/>
      <c r="BC354" s="623"/>
      <c r="BD354" s="623"/>
      <c r="BE354" s="623"/>
      <c r="BF354" s="623"/>
      <c r="BG354" s="623"/>
      <c r="BH354" s="534"/>
      <c r="BI354" s="534"/>
      <c r="BJ354" s="534"/>
      <c r="BK354" s="534"/>
      <c r="BL354" s="534"/>
      <c r="BM354" s="534"/>
      <c r="BN354" s="464"/>
      <c r="BO354" s="534"/>
      <c r="BP354" s="534"/>
      <c r="BQ354" s="534"/>
      <c r="BR354" s="534"/>
      <c r="BS354" s="464"/>
      <c r="BU354" s="752"/>
      <c r="BV354" s="752"/>
      <c r="BW354" s="752"/>
      <c r="BY354" s="752"/>
      <c r="BZ354" s="752"/>
      <c r="CA354" s="752"/>
      <c r="CB354" s="752"/>
      <c r="CC354" s="752"/>
      <c r="CD354" s="464"/>
      <c r="CE354" s="464"/>
      <c r="CF354" s="464"/>
      <c r="CG354" s="464"/>
      <c r="CH354" s="464"/>
      <c r="CI354" s="464"/>
      <c r="CJ354" s="464"/>
      <c r="DF354" s="752"/>
      <c r="DG354" s="752"/>
      <c r="DH354" s="752"/>
      <c r="DI354" s="752"/>
    </row>
    <row r="355" spans="1:123" outlineLevel="1">
      <c r="C355" s="628"/>
      <c r="F355" s="464"/>
      <c r="G355" s="464"/>
      <c r="H355" s="464"/>
      <c r="I355" s="757"/>
      <c r="J355" s="464"/>
      <c r="K355" s="464"/>
      <c r="L355" s="464"/>
      <c r="M355" s="758"/>
      <c r="N355" s="758"/>
      <c r="O355" s="758"/>
      <c r="P355" s="758"/>
      <c r="Q355" s="758"/>
      <c r="R355" s="758"/>
      <c r="S355" s="464"/>
      <c r="T355" s="464"/>
      <c r="U355" s="464"/>
      <c r="V355" s="464"/>
      <c r="W355" s="464"/>
      <c r="X355" s="464"/>
      <c r="Y355" s="464"/>
      <c r="Z355" s="759"/>
      <c r="AA355" s="464"/>
      <c r="AB355" s="464"/>
      <c r="AC355" s="464"/>
      <c r="AD355" s="464"/>
      <c r="AE355" s="464"/>
      <c r="AF355" s="464"/>
      <c r="AG355" s="534"/>
      <c r="AH355" s="464"/>
      <c r="AI355" s="464"/>
      <c r="AJ355" s="464"/>
      <c r="AK355" s="464"/>
      <c r="AL355" s="464"/>
      <c r="AM355" s="464"/>
      <c r="AN355" s="464"/>
      <c r="AO355" s="464"/>
      <c r="AP355" s="464"/>
      <c r="AQ355" s="464"/>
      <c r="AR355" s="464"/>
      <c r="AS355" s="464"/>
      <c r="AT355" s="464"/>
      <c r="AU355" s="464"/>
      <c r="AV355" s="464"/>
      <c r="AW355" s="464"/>
      <c r="AX355" s="464"/>
      <c r="AY355" s="464"/>
      <c r="AZ355" s="464"/>
      <c r="BA355" s="464"/>
      <c r="BB355" s="464"/>
      <c r="BC355" s="623"/>
      <c r="BD355" s="623"/>
      <c r="BE355" s="623"/>
      <c r="BF355" s="623"/>
      <c r="BG355" s="623"/>
      <c r="BH355" s="534"/>
      <c r="BI355" s="534"/>
      <c r="BJ355" s="534"/>
      <c r="BK355" s="534"/>
      <c r="BL355" s="534"/>
      <c r="BM355" s="534"/>
      <c r="BN355" s="464"/>
      <c r="BO355" s="534"/>
      <c r="BP355" s="534"/>
      <c r="BQ355" s="534"/>
      <c r="BR355" s="534"/>
      <c r="BS355" s="464"/>
      <c r="BU355" s="752"/>
      <c r="BV355" s="752"/>
      <c r="BW355" s="752"/>
      <c r="BY355" s="752"/>
      <c r="BZ355" s="752"/>
      <c r="CA355" s="752"/>
      <c r="CB355" s="752"/>
      <c r="CC355" s="752"/>
      <c r="CD355" s="464"/>
      <c r="CE355" s="464"/>
      <c r="CF355" s="464"/>
      <c r="CG355" s="464"/>
      <c r="CH355" s="464"/>
      <c r="CI355" s="464"/>
      <c r="CJ355" s="464"/>
      <c r="DF355" s="752"/>
      <c r="DG355" s="752"/>
      <c r="DH355" s="752"/>
      <c r="DI355" s="752"/>
    </row>
    <row r="356" spans="1:123" outlineLevel="1">
      <c r="F356" s="464"/>
      <c r="G356" s="464"/>
      <c r="H356" s="464"/>
      <c r="I356" s="757"/>
      <c r="J356" s="464"/>
      <c r="K356" s="464"/>
      <c r="L356" s="464"/>
      <c r="M356" s="758"/>
      <c r="N356" s="758"/>
      <c r="O356" s="758"/>
      <c r="P356" s="758"/>
      <c r="Q356" s="758"/>
      <c r="R356" s="758"/>
      <c r="S356" s="464"/>
      <c r="T356" s="464"/>
      <c r="U356" s="464"/>
      <c r="V356" s="464"/>
      <c r="W356" s="464"/>
      <c r="X356" s="464"/>
      <c r="Y356" s="464"/>
      <c r="Z356" s="759"/>
      <c r="AA356" s="464"/>
      <c r="AB356" s="464"/>
      <c r="AC356" s="464"/>
      <c r="AD356" s="464"/>
      <c r="AE356" s="464"/>
      <c r="AF356" s="464"/>
      <c r="AG356" s="534"/>
      <c r="AH356" s="464"/>
      <c r="AI356" s="464"/>
      <c r="AJ356" s="464"/>
      <c r="AK356" s="464"/>
      <c r="AL356" s="464"/>
      <c r="AM356" s="464"/>
      <c r="AN356" s="464"/>
      <c r="AO356" s="464"/>
      <c r="AP356" s="464"/>
      <c r="AQ356" s="464"/>
      <c r="AR356" s="464"/>
      <c r="AS356" s="464"/>
      <c r="AT356" s="464"/>
      <c r="AU356" s="464"/>
      <c r="AV356" s="464"/>
      <c r="AW356" s="464"/>
      <c r="AX356" s="464"/>
      <c r="AY356" s="464"/>
      <c r="AZ356" s="464"/>
      <c r="BA356" s="464"/>
      <c r="BB356" s="464"/>
      <c r="BC356" s="623"/>
      <c r="BD356" s="623"/>
      <c r="BE356" s="623"/>
      <c r="BF356" s="623"/>
      <c r="BG356" s="623"/>
      <c r="BH356" s="534"/>
      <c r="BI356" s="534"/>
      <c r="BJ356" s="534"/>
      <c r="BK356" s="534"/>
      <c r="BL356" s="534"/>
      <c r="BM356" s="534"/>
      <c r="BN356" s="464"/>
      <c r="BO356" s="534"/>
      <c r="BP356" s="534"/>
      <c r="BQ356" s="534"/>
      <c r="BR356" s="534"/>
      <c r="BS356" s="464"/>
      <c r="BU356" s="463"/>
      <c r="BV356" s="463"/>
      <c r="BW356" s="463"/>
      <c r="BY356" s="463"/>
      <c r="BZ356" s="463"/>
      <c r="CA356" s="463"/>
      <c r="CB356" s="463"/>
      <c r="CC356" s="463"/>
      <c r="CD356" s="464"/>
      <c r="CE356" s="464"/>
      <c r="CF356" s="464"/>
      <c r="CG356" s="464"/>
      <c r="CH356" s="464"/>
      <c r="CI356" s="464"/>
      <c r="CJ356" s="464"/>
      <c r="DF356" s="463"/>
      <c r="DG356" s="463"/>
      <c r="DH356" s="463"/>
      <c r="DI356" s="463"/>
    </row>
    <row r="357" spans="1:123" outlineLevel="1">
      <c r="F357" s="464"/>
      <c r="G357" s="464"/>
      <c r="H357" s="464"/>
      <c r="I357" s="757"/>
      <c r="J357" s="464"/>
      <c r="K357" s="464"/>
      <c r="L357" s="464"/>
      <c r="M357" s="758"/>
      <c r="N357" s="758"/>
      <c r="O357" s="758"/>
      <c r="P357" s="758"/>
      <c r="Q357" s="758"/>
      <c r="R357" s="758"/>
      <c r="S357" s="464"/>
      <c r="T357" s="464"/>
      <c r="U357" s="464"/>
      <c r="V357" s="464"/>
      <c r="W357" s="464"/>
      <c r="X357" s="464"/>
      <c r="Y357" s="464"/>
      <c r="Z357" s="759"/>
      <c r="AA357" s="464"/>
      <c r="AB357" s="464"/>
      <c r="AC357" s="464"/>
      <c r="AD357" s="464"/>
      <c r="AE357" s="464"/>
      <c r="AF357" s="464"/>
      <c r="AG357" s="534"/>
      <c r="AH357" s="464"/>
      <c r="AI357" s="464"/>
      <c r="AJ357" s="464"/>
      <c r="AK357" s="464"/>
      <c r="AL357" s="464"/>
      <c r="AM357" s="464"/>
      <c r="AN357" s="464"/>
      <c r="AO357" s="464"/>
      <c r="AP357" s="464"/>
      <c r="AQ357" s="464"/>
      <c r="AR357" s="464"/>
      <c r="AS357" s="464"/>
      <c r="AT357" s="464"/>
      <c r="AU357" s="464"/>
      <c r="AV357" s="464"/>
      <c r="AW357" s="464"/>
      <c r="AX357" s="464"/>
      <c r="AY357" s="464"/>
      <c r="AZ357" s="464"/>
      <c r="BA357" s="464"/>
      <c r="BB357" s="464"/>
      <c r="BC357" s="623"/>
      <c r="BD357" s="623"/>
      <c r="BE357" s="623"/>
      <c r="BF357" s="623"/>
      <c r="BG357" s="623"/>
      <c r="BH357" s="534"/>
      <c r="BI357" s="534"/>
      <c r="BJ357" s="534"/>
      <c r="BK357" s="534"/>
      <c r="BL357" s="534"/>
      <c r="BM357" s="534"/>
      <c r="BN357" s="464"/>
      <c r="BO357" s="534"/>
      <c r="BP357" s="534"/>
      <c r="BQ357" s="534"/>
      <c r="BR357" s="534"/>
      <c r="BS357" s="464"/>
      <c r="BU357" s="463"/>
      <c r="BV357" s="463"/>
      <c r="BW357" s="463"/>
      <c r="BY357" s="463"/>
      <c r="BZ357" s="463"/>
      <c r="CA357" s="463"/>
      <c r="CB357" s="463"/>
      <c r="CC357" s="463"/>
      <c r="CD357" s="464"/>
      <c r="CE357" s="464"/>
      <c r="CF357" s="464"/>
      <c r="CG357" s="464"/>
      <c r="CH357" s="464"/>
      <c r="CI357" s="464"/>
      <c r="CJ357" s="464"/>
      <c r="DF357" s="463"/>
      <c r="DG357" s="463"/>
      <c r="DH357" s="463"/>
      <c r="DI357" s="463"/>
    </row>
    <row r="358" spans="1:123" outlineLevel="1">
      <c r="F358" s="464"/>
      <c r="G358" s="464"/>
      <c r="H358" s="464"/>
      <c r="I358" s="762"/>
      <c r="J358" s="464"/>
      <c r="K358" s="464"/>
      <c r="L358" s="464"/>
      <c r="M358" s="763"/>
      <c r="N358" s="763"/>
      <c r="O358" s="763"/>
      <c r="P358" s="763"/>
      <c r="Q358" s="763"/>
      <c r="R358" s="763"/>
      <c r="S358" s="464"/>
      <c r="T358" s="464"/>
      <c r="U358" s="464"/>
      <c r="V358" s="464"/>
      <c r="W358" s="464"/>
      <c r="X358" s="464"/>
      <c r="Y358" s="464"/>
      <c r="Z358" s="759"/>
      <c r="AA358" s="464"/>
      <c r="AB358" s="464"/>
      <c r="AC358" s="464"/>
      <c r="AD358" s="464"/>
      <c r="AE358" s="464"/>
      <c r="AF358" s="464"/>
      <c r="AG358" s="534"/>
      <c r="AH358" s="464"/>
      <c r="AI358" s="464"/>
      <c r="AJ358" s="464"/>
      <c r="AK358" s="464"/>
      <c r="AL358" s="464"/>
      <c r="AM358" s="464"/>
      <c r="AN358" s="464"/>
      <c r="AO358" s="464"/>
      <c r="AP358" s="464"/>
      <c r="AQ358" s="464"/>
      <c r="AR358" s="464"/>
      <c r="AS358" s="464"/>
      <c r="AT358" s="464"/>
      <c r="AU358" s="464"/>
      <c r="AV358" s="464"/>
      <c r="AW358" s="464"/>
      <c r="AX358" s="464"/>
      <c r="AY358" s="464"/>
      <c r="AZ358" s="464"/>
      <c r="BA358" s="464"/>
      <c r="BB358" s="464"/>
      <c r="BC358" s="623"/>
      <c r="BD358" s="623"/>
      <c r="BE358" s="623"/>
      <c r="BF358" s="623"/>
      <c r="BG358" s="623"/>
      <c r="BH358" s="534"/>
      <c r="BI358" s="534"/>
      <c r="BJ358" s="534"/>
      <c r="BK358" s="534"/>
      <c r="BL358" s="534"/>
      <c r="BM358" s="534"/>
      <c r="BN358" s="464"/>
      <c r="BO358" s="534"/>
      <c r="BP358" s="534"/>
      <c r="BQ358" s="534"/>
      <c r="BR358" s="534"/>
      <c r="BS358" s="464"/>
      <c r="BU358" s="463"/>
      <c r="BV358" s="463"/>
      <c r="BW358" s="463"/>
      <c r="BY358" s="463"/>
      <c r="BZ358" s="463"/>
      <c r="CA358" s="463"/>
      <c r="CB358" s="463"/>
      <c r="CC358" s="463"/>
      <c r="CD358" s="464"/>
      <c r="CE358" s="464"/>
      <c r="CF358" s="464"/>
      <c r="CG358" s="464"/>
      <c r="CH358" s="464"/>
      <c r="CI358" s="464"/>
      <c r="CJ358" s="464"/>
      <c r="DF358" s="463"/>
      <c r="DG358" s="463"/>
      <c r="DH358" s="463"/>
      <c r="DI358" s="463"/>
    </row>
    <row r="359" spans="1:123" outlineLevel="1">
      <c r="F359" s="464"/>
      <c r="G359" s="764"/>
      <c r="H359" s="764"/>
      <c r="I359" s="464"/>
      <c r="J359" s="464"/>
      <c r="K359" s="464"/>
      <c r="L359" s="464"/>
      <c r="M359" s="464"/>
      <c r="N359" s="464"/>
      <c r="O359" s="464"/>
      <c r="P359" s="464"/>
      <c r="Q359" s="464"/>
      <c r="R359" s="464"/>
      <c r="S359" s="464"/>
      <c r="T359" s="464"/>
      <c r="U359" s="464"/>
      <c r="V359" s="464"/>
      <c r="W359" s="464"/>
      <c r="X359" s="464"/>
      <c r="Y359" s="464"/>
      <c r="Z359" s="759"/>
      <c r="AA359" s="464"/>
      <c r="AB359" s="464"/>
      <c r="AC359" s="464"/>
      <c r="AD359" s="464"/>
      <c r="AE359" s="464"/>
      <c r="AF359" s="464"/>
      <c r="AG359" s="534"/>
      <c r="AH359" s="464"/>
      <c r="AI359" s="464"/>
      <c r="AJ359" s="464"/>
      <c r="AK359" s="464"/>
      <c r="AL359" s="464"/>
      <c r="AM359" s="464"/>
      <c r="AN359" s="464"/>
      <c r="AO359" s="464"/>
      <c r="AP359" s="464"/>
      <c r="AQ359" s="464"/>
      <c r="AR359" s="464"/>
      <c r="AS359" s="464"/>
      <c r="AT359" s="464"/>
      <c r="AU359" s="464"/>
      <c r="AV359" s="464"/>
      <c r="AW359" s="464"/>
      <c r="AX359" s="464"/>
      <c r="AY359" s="464"/>
      <c r="AZ359" s="464"/>
      <c r="BA359" s="464"/>
      <c r="BB359" s="464"/>
      <c r="BC359" s="623"/>
      <c r="BD359" s="623"/>
      <c r="BE359" s="623"/>
      <c r="BF359" s="623"/>
      <c r="BG359" s="623"/>
      <c r="BH359" s="534"/>
      <c r="BI359" s="534"/>
      <c r="BJ359" s="534"/>
      <c r="BK359" s="534"/>
      <c r="BL359" s="534"/>
      <c r="BM359" s="534"/>
      <c r="BN359" s="464"/>
      <c r="BO359" s="534"/>
      <c r="BP359" s="534"/>
      <c r="BQ359" s="534"/>
      <c r="BR359" s="534"/>
      <c r="BS359" s="464"/>
      <c r="BU359" s="463"/>
      <c r="BV359" s="463"/>
      <c r="BW359" s="463"/>
      <c r="BY359" s="463"/>
      <c r="BZ359" s="463"/>
      <c r="CA359" s="463"/>
      <c r="CB359" s="463"/>
      <c r="CC359" s="463"/>
      <c r="CD359" s="464"/>
      <c r="CE359" s="464"/>
      <c r="CF359" s="464"/>
      <c r="CG359" s="464"/>
      <c r="CH359" s="464"/>
      <c r="CI359" s="464"/>
      <c r="CJ359" s="464"/>
      <c r="DF359" s="463"/>
      <c r="DG359" s="463"/>
      <c r="DH359" s="463"/>
      <c r="DI359" s="463"/>
    </row>
    <row r="360" spans="1:123" outlineLevel="1">
      <c r="C360" s="628"/>
      <c r="D360" s="628"/>
      <c r="E360" s="628"/>
      <c r="F360" s="628"/>
      <c r="G360" s="628"/>
      <c r="H360" s="628"/>
      <c r="I360" s="628"/>
      <c r="J360" s="628">
        <f t="shared" ref="J360:S360" si="508">J336+J337</f>
        <v>7097763161.0500011</v>
      </c>
      <c r="K360" s="628">
        <f t="shared" si="508"/>
        <v>3643920224.5692139</v>
      </c>
      <c r="L360" s="628">
        <f t="shared" si="508"/>
        <v>3994167108.0178752</v>
      </c>
      <c r="M360" s="628">
        <f t="shared" si="508"/>
        <v>10741683385.619215</v>
      </c>
      <c r="N360" s="628">
        <f t="shared" si="508"/>
        <v>10581801640.260002</v>
      </c>
      <c r="O360" s="628">
        <f t="shared" si="508"/>
        <v>4581288198.0499992</v>
      </c>
      <c r="P360" s="628">
        <f t="shared" si="508"/>
        <v>15163089838.310001</v>
      </c>
      <c r="Q360" s="628">
        <f t="shared" si="508"/>
        <v>427239344.67291033</v>
      </c>
      <c r="R360" s="628"/>
      <c r="S360" s="628">
        <f t="shared" si="508"/>
        <v>13134377701.899509</v>
      </c>
      <c r="T360" s="628"/>
      <c r="U360" s="628"/>
      <c r="V360" s="628"/>
      <c r="W360" s="628"/>
      <c r="X360" s="628"/>
      <c r="Y360" s="628"/>
      <c r="Z360" s="745"/>
      <c r="AA360" s="628"/>
      <c r="AB360" s="628"/>
      <c r="AC360" s="628"/>
      <c r="AD360" s="628"/>
      <c r="AE360" s="628"/>
      <c r="AF360" s="628"/>
      <c r="AG360" s="571"/>
      <c r="AH360" s="628"/>
      <c r="AI360" s="628"/>
      <c r="AJ360" s="628"/>
      <c r="AK360" s="628"/>
      <c r="AL360" s="628"/>
      <c r="AM360" s="628"/>
      <c r="AN360" s="628"/>
      <c r="AO360" s="628"/>
      <c r="AP360" s="628"/>
      <c r="AQ360" s="628"/>
      <c r="AR360" s="628"/>
      <c r="AS360" s="628"/>
      <c r="AT360" s="628"/>
      <c r="AU360" s="628"/>
      <c r="AV360" s="628"/>
      <c r="AW360" s="628"/>
      <c r="AX360" s="628"/>
      <c r="AY360" s="628"/>
      <c r="AZ360" s="628"/>
      <c r="BA360" s="628"/>
      <c r="BB360" s="628"/>
      <c r="BC360" s="746"/>
      <c r="BD360" s="746"/>
      <c r="BE360" s="746"/>
      <c r="BF360" s="746"/>
      <c r="BG360" s="746"/>
      <c r="BH360" s="571"/>
      <c r="BI360" s="571"/>
      <c r="BJ360" s="571"/>
      <c r="BK360" s="571"/>
      <c r="BL360" s="571"/>
      <c r="BM360" s="571"/>
      <c r="BN360" s="628"/>
      <c r="BO360" s="571"/>
      <c r="BP360" s="571"/>
      <c r="BQ360" s="571"/>
      <c r="BR360" s="571"/>
      <c r="BS360" s="628"/>
      <c r="BU360" s="463"/>
      <c r="BV360" s="463"/>
      <c r="BW360" s="463"/>
      <c r="BY360" s="463"/>
      <c r="BZ360" s="463"/>
      <c r="CA360" s="463"/>
      <c r="CB360" s="463"/>
      <c r="CC360" s="463"/>
      <c r="CD360" s="628"/>
      <c r="CE360" s="628"/>
      <c r="CF360" s="628"/>
      <c r="CG360" s="628"/>
      <c r="CH360" s="628"/>
      <c r="CI360" s="628"/>
      <c r="CJ360" s="628"/>
      <c r="DF360" s="463"/>
      <c r="DG360" s="463"/>
      <c r="DH360" s="463"/>
      <c r="DI360" s="463"/>
    </row>
    <row r="361" spans="1:123" s="766" customFormat="1" outlineLevel="1">
      <c r="A361" s="765"/>
      <c r="C361" s="767">
        <f>C241+C303-C243-C244</f>
        <v>823003435.93999994</v>
      </c>
      <c r="D361" s="767">
        <f>D241+D303-D243-D244</f>
        <v>5376145.6299999952</v>
      </c>
      <c r="E361" s="767">
        <f>E241+E303-E243-E244</f>
        <v>141259356.45000005</v>
      </c>
      <c r="F361" s="767">
        <f>F241+F303-F243-F244</f>
        <v>328645087.87000012</v>
      </c>
      <c r="G361" s="767">
        <f>G241+G303-G243-G244</f>
        <v>50494775.32008636</v>
      </c>
      <c r="H361" s="767"/>
      <c r="I361" s="767"/>
      <c r="J361" s="767">
        <f>J241+J303-J243-J244</f>
        <v>297567239.44999999</v>
      </c>
      <c r="K361" s="767">
        <f>K241+K303-K243-K244</f>
        <v>73015379.330000043</v>
      </c>
      <c r="L361" s="767">
        <f>L241+L303-L243-L244</f>
        <v>163267680.25199997</v>
      </c>
      <c r="M361" s="767"/>
      <c r="N361" s="767"/>
      <c r="O361" s="767"/>
      <c r="P361" s="767"/>
      <c r="Q361" s="767"/>
      <c r="R361" s="767"/>
      <c r="S361" s="767"/>
      <c r="T361" s="767"/>
      <c r="U361" s="767"/>
      <c r="V361" s="767"/>
      <c r="W361" s="767"/>
      <c r="X361" s="767"/>
      <c r="Y361" s="767"/>
      <c r="Z361" s="745"/>
      <c r="AA361" s="767"/>
      <c r="AB361" s="767"/>
      <c r="AC361" s="767"/>
      <c r="AD361" s="767"/>
      <c r="AE361" s="767"/>
      <c r="AF361" s="767"/>
      <c r="AG361" s="571"/>
      <c r="AH361" s="767"/>
      <c r="AI361" s="767"/>
      <c r="AJ361" s="767"/>
      <c r="AK361" s="767"/>
      <c r="AL361" s="767"/>
      <c r="AM361" s="767"/>
      <c r="AN361" s="767"/>
      <c r="AO361" s="767"/>
      <c r="AP361" s="767"/>
      <c r="AQ361" s="767"/>
      <c r="AR361" s="767"/>
      <c r="AS361" s="767"/>
      <c r="AT361" s="767"/>
      <c r="AU361" s="767"/>
      <c r="AV361" s="767"/>
      <c r="AW361" s="767"/>
      <c r="AX361" s="767"/>
      <c r="AY361" s="767"/>
      <c r="AZ361" s="767"/>
      <c r="BA361" s="767"/>
      <c r="BB361" s="767"/>
      <c r="BC361" s="746"/>
      <c r="BD361" s="746"/>
      <c r="BE361" s="746"/>
      <c r="BF361" s="746"/>
      <c r="BG361" s="746"/>
      <c r="BH361" s="571"/>
      <c r="BI361" s="571"/>
      <c r="BJ361" s="571"/>
      <c r="BK361" s="571"/>
      <c r="BL361" s="571"/>
      <c r="BM361" s="571"/>
      <c r="BN361" s="767"/>
      <c r="BO361" s="571"/>
      <c r="BP361" s="571"/>
      <c r="BQ361" s="571"/>
      <c r="BR361" s="571"/>
      <c r="BS361" s="767"/>
      <c r="BT361" s="768"/>
      <c r="BU361" s="463"/>
      <c r="BV361" s="463"/>
      <c r="BW361" s="463"/>
      <c r="BX361" s="465"/>
      <c r="BY361" s="463"/>
      <c r="BZ361" s="463"/>
      <c r="CA361" s="463"/>
      <c r="CB361" s="463"/>
      <c r="CC361" s="463"/>
      <c r="CD361" s="767"/>
      <c r="CE361" s="767"/>
      <c r="CF361" s="767"/>
      <c r="CG361" s="767"/>
      <c r="CH361" s="767"/>
      <c r="CI361" s="767"/>
      <c r="CJ361" s="767"/>
      <c r="CK361" s="769"/>
      <c r="CL361" s="769"/>
      <c r="CS361" s="768"/>
      <c r="CT361" s="768"/>
      <c r="CU361" s="768"/>
      <c r="CV361" s="768"/>
      <c r="CW361" s="768"/>
      <c r="DF361" s="463"/>
      <c r="DG361" s="463"/>
      <c r="DH361" s="463"/>
      <c r="DI361" s="463"/>
      <c r="DJ361" s="768"/>
      <c r="DK361" s="768"/>
      <c r="DL361" s="768"/>
      <c r="DM361" s="768"/>
      <c r="DN361" s="768"/>
      <c r="DO361" s="768"/>
      <c r="DP361" s="768"/>
      <c r="DQ361" s="768"/>
      <c r="DR361" s="768"/>
      <c r="DS361" s="768"/>
    </row>
    <row r="362" spans="1:123" outlineLevel="1">
      <c r="C362" s="628"/>
      <c r="D362" s="628"/>
      <c r="E362" s="628"/>
      <c r="F362" s="628"/>
      <c r="G362" s="628"/>
      <c r="H362" s="628"/>
      <c r="I362" s="628"/>
      <c r="J362" s="628"/>
      <c r="K362" s="628"/>
      <c r="L362" s="628"/>
      <c r="M362" s="628"/>
      <c r="N362" s="628"/>
      <c r="O362" s="628"/>
      <c r="P362" s="628"/>
      <c r="Q362" s="628"/>
      <c r="R362" s="628"/>
      <c r="S362" s="628"/>
      <c r="T362" s="628"/>
      <c r="U362" s="628"/>
      <c r="V362" s="628"/>
      <c r="W362" s="628"/>
      <c r="X362" s="628"/>
      <c r="Y362" s="628"/>
      <c r="Z362" s="745"/>
      <c r="AA362" s="628"/>
      <c r="AB362" s="628"/>
      <c r="AC362" s="628"/>
      <c r="AD362" s="628"/>
      <c r="AE362" s="628"/>
      <c r="AF362" s="628"/>
      <c r="AG362" s="571"/>
      <c r="AH362" s="628"/>
      <c r="AI362" s="628"/>
      <c r="AJ362" s="628"/>
      <c r="AK362" s="628"/>
      <c r="AL362" s="628"/>
      <c r="AM362" s="628"/>
      <c r="AN362" s="628"/>
      <c r="AO362" s="628"/>
      <c r="AP362" s="628"/>
      <c r="AQ362" s="628"/>
      <c r="AR362" s="628"/>
      <c r="AS362" s="628"/>
      <c r="AT362" s="628"/>
      <c r="AU362" s="628"/>
      <c r="AV362" s="628"/>
      <c r="AW362" s="628"/>
      <c r="AX362" s="628"/>
      <c r="AY362" s="628"/>
      <c r="AZ362" s="628"/>
      <c r="BA362" s="628"/>
      <c r="BB362" s="628"/>
      <c r="BC362" s="746"/>
      <c r="BD362" s="746"/>
      <c r="BE362" s="746"/>
      <c r="BF362" s="746"/>
      <c r="BG362" s="746"/>
      <c r="BH362" s="571"/>
      <c r="BI362" s="571"/>
      <c r="BJ362" s="571"/>
      <c r="BK362" s="571"/>
      <c r="BL362" s="571"/>
      <c r="BM362" s="571"/>
      <c r="BN362" s="628"/>
      <c r="BO362" s="571"/>
      <c r="BP362" s="571"/>
      <c r="BQ362" s="571"/>
      <c r="BR362" s="571"/>
      <c r="BS362" s="628"/>
      <c r="BU362" s="463"/>
      <c r="BV362" s="463"/>
      <c r="BW362" s="463"/>
      <c r="BY362" s="463"/>
      <c r="BZ362" s="463"/>
      <c r="CA362" s="463"/>
      <c r="CB362" s="463"/>
      <c r="CC362" s="463"/>
      <c r="CD362" s="628"/>
      <c r="CE362" s="628"/>
      <c r="CF362" s="628"/>
      <c r="CG362" s="628"/>
      <c r="CH362" s="628"/>
      <c r="CI362" s="628"/>
      <c r="CJ362" s="628"/>
      <c r="DF362" s="463"/>
      <c r="DG362" s="463"/>
      <c r="DH362" s="463"/>
      <c r="DI362" s="463"/>
    </row>
    <row r="363" spans="1:123" outlineLevel="1">
      <c r="C363" s="628"/>
      <c r="D363" s="628"/>
      <c r="E363" s="628"/>
      <c r="F363" s="628"/>
      <c r="G363" s="628"/>
      <c r="H363" s="628"/>
      <c r="I363" s="628"/>
      <c r="J363" s="628"/>
      <c r="K363" s="628"/>
      <c r="L363" s="628"/>
      <c r="M363" s="628"/>
      <c r="N363" s="628"/>
      <c r="O363" s="628"/>
      <c r="P363" s="628"/>
      <c r="Q363" s="628"/>
      <c r="R363" s="628"/>
      <c r="S363" s="628"/>
      <c r="T363" s="628"/>
      <c r="U363" s="628"/>
      <c r="V363" s="628"/>
      <c r="W363" s="628"/>
      <c r="X363" s="628"/>
      <c r="Y363" s="628"/>
      <c r="Z363" s="745"/>
      <c r="AA363" s="628"/>
      <c r="AB363" s="628"/>
      <c r="AC363" s="628"/>
      <c r="AD363" s="628"/>
      <c r="AE363" s="628"/>
      <c r="AF363" s="628"/>
      <c r="AG363" s="571"/>
      <c r="AH363" s="628"/>
      <c r="AI363" s="628"/>
      <c r="AJ363" s="628"/>
      <c r="AK363" s="628"/>
      <c r="AL363" s="628"/>
      <c r="AM363" s="628"/>
      <c r="AN363" s="628"/>
      <c r="AO363" s="628"/>
      <c r="AP363" s="628"/>
      <c r="AQ363" s="628"/>
      <c r="AR363" s="628"/>
      <c r="AS363" s="628"/>
      <c r="AT363" s="628"/>
      <c r="AU363" s="628"/>
      <c r="AV363" s="628"/>
      <c r="AW363" s="628"/>
      <c r="AX363" s="628"/>
      <c r="AY363" s="628"/>
      <c r="AZ363" s="628"/>
      <c r="BA363" s="628"/>
      <c r="BB363" s="628"/>
      <c r="BC363" s="746"/>
      <c r="BD363" s="746"/>
      <c r="BE363" s="746"/>
      <c r="BF363" s="746"/>
      <c r="BG363" s="746"/>
      <c r="BH363" s="571"/>
      <c r="BI363" s="571"/>
      <c r="BJ363" s="571"/>
      <c r="BK363" s="571"/>
      <c r="BL363" s="571"/>
      <c r="BM363" s="571"/>
      <c r="BN363" s="628"/>
      <c r="BO363" s="571"/>
      <c r="BP363" s="571"/>
      <c r="BQ363" s="571"/>
      <c r="BR363" s="571"/>
      <c r="BS363" s="628"/>
      <c r="BU363" s="463"/>
      <c r="BV363" s="463"/>
      <c r="BW363" s="463"/>
      <c r="BY363" s="463"/>
      <c r="BZ363" s="463"/>
      <c r="CA363" s="463"/>
      <c r="CB363" s="463"/>
      <c r="CC363" s="463"/>
      <c r="CD363" s="628"/>
      <c r="CE363" s="628"/>
      <c r="CF363" s="628"/>
      <c r="CG363" s="628"/>
      <c r="CH363" s="628"/>
      <c r="CI363" s="628"/>
      <c r="CJ363" s="628"/>
      <c r="DF363" s="463"/>
      <c r="DG363" s="463"/>
      <c r="DH363" s="463"/>
      <c r="DI363" s="463"/>
    </row>
    <row r="364" spans="1:123" outlineLevel="1">
      <c r="F364" s="464"/>
      <c r="G364" s="464"/>
      <c r="H364" s="464"/>
      <c r="I364" s="464"/>
      <c r="J364" s="464"/>
      <c r="K364" s="464"/>
      <c r="L364" s="464"/>
      <c r="M364" s="464"/>
      <c r="N364" s="464"/>
      <c r="O364" s="464"/>
      <c r="P364" s="464"/>
      <c r="Q364" s="464"/>
      <c r="R364" s="464"/>
      <c r="S364" s="464"/>
      <c r="T364" s="464"/>
      <c r="U364" s="464"/>
      <c r="V364" s="464"/>
      <c r="W364" s="464"/>
      <c r="X364" s="464"/>
      <c r="Y364" s="464"/>
      <c r="Z364" s="759"/>
      <c r="AA364" s="464"/>
      <c r="AB364" s="464"/>
      <c r="AC364" s="464"/>
      <c r="AD364" s="464"/>
      <c r="AE364" s="464"/>
      <c r="AF364" s="464"/>
      <c r="AG364" s="534"/>
      <c r="AH364" s="464"/>
      <c r="AI364" s="464"/>
      <c r="AJ364" s="464"/>
      <c r="AK364" s="464"/>
      <c r="AL364" s="464"/>
      <c r="AM364" s="464"/>
      <c r="AN364" s="464"/>
      <c r="AO364" s="464"/>
      <c r="AP364" s="464"/>
      <c r="AQ364" s="464"/>
      <c r="AR364" s="464"/>
      <c r="AS364" s="464"/>
      <c r="AT364" s="464"/>
      <c r="AU364" s="464"/>
      <c r="AV364" s="464"/>
      <c r="AW364" s="464"/>
      <c r="AX364" s="464"/>
      <c r="AY364" s="464"/>
      <c r="AZ364" s="464"/>
      <c r="BA364" s="464"/>
      <c r="BB364" s="464"/>
      <c r="BC364" s="623"/>
      <c r="BD364" s="623"/>
      <c r="BE364" s="623"/>
      <c r="BF364" s="623"/>
      <c r="BG364" s="623"/>
      <c r="BH364" s="534"/>
      <c r="BI364" s="534"/>
      <c r="BJ364" s="534"/>
      <c r="BK364" s="534"/>
      <c r="BL364" s="534"/>
      <c r="BM364" s="534"/>
      <c r="BN364" s="464"/>
      <c r="BO364" s="534"/>
      <c r="BP364" s="534"/>
      <c r="BQ364" s="534"/>
      <c r="BR364" s="534"/>
      <c r="BS364" s="464"/>
      <c r="BU364" s="463"/>
      <c r="BV364" s="463"/>
      <c r="BW364" s="463"/>
      <c r="BX364" s="770"/>
      <c r="BY364" s="463"/>
      <c r="BZ364" s="463"/>
      <c r="CA364" s="463"/>
      <c r="CB364" s="463"/>
      <c r="CC364" s="463"/>
      <c r="CD364" s="464"/>
      <c r="CE364" s="464"/>
      <c r="CF364" s="464"/>
      <c r="CG364" s="464"/>
      <c r="CH364" s="464"/>
      <c r="CI364" s="464"/>
      <c r="CJ364" s="464"/>
      <c r="DF364" s="463"/>
      <c r="DG364" s="463"/>
      <c r="DH364" s="463"/>
      <c r="DI364" s="463"/>
    </row>
    <row r="365" spans="1:123" outlineLevel="1">
      <c r="F365" s="464"/>
      <c r="G365" s="464"/>
      <c r="H365" s="464"/>
      <c r="I365" s="464"/>
      <c r="J365" s="464"/>
      <c r="K365" s="464"/>
      <c r="L365" s="464"/>
      <c r="M365" s="464"/>
      <c r="N365" s="464"/>
      <c r="O365" s="464"/>
      <c r="P365" s="464"/>
      <c r="Q365" s="464"/>
      <c r="R365" s="464"/>
      <c r="S365" s="464"/>
      <c r="T365" s="464"/>
      <c r="U365" s="464"/>
      <c r="V365" s="464"/>
      <c r="W365" s="464"/>
      <c r="X365" s="464"/>
      <c r="Y365" s="464"/>
      <c r="Z365" s="759"/>
      <c r="AA365" s="464"/>
      <c r="AB365" s="464"/>
      <c r="AC365" s="464"/>
      <c r="AD365" s="464"/>
      <c r="AE365" s="464"/>
      <c r="AF365" s="464"/>
      <c r="AG365" s="534"/>
      <c r="AH365" s="464"/>
      <c r="AI365" s="464"/>
      <c r="AJ365" s="464"/>
      <c r="AK365" s="464"/>
      <c r="AL365" s="464"/>
      <c r="AM365" s="464"/>
      <c r="AN365" s="464"/>
      <c r="AO365" s="464"/>
      <c r="AP365" s="464"/>
      <c r="AQ365" s="464"/>
      <c r="AR365" s="464"/>
      <c r="AS365" s="464"/>
      <c r="AT365" s="464"/>
      <c r="AU365" s="464"/>
      <c r="AV365" s="464"/>
      <c r="AW365" s="464"/>
      <c r="AX365" s="464"/>
      <c r="AY365" s="464"/>
      <c r="AZ365" s="464"/>
      <c r="BA365" s="464"/>
      <c r="BB365" s="464"/>
      <c r="BC365" s="623"/>
      <c r="BD365" s="623"/>
      <c r="BE365" s="623"/>
      <c r="BF365" s="623"/>
      <c r="BG365" s="623"/>
      <c r="BH365" s="534"/>
      <c r="BI365" s="534"/>
      <c r="BJ365" s="534"/>
      <c r="BK365" s="534"/>
      <c r="BL365" s="534"/>
      <c r="BM365" s="534"/>
      <c r="BN365" s="464"/>
      <c r="BO365" s="534"/>
      <c r="BP365" s="534"/>
      <c r="BQ365" s="534"/>
      <c r="BR365" s="534"/>
      <c r="BS365" s="464"/>
      <c r="BU365" s="569"/>
      <c r="BV365" s="569"/>
      <c r="BW365" s="569"/>
      <c r="BY365" s="569"/>
      <c r="BZ365" s="569"/>
      <c r="CA365" s="569"/>
      <c r="CB365" s="569"/>
      <c r="CC365" s="569"/>
      <c r="CD365" s="464"/>
      <c r="CE365" s="464"/>
      <c r="CF365" s="464"/>
      <c r="CG365" s="464"/>
      <c r="CH365" s="464"/>
      <c r="CI365" s="464"/>
      <c r="CJ365" s="464"/>
      <c r="DF365" s="569"/>
      <c r="DG365" s="569"/>
      <c r="DH365" s="569"/>
      <c r="DI365" s="569"/>
    </row>
    <row r="366" spans="1:123" s="772" customFormat="1" outlineLevel="1">
      <c r="A366" s="771"/>
      <c r="B366" s="772" t="s">
        <v>2014</v>
      </c>
      <c r="C366" s="773">
        <f t="shared" ref="C366:N366" si="509">C5+C28+C34+C241+C303+C309</f>
        <v>19194079968.625999</v>
      </c>
      <c r="D366" s="773">
        <f t="shared" si="509"/>
        <v>16322388949.390882</v>
      </c>
      <c r="E366" s="773">
        <f t="shared" si="509"/>
        <v>18459057491.771183</v>
      </c>
      <c r="F366" s="773">
        <f t="shared" si="509"/>
        <v>17897644831.719997</v>
      </c>
      <c r="G366" s="773">
        <f t="shared" si="509"/>
        <v>12527158820.294626</v>
      </c>
      <c r="H366" s="773">
        <f t="shared" si="509"/>
        <v>0</v>
      </c>
      <c r="I366" s="773">
        <f t="shared" si="509"/>
        <v>14735850493.637091</v>
      </c>
      <c r="J366" s="773">
        <f t="shared" si="509"/>
        <v>7097763161.0500011</v>
      </c>
      <c r="K366" s="773">
        <f t="shared" si="509"/>
        <v>3643920224.5692134</v>
      </c>
      <c r="L366" s="773">
        <f t="shared" si="509"/>
        <v>3994167108.0178752</v>
      </c>
      <c r="M366" s="773">
        <f t="shared" si="509"/>
        <v>10741683385.619215</v>
      </c>
      <c r="N366" s="773">
        <f t="shared" si="509"/>
        <v>10581801640.26</v>
      </c>
      <c r="O366" s="773"/>
      <c r="P366" s="773">
        <f>P5+P28+P34+P241+P303+P309</f>
        <v>15163089838.310001</v>
      </c>
      <c r="Q366" s="773">
        <f>Q5+Q28+Q34+Q241+Q303+Q309</f>
        <v>427239344.67291033</v>
      </c>
      <c r="R366" s="773"/>
      <c r="S366" s="773">
        <f>S5+S28+S34+S241+S303+S309</f>
        <v>13134377701.899509</v>
      </c>
      <c r="T366" s="773"/>
      <c r="U366" s="773"/>
      <c r="V366" s="773"/>
      <c r="W366" s="773"/>
      <c r="X366" s="773"/>
      <c r="Y366" s="773"/>
      <c r="Z366" s="745"/>
      <c r="AA366" s="773"/>
      <c r="AB366" s="773"/>
      <c r="AC366" s="773"/>
      <c r="AD366" s="773"/>
      <c r="AE366" s="773"/>
      <c r="AF366" s="773"/>
      <c r="AG366" s="571"/>
      <c r="AH366" s="773"/>
      <c r="AI366" s="773"/>
      <c r="AJ366" s="773"/>
      <c r="AK366" s="773"/>
      <c r="AL366" s="773"/>
      <c r="AM366" s="773"/>
      <c r="AN366" s="773"/>
      <c r="AO366" s="773"/>
      <c r="AP366" s="773"/>
      <c r="AQ366" s="773"/>
      <c r="AR366" s="773"/>
      <c r="AS366" s="773"/>
      <c r="AT366" s="773"/>
      <c r="AU366" s="773"/>
      <c r="AV366" s="773"/>
      <c r="AW366" s="773"/>
      <c r="AX366" s="773"/>
      <c r="AY366" s="773"/>
      <c r="AZ366" s="773"/>
      <c r="BA366" s="773"/>
      <c r="BB366" s="773"/>
      <c r="BC366" s="746"/>
      <c r="BD366" s="746"/>
      <c r="BE366" s="746"/>
      <c r="BF366" s="746"/>
      <c r="BG366" s="746"/>
      <c r="BH366" s="571"/>
      <c r="BI366" s="571"/>
      <c r="BJ366" s="571"/>
      <c r="BK366" s="571"/>
      <c r="BL366" s="571"/>
      <c r="BM366" s="571"/>
      <c r="BN366" s="773"/>
      <c r="BO366" s="571"/>
      <c r="BP366" s="571"/>
      <c r="BQ366" s="571"/>
      <c r="BR366" s="571"/>
      <c r="BS366" s="773"/>
      <c r="BT366" s="774"/>
      <c r="BU366" s="775"/>
      <c r="BV366" s="775"/>
      <c r="BW366" s="775"/>
      <c r="BX366" s="465"/>
      <c r="BY366" s="775"/>
      <c r="BZ366" s="775"/>
      <c r="CA366" s="775"/>
      <c r="CB366" s="775"/>
      <c r="CC366" s="775"/>
      <c r="CD366" s="773"/>
      <c r="CE366" s="773"/>
      <c r="CF366" s="773"/>
      <c r="CG366" s="773"/>
      <c r="CH366" s="773"/>
      <c r="CI366" s="773"/>
      <c r="CJ366" s="773"/>
      <c r="CK366" s="776"/>
      <c r="CL366" s="776"/>
      <c r="CS366" s="774"/>
      <c r="CT366" s="774"/>
      <c r="CU366" s="774"/>
      <c r="CV366" s="774"/>
      <c r="CW366" s="774"/>
      <c r="DF366" s="775"/>
      <c r="DG366" s="775"/>
      <c r="DH366" s="775"/>
      <c r="DI366" s="775"/>
      <c r="DJ366" s="774"/>
      <c r="DK366" s="774"/>
      <c r="DL366" s="774"/>
      <c r="DM366" s="774"/>
      <c r="DN366" s="774"/>
      <c r="DO366" s="774"/>
      <c r="DP366" s="774"/>
      <c r="DQ366" s="774"/>
      <c r="DR366" s="774"/>
      <c r="DS366" s="774"/>
    </row>
    <row r="367" spans="1:123" outlineLevel="1">
      <c r="J367" s="464"/>
      <c r="K367" s="464"/>
      <c r="L367" s="464"/>
      <c r="BH367" s="738"/>
      <c r="BI367" s="738"/>
      <c r="BJ367" s="738"/>
      <c r="BK367" s="738"/>
      <c r="BO367" s="738"/>
      <c r="BP367" s="738"/>
      <c r="BU367" s="569"/>
      <c r="BV367" s="569"/>
      <c r="BW367" s="569"/>
      <c r="BY367" s="569"/>
      <c r="BZ367" s="569"/>
      <c r="CA367" s="569"/>
      <c r="CB367" s="569"/>
      <c r="CC367" s="569"/>
      <c r="DF367" s="569"/>
      <c r="DG367" s="569"/>
      <c r="DH367" s="569"/>
      <c r="DI367" s="569"/>
    </row>
    <row r="368" spans="1:123" outlineLevel="1">
      <c r="B368" s="534" t="s">
        <v>2015</v>
      </c>
      <c r="C368" s="628">
        <f t="shared" ref="C368:N368" si="510">C51+C54+C180+C262+C311+C316</f>
        <v>47666341.439999998</v>
      </c>
      <c r="D368" s="628">
        <f t="shared" si="510"/>
        <v>121829854.58</v>
      </c>
      <c r="E368" s="628">
        <f t="shared" si="510"/>
        <v>92579932.204704046</v>
      </c>
      <c r="F368" s="628">
        <f t="shared" si="510"/>
        <v>176926223.24000001</v>
      </c>
      <c r="G368" s="628">
        <f t="shared" si="510"/>
        <v>34207802.5</v>
      </c>
      <c r="H368" s="628">
        <f t="shared" si="510"/>
        <v>0</v>
      </c>
      <c r="I368" s="628">
        <f t="shared" si="510"/>
        <v>86538728.746114776</v>
      </c>
      <c r="J368" s="628">
        <f t="shared" si="510"/>
        <v>69495427.890000001</v>
      </c>
      <c r="K368" s="628">
        <f t="shared" si="510"/>
        <v>18246300.222535636</v>
      </c>
      <c r="L368" s="628">
        <f t="shared" si="510"/>
        <v>-1202999.3664208651</v>
      </c>
      <c r="M368" s="628">
        <f t="shared" si="510"/>
        <v>87741728.112535641</v>
      </c>
      <c r="N368" s="628">
        <f t="shared" si="510"/>
        <v>113493794.15000001</v>
      </c>
      <c r="O368" s="628"/>
      <c r="P368" s="588" t="e">
        <f>#REF!-#REF!</f>
        <v>#REF!</v>
      </c>
      <c r="Q368" s="628">
        <f>Q51+Q54+Q180+Q262+Q311+Q316</f>
        <v>42126715.183885217</v>
      </c>
      <c r="R368" s="628"/>
      <c r="S368" s="628">
        <f>S51+S54+S180+S262+S311+S316</f>
        <v>29091943.6200541</v>
      </c>
      <c r="T368" s="628"/>
      <c r="U368" s="628"/>
      <c r="V368" s="628"/>
      <c r="W368" s="628"/>
      <c r="X368" s="628"/>
      <c r="Y368" s="628"/>
      <c r="Z368" s="745"/>
      <c r="AA368" s="628"/>
      <c r="AB368" s="628"/>
      <c r="AC368" s="628"/>
      <c r="AD368" s="628"/>
      <c r="AE368" s="628"/>
      <c r="AF368" s="628"/>
      <c r="AG368" s="571"/>
      <c r="AH368" s="628"/>
      <c r="AI368" s="628"/>
      <c r="AJ368" s="628"/>
      <c r="AK368" s="628"/>
      <c r="AL368" s="628"/>
      <c r="AM368" s="628"/>
      <c r="AN368" s="628"/>
      <c r="AO368" s="628"/>
      <c r="AP368" s="628"/>
      <c r="AQ368" s="628"/>
      <c r="AR368" s="628"/>
      <c r="AS368" s="628"/>
      <c r="AT368" s="628"/>
      <c r="AU368" s="628"/>
      <c r="AV368" s="628"/>
      <c r="AW368" s="628"/>
      <c r="AX368" s="628"/>
      <c r="AY368" s="628"/>
      <c r="AZ368" s="628"/>
      <c r="BA368" s="628"/>
      <c r="BB368" s="628"/>
      <c r="BC368" s="746"/>
      <c r="BD368" s="746"/>
      <c r="BE368" s="746"/>
      <c r="BF368" s="746"/>
      <c r="BG368" s="746"/>
      <c r="BH368" s="571"/>
      <c r="BI368" s="571"/>
      <c r="BJ368" s="571"/>
      <c r="BK368" s="571"/>
      <c r="BL368" s="571"/>
      <c r="BM368" s="571"/>
      <c r="BN368" s="628"/>
      <c r="BO368" s="571"/>
      <c r="BP368" s="571"/>
      <c r="BQ368" s="571"/>
      <c r="BR368" s="571"/>
      <c r="BS368" s="628"/>
      <c r="BU368" s="569"/>
      <c r="BV368" s="569"/>
      <c r="BW368" s="569"/>
      <c r="BY368" s="569"/>
      <c r="BZ368" s="569"/>
      <c r="CA368" s="569"/>
      <c r="CB368" s="569"/>
      <c r="CC368" s="569"/>
      <c r="CD368" s="628"/>
      <c r="CE368" s="628"/>
      <c r="CF368" s="628"/>
      <c r="CG368" s="628"/>
      <c r="CH368" s="628"/>
      <c r="CI368" s="628"/>
      <c r="CJ368" s="628"/>
      <c r="DF368" s="569"/>
      <c r="DG368" s="569"/>
      <c r="DH368" s="569"/>
      <c r="DI368" s="569"/>
    </row>
    <row r="369" spans="1:123" outlineLevel="1">
      <c r="B369" s="534" t="s">
        <v>2016</v>
      </c>
      <c r="C369" s="628">
        <f t="shared" ref="C369:N369" si="511">C14+C19+C243+C244+C245+C246+C251+C316</f>
        <v>679919724.98000002</v>
      </c>
      <c r="D369" s="628">
        <f t="shared" si="511"/>
        <v>139322331.96000001</v>
      </c>
      <c r="E369" s="628">
        <f t="shared" si="511"/>
        <v>528180451.89999998</v>
      </c>
      <c r="F369" s="628">
        <f t="shared" si="511"/>
        <v>390347889.87</v>
      </c>
      <c r="G369" s="628">
        <f t="shared" si="511"/>
        <v>144421959.93782499</v>
      </c>
      <c r="H369" s="628">
        <f t="shared" si="511"/>
        <v>0</v>
      </c>
      <c r="I369" s="628">
        <f t="shared" si="511"/>
        <v>430740108.09000003</v>
      </c>
      <c r="J369" s="628">
        <f t="shared" si="511"/>
        <v>199030181.31999999</v>
      </c>
      <c r="K369" s="628">
        <f t="shared" si="511"/>
        <v>112381036.67</v>
      </c>
      <c r="L369" s="628">
        <f t="shared" si="511"/>
        <v>119328890.10000001</v>
      </c>
      <c r="M369" s="628">
        <f t="shared" si="511"/>
        <v>311411217.98999995</v>
      </c>
      <c r="N369" s="628">
        <f t="shared" si="511"/>
        <v>309574776.62</v>
      </c>
      <c r="O369" s="628"/>
      <c r="P369" s="588" t="e">
        <f>#REF!-#REF!</f>
        <v>#REF!</v>
      </c>
      <c r="Q369" s="628">
        <f>Q14+Q19+Q243+Q244+Q245+Q246+Q251+Q316</f>
        <v>2496504.6599999731</v>
      </c>
      <c r="R369" s="628"/>
      <c r="S369" s="628">
        <f>S14+S19+S243+S244+S245+S246+S251+S316</f>
        <v>150452457.09999999</v>
      </c>
      <c r="T369" s="628"/>
      <c r="U369" s="628"/>
      <c r="V369" s="628"/>
      <c r="W369" s="628"/>
      <c r="X369" s="628"/>
      <c r="Y369" s="628"/>
      <c r="Z369" s="745"/>
      <c r="AA369" s="628"/>
      <c r="AB369" s="628"/>
      <c r="AC369" s="628"/>
      <c r="AD369" s="628"/>
      <c r="AE369" s="628"/>
      <c r="AF369" s="628"/>
      <c r="AG369" s="571"/>
      <c r="AH369" s="628"/>
      <c r="AI369" s="628"/>
      <c r="AJ369" s="628"/>
      <c r="AK369" s="628"/>
      <c r="AL369" s="628"/>
      <c r="AM369" s="628"/>
      <c r="AN369" s="628"/>
      <c r="AO369" s="628"/>
      <c r="AP369" s="628"/>
      <c r="AQ369" s="628"/>
      <c r="AR369" s="628"/>
      <c r="AS369" s="628"/>
      <c r="AT369" s="628"/>
      <c r="AU369" s="628"/>
      <c r="AV369" s="628"/>
      <c r="AW369" s="628"/>
      <c r="AX369" s="628"/>
      <c r="AY369" s="628"/>
      <c r="AZ369" s="628"/>
      <c r="BA369" s="628"/>
      <c r="BB369" s="628"/>
      <c r="BC369" s="746"/>
      <c r="BD369" s="746"/>
      <c r="BE369" s="746"/>
      <c r="BF369" s="746"/>
      <c r="BG369" s="746"/>
      <c r="BH369" s="571"/>
      <c r="BI369" s="571"/>
      <c r="BJ369" s="571"/>
      <c r="BK369" s="571"/>
      <c r="BL369" s="571"/>
      <c r="BM369" s="571"/>
      <c r="BN369" s="628"/>
      <c r="BO369" s="571"/>
      <c r="BP369" s="571"/>
      <c r="BQ369" s="571"/>
      <c r="BR369" s="571"/>
      <c r="BS369" s="628"/>
      <c r="BU369" s="463"/>
      <c r="BV369" s="463"/>
      <c r="BW369" s="463"/>
      <c r="BX369" s="777"/>
      <c r="BY369" s="463"/>
      <c r="BZ369" s="463"/>
      <c r="CA369" s="463"/>
      <c r="CB369" s="463"/>
      <c r="CC369" s="463"/>
      <c r="CD369" s="628"/>
      <c r="CE369" s="628"/>
      <c r="CF369" s="628"/>
      <c r="CG369" s="628"/>
      <c r="CH369" s="628"/>
      <c r="CI369" s="628"/>
      <c r="CJ369" s="628"/>
      <c r="DF369" s="463"/>
      <c r="DG369" s="463"/>
      <c r="DH369" s="463"/>
      <c r="DI369" s="463"/>
    </row>
    <row r="370" spans="1:123" outlineLevel="1">
      <c r="B370" s="534" t="s">
        <v>2017</v>
      </c>
      <c r="C370" s="628">
        <f t="shared" ref="C370:N370" si="512">C18+C61+C62+C71+C93+C98+C181+C182+C200+C201+C212+C225+C228+C250+C253+C255+C257+C267+C268+C273+C280+C281+C287+C289+C290+C294+C296+C318</f>
        <v>37502654.710000001</v>
      </c>
      <c r="D370" s="628">
        <f t="shared" si="512"/>
        <v>15387773.119999999</v>
      </c>
      <c r="E370" s="628">
        <f t="shared" si="512"/>
        <v>26427797.710000001</v>
      </c>
      <c r="F370" s="628">
        <f t="shared" si="512"/>
        <v>22352523.57</v>
      </c>
      <c r="G370" s="628">
        <f t="shared" si="512"/>
        <v>13009928.645450005</v>
      </c>
      <c r="H370" s="628">
        <f t="shared" si="512"/>
        <v>0</v>
      </c>
      <c r="I370" s="628">
        <f t="shared" si="512"/>
        <v>221936623.53999999</v>
      </c>
      <c r="J370" s="628">
        <f t="shared" si="512"/>
        <v>18165360.620000001</v>
      </c>
      <c r="K370" s="628">
        <f t="shared" si="512"/>
        <v>18456878.710000001</v>
      </c>
      <c r="L370" s="628">
        <f t="shared" si="512"/>
        <v>185314384.21000001</v>
      </c>
      <c r="M370" s="628">
        <f t="shared" si="512"/>
        <v>36622239.329999998</v>
      </c>
      <c r="N370" s="628">
        <f t="shared" si="512"/>
        <v>45912166.630000003</v>
      </c>
      <c r="O370" s="628"/>
      <c r="P370" s="588" t="e">
        <f>#REF!-#REF!</f>
        <v>#REF!</v>
      </c>
      <c r="Q370" s="628">
        <f>Q18+Q61+Q62+Q71+Q93+Q98+Q181+Q182+Q200+Q201+Q212+Q225+Q228+Q250+Q253+Q255+Q257+Q267+Q268+Q273+Q280+Q281+Q287+Q289+Q290+Q294+Q296+Q318</f>
        <v>5394115.6600000001</v>
      </c>
      <c r="R370" s="628"/>
      <c r="S370" s="628">
        <f>S18+S61+S62+S71+S93+S98+S181+S182+S200+S201+S212+S225+S228+S250+S253+S255+S257+S267+S268+S273+S280+S281+S287+S289+S290+S294+S296+S318</f>
        <v>10672578.962557748</v>
      </c>
      <c r="T370" s="628"/>
      <c r="U370" s="628"/>
      <c r="V370" s="628"/>
      <c r="W370" s="628"/>
      <c r="X370" s="628"/>
      <c r="Y370" s="628"/>
      <c r="Z370" s="745"/>
      <c r="AA370" s="628"/>
      <c r="AB370" s="628"/>
      <c r="AC370" s="628"/>
      <c r="AD370" s="628"/>
      <c r="AE370" s="628"/>
      <c r="AF370" s="628"/>
      <c r="AG370" s="571"/>
      <c r="AH370" s="628"/>
      <c r="AI370" s="628"/>
      <c r="AJ370" s="628"/>
      <c r="AK370" s="628"/>
      <c r="AL370" s="628"/>
      <c r="AM370" s="628"/>
      <c r="AN370" s="628"/>
      <c r="AO370" s="628"/>
      <c r="AP370" s="628"/>
      <c r="AQ370" s="628"/>
      <c r="AR370" s="628"/>
      <c r="AS370" s="628"/>
      <c r="AT370" s="628"/>
      <c r="AU370" s="628"/>
      <c r="AV370" s="628"/>
      <c r="AW370" s="628"/>
      <c r="AX370" s="628"/>
      <c r="AY370" s="628"/>
      <c r="AZ370" s="628"/>
      <c r="BA370" s="628"/>
      <c r="BB370" s="628"/>
      <c r="BC370" s="746"/>
      <c r="BD370" s="746"/>
      <c r="BE370" s="746"/>
      <c r="BF370" s="746"/>
      <c r="BG370" s="746"/>
      <c r="BH370" s="571"/>
      <c r="BI370" s="571"/>
      <c r="BJ370" s="571"/>
      <c r="BK370" s="571"/>
      <c r="BL370" s="571"/>
      <c r="BM370" s="571"/>
      <c r="BN370" s="628"/>
      <c r="BO370" s="571"/>
      <c r="BP370" s="571"/>
      <c r="BQ370" s="571"/>
      <c r="BR370" s="571"/>
      <c r="BS370" s="628"/>
      <c r="BU370" s="463"/>
      <c r="BV370" s="463"/>
      <c r="BW370" s="463"/>
      <c r="BY370" s="463"/>
      <c r="BZ370" s="463"/>
      <c r="CA370" s="463"/>
      <c r="CB370" s="463"/>
      <c r="CC370" s="463"/>
      <c r="CD370" s="628"/>
      <c r="CE370" s="628"/>
      <c r="CF370" s="628"/>
      <c r="CG370" s="628"/>
      <c r="CH370" s="628"/>
      <c r="CI370" s="628"/>
      <c r="CJ370" s="628"/>
      <c r="DF370" s="463"/>
      <c r="DG370" s="463"/>
      <c r="DH370" s="463"/>
      <c r="DI370" s="463"/>
    </row>
    <row r="371" spans="1:123" outlineLevel="1">
      <c r="B371" s="534" t="s">
        <v>2018</v>
      </c>
      <c r="C371" s="628">
        <f t="shared" ref="C371:N371" si="513">C7+C23+C30+C119+C120+C121+C122+C123+C124+C141+C156+C185+C195+C210+C211+C213+C215+C220+C237</f>
        <v>13107078760.320002</v>
      </c>
      <c r="D371" s="628">
        <f t="shared" si="513"/>
        <v>12840566767.086708</v>
      </c>
      <c r="E371" s="628">
        <f t="shared" si="513"/>
        <v>13003948210.370001</v>
      </c>
      <c r="F371" s="628">
        <f t="shared" si="513"/>
        <v>12799220022.949999</v>
      </c>
      <c r="G371" s="628">
        <f t="shared" si="513"/>
        <v>9043316624.7603512</v>
      </c>
      <c r="H371" s="628">
        <f t="shared" si="513"/>
        <v>0</v>
      </c>
      <c r="I371" s="628">
        <f t="shared" si="513"/>
        <v>9119566343.3937626</v>
      </c>
      <c r="J371" s="628">
        <f t="shared" si="513"/>
        <v>4448960809.460001</v>
      </c>
      <c r="K371" s="628">
        <f t="shared" si="513"/>
        <v>2267348838.7919993</v>
      </c>
      <c r="L371" s="628">
        <f t="shared" si="513"/>
        <v>2403256695.1417599</v>
      </c>
      <c r="M371" s="628">
        <f t="shared" si="513"/>
        <v>6716309648.2519999</v>
      </c>
      <c r="N371" s="628">
        <f t="shared" si="513"/>
        <v>6749698443.6000004</v>
      </c>
      <c r="O371" s="628"/>
      <c r="P371" s="588" t="e">
        <f>#REF!-#REF!</f>
        <v>#REF!</v>
      </c>
      <c r="Q371" s="628">
        <f>Q7+Q23+Q30+Q119+Q120+Q121+Q122+Q123+Q124+Q141+Q156+Q185+Q195+Q210+Q211+Q213+Q215+Q220+Q237</f>
        <v>242294379.56624025</v>
      </c>
      <c r="R371" s="628"/>
      <c r="S371" s="628">
        <f>S7+S23+S30+S119+S120+S121+S122+S123+S124+S141+S156+S185+S195+S210+S211+S213+S215+S220+S237</f>
        <v>9417243731.7123699</v>
      </c>
      <c r="T371" s="628"/>
      <c r="U371" s="628"/>
      <c r="V371" s="628"/>
      <c r="W371" s="628"/>
      <c r="X371" s="628"/>
      <c r="Y371" s="628"/>
      <c r="Z371" s="745"/>
      <c r="AA371" s="628"/>
      <c r="AB371" s="628"/>
      <c r="AC371" s="628"/>
      <c r="AD371" s="628"/>
      <c r="AE371" s="628"/>
      <c r="AF371" s="628"/>
      <c r="AG371" s="571"/>
      <c r="AH371" s="628"/>
      <c r="AI371" s="628"/>
      <c r="AJ371" s="628"/>
      <c r="AK371" s="628"/>
      <c r="AL371" s="628"/>
      <c r="AM371" s="628"/>
      <c r="AN371" s="628"/>
      <c r="AO371" s="628"/>
      <c r="AP371" s="628"/>
      <c r="AQ371" s="628"/>
      <c r="AR371" s="628"/>
      <c r="AS371" s="628"/>
      <c r="AT371" s="628"/>
      <c r="AU371" s="628"/>
      <c r="AV371" s="628"/>
      <c r="AW371" s="628"/>
      <c r="AX371" s="628"/>
      <c r="AY371" s="628"/>
      <c r="AZ371" s="628"/>
      <c r="BA371" s="628"/>
      <c r="BB371" s="628"/>
      <c r="BC371" s="746"/>
      <c r="BD371" s="746"/>
      <c r="BE371" s="746"/>
      <c r="BF371" s="746"/>
      <c r="BG371" s="746"/>
      <c r="BH371" s="571"/>
      <c r="BI371" s="571"/>
      <c r="BJ371" s="571"/>
      <c r="BK371" s="571"/>
      <c r="BL371" s="571"/>
      <c r="BM371" s="571"/>
      <c r="BN371" s="628"/>
      <c r="BO371" s="571"/>
      <c r="BP371" s="571"/>
      <c r="BQ371" s="571"/>
      <c r="BR371" s="571"/>
      <c r="BS371" s="628"/>
      <c r="BU371" s="778"/>
      <c r="BV371" s="778"/>
      <c r="BW371" s="778"/>
      <c r="BY371" s="778"/>
      <c r="BZ371" s="778"/>
      <c r="CA371" s="778"/>
      <c r="CB371" s="778"/>
      <c r="CC371" s="778"/>
      <c r="CD371" s="628"/>
      <c r="CE371" s="628"/>
      <c r="CF371" s="628"/>
      <c r="CG371" s="628"/>
      <c r="CH371" s="628"/>
      <c r="CI371" s="628"/>
      <c r="CJ371" s="628"/>
      <c r="DF371" s="778"/>
      <c r="DG371" s="778"/>
      <c r="DH371" s="778"/>
      <c r="DI371" s="778"/>
    </row>
    <row r="372" spans="1:123" outlineLevel="1">
      <c r="B372" s="534" t="s">
        <v>2019</v>
      </c>
      <c r="C372" s="628">
        <f t="shared" ref="C372:N372" si="514">C16+C17+C49+C73+C74+C75+C76+C77+C78+C79+C80+C81+C82+C83+C84+C171+C175+C176+C202+C203+C204+C205+C227+C247+C248+C249+C252+C275+C21</f>
        <v>1971547871.3099999</v>
      </c>
      <c r="D372" s="628">
        <f t="shared" si="514"/>
        <v>1147195663.0700002</v>
      </c>
      <c r="E372" s="628">
        <f t="shared" si="514"/>
        <v>1726964956.96</v>
      </c>
      <c r="F372" s="628">
        <f t="shared" si="514"/>
        <v>1694317484.6199996</v>
      </c>
      <c r="G372" s="628">
        <f t="shared" si="514"/>
        <v>1377038698.7072806</v>
      </c>
      <c r="H372" s="628">
        <f t="shared" si="514"/>
        <v>0</v>
      </c>
      <c r="I372" s="628">
        <f t="shared" si="514"/>
        <v>1429751852.2800004</v>
      </c>
      <c r="J372" s="628">
        <f t="shared" si="514"/>
        <v>734810843.70000005</v>
      </c>
      <c r="K372" s="628">
        <f t="shared" si="514"/>
        <v>347758355.70999998</v>
      </c>
      <c r="L372" s="628">
        <f t="shared" si="514"/>
        <v>347182652.87</v>
      </c>
      <c r="M372" s="628">
        <f t="shared" si="514"/>
        <v>1082569199.4099998</v>
      </c>
      <c r="N372" s="628">
        <f t="shared" si="514"/>
        <v>1079845787.8199999</v>
      </c>
      <c r="O372" s="628"/>
      <c r="P372" s="588" t="e">
        <f>#REF!-#REF!</f>
        <v>#REF!</v>
      </c>
      <c r="Q372" s="628">
        <f>Q16+Q17+Q49+Q73+Q74+Q75+Q76+Q77+Q78+Q79+Q80+Q81+Q82+Q83+Q84+Q171+Q175+Q176+Q202+Q203+Q204+Q205+Q227+Q247+Q248+Q249+Q252+Q275+Q21</f>
        <v>1764175.1899998952</v>
      </c>
      <c r="R372" s="628"/>
      <c r="S372" s="628">
        <f>S16+S17+S49+S73+S74+S75+S76+S77+S78+S79+S80+S81+S82+S83+S84+S171+S175+S176+S202+S203+S204+S205+S227+S247+S248+S249+S252+S275+S21</f>
        <v>1414508943.4205999</v>
      </c>
      <c r="T372" s="628"/>
      <c r="U372" s="628"/>
      <c r="V372" s="628"/>
      <c r="W372" s="628"/>
      <c r="X372" s="628"/>
      <c r="Y372" s="628"/>
      <c r="Z372" s="745"/>
      <c r="AA372" s="628"/>
      <c r="AB372" s="628"/>
      <c r="AC372" s="628"/>
      <c r="AD372" s="628"/>
      <c r="AE372" s="628"/>
      <c r="AF372" s="628"/>
      <c r="AG372" s="571"/>
      <c r="AH372" s="628"/>
      <c r="AI372" s="628"/>
      <c r="AJ372" s="628"/>
      <c r="AK372" s="628"/>
      <c r="AL372" s="628"/>
      <c r="AM372" s="628"/>
      <c r="AN372" s="628"/>
      <c r="AO372" s="628"/>
      <c r="AP372" s="628"/>
      <c r="AQ372" s="628"/>
      <c r="AR372" s="628"/>
      <c r="AS372" s="628"/>
      <c r="AT372" s="628"/>
      <c r="AU372" s="628"/>
      <c r="AV372" s="628"/>
      <c r="AW372" s="628"/>
      <c r="AX372" s="628"/>
      <c r="AY372" s="628"/>
      <c r="AZ372" s="628"/>
      <c r="BA372" s="628"/>
      <c r="BB372" s="628"/>
      <c r="BC372" s="746"/>
      <c r="BD372" s="746"/>
      <c r="BE372" s="746"/>
      <c r="BF372" s="746"/>
      <c r="BG372" s="746"/>
      <c r="BH372" s="571"/>
      <c r="BI372" s="571"/>
      <c r="BJ372" s="571"/>
      <c r="BK372" s="571"/>
      <c r="BL372" s="571"/>
      <c r="BM372" s="571"/>
      <c r="BN372" s="628"/>
      <c r="BO372" s="571"/>
      <c r="BP372" s="571"/>
      <c r="BQ372" s="571"/>
      <c r="BR372" s="571"/>
      <c r="BS372" s="628"/>
      <c r="BU372" s="752"/>
      <c r="BV372" s="752"/>
      <c r="BW372" s="752"/>
      <c r="BY372" s="752"/>
      <c r="BZ372" s="752"/>
      <c r="CA372" s="752"/>
      <c r="CB372" s="752"/>
      <c r="CC372" s="752"/>
      <c r="CD372" s="628"/>
      <c r="CE372" s="628"/>
      <c r="CF372" s="628"/>
      <c r="CG372" s="628"/>
      <c r="CH372" s="628"/>
      <c r="CI372" s="628"/>
      <c r="CJ372" s="628"/>
      <c r="DF372" s="752"/>
      <c r="DG372" s="752"/>
      <c r="DH372" s="752"/>
      <c r="DI372" s="752"/>
    </row>
    <row r="373" spans="1:123" outlineLevel="1">
      <c r="B373" s="534" t="s">
        <v>2020</v>
      </c>
      <c r="C373" s="628">
        <f t="shared" ref="C373:N373" si="515">C11+C12+C65+C67+C68+C69+C70+C86+C87+C88+C89+C90+C91+C104+C105+C106+C107+C108+C109+C110+C111+C113+C114+C115+C116+C117+C118+C125+C126+C127+C128+C129+C130+C131+C132+C133+C134+C147+C148+C149+C150+C151+C152+C153+C154+C155+C157+C159+C161+C162+C163+C164+C165+C166+C167+C168+C169+C172+C173+C174+C178+C179+C186+C187+C188+C189+C190+C191+C192+C194+C196+C197+C198+C199+C206+C207+C208+C214+C217+C218+C219+C221+C223+C224+C226+C229+C233+C236+C263+C269</f>
        <v>524248570.35999995</v>
      </c>
      <c r="D373" s="628">
        <f t="shared" si="515"/>
        <v>551006540.28217936</v>
      </c>
      <c r="E373" s="628">
        <f t="shared" si="515"/>
        <v>626623354.97628927</v>
      </c>
      <c r="F373" s="628">
        <f t="shared" si="515"/>
        <v>571947351.70000005</v>
      </c>
      <c r="G373" s="628">
        <f t="shared" si="515"/>
        <v>487144962.26967388</v>
      </c>
      <c r="H373" s="628">
        <f t="shared" si="515"/>
        <v>0</v>
      </c>
      <c r="I373" s="628">
        <f t="shared" si="515"/>
        <v>615004670.36999977</v>
      </c>
      <c r="J373" s="628">
        <f t="shared" si="515"/>
        <v>229009378.47999996</v>
      </c>
      <c r="K373" s="628">
        <f t="shared" si="515"/>
        <v>203307093.47999996</v>
      </c>
      <c r="L373" s="628">
        <f t="shared" si="515"/>
        <v>182688198.40999994</v>
      </c>
      <c r="M373" s="628">
        <f t="shared" si="515"/>
        <v>432316471.9599998</v>
      </c>
      <c r="N373" s="628">
        <f t="shared" si="515"/>
        <v>381725722.85000014</v>
      </c>
      <c r="O373" s="628"/>
      <c r="P373" s="628">
        <f>P11+P12+P65+P67+P68+P69+P70+P86+P87+P88+P89+P90+P91+P104+P105+P106+P107+P108+P109+P110+P111+P113+P114+P115+P116+P117+P118+P125+P126+P127+P128+P129+P130+P131+P132+P133+P134+P147+P148+P149+P150+P151+P152+P153+P154+P155+P157+P159+P161+P162+P163+P164+P165+P166+P167+P168+P169+P172+P173+P174+P178+P179+P186+P187+P188+P189+P190+P191+P192+P194+P196+P197+P198+P199+P206+P207+P208+P214+P217+P218+P219+P221+P223+P224+P226+P229+P233+P236+P263+P269</f>
        <v>602148676.56999981</v>
      </c>
      <c r="Q373" s="628">
        <f>Q11+Q12+Q65+Q67+Q68+Q69+Q70+Q86+Q87+Q88+Q89+Q90+Q91+Q104+Q105+Q106+Q107+Q108+Q109+Q110+Q111+Q113+Q114+Q115+Q116+Q117+Q118+Q125+Q126+Q127+Q128+Q129+Q130+Q131+Q132+Q133+Q134+Q147+Q148+Q149+Q150+Q151+Q152+Q153+Q154+Q155+Q157+Q159+Q161+Q162+Q163+Q164+Q165+Q166+Q167+Q168+Q169+Q172+Q173+Q174+Q178+Q179+Q186+Q187+Q188+Q189+Q190+Q191+Q192+Q194+Q196+Q197+Q198+Q199+Q206+Q207+Q208+Q214+Q217+Q218+Q219+Q221+Q223+Q224+Q226+Q229+Q233+Q236+Q263+Q269</f>
        <v>-12855993.799999997</v>
      </c>
      <c r="R373" s="628"/>
      <c r="S373" s="628">
        <f>S11+S12+S65+S67+S68+S69+S70+S86+S87+S88+S89+S90+S91+S104+S105+S106+S107+S108+S109+S110+S111+S113+S114+S115+S116+S117+S118+S125+S126+S127+S128+S129+S130+S131+S132+S133+S134+S147+S148+S149+S150+S151+S152+S153+S154+S155+S157+S159+S161+S162+S163+S164+S165+S166+S167+S168+S169+S172+S173+S174+S178+S179+S186+S187+S188+S189+S190+S191+S192+S194+S196+S197+S198+S199+S206+S207+S208+S214+S217+S218+S219+S221+S223+S224+S226+S229+S233+S236+S263+S269</f>
        <v>480579644.18171453</v>
      </c>
      <c r="T373" s="628"/>
      <c r="U373" s="628"/>
      <c r="V373" s="628"/>
      <c r="W373" s="628"/>
      <c r="X373" s="628"/>
      <c r="Y373" s="628"/>
      <c r="Z373" s="745"/>
      <c r="AA373" s="628"/>
      <c r="AB373" s="628"/>
      <c r="AC373" s="628"/>
      <c r="AD373" s="628"/>
      <c r="AE373" s="628"/>
      <c r="AF373" s="628"/>
      <c r="AG373" s="571"/>
      <c r="AH373" s="628"/>
      <c r="AI373" s="628"/>
      <c r="AJ373" s="628"/>
      <c r="AK373" s="628"/>
      <c r="AL373" s="628"/>
      <c r="AM373" s="628"/>
      <c r="AN373" s="628"/>
      <c r="AO373" s="628"/>
      <c r="AP373" s="628"/>
      <c r="AQ373" s="628"/>
      <c r="AR373" s="628"/>
      <c r="AS373" s="628"/>
      <c r="AT373" s="628"/>
      <c r="AU373" s="628"/>
      <c r="AV373" s="628"/>
      <c r="AW373" s="628"/>
      <c r="AX373" s="628"/>
      <c r="AY373" s="628"/>
      <c r="AZ373" s="628"/>
      <c r="BA373" s="628"/>
      <c r="BB373" s="628"/>
      <c r="BC373" s="746"/>
      <c r="BD373" s="746"/>
      <c r="BE373" s="746"/>
      <c r="BF373" s="746"/>
      <c r="BG373" s="746"/>
      <c r="BH373" s="571"/>
      <c r="BI373" s="571"/>
      <c r="BJ373" s="571"/>
      <c r="BK373" s="571"/>
      <c r="BL373" s="571"/>
      <c r="BM373" s="571"/>
      <c r="BN373" s="628"/>
      <c r="BO373" s="571"/>
      <c r="BP373" s="571"/>
      <c r="BQ373" s="571"/>
      <c r="BR373" s="571"/>
      <c r="BS373" s="628"/>
      <c r="BU373" s="569"/>
      <c r="BV373" s="569"/>
      <c r="BW373" s="569"/>
      <c r="BY373" s="569"/>
      <c r="BZ373" s="569"/>
      <c r="CA373" s="569"/>
      <c r="CB373" s="569"/>
      <c r="CC373" s="569"/>
      <c r="CD373" s="628"/>
      <c r="CE373" s="628"/>
      <c r="CF373" s="628"/>
      <c r="CG373" s="628"/>
      <c r="CH373" s="628"/>
      <c r="CI373" s="628"/>
      <c r="CJ373" s="628"/>
      <c r="DF373" s="569"/>
      <c r="DG373" s="569"/>
      <c r="DH373" s="569"/>
      <c r="DI373" s="569"/>
    </row>
    <row r="374" spans="1:123" outlineLevel="1">
      <c r="B374" s="534" t="s">
        <v>2021</v>
      </c>
      <c r="C374" s="628">
        <f t="shared" ref="C374:N374" si="516">C92+C94+C95+C96+C97+C99+C100+C101+C103+C142+C143+C144+C145+C158+C193+C209+C235+C264+C265+C297+C266+C60+C59+C58+C57+C298</f>
        <v>33807223.540000007</v>
      </c>
      <c r="D374" s="628">
        <f t="shared" si="516"/>
        <v>29330671.741998598</v>
      </c>
      <c r="E374" s="628">
        <f t="shared" si="516"/>
        <v>30309852.469999999</v>
      </c>
      <c r="F374" s="628">
        <f t="shared" si="516"/>
        <v>37457056.959999993</v>
      </c>
      <c r="G374" s="628">
        <f t="shared" si="516"/>
        <v>20563782.893428706</v>
      </c>
      <c r="H374" s="628">
        <f t="shared" si="516"/>
        <v>0</v>
      </c>
      <c r="I374" s="628">
        <f t="shared" si="516"/>
        <v>33309175.900000006</v>
      </c>
      <c r="J374" s="628">
        <f t="shared" si="516"/>
        <v>14495418.970000003</v>
      </c>
      <c r="K374" s="628">
        <f t="shared" si="516"/>
        <v>5984135.4299999997</v>
      </c>
      <c r="L374" s="628">
        <f t="shared" si="516"/>
        <v>12829621.5</v>
      </c>
      <c r="M374" s="628">
        <f t="shared" si="516"/>
        <v>20479554.400000002</v>
      </c>
      <c r="N374" s="628">
        <f t="shared" si="516"/>
        <v>20299101.489999998</v>
      </c>
      <c r="O374" s="628"/>
      <c r="P374" s="588" t="e">
        <f>#REF!-#REF!</f>
        <v>#REF!</v>
      </c>
      <c r="Q374" s="628">
        <f>Q92+Q94+Q95+Q96+Q97+Q99+Q100+Q101+Q103+Q142+Q143+Q144+Q145+Q158+Q193+Q209+Q235+Q264+Q265+Q297+Q266+Q60+Q59+Q58+Q57+Q298</f>
        <v>2224160.3599999994</v>
      </c>
      <c r="R374" s="628"/>
      <c r="S374" s="628">
        <f>S92+S94+S95+S96+S97+S99+S100+S101+S103+S142+S143+S144+S145+S158+S193+S209+S235+S264+S265+S297+S266+S60+S59+S58+S57+S298</f>
        <v>27159345.366630163</v>
      </c>
      <c r="T374" s="628"/>
      <c r="U374" s="628"/>
      <c r="V374" s="628"/>
      <c r="W374" s="628"/>
      <c r="X374" s="628"/>
      <c r="Y374" s="628"/>
      <c r="Z374" s="745"/>
      <c r="AA374" s="628"/>
      <c r="AB374" s="628"/>
      <c r="AC374" s="628"/>
      <c r="AD374" s="628"/>
      <c r="AE374" s="628"/>
      <c r="AF374" s="628"/>
      <c r="AG374" s="571"/>
      <c r="AH374" s="628"/>
      <c r="AI374" s="628"/>
      <c r="AJ374" s="628"/>
      <c r="AK374" s="628"/>
      <c r="AL374" s="628"/>
      <c r="AM374" s="628"/>
      <c r="AN374" s="628"/>
      <c r="AO374" s="628"/>
      <c r="AP374" s="628"/>
      <c r="AQ374" s="628"/>
      <c r="AR374" s="628"/>
      <c r="AS374" s="628"/>
      <c r="AT374" s="628"/>
      <c r="AU374" s="628"/>
      <c r="AV374" s="628"/>
      <c r="AW374" s="628"/>
      <c r="AX374" s="628"/>
      <c r="AY374" s="628"/>
      <c r="AZ374" s="628"/>
      <c r="BA374" s="628"/>
      <c r="BB374" s="628"/>
      <c r="BC374" s="746"/>
      <c r="BD374" s="746"/>
      <c r="BE374" s="746"/>
      <c r="BF374" s="746"/>
      <c r="BG374" s="746"/>
      <c r="BH374" s="571"/>
      <c r="BI374" s="571"/>
      <c r="BJ374" s="571"/>
      <c r="BK374" s="571"/>
      <c r="BL374" s="571"/>
      <c r="BM374" s="571"/>
      <c r="BN374" s="628"/>
      <c r="BO374" s="571"/>
      <c r="BP374" s="571"/>
      <c r="BQ374" s="571"/>
      <c r="BR374" s="571"/>
      <c r="BS374" s="628"/>
      <c r="BU374" s="569"/>
      <c r="BV374" s="569"/>
      <c r="BW374" s="569"/>
      <c r="BY374" s="569"/>
      <c r="BZ374" s="569"/>
      <c r="CA374" s="569"/>
      <c r="CB374" s="569"/>
      <c r="CC374" s="569"/>
      <c r="CD374" s="628"/>
      <c r="CE374" s="628"/>
      <c r="CF374" s="628"/>
      <c r="CG374" s="628"/>
      <c r="CH374" s="628"/>
      <c r="CI374" s="628"/>
      <c r="CJ374" s="628"/>
      <c r="DF374" s="569"/>
      <c r="DG374" s="569"/>
      <c r="DH374" s="569"/>
      <c r="DI374" s="569"/>
    </row>
    <row r="375" spans="1:123" outlineLevel="1">
      <c r="B375" s="534" t="s">
        <v>2022</v>
      </c>
      <c r="C375" s="628">
        <f t="shared" ref="C375:N375" si="517">C136+C137+C177</f>
        <v>20461641.66</v>
      </c>
      <c r="D375" s="628">
        <f t="shared" si="517"/>
        <v>17314724.030000001</v>
      </c>
      <c r="E375" s="628">
        <f t="shared" si="517"/>
        <v>22657000</v>
      </c>
      <c r="F375" s="628">
        <f t="shared" si="517"/>
        <v>21084032.25</v>
      </c>
      <c r="G375" s="628">
        <f t="shared" si="517"/>
        <v>17114927.888876371</v>
      </c>
      <c r="H375" s="628">
        <f t="shared" si="517"/>
        <v>0</v>
      </c>
      <c r="I375" s="628">
        <f t="shared" si="517"/>
        <v>24198538.84</v>
      </c>
      <c r="J375" s="628">
        <f t="shared" si="517"/>
        <v>10752756.42</v>
      </c>
      <c r="K375" s="628">
        <f t="shared" si="517"/>
        <v>6660488.5300000003</v>
      </c>
      <c r="L375" s="628">
        <f t="shared" si="517"/>
        <v>6785293.8899999997</v>
      </c>
      <c r="M375" s="628">
        <f t="shared" si="517"/>
        <v>17413244.949999999</v>
      </c>
      <c r="N375" s="628">
        <f t="shared" si="517"/>
        <v>17646166.140000001</v>
      </c>
      <c r="O375" s="628"/>
      <c r="P375" s="628">
        <f>P136+P137+P177</f>
        <v>22480210.900000002</v>
      </c>
      <c r="Q375" s="628">
        <f>Q136+Q137+Q177</f>
        <v>-1718327.9399999997</v>
      </c>
      <c r="R375" s="628"/>
      <c r="S375" s="628">
        <f>S136+S137+S177</f>
        <v>18056248.922764566</v>
      </c>
      <c r="T375" s="628"/>
      <c r="U375" s="628"/>
      <c r="V375" s="628"/>
      <c r="W375" s="628"/>
      <c r="X375" s="628"/>
      <c r="Y375" s="628"/>
      <c r="Z375" s="745"/>
      <c r="AA375" s="628"/>
      <c r="AB375" s="628"/>
      <c r="AC375" s="628"/>
      <c r="AD375" s="628"/>
      <c r="AE375" s="628"/>
      <c r="AF375" s="628"/>
      <c r="AG375" s="571"/>
      <c r="AH375" s="628"/>
      <c r="AI375" s="628"/>
      <c r="AJ375" s="628"/>
      <c r="AK375" s="628"/>
      <c r="AL375" s="628"/>
      <c r="AM375" s="628"/>
      <c r="AN375" s="628"/>
      <c r="AO375" s="628"/>
      <c r="AP375" s="628"/>
      <c r="AQ375" s="628"/>
      <c r="AR375" s="628"/>
      <c r="AS375" s="628"/>
      <c r="AT375" s="628"/>
      <c r="AU375" s="628"/>
      <c r="AV375" s="628"/>
      <c r="AW375" s="628"/>
      <c r="AX375" s="628"/>
      <c r="AY375" s="628"/>
      <c r="AZ375" s="628"/>
      <c r="BA375" s="628"/>
      <c r="BB375" s="628"/>
      <c r="BC375" s="746"/>
      <c r="BD375" s="746"/>
      <c r="BE375" s="746"/>
      <c r="BF375" s="746"/>
      <c r="BG375" s="746"/>
      <c r="BH375" s="571"/>
      <c r="BI375" s="571"/>
      <c r="BJ375" s="571"/>
      <c r="BK375" s="571"/>
      <c r="BL375" s="571"/>
      <c r="BM375" s="571"/>
      <c r="BN375" s="628"/>
      <c r="BO375" s="571"/>
      <c r="BP375" s="571"/>
      <c r="BQ375" s="571"/>
      <c r="BR375" s="571"/>
      <c r="BS375" s="628"/>
      <c r="BU375" s="569"/>
      <c r="BV375" s="569"/>
      <c r="BW375" s="569"/>
      <c r="BY375" s="569"/>
      <c r="BZ375" s="569"/>
      <c r="CA375" s="569"/>
      <c r="CB375" s="569"/>
      <c r="CC375" s="569"/>
      <c r="CD375" s="628"/>
      <c r="CE375" s="628"/>
      <c r="CF375" s="628"/>
      <c r="CG375" s="628"/>
      <c r="CH375" s="628"/>
      <c r="CI375" s="628"/>
      <c r="CJ375" s="628"/>
      <c r="DF375" s="569"/>
      <c r="DG375" s="569"/>
      <c r="DH375" s="569"/>
      <c r="DI375" s="569"/>
    </row>
    <row r="376" spans="1:123" outlineLevel="1">
      <c r="B376" s="534" t="s">
        <v>2023</v>
      </c>
      <c r="C376" s="628">
        <f t="shared" ref="C376:N376" si="518">C10+C15+C20+C22+C24+C25+C36+C37+C39+C40+C41+C42+C43+C44+C45+C46+C47+C48+C50+C51+C52+C53+C54+C63+C64+C66+C102+C112+C138+C183+C184+C211+C216+C231+C232+C234+C254+C256+C258+C259+C260+C261+C270+C271+C272+C274+C276+C277+C278+C279+C282+C283+C284+C285+C286+C288+C291+C292+C293+C295+C305+C306+C311+C312+C313+C314+C315+C317</f>
        <v>2434503585.1160002</v>
      </c>
      <c r="D376" s="628">
        <f t="shared" si="518"/>
        <v>1581167204.8000004</v>
      </c>
      <c r="E376" s="628">
        <f t="shared" si="518"/>
        <v>1926159320.3848941</v>
      </c>
      <c r="F376" s="628">
        <f t="shared" si="518"/>
        <v>2138199094.4899993</v>
      </c>
      <c r="G376" s="628">
        <f t="shared" si="518"/>
        <v>1423521265.1917386</v>
      </c>
      <c r="H376" s="628">
        <f t="shared" si="518"/>
        <v>0</v>
      </c>
      <c r="I376" s="628">
        <f t="shared" si="518"/>
        <v>2409388867.0345149</v>
      </c>
      <c r="J376" s="628">
        <f t="shared" si="518"/>
        <v>1363562708.7</v>
      </c>
      <c r="K376" s="628">
        <f t="shared" si="518"/>
        <v>542386394.08653557</v>
      </c>
      <c r="L376" s="628">
        <f t="shared" si="518"/>
        <v>503439764.24797916</v>
      </c>
      <c r="M376" s="628">
        <f t="shared" si="518"/>
        <v>1905949102.7865357</v>
      </c>
      <c r="N376" s="628">
        <f t="shared" si="518"/>
        <v>1869333455.9200001</v>
      </c>
      <c r="O376" s="628"/>
      <c r="P376" s="628">
        <f>P10+P15+P20+P22+P24+P25+P36+P37+P39+P40+P41+P42+P43+P44+P45+P46+P47+P48+P50+P51+P52+P53+P54+P63+P64+P66+P102+P112+P138+P183+P184+P211+P216+P231+P232+P234+P254+P256+P258+P259+P260+P261+P270+P271+P272+P274+P276+P277+P278+P279+P282+P283+P284+P285+P286+P288+P291+P292+P293+P295+P305+P306+P311+P312+P313+P314+P315+P317</f>
        <v>2758334352.9500008</v>
      </c>
      <c r="Q376" s="628">
        <f>Q10+Q15+Q20+Q22+Q24+Q25+Q36+Q37+Q39+Q40+Q41+Q42+Q43+Q44+Q45+Q46+Q47+Q48+Q50+Q51+Q52+Q53+Q54+Q63+Q64+Q66+Q102+Q112+Q138+Q183+Q184+Q211+Q216+Q231+Q232+Q234+Q254+Q256+Q258+Q259+Q260+Q261+Q270+Q271+Q272+Q274+Q276+Q277+Q278+Q279+Q282+Q283+Q284+Q285+Q286+Q288+Q291+Q292+Q293+Q295+Q305+Q306+Q311+Q312+Q313+Q314+Q315+Q317</f>
        <v>348945485.91548538</v>
      </c>
      <c r="R376" s="628"/>
      <c r="S376" s="628">
        <f>S10+S15+S20+S22+S24+S25+S36+S37+S39+S40+S41+S42+S43+S44+S45+S46+S47+S48+S50+S51+S52+S53+S54+S63+S64+S66+S102+S112+S138+S183+S184+S211+S216+S231+S232+S234+S254+S256+S258+S259+S260+S261+S270+S271+S272+S274+S276+S277+S278+S279+S282+S283+S284+S285+S286+S288+S291+S292+S293+S295+S305+S306+S311+S312+S313+S314+S315+S317</f>
        <v>1614621615.3828752</v>
      </c>
      <c r="T376" s="628"/>
      <c r="U376" s="628"/>
      <c r="V376" s="628"/>
      <c r="W376" s="628"/>
      <c r="X376" s="628"/>
      <c r="Y376" s="628"/>
      <c r="Z376" s="745"/>
      <c r="AA376" s="628"/>
      <c r="AB376" s="628"/>
      <c r="AC376" s="628"/>
      <c r="AD376" s="628"/>
      <c r="AE376" s="628"/>
      <c r="AF376" s="628"/>
      <c r="AG376" s="571"/>
      <c r="AH376" s="628"/>
      <c r="AI376" s="628"/>
      <c r="AJ376" s="628"/>
      <c r="AK376" s="628"/>
      <c r="AL376" s="628"/>
      <c r="AM376" s="628"/>
      <c r="AN376" s="628"/>
      <c r="AO376" s="628"/>
      <c r="AP376" s="628"/>
      <c r="AQ376" s="628"/>
      <c r="AR376" s="628"/>
      <c r="AS376" s="628"/>
      <c r="AT376" s="628"/>
      <c r="AU376" s="628"/>
      <c r="AV376" s="628"/>
      <c r="AW376" s="628"/>
      <c r="AX376" s="628"/>
      <c r="AY376" s="628"/>
      <c r="AZ376" s="628"/>
      <c r="BA376" s="628"/>
      <c r="BB376" s="628"/>
      <c r="BC376" s="746"/>
      <c r="BD376" s="746"/>
      <c r="BE376" s="746"/>
      <c r="BF376" s="746"/>
      <c r="BG376" s="746"/>
      <c r="BH376" s="571"/>
      <c r="BI376" s="571"/>
      <c r="BJ376" s="571"/>
      <c r="BK376" s="571"/>
      <c r="BL376" s="571"/>
      <c r="BM376" s="571"/>
      <c r="BN376" s="628"/>
      <c r="BO376" s="571"/>
      <c r="BP376" s="571"/>
      <c r="BQ376" s="571"/>
      <c r="BR376" s="571"/>
      <c r="BS376" s="628"/>
      <c r="BU376" s="569"/>
      <c r="BV376" s="569"/>
      <c r="BW376" s="569"/>
      <c r="BY376" s="569"/>
      <c r="BZ376" s="569"/>
      <c r="CA376" s="569"/>
      <c r="CB376" s="569"/>
      <c r="CC376" s="569"/>
      <c r="CD376" s="628"/>
      <c r="CE376" s="628"/>
      <c r="CF376" s="628"/>
      <c r="CG376" s="628"/>
      <c r="CH376" s="628"/>
      <c r="CI376" s="628"/>
      <c r="CJ376" s="628"/>
      <c r="DF376" s="569"/>
      <c r="DG376" s="569"/>
      <c r="DH376" s="569"/>
      <c r="DI376" s="569"/>
    </row>
    <row r="377" spans="1:123" ht="21.75" customHeight="1" outlineLevel="1">
      <c r="B377" s="534" t="s">
        <v>2024</v>
      </c>
      <c r="C377" s="628">
        <f t="shared" ref="C377:N377" si="519">C8+C135+C222</f>
        <v>372764595.19000006</v>
      </c>
      <c r="D377" s="628">
        <f t="shared" si="519"/>
        <v>0</v>
      </c>
      <c r="E377" s="628">
        <f t="shared" si="519"/>
        <v>562525501</v>
      </c>
      <c r="F377" s="628">
        <f t="shared" si="519"/>
        <v>221286840.26999998</v>
      </c>
      <c r="G377" s="628">
        <f t="shared" si="519"/>
        <v>0</v>
      </c>
      <c r="H377" s="628">
        <f t="shared" si="519"/>
        <v>0</v>
      </c>
      <c r="I377" s="628">
        <f t="shared" si="519"/>
        <v>448366938.16881406</v>
      </c>
      <c r="J377" s="628">
        <f t="shared" si="519"/>
        <v>75638327.359999999</v>
      </c>
      <c r="K377" s="628">
        <f t="shared" si="519"/>
        <v>139637003.160678</v>
      </c>
      <c r="L377" s="628">
        <f t="shared" si="519"/>
        <v>233091607.64813599</v>
      </c>
      <c r="M377" s="628">
        <f t="shared" si="519"/>
        <v>215275330.52067801</v>
      </c>
      <c r="N377" s="628">
        <f t="shared" si="519"/>
        <v>107900155.36</v>
      </c>
      <c r="O377" s="628"/>
      <c r="P377" s="588" t="e">
        <f>#REF!-#REF!</f>
        <v>#REF!</v>
      </c>
      <c r="Q377" s="628">
        <f>Q8+Q135+Q222</f>
        <v>-179217515.45881405</v>
      </c>
      <c r="R377" s="628"/>
      <c r="S377" s="628">
        <f>S8+S135+S222</f>
        <v>0</v>
      </c>
      <c r="T377" s="628"/>
      <c r="U377" s="628"/>
      <c r="V377" s="628"/>
      <c r="W377" s="628"/>
      <c r="X377" s="628"/>
      <c r="Y377" s="628"/>
      <c r="Z377" s="745"/>
      <c r="AA377" s="628"/>
      <c r="AB377" s="628"/>
      <c r="AC377" s="628"/>
      <c r="AD377" s="628"/>
      <c r="AE377" s="628"/>
      <c r="AF377" s="628"/>
      <c r="AG377" s="571"/>
      <c r="AH377" s="628"/>
      <c r="AI377" s="628"/>
      <c r="AJ377" s="628"/>
      <c r="AK377" s="628"/>
      <c r="AL377" s="628"/>
      <c r="AM377" s="628"/>
      <c r="AN377" s="628"/>
      <c r="AO377" s="628"/>
      <c r="AP377" s="628"/>
      <c r="AQ377" s="628"/>
      <c r="AR377" s="628"/>
      <c r="AS377" s="628"/>
      <c r="AT377" s="628"/>
      <c r="AU377" s="628"/>
      <c r="AV377" s="628"/>
      <c r="AW377" s="628"/>
      <c r="AX377" s="628"/>
      <c r="AY377" s="628"/>
      <c r="AZ377" s="628"/>
      <c r="BA377" s="628"/>
      <c r="BB377" s="628"/>
      <c r="BC377" s="746"/>
      <c r="BD377" s="746"/>
      <c r="BE377" s="746"/>
      <c r="BF377" s="746"/>
      <c r="BG377" s="746"/>
      <c r="BH377" s="571"/>
      <c r="BI377" s="571"/>
      <c r="BJ377" s="571"/>
      <c r="BK377" s="571"/>
      <c r="BL377" s="571"/>
      <c r="BM377" s="571"/>
      <c r="BN377" s="628"/>
      <c r="BO377" s="571"/>
      <c r="BP377" s="571"/>
      <c r="BQ377" s="571"/>
      <c r="BR377" s="571"/>
      <c r="BS377" s="628"/>
      <c r="BU377" s="569"/>
      <c r="BV377" s="569"/>
      <c r="BW377" s="569"/>
      <c r="BY377" s="569"/>
      <c r="BZ377" s="569"/>
      <c r="CA377" s="569"/>
      <c r="CB377" s="569"/>
      <c r="CC377" s="569"/>
      <c r="CD377" s="628"/>
      <c r="CE377" s="628"/>
      <c r="CF377" s="628"/>
      <c r="CG377" s="628"/>
      <c r="CH377" s="628"/>
      <c r="CI377" s="628"/>
      <c r="CJ377" s="628"/>
      <c r="DF377" s="569"/>
      <c r="DG377" s="569"/>
      <c r="DH377" s="569"/>
      <c r="DI377" s="569"/>
    </row>
    <row r="378" spans="1:123" outlineLevel="1">
      <c r="J378" s="628"/>
      <c r="K378" s="628"/>
      <c r="L378" s="628"/>
      <c r="BH378" s="738"/>
      <c r="BI378" s="738"/>
      <c r="BJ378" s="738"/>
      <c r="BK378" s="738"/>
      <c r="BO378" s="738"/>
      <c r="BP378" s="738"/>
      <c r="BU378" s="569"/>
      <c r="BV378" s="569"/>
      <c r="BW378" s="569"/>
      <c r="BY378" s="569"/>
      <c r="BZ378" s="569"/>
      <c r="CA378" s="569"/>
      <c r="CB378" s="569"/>
      <c r="CC378" s="569"/>
      <c r="DF378" s="569"/>
      <c r="DG378" s="569"/>
      <c r="DH378" s="569"/>
      <c r="DI378" s="569"/>
    </row>
    <row r="379" spans="1:123" s="772" customFormat="1" outlineLevel="1">
      <c r="A379" s="771"/>
      <c r="C379" s="773">
        <f>'[67]Гл бух'!C11+'[67]Дир_по фин'!C16+'[67]Дир_по корп'!C58+'[67]Дир_ по реал.услуг'!C46+'[67]Дир_ имущ'!C38+'[67]Гл инж_Тех дир'!C123+[67]Пом_ГД!C33+[67]СБ!C9+'[67]Дир_по экон'!C82+'[67]Дир_ по кап.стр.'!C16</f>
        <v>19171567497.826</v>
      </c>
      <c r="D379" s="773">
        <f>'[67]Гл бух'!D11+'[67]Дир_по фин'!D16+'[67]Дир_по корп'!D58+'[67]Дир_ по реал.услуг'!D46+'[67]Дир_ имущ'!D38+'[67]Гл инж_Тех дир'!D123+[67]Пом_ГД!D33+[67]СБ!D9+'[67]Дир_по экон'!D82+'[67]Дир_ по кап.стр.'!D16</f>
        <v>16332356527.82288</v>
      </c>
      <c r="E379" s="773">
        <f>'[67]Гл бух'!E11+'[67]Дир_по фин'!E16+'[67]Дир_по корп'!E58+'[67]Дир_ по реал.услуг'!E46+'[67]Дир_ имущ'!E38+'[67]Гл инж_Тех дир'!E123+[67]Пом_ГД!E33+[67]СБ!E9+'[67]Дир_по экон'!E82+'[67]Дир_ по кап.стр.'!E16</f>
        <v>18462825912.201183</v>
      </c>
      <c r="F379" s="773">
        <f>'[67]Гл бух'!F11+'[67]Дир_по фин'!F16+'[67]Дир_по корп'!F58+'[67]Дир_ по реал.услуг'!F46+'[67]Дир_ имущ'!F38+'[67]Гл инж_Тех дир'!F123+[67]Пом_ГД!F33+[67]СБ!F9+'[67]Дир_по экон'!F82+'[67]Дир_ по кап.стр.'!F16</f>
        <v>17905257241.539997</v>
      </c>
      <c r="G379" s="773">
        <f>'[67]Гл бух'!G11+'[67]Дир_по фин'!G16+'[67]Дир_по корп'!G58+'[67]Дир_ по реал.услуг'!G46+'[67]Дир_ имущ'!G38+'[67]Гл инж_Тех дир'!G123+[67]Пом_ГД!G33+[67]СБ!G9+'[67]Дир_по экон'!G82+'[67]Дир_ по кап.стр.'!G16</f>
        <v>12532243488.262714</v>
      </c>
      <c r="H379" s="773" t="e">
        <f>'[67]Гл бух'!#REF!+'[67]Дир_по фин'!#REF!+'[67]Дир_по корп'!H58+'[67]Дир_ по реал.услуг'!H46+'[67]Дир_ имущ'!H38+'[67]Гл инж_Тех дир'!H123+[67]Пом_ГД!H33+[67]СБ!H9+'[67]Дир_по экон'!H82+'[67]Дир_ по кап.стр.'!H16</f>
        <v>#REF!</v>
      </c>
      <c r="I379" s="773" t="e">
        <f>'[67]Гл бух'!#REF!+'[67]Дир_по фин'!H16+'[67]Дир_по корп'!J58+'[67]Дир_ по реал.услуг'!J46+'[67]Дир_ имущ'!J38+'[67]Гл инж_Тех дир'!J123+[67]Пом_ГД!J33+[67]СБ!J9+'[67]Дир_по экон'!J82+'[67]Дир_ по кап.стр.'!J16</f>
        <v>#REF!</v>
      </c>
      <c r="J379" s="773" t="e">
        <f>'[67]Гл бух'!L11+'[67]Дир_по фин'!#REF!+'[67]Дир_по корп'!N58+'[67]Дир_ по реал.услуг'!N46+'[67]Дир_ имущ'!N38+'[67]Гл инж_Тех дир'!N123+[67]Пом_ГД!N33+[67]СБ!N9+'[67]Дир_по экон'!N82+'[67]Дир_ по кап.стр.'!N16</f>
        <v>#REF!</v>
      </c>
      <c r="K379" s="773" t="e">
        <f>'[67]Гл бух'!AE11+'[67]Дир_по фин'!#REF!+'[67]Дир_по корп'!P58+'[67]Дир_ по реал.услуг'!P46+'[67]Дир_ имущ'!P38+'[67]Гл инж_Тех дир'!P123+[67]Пом_ГД!P33+[67]СБ!P9+'[67]Дир_по экон'!P82+'[67]Дир_ по кап.стр.'!P16</f>
        <v>#REF!</v>
      </c>
      <c r="L379" s="773" t="e">
        <f>'[67]Гл бух'!#REF!+'[67]Дир_по фин'!#REF!+'[67]Дир_по корп'!R58+'[67]Дир_ по реал.услуг'!R46+'[67]Дир_ имущ'!R38+'[67]Гл инж_Тех дир'!R123+[67]Пом_ГД!R33+[67]СБ!R9+'[67]Дир_по экон'!R82+'[67]Дир_ по кап.стр.'!R16</f>
        <v>#REF!</v>
      </c>
      <c r="M379" s="773" t="e">
        <f>'[67]Гл бух'!AM11+'[67]Дир_по фин'!#REF!+'[67]Дир_по корп'!T58+'[67]Дир_ по реал.услуг'!T46+'[67]Дир_ имущ'!T38+'[67]Гл инж_Тех дир'!T123+[67]Пом_ГД!T33+[67]СБ!T9+'[67]Дир_по экон'!T82+'[67]Дир_ по кап.стр.'!T16</f>
        <v>#REF!</v>
      </c>
      <c r="N379" s="773" t="e">
        <f>'[67]Гл бух'!AO11+'[67]Дир_по фин'!#REF!+'[67]Дир_по корп'!U58+'[67]Дир_ по реал.услуг'!U46+'[67]Дир_ имущ'!U38+'[67]Гл инж_Тех дир'!U123+[67]Пом_ГД!U33+[67]СБ!U9+'[67]Дир_по экон'!U82+'[67]Дир_ по кап.стр.'!U16</f>
        <v>#REF!</v>
      </c>
      <c r="O379" s="773"/>
      <c r="P379" s="773" t="e">
        <f>'[67]Гл бух'!#REF!+'[67]Дир_по фин'!J16+'[67]Дир_по корп'!AD58+'[67]Дир_ по реал.услуг'!AD46+'[67]Дир_ имущ'!#REF!+'[67]Гл инж_Тех дир'!AD123+[67]Пом_ГД!Y33+[67]СБ!Y9+'[67]Дир_по экон'!AD82+'[67]Дир_ по кап.стр.'!AD16</f>
        <v>#REF!</v>
      </c>
      <c r="Q379" s="773" t="e">
        <f>'[67]Гл бух'!#REF!+'[67]Дир_по фин'!K16+'[67]Дир_по корп'!AE58+'[67]Дир_ по реал.услуг'!AE46+'[67]Дир_ имущ'!#REF!+'[67]Гл инж_Тех дир'!AE123+[67]Пом_ГД!Z33+[67]СБ!Z9+'[67]Дир_по экон'!AE82+'[67]Дир_ по кап.стр.'!AE16</f>
        <v>#REF!</v>
      </c>
      <c r="R379" s="773"/>
      <c r="S379" s="773" t="e">
        <f>'[67]Гл бух'!#REF!+'[67]Дир_по фин'!L16+'[67]Дир_по корп'!AF58+'[67]Дир_ по реал.услуг'!AF46+'[67]Дир_ имущ'!#REF!+'[67]Гл инж_Тех дир'!AF123+[67]Пом_ГД!AA33+[67]СБ!AA9+'[67]Дир_по экон'!AF82+'[67]Дир_ по кап.стр.'!AF16</f>
        <v>#REF!</v>
      </c>
      <c r="T379" s="773"/>
      <c r="U379" s="773"/>
      <c r="V379" s="773"/>
      <c r="W379" s="773"/>
      <c r="X379" s="773"/>
      <c r="Y379" s="773"/>
      <c r="Z379" s="745"/>
      <c r="AA379" s="773"/>
      <c r="AB379" s="773"/>
      <c r="AC379" s="773"/>
      <c r="AD379" s="773"/>
      <c r="AE379" s="773"/>
      <c r="AF379" s="773"/>
      <c r="AG379" s="571"/>
      <c r="AH379" s="773"/>
      <c r="AI379" s="773"/>
      <c r="AJ379" s="773"/>
      <c r="AK379" s="773"/>
      <c r="AL379" s="773"/>
      <c r="AM379" s="773"/>
      <c r="AN379" s="773"/>
      <c r="AO379" s="773"/>
      <c r="AP379" s="773"/>
      <c r="AQ379" s="773"/>
      <c r="AR379" s="773"/>
      <c r="AS379" s="773"/>
      <c r="AT379" s="773"/>
      <c r="AU379" s="773"/>
      <c r="AV379" s="773"/>
      <c r="AW379" s="773"/>
      <c r="AX379" s="773"/>
      <c r="AY379" s="773"/>
      <c r="AZ379" s="773"/>
      <c r="BA379" s="773"/>
      <c r="BB379" s="773"/>
      <c r="BC379" s="746"/>
      <c r="BD379" s="746"/>
      <c r="BE379" s="746"/>
      <c r="BF379" s="746"/>
      <c r="BG379" s="746"/>
      <c r="BH379" s="571"/>
      <c r="BI379" s="571"/>
      <c r="BJ379" s="571"/>
      <c r="BK379" s="571"/>
      <c r="BL379" s="571"/>
      <c r="BM379" s="571"/>
      <c r="BN379" s="773"/>
      <c r="BO379" s="571"/>
      <c r="BP379" s="571"/>
      <c r="BQ379" s="571"/>
      <c r="BR379" s="571"/>
      <c r="BS379" s="773"/>
      <c r="BT379" s="774"/>
      <c r="BU379" s="569"/>
      <c r="BV379" s="569"/>
      <c r="BW379" s="569"/>
      <c r="BX379" s="465"/>
      <c r="BY379" s="569"/>
      <c r="BZ379" s="569"/>
      <c r="CA379" s="569"/>
      <c r="CB379" s="569"/>
      <c r="CC379" s="569"/>
      <c r="CD379" s="773"/>
      <c r="CE379" s="773"/>
      <c r="CF379" s="773"/>
      <c r="CG379" s="773"/>
      <c r="CH379" s="773"/>
      <c r="CI379" s="773"/>
      <c r="CJ379" s="773"/>
      <c r="CK379" s="776"/>
      <c r="CL379" s="776"/>
      <c r="CS379" s="774"/>
      <c r="CT379" s="774"/>
      <c r="CU379" s="774"/>
      <c r="CV379" s="774"/>
      <c r="CW379" s="774"/>
      <c r="DF379" s="569"/>
      <c r="DG379" s="569"/>
      <c r="DH379" s="569"/>
      <c r="DI379" s="569"/>
      <c r="DJ379" s="774"/>
      <c r="DK379" s="774"/>
      <c r="DL379" s="774"/>
      <c r="DM379" s="774"/>
      <c r="DN379" s="774"/>
      <c r="DO379" s="774"/>
      <c r="DP379" s="774"/>
      <c r="DQ379" s="774"/>
      <c r="DR379" s="774"/>
      <c r="DS379" s="774"/>
    </row>
    <row r="380" spans="1:123" outlineLevel="1">
      <c r="J380" s="628"/>
      <c r="K380" s="628"/>
      <c r="L380" s="628"/>
      <c r="BH380" s="738"/>
      <c r="BI380" s="738"/>
      <c r="BJ380" s="738"/>
      <c r="BK380" s="738"/>
      <c r="BO380" s="738"/>
      <c r="BP380" s="738"/>
      <c r="BU380" s="569"/>
      <c r="BV380" s="569"/>
      <c r="BW380" s="569"/>
      <c r="BY380" s="569"/>
      <c r="BZ380" s="569"/>
      <c r="CA380" s="569"/>
      <c r="CB380" s="569"/>
      <c r="CC380" s="569"/>
      <c r="DF380" s="569"/>
      <c r="DG380" s="569"/>
      <c r="DH380" s="569"/>
      <c r="DI380" s="569"/>
    </row>
    <row r="381" spans="1:123" outlineLevel="1">
      <c r="C381" s="628">
        <f>C366-C379</f>
        <v>22512470.799999237</v>
      </c>
      <c r="D381" s="628">
        <f t="shared" ref="D381:S381" si="520">D366-D379</f>
        <v>-9967578.4319972992</v>
      </c>
      <c r="E381" s="628">
        <f t="shared" si="520"/>
        <v>-3768420.4300003052</v>
      </c>
      <c r="F381" s="628">
        <f t="shared" si="520"/>
        <v>-7612409.8199996948</v>
      </c>
      <c r="G381" s="628">
        <f t="shared" si="520"/>
        <v>-5084667.96808815</v>
      </c>
      <c r="H381" s="628" t="e">
        <f t="shared" si="520"/>
        <v>#REF!</v>
      </c>
      <c r="I381" s="628" t="e">
        <f t="shared" si="520"/>
        <v>#REF!</v>
      </c>
      <c r="J381" s="628" t="e">
        <f t="shared" si="520"/>
        <v>#REF!</v>
      </c>
      <c r="K381" s="628" t="e">
        <f t="shared" si="520"/>
        <v>#REF!</v>
      </c>
      <c r="L381" s="628" t="e">
        <f t="shared" si="520"/>
        <v>#REF!</v>
      </c>
      <c r="M381" s="628" t="e">
        <f t="shared" si="520"/>
        <v>#REF!</v>
      </c>
      <c r="N381" s="628" t="e">
        <f t="shared" si="520"/>
        <v>#REF!</v>
      </c>
      <c r="O381" s="628"/>
      <c r="P381" s="628" t="e">
        <f t="shared" si="520"/>
        <v>#REF!</v>
      </c>
      <c r="Q381" s="628" t="e">
        <f t="shared" si="520"/>
        <v>#REF!</v>
      </c>
      <c r="R381" s="628"/>
      <c r="S381" s="628" t="e">
        <f t="shared" si="520"/>
        <v>#REF!</v>
      </c>
      <c r="T381" s="628"/>
      <c r="U381" s="628"/>
      <c r="V381" s="628"/>
      <c r="W381" s="628"/>
      <c r="X381" s="628"/>
      <c r="Y381" s="628"/>
      <c r="Z381" s="745"/>
      <c r="AA381" s="628"/>
      <c r="AB381" s="628"/>
      <c r="AC381" s="628"/>
      <c r="AD381" s="628"/>
      <c r="AE381" s="628"/>
      <c r="AF381" s="628"/>
      <c r="AG381" s="571"/>
      <c r="AH381" s="628"/>
      <c r="AI381" s="628"/>
      <c r="AJ381" s="628"/>
      <c r="AK381" s="628"/>
      <c r="AL381" s="628"/>
      <c r="AM381" s="628"/>
      <c r="AN381" s="628"/>
      <c r="AO381" s="628"/>
      <c r="AP381" s="628"/>
      <c r="AQ381" s="628"/>
      <c r="AR381" s="628"/>
      <c r="AS381" s="628"/>
      <c r="AT381" s="628"/>
      <c r="AU381" s="628"/>
      <c r="AV381" s="628"/>
      <c r="AW381" s="628"/>
      <c r="AX381" s="628"/>
      <c r="AY381" s="628"/>
      <c r="AZ381" s="628"/>
      <c r="BA381" s="628"/>
      <c r="BB381" s="628"/>
      <c r="BC381" s="746"/>
      <c r="BD381" s="746"/>
      <c r="BE381" s="746"/>
      <c r="BF381" s="746"/>
      <c r="BG381" s="746"/>
      <c r="BH381" s="571"/>
      <c r="BI381" s="571"/>
      <c r="BJ381" s="571"/>
      <c r="BK381" s="571"/>
      <c r="BL381" s="571"/>
      <c r="BM381" s="571"/>
      <c r="BN381" s="628"/>
      <c r="BO381" s="571"/>
      <c r="BP381" s="571"/>
      <c r="BQ381" s="571"/>
      <c r="BR381" s="571"/>
      <c r="BS381" s="628"/>
      <c r="BU381" s="569"/>
      <c r="BV381" s="569"/>
      <c r="BW381" s="569"/>
      <c r="BY381" s="569"/>
      <c r="BZ381" s="569"/>
      <c r="CA381" s="569"/>
      <c r="CB381" s="569"/>
      <c r="CC381" s="569"/>
      <c r="CD381" s="628"/>
      <c r="CE381" s="628"/>
      <c r="CF381" s="628"/>
      <c r="CG381" s="628"/>
      <c r="CH381" s="628"/>
      <c r="CI381" s="628"/>
      <c r="CJ381" s="628"/>
      <c r="DF381" s="569"/>
      <c r="DG381" s="569"/>
      <c r="DH381" s="569"/>
      <c r="DI381" s="569"/>
    </row>
    <row r="382" spans="1:123" outlineLevel="1">
      <c r="J382" s="628">
        <f>'[69]Гл бух'!M10</f>
        <v>29081741.670000002</v>
      </c>
      <c r="K382" s="628">
        <f>'[69]Гл бух'!O10</f>
        <v>31378651.670000002</v>
      </c>
      <c r="L382" s="628">
        <f>'[69]Гл бух'!Q10</f>
        <v>0</v>
      </c>
      <c r="BH382" s="738"/>
      <c r="BI382" s="738"/>
      <c r="BJ382" s="738"/>
      <c r="BK382" s="738"/>
      <c r="BO382" s="738"/>
      <c r="BP382" s="738"/>
      <c r="BU382" s="569"/>
      <c r="BV382" s="569"/>
      <c r="BW382" s="569"/>
      <c r="BX382" s="777"/>
      <c r="BY382" s="569"/>
      <c r="BZ382" s="569"/>
      <c r="CA382" s="569"/>
      <c r="CB382" s="569"/>
      <c r="CC382" s="569"/>
      <c r="DF382" s="569"/>
      <c r="DG382" s="569"/>
      <c r="DH382" s="569"/>
      <c r="DI382" s="569"/>
    </row>
    <row r="383" spans="1:123" outlineLevel="1">
      <c r="J383" s="628">
        <f>'[69]Дир_по фин'!M14</f>
        <v>-108792633.24000004</v>
      </c>
      <c r="K383" s="628">
        <f>'[69]Дир_по фин'!O14</f>
        <v>97257159.379999995</v>
      </c>
      <c r="L383" s="628">
        <f>'[69]Дир_по фин'!Q14</f>
        <v>0</v>
      </c>
      <c r="BH383" s="738"/>
      <c r="BI383" s="738"/>
      <c r="BJ383" s="738"/>
      <c r="BK383" s="738"/>
      <c r="BO383" s="738"/>
      <c r="BP383" s="738"/>
      <c r="BU383" s="752"/>
      <c r="BV383" s="752"/>
      <c r="BW383" s="752"/>
      <c r="BY383" s="752"/>
      <c r="BZ383" s="752"/>
      <c r="CA383" s="752"/>
      <c r="CB383" s="752"/>
      <c r="CC383" s="752"/>
      <c r="DF383" s="752"/>
      <c r="DG383" s="752"/>
      <c r="DH383" s="752"/>
      <c r="DI383" s="752"/>
    </row>
    <row r="384" spans="1:123" outlineLevel="1">
      <c r="J384" s="628">
        <f>'[69]Дир_по корп'!M51</f>
        <v>-172267882.61999997</v>
      </c>
      <c r="K384" s="628">
        <f>'[69]Дир_по корп'!O51</f>
        <v>4478237.7799999993</v>
      </c>
      <c r="L384" s="628">
        <f>'[69]Дир_по корп'!Q51</f>
        <v>0</v>
      </c>
      <c r="BH384" s="738"/>
      <c r="BI384" s="738"/>
      <c r="BJ384" s="738"/>
      <c r="BK384" s="738"/>
      <c r="BO384" s="738"/>
      <c r="BP384" s="738"/>
      <c r="BU384" s="778"/>
      <c r="BV384" s="778"/>
      <c r="BW384" s="778"/>
      <c r="BY384" s="778"/>
      <c r="BZ384" s="778"/>
      <c r="CA384" s="778"/>
      <c r="CB384" s="778"/>
      <c r="CC384" s="778"/>
      <c r="DF384" s="778"/>
      <c r="DG384" s="778"/>
      <c r="DH384" s="778"/>
      <c r="DI384" s="778"/>
    </row>
    <row r="385" spans="2:113" outlineLevel="1">
      <c r="J385" s="628">
        <f>'[69]Дир_ по реал.услуг'!M35</f>
        <v>-2169668830.8299999</v>
      </c>
      <c r="K385" s="628">
        <f>'[69]Дир_ по реал.услуг'!O35</f>
        <v>2473721486.0999994</v>
      </c>
      <c r="L385" s="628">
        <f>'[69]Дир_ по реал.услуг'!Q35</f>
        <v>0</v>
      </c>
      <c r="BH385" s="738"/>
      <c r="BI385" s="738"/>
      <c r="BJ385" s="738"/>
      <c r="BK385" s="738"/>
      <c r="BO385" s="738"/>
      <c r="BP385" s="738"/>
      <c r="BU385" s="752"/>
      <c r="BV385" s="752"/>
      <c r="BW385" s="752"/>
      <c r="BY385" s="752"/>
      <c r="BZ385" s="752"/>
      <c r="CA385" s="752"/>
      <c r="CB385" s="752"/>
      <c r="CC385" s="752"/>
      <c r="DF385" s="752"/>
      <c r="DG385" s="752"/>
      <c r="DH385" s="752"/>
      <c r="DI385" s="752"/>
    </row>
    <row r="386" spans="2:113" outlineLevel="1">
      <c r="J386" s="628">
        <f>'[69]Дир_ имущ'!M34</f>
        <v>-411248037.20000005</v>
      </c>
      <c r="K386" s="628">
        <f>'[69]Дир_ имущ'!O34</f>
        <v>313169089.36000007</v>
      </c>
      <c r="L386" s="628">
        <f>'[69]Дир_ имущ'!Q34</f>
        <v>0</v>
      </c>
      <c r="BH386" s="738"/>
      <c r="BI386" s="738"/>
      <c r="BJ386" s="738"/>
      <c r="BK386" s="738"/>
      <c r="BO386" s="738"/>
      <c r="BP386" s="738"/>
      <c r="BU386" s="569"/>
      <c r="BV386" s="569"/>
      <c r="BW386" s="569"/>
      <c r="BY386" s="569"/>
      <c r="BZ386" s="569"/>
      <c r="CA386" s="569"/>
      <c r="CB386" s="569"/>
      <c r="CC386" s="569"/>
      <c r="DF386" s="569"/>
      <c r="DG386" s="569"/>
      <c r="DH386" s="569"/>
      <c r="DI386" s="569"/>
    </row>
    <row r="387" spans="2:113" outlineLevel="1">
      <c r="J387" s="628">
        <f>'[69]Гл инж_Тех дир'!M122</f>
        <v>-153455474.56999996</v>
      </c>
      <c r="K387" s="628">
        <f>'[69]Гл инж_Тех дир'!O122</f>
        <v>106975169.75</v>
      </c>
      <c r="L387" s="628">
        <f>'[69]Гл инж_Тех дир'!Q122</f>
        <v>0</v>
      </c>
      <c r="BH387" s="738"/>
      <c r="BI387" s="738"/>
      <c r="BJ387" s="738"/>
      <c r="BK387" s="738"/>
      <c r="BO387" s="738"/>
      <c r="BP387" s="738"/>
      <c r="BU387" s="752"/>
      <c r="BV387" s="752"/>
      <c r="BW387" s="752"/>
      <c r="BY387" s="752"/>
      <c r="BZ387" s="752"/>
      <c r="CA387" s="752"/>
      <c r="CB387" s="752"/>
      <c r="CC387" s="752"/>
      <c r="DF387" s="752"/>
      <c r="DG387" s="752"/>
      <c r="DH387" s="752"/>
      <c r="DI387" s="752"/>
    </row>
    <row r="388" spans="2:113" outlineLevel="1">
      <c r="J388" s="628">
        <f>[69]Пом_ГД!M25</f>
        <v>-4098008.9700000007</v>
      </c>
      <c r="K388" s="628">
        <f>[69]Пом_ГД!O25</f>
        <v>7924068.7299999995</v>
      </c>
      <c r="L388" s="628">
        <f>[69]Пом_ГД!Q25</f>
        <v>0</v>
      </c>
      <c r="BH388" s="738"/>
      <c r="BI388" s="738"/>
      <c r="BJ388" s="738"/>
      <c r="BK388" s="738"/>
      <c r="BO388" s="738"/>
      <c r="BP388" s="738"/>
      <c r="BU388" s="752"/>
      <c r="BV388" s="752"/>
      <c r="BW388" s="752"/>
      <c r="BY388" s="752"/>
      <c r="BZ388" s="752"/>
      <c r="CA388" s="752"/>
      <c r="CB388" s="752"/>
      <c r="CC388" s="752"/>
      <c r="DF388" s="752"/>
      <c r="DG388" s="752"/>
      <c r="DH388" s="752"/>
      <c r="DI388" s="752"/>
    </row>
    <row r="389" spans="2:113" outlineLevel="1">
      <c r="J389" s="628">
        <f>[69]СБ!M9</f>
        <v>-5885741.79</v>
      </c>
      <c r="K389" s="628">
        <f>[69]СБ!O9</f>
        <v>5390346.3700000001</v>
      </c>
      <c r="L389" s="628">
        <f>[69]СБ!Q9</f>
        <v>0</v>
      </c>
      <c r="BH389" s="738"/>
      <c r="BI389" s="738"/>
      <c r="BJ389" s="738"/>
      <c r="BK389" s="738"/>
      <c r="BO389" s="738"/>
      <c r="BP389" s="738"/>
      <c r="BU389" s="752"/>
      <c r="BV389" s="752"/>
      <c r="BW389" s="752"/>
      <c r="BY389" s="752"/>
      <c r="BZ389" s="752"/>
      <c r="CA389" s="752"/>
      <c r="CB389" s="752"/>
      <c r="CC389" s="752"/>
      <c r="DF389" s="752"/>
      <c r="DG389" s="752"/>
      <c r="DH389" s="752"/>
      <c r="DI389" s="752"/>
    </row>
    <row r="390" spans="2:113" outlineLevel="1">
      <c r="J390" s="628">
        <f>'[69]Дир_по экон'!M79</f>
        <v>-500928660.76000011</v>
      </c>
      <c r="K390" s="628">
        <f>'[69]Дир_по экон'!O79</f>
        <v>620124739.53999996</v>
      </c>
      <c r="L390" s="628">
        <f>'[69]Дир_по экон'!Q79</f>
        <v>0</v>
      </c>
      <c r="BH390" s="738"/>
      <c r="BI390" s="738"/>
      <c r="BJ390" s="738"/>
      <c r="BK390" s="738"/>
      <c r="BO390" s="738"/>
      <c r="BP390" s="738"/>
      <c r="BU390" s="752"/>
      <c r="BV390" s="752"/>
      <c r="BW390" s="752"/>
      <c r="BY390" s="752"/>
      <c r="BZ390" s="752"/>
      <c r="CA390" s="752"/>
      <c r="CB390" s="752"/>
      <c r="CC390" s="752"/>
      <c r="DF390" s="752"/>
      <c r="DG390" s="752"/>
      <c r="DH390" s="752"/>
      <c r="DI390" s="752"/>
    </row>
    <row r="391" spans="2:113" outlineLevel="1">
      <c r="J391" s="628">
        <f>'[69]Дир_ по кап.стр.'!M9</f>
        <v>-110794773.58000001</v>
      </c>
      <c r="K391" s="628">
        <f>'[69]Дир_ по кап.стр.'!O9</f>
        <v>32961371.970000003</v>
      </c>
      <c r="L391" s="628">
        <f>'[69]Дир_ по кап.стр.'!Q9</f>
        <v>0</v>
      </c>
      <c r="BH391" s="738"/>
      <c r="BI391" s="738"/>
      <c r="BJ391" s="738"/>
      <c r="BK391" s="738"/>
      <c r="BO391" s="738"/>
      <c r="BP391" s="738"/>
      <c r="BU391" s="752"/>
      <c r="BV391" s="752"/>
      <c r="BW391" s="752"/>
      <c r="BY391" s="752"/>
      <c r="BZ391" s="752"/>
      <c r="CA391" s="752"/>
      <c r="CB391" s="752"/>
      <c r="CC391" s="752"/>
      <c r="DF391" s="752"/>
      <c r="DG391" s="752"/>
      <c r="DH391" s="752"/>
      <c r="DI391" s="752"/>
    </row>
    <row r="392" spans="2:113" outlineLevel="1">
      <c r="J392" s="736" t="e">
        <f>'[67]Гл бух'!L11+'[67]Дир_по фин'!#REF!+'[67]Дир_по корп'!N58+'[67]Дир_ по реал.услуг'!N46+'[67]Дир_ имущ'!N38+'[67]Гл инж_Тех дир'!N123+[67]Пом_ГД!N33+[67]СБ!N9+'[67]Дир_по экон'!N82+'[67]Дир_ по кап.стр.'!N16</f>
        <v>#REF!</v>
      </c>
      <c r="K392" s="736" t="e">
        <f>'[67]Гл бух'!AE11+'[67]Дир_по фин'!#REF!+'[67]Дир_по корп'!P58+'[67]Дир_ по реал.услуг'!P46+'[67]Дир_ имущ'!P38+'[67]Гл инж_Тех дир'!P123+[67]Пом_ГД!P33+[67]СБ!P9+'[67]Дир_по экон'!P82+'[67]Дир_ по кап.стр.'!P16</f>
        <v>#REF!</v>
      </c>
      <c r="L392" s="773">
        <f>SUM(L382:L391)</f>
        <v>0</v>
      </c>
      <c r="BH392" s="738"/>
      <c r="BI392" s="738"/>
      <c r="BJ392" s="738"/>
      <c r="BK392" s="738"/>
      <c r="BO392" s="738"/>
      <c r="BP392" s="738"/>
      <c r="BU392" s="752"/>
      <c r="BV392" s="752"/>
      <c r="BW392" s="752"/>
      <c r="BY392" s="752"/>
      <c r="BZ392" s="752"/>
      <c r="CA392" s="752"/>
      <c r="CB392" s="752"/>
      <c r="CC392" s="752"/>
      <c r="DF392" s="752"/>
      <c r="DG392" s="752"/>
      <c r="DH392" s="752"/>
      <c r="DI392" s="752"/>
    </row>
    <row r="393" spans="2:113" outlineLevel="1">
      <c r="J393" s="736" t="e">
        <f>J360-J392</f>
        <v>#REF!</v>
      </c>
      <c r="K393" s="736" t="e">
        <f>K360-K392</f>
        <v>#REF!</v>
      </c>
      <c r="L393" s="464"/>
      <c r="BH393" s="738"/>
      <c r="BI393" s="738"/>
      <c r="BJ393" s="738"/>
      <c r="BK393" s="738"/>
      <c r="BO393" s="738"/>
      <c r="BP393" s="738"/>
      <c r="BU393" s="752"/>
      <c r="BV393" s="752"/>
      <c r="BW393" s="752"/>
      <c r="BY393" s="752"/>
      <c r="BZ393" s="752"/>
      <c r="CA393" s="752"/>
      <c r="CB393" s="752"/>
      <c r="CC393" s="752"/>
      <c r="DF393" s="752"/>
      <c r="DG393" s="752"/>
      <c r="DH393" s="752"/>
      <c r="DI393" s="752"/>
    </row>
    <row r="394" spans="2:113" outlineLevel="1">
      <c r="J394" s="628" t="e">
        <f>J366-J392</f>
        <v>#REF!</v>
      </c>
      <c r="K394" s="628" t="e">
        <f>K366-K392</f>
        <v>#REF!</v>
      </c>
      <c r="L394" s="628">
        <f>L366-L392</f>
        <v>3994167108.0178752</v>
      </c>
      <c r="BH394" s="738"/>
      <c r="BI394" s="738"/>
      <c r="BJ394" s="738"/>
      <c r="BK394" s="738"/>
      <c r="BO394" s="738"/>
      <c r="BP394" s="738"/>
      <c r="BU394" s="752"/>
      <c r="BV394" s="752"/>
      <c r="BW394" s="752"/>
      <c r="BY394" s="752"/>
      <c r="BZ394" s="752"/>
      <c r="CA394" s="752"/>
      <c r="CB394" s="752"/>
      <c r="CC394" s="752"/>
      <c r="DF394" s="752"/>
      <c r="DG394" s="752"/>
      <c r="DH394" s="752"/>
      <c r="DI394" s="752"/>
    </row>
    <row r="395" spans="2:113" outlineLevel="1">
      <c r="J395" s="464"/>
      <c r="K395" s="464"/>
      <c r="L395" s="464"/>
      <c r="BH395" s="738"/>
      <c r="BI395" s="738"/>
      <c r="BJ395" s="738"/>
      <c r="BK395" s="738"/>
      <c r="BO395" s="738"/>
      <c r="BP395" s="738"/>
      <c r="BU395" s="752"/>
      <c r="BV395" s="752"/>
      <c r="BW395" s="752"/>
      <c r="BY395" s="752"/>
      <c r="BZ395" s="752"/>
      <c r="CA395" s="752"/>
      <c r="CB395" s="752"/>
      <c r="CC395" s="752"/>
      <c r="DF395" s="752"/>
      <c r="DG395" s="752"/>
      <c r="DH395" s="752"/>
      <c r="DI395" s="752"/>
    </row>
    <row r="396" spans="2:113" outlineLevel="1">
      <c r="J396" s="464"/>
      <c r="K396" s="464"/>
      <c r="L396" s="464"/>
      <c r="BH396" s="738"/>
      <c r="BI396" s="738"/>
      <c r="BJ396" s="738"/>
      <c r="BK396" s="738"/>
      <c r="BO396" s="738"/>
      <c r="BP396" s="738"/>
      <c r="BU396" s="752"/>
      <c r="BV396" s="752"/>
      <c r="BW396" s="752"/>
      <c r="BY396" s="752"/>
      <c r="BZ396" s="752"/>
      <c r="CA396" s="752"/>
      <c r="CB396" s="752"/>
      <c r="CC396" s="752"/>
      <c r="DF396" s="752"/>
      <c r="DG396" s="752"/>
      <c r="DH396" s="752"/>
      <c r="DI396" s="752"/>
    </row>
    <row r="397" spans="2:113" outlineLevel="1">
      <c r="J397" s="464"/>
      <c r="K397" s="464"/>
      <c r="L397" s="464"/>
      <c r="BH397" s="738"/>
      <c r="BI397" s="738"/>
      <c r="BJ397" s="738"/>
      <c r="BK397" s="738"/>
      <c r="BO397" s="738"/>
      <c r="BP397" s="738"/>
      <c r="BU397" s="752"/>
      <c r="BV397" s="752"/>
      <c r="BW397" s="752"/>
      <c r="BY397" s="752"/>
      <c r="BZ397" s="752"/>
      <c r="CA397" s="752"/>
      <c r="CB397" s="752"/>
      <c r="CC397" s="752"/>
      <c r="DF397" s="752"/>
      <c r="DG397" s="752"/>
      <c r="DH397" s="752"/>
      <c r="DI397" s="752"/>
    </row>
    <row r="398" spans="2:113" ht="30.6" outlineLevel="1">
      <c r="B398" s="779" t="s">
        <v>2025</v>
      </c>
      <c r="J398" s="464"/>
      <c r="K398" s="464"/>
      <c r="L398" s="464"/>
      <c r="BH398" s="738"/>
      <c r="BI398" s="738"/>
      <c r="BJ398" s="738"/>
      <c r="BK398" s="738"/>
      <c r="BO398" s="738"/>
      <c r="BP398" s="738"/>
      <c r="BU398" s="752"/>
      <c r="BV398" s="752"/>
      <c r="BW398" s="752"/>
      <c r="BY398" s="752"/>
      <c r="BZ398" s="752"/>
      <c r="CA398" s="752"/>
      <c r="CB398" s="752"/>
      <c r="CC398" s="752"/>
      <c r="DF398" s="752"/>
      <c r="DG398" s="752"/>
      <c r="DH398" s="752"/>
      <c r="DI398" s="752"/>
    </row>
    <row r="399" spans="2:113" outlineLevel="1">
      <c r="B399" s="780" t="s">
        <v>1907</v>
      </c>
      <c r="G399" s="736">
        <f>G87+G88+G91+G92+G93+G94+G95+G96+G97+G105+G106+G107+G108+G110+G111+G113+G114+G115+G120+G121+G122+G123+G126+G127+G128+G129+G130+G131+G132</f>
        <v>261876041.56162027</v>
      </c>
      <c r="I399" s="736">
        <f t="shared" ref="I399:Q399" si="521">I87+I88+I91+I92+I93+I94+I95+I96+I97+I105+I106+I107+I108+I110+I111+I113+I114+I115+I120+I121+I122+I123+I126+I127+I128+I129+I130+I131+I132+I116+I117</f>
        <v>295448050.49000001</v>
      </c>
      <c r="J399" s="736">
        <f t="shared" si="521"/>
        <v>112916491.22000001</v>
      </c>
      <c r="K399" s="736">
        <f t="shared" si="521"/>
        <v>92235030.430000007</v>
      </c>
      <c r="L399" s="736">
        <f t="shared" si="521"/>
        <v>90296528.840000018</v>
      </c>
      <c r="M399" s="736">
        <f t="shared" si="521"/>
        <v>205151521.64999998</v>
      </c>
      <c r="N399" s="736">
        <f t="shared" si="521"/>
        <v>183999159.31999999</v>
      </c>
      <c r="O399" s="736">
        <f t="shared" si="521"/>
        <v>103943773.97</v>
      </c>
      <c r="P399" s="736">
        <f t="shared" si="521"/>
        <v>287942933.29000008</v>
      </c>
      <c r="Q399" s="736">
        <f t="shared" si="521"/>
        <v>-7505117.1999999955</v>
      </c>
      <c r="S399" s="736">
        <f>S87+S88+S91+S92+S93+S94+S95+S96+S97+S105+S106+S107+S108+S110+S111+S113+S114+S115+S120+S121+S122+S123+S126+S127+S128+S129+S130+S131+S132+S116+S117</f>
        <v>234849897.05091721</v>
      </c>
      <c r="T399" s="736">
        <f>T87+T88+T91+T92+T93+T94+T95+T96+T97+T105+T106+T107+T108+T110+T111+T113+T114+T115+T120+T121+T122+T123+T126+T127+T128+T129+T130+T131+T132+T116+T117</f>
        <v>234849897.05091727</v>
      </c>
      <c r="U399" s="736">
        <f>U87+U88+U91+U92+U93+U94+U95+U96+U97+U105+U106+U107+U108+U110+U111+U113+U114+U115+U120+U121+U122+U123+U126+U127+U128+U129+U130+U131+U132+U116+U117</f>
        <v>254546157.56999999</v>
      </c>
      <c r="AQ399" s="736">
        <f>AQ87+AQ88+AQ91+AQ92+AQ93+AQ94+AQ95+AQ96+AQ97+AQ105+AQ106+AQ107+AQ108+AQ110+AQ111+AQ113+AQ114+AQ115+AQ120+AQ121+AQ122+AQ123+AQ126+AQ127+AQ128+AQ129+AQ130+AQ131+AQ132+AQ116+AQ117</f>
        <v>36151092.280000009</v>
      </c>
      <c r="AR399" s="736">
        <f>AR87+AR88+AR91+AR92+AR93+AR94+AR95+AR96+AR97+AR105+AR106+AR107+AR108+AR110+AR111+AR113+AR114+AR115+AR120+AR121+AR122+AR123+AR126+AR127+AR128+AR129+AR130+AR131+AR132+AR116+AR117</f>
        <v>53695512.689999998</v>
      </c>
      <c r="AS399" s="736">
        <f>AS87+AS88+AS91+AS92+AS93+AS94+AS95+AS96+AS97+AS105+AS106+AS107+AS108+AS110+AS111+AS113+AS114+AS115+AS120+AS121+AS122+AS123+AS126+AS127+AS128+AS129+AS130+AS131+AS132+AS116+AS117</f>
        <v>86005958.49000001</v>
      </c>
      <c r="AT399" s="736">
        <f>AT87+AT88+AT91+AT92+AT93+AT94+AT95+AT96+AT97+AT105+AT106+AT107+AT108+AT110+AT111+AT113+AT114+AT115+AT120+AT121+AT122+AT123+AT126+AT127+AT128+AT129+AT130+AT131+AT132+AT116+AT117</f>
        <v>71483157.899999976</v>
      </c>
      <c r="BB399" s="736">
        <f>BB87+BB88+BB91+BB92+BB93+BB94+BB95+BB96+BB97+BB105+BB106+BB107+BB108+BB110+BB111+BB113+BB114+BB115+BB120+BB121+BB122+BB123+BB126+BB127+BB128+BB129+BB130+BB131+BB132+BB116+BB117</f>
        <v>87122241.540000007</v>
      </c>
      <c r="BC399" s="739">
        <f>BC87+BC88+BC91+BC92+BC93+BC94+BC95+BC96+BC97+BC105+BC106+BC107+BC108+BC110+BC111+BC113+BC114+BC115+BC120+BC121+BC122+BC123+BC126+BC127+BC128+BC129+BC130+BC131+BC132+BC116+BC117</f>
        <v>78399988.785000026</v>
      </c>
      <c r="BD399" s="739">
        <f t="shared" ref="BD399:BI399" si="522">BD87+BD88+BD91+BD92+BD93+BD94+BD95+BD96+BD97+BD105+BD106+BD107+BD108+BD110+BD111+BD113+BD114+BD115+BD120+BD121+BD122+BD123+BD126+BD127+BD128+BD129+BD130+BD131+BD132+BD116+BD117</f>
        <v>77069962.939999983</v>
      </c>
      <c r="BG399" s="739">
        <f t="shared" ref="BG399" si="523">BG87+BG88+BG91+BG92+BG93+BG94+BG95+BG96+BG97+BG105+BG106+BG107+BG108+BG110+BG111+BG113+BG114+BG115+BG120+BG121+BG122+BG123+BG126+BG127+BG128+BG129+BG130+BG131+BG132+BG116+BG117</f>
        <v>209279292.31000003</v>
      </c>
      <c r="BH399" s="738">
        <f t="shared" si="522"/>
        <v>203578659.37500003</v>
      </c>
      <c r="BI399" s="738">
        <f t="shared" si="522"/>
        <v>202248633.53000003</v>
      </c>
      <c r="BJ399" s="738"/>
      <c r="BK399" s="738"/>
      <c r="BL399" s="738">
        <f>BL87+BL88+BL91+BL92+BL93+BL94+BL95+BL96+BL97+BL105+BL106+BL107+BL108+BL110+BL111+BL113+BL114+BL115+BL120+BL121+BL122+BL123+BL126+BL127+BL128+BL129+BL130+BL131+BL132+BL116+BL117</f>
        <v>45266865.259999998</v>
      </c>
      <c r="BM399" s="738">
        <f>BM87+BM88+BM91+BM92+BM93+BM94+BM95+BM96+BM97+BM105+BM106+BM107+BM108+BM110+BM111+BM113+BM114+BM115+BM120+BM121+BM122+BM123+BM126+BM127+BM128+BM129+BM130+BM131+BM132+BM116+BM117</f>
        <v>52602746.664999999</v>
      </c>
      <c r="BO399" s="738"/>
      <c r="BP399" s="738"/>
      <c r="BQ399" s="738">
        <f>BQ87+BQ88+BQ91+BQ92+BQ93+BQ94+BQ95+BQ96+BQ97+BQ105+BQ106+BQ107+BQ108+BQ110+BQ111+BQ113+BQ114+BQ115+BQ120+BQ121+BQ122+BQ123+BQ126+BQ127+BQ128+BQ129+BQ130+BQ131+BQ132+BQ116+BQ117</f>
        <v>45266865.259999998</v>
      </c>
      <c r="BR399" s="738">
        <f>BR87+BR88+BR91+BR92+BR93+BR94+BR95+BR96+BR97+BR105+BR106+BR107+BR108+BR110+BR111+BR113+BR114+BR115+BR120+BR121+BR122+BR123+BR126+BR127+BR128+BR129+BR130+BR131+BR132+BR116+BR117</f>
        <v>0</v>
      </c>
      <c r="BU399" s="752"/>
      <c r="BV399" s="752"/>
      <c r="BW399" s="752"/>
      <c r="BY399" s="752"/>
      <c r="BZ399" s="752"/>
      <c r="CA399" s="752"/>
      <c r="CB399" s="752"/>
      <c r="CC399" s="752"/>
      <c r="CK399" s="736" t="e">
        <f>CK87+CK88+CK91+CK92+CK93+CK94+CK95+CK96+CK97+CK105+CK106+CK107+CK108+CK110+CK111+CK113+CK114+CK115+CK120+CK121+CK122+CK123+CK126+CK127+CK128+CK129+CK130+CK131+CK132+CK116+CK117</f>
        <v>#VALUE!</v>
      </c>
      <c r="CL399" s="736" t="e">
        <f>CL87+CL88+CL91+CL92+CL93+CL94+CL95+CL96+CL97+CL105+CL106+CL107+CL108+CL110+CL111+CL113+CL114+CL115+CL120+CL121+CL122+CL123+CL126+CL127+CL128+CL129+CL130+CL131+CL132+CL116+CL117</f>
        <v>#VALUE!</v>
      </c>
      <c r="CM399" s="780" t="s">
        <v>1907</v>
      </c>
      <c r="DB399" s="736">
        <f>DB87+DB88+DB91+DB92+DB93+DB94+DB95+DB96+DB97+DB105+DB106+DB107+DB108+DB110+DB111+DB113+DB114+DB115+DB120+DB121+DB122+DB123+DB126+DB127+DB128+DB129+DB130+DB131+DB132+DB116+DB117</f>
        <v>53695512.689999998</v>
      </c>
      <c r="DF399" s="752"/>
      <c r="DG399" s="752"/>
      <c r="DH399" s="752"/>
      <c r="DI399" s="752"/>
    </row>
    <row r="400" spans="2:113" outlineLevel="1">
      <c r="B400" s="780" t="s">
        <v>1857</v>
      </c>
      <c r="G400" s="736">
        <f t="shared" ref="G400:Q400" si="524">G39+G40+G41+G42+G43+G44+G45+G46+G47+G48+G49+G50+G51+G53+G54+G55</f>
        <v>837905097.40024161</v>
      </c>
      <c r="H400" s="736">
        <f t="shared" si="524"/>
        <v>0</v>
      </c>
      <c r="I400" s="736">
        <f t="shared" si="524"/>
        <v>998439071.88</v>
      </c>
      <c r="J400" s="736">
        <f t="shared" si="524"/>
        <v>513603112.62000006</v>
      </c>
      <c r="K400" s="736">
        <f t="shared" si="524"/>
        <v>244908370.81</v>
      </c>
      <c r="L400" s="736">
        <f t="shared" si="524"/>
        <v>239927588.44999999</v>
      </c>
      <c r="M400" s="736">
        <f t="shared" si="524"/>
        <v>758511483.42999995</v>
      </c>
      <c r="N400" s="736">
        <f t="shared" si="524"/>
        <v>740561339.26999986</v>
      </c>
      <c r="O400" s="736">
        <f t="shared" si="524"/>
        <v>222914618.45000005</v>
      </c>
      <c r="P400" s="736">
        <f t="shared" si="524"/>
        <v>963475957.72000003</v>
      </c>
      <c r="Q400" s="736">
        <f t="shared" si="524"/>
        <v>-34963114.159999996</v>
      </c>
      <c r="S400" s="736">
        <f>S39+S40+S41+S42+S43+S44+S45+S46+S47+S48+S49+S50+S51+S53+S54+S55</f>
        <v>905435065.94999993</v>
      </c>
      <c r="T400" s="736">
        <f>T39+T40+T41+T42+T43+T44+T45+T46+T47+T48+T49+T50+T51+T53+T54+T55</f>
        <v>962477477.34777987</v>
      </c>
      <c r="U400" s="736">
        <f>U39+U40+U41+U42+U43+U44+U45+U46+U47+U48+U49+U50+U51+U53+U54+U55</f>
        <v>1004278742.2300633</v>
      </c>
      <c r="AQ400" s="736">
        <f>AQ39+AQ40+AQ41+AQ42+AQ43+AQ44+AQ45+AQ46+AQ47+AQ48+AQ49+AQ50+AQ51+AQ53+AQ54+AQ55</f>
        <v>229435564.82745656</v>
      </c>
      <c r="AR400" s="736">
        <f>AR39+AR40+AR41+AR42+AR43+AR44+AR45+AR46+AR47+AR48+AR49+AR50+AR51+AR53+AR54+AR55</f>
        <v>229030410.14999998</v>
      </c>
      <c r="AS400" s="736">
        <f>AS39+AS40+AS41+AS42+AS43+AS44+AS45+AS46+AS47+AS48+AS49+AS50+AS51+AS53+AS54+AS55</f>
        <v>308135470.20435649</v>
      </c>
      <c r="AT400" s="736">
        <f>AT39+AT40+AT41+AT42+AT43+AT44+AT45+AT46+AT47+AT48+AT49+AT50+AT51+AT53+AT54+AT55</f>
        <v>239993873.17000005</v>
      </c>
      <c r="BB400" s="736">
        <f>BB39+BB40+BB41+BB42+BB43+BB44+BB45+BB46+BB47+BB48+BB49+BB50+BB51+BB53+BB54+BB55</f>
        <v>239158936.62004516</v>
      </c>
      <c r="BC400" s="739">
        <f>BC39+BC40+BC41+BC42+BC43+BC44+BC45+BC46+BC47+BC48+BC49+BC50+BC51+BC53+BC54+BC55</f>
        <v>301655981.68983191</v>
      </c>
      <c r="BD400" s="739">
        <f t="shared" ref="BD400:BI400" si="525">BD39+BD40+BD41+BD42+BD43+BD44+BD45+BD46+BD47+BD48+BD49+BD50+BD51+BD53+BD54+BD55</f>
        <v>275614606.26999998</v>
      </c>
      <c r="BG400" s="739">
        <f t="shared" ref="BG400" si="526">BG39+BG40+BG41+BG42+BG43+BG44+BG45+BG46+BG47+BG48+BG49+BG50+BG51+BG53+BG54+BG55</f>
        <v>776729971.65185833</v>
      </c>
      <c r="BH400" s="738">
        <f t="shared" si="525"/>
        <v>770680265.00983179</v>
      </c>
      <c r="BI400" s="738">
        <f t="shared" si="525"/>
        <v>744638889.59000003</v>
      </c>
      <c r="BJ400" s="738"/>
      <c r="BK400" s="738"/>
      <c r="BL400" s="738">
        <f>BL39+BL40+BL41+BL42+BL43+BL44+BL45+BL46+BL47+BL48+BL49+BL50+BL51+BL53+BL54+BL55</f>
        <v>227548770.57820508</v>
      </c>
      <c r="BM400" s="738">
        <f>BM39+BM40+BM41+BM42+BM43+BM44+BM45+BM46+BM47+BM48+BM49+BM50+BM51+BM53+BM54+BM55</f>
        <v>250835011.81275603</v>
      </c>
      <c r="BO400" s="738"/>
      <c r="BP400" s="738"/>
      <c r="BQ400" s="738">
        <f>BQ39+BQ40+BQ41+BQ42+BQ43+BQ44+BQ45+BQ46+BQ47+BQ48+BQ49+BQ50+BQ51+BQ53+BQ54+BQ55</f>
        <v>227548770.57820508</v>
      </c>
      <c r="BR400" s="738">
        <f>BR39+BR40+BR41+BR42+BR43+BR44+BR45+BR46+BR47+BR48+BR49+BR50+BR51+BR53+BR54+BR55</f>
        <v>0</v>
      </c>
      <c r="BU400" s="752"/>
      <c r="BV400" s="752"/>
      <c r="BW400" s="752"/>
      <c r="BY400" s="752"/>
      <c r="BZ400" s="752"/>
      <c r="CA400" s="752"/>
      <c r="CB400" s="752"/>
      <c r="CC400" s="752"/>
      <c r="CK400" s="736" t="e">
        <f>CK39+CK40+CK41+CK42+CK43+CK44+CK45+CK46+CK47+CK48+CK49+CK50+CK51+CK53+CK54+CK55</f>
        <v>#VALUE!</v>
      </c>
      <c r="CL400" s="736" t="e">
        <f>CL39+CL40+CL41+CL42+CL43+CL44+CL45+CL46+CL47+CL48+CL49+CL50+CL51+CL53+CL54+CL55</f>
        <v>#VALUE!</v>
      </c>
      <c r="CM400" s="780" t="s">
        <v>1857</v>
      </c>
      <c r="DB400" s="736">
        <f>DB39+DB40+DB41+DB42+DB43+DB44+DB45+DB46+DB47+DB48+DB49+DB50+DB51+DB53+DB54+DB55</f>
        <v>229030410.14999998</v>
      </c>
      <c r="DF400" s="752"/>
      <c r="DG400" s="752"/>
      <c r="DH400" s="752"/>
      <c r="DI400" s="752"/>
    </row>
    <row r="401" spans="2:113" outlineLevel="1">
      <c r="B401" s="780" t="s">
        <v>2026</v>
      </c>
      <c r="G401" s="736">
        <f t="shared" ref="G401:Q401" si="527">G52</f>
        <v>267108127.23232195</v>
      </c>
      <c r="H401" s="736">
        <f t="shared" si="527"/>
        <v>0</v>
      </c>
      <c r="I401" s="736">
        <f t="shared" si="527"/>
        <v>260697228.85999995</v>
      </c>
      <c r="J401" s="736">
        <f t="shared" si="527"/>
        <v>132971035.08999997</v>
      </c>
      <c r="K401" s="736">
        <f t="shared" si="527"/>
        <v>64511253.159999996</v>
      </c>
      <c r="L401" s="736">
        <f t="shared" si="527"/>
        <v>63214940.609999999</v>
      </c>
      <c r="M401" s="736">
        <f t="shared" si="527"/>
        <v>197482288.24999997</v>
      </c>
      <c r="N401" s="736">
        <f t="shared" si="527"/>
        <v>188478901.86000001</v>
      </c>
      <c r="O401" s="736">
        <f t="shared" si="527"/>
        <v>56110121.400000006</v>
      </c>
      <c r="P401" s="736">
        <f t="shared" si="527"/>
        <v>244589023.26000002</v>
      </c>
      <c r="Q401" s="736">
        <f t="shared" si="527"/>
        <v>-16108205.599999934</v>
      </c>
      <c r="S401" s="736">
        <f>S52</f>
        <v>288318411.08880001</v>
      </c>
      <c r="T401" s="736">
        <f>T52</f>
        <v>305659304.15372509</v>
      </c>
      <c r="U401" s="736">
        <f>U52</f>
        <v>290236556.50448889</v>
      </c>
      <c r="AQ401" s="736">
        <f>AQ52</f>
        <v>66306878.235135093</v>
      </c>
      <c r="AR401" s="736">
        <f>AR52</f>
        <v>62954495.849999994</v>
      </c>
      <c r="AS401" s="736">
        <f>AS52</f>
        <v>89051150.889059201</v>
      </c>
      <c r="AT401" s="736">
        <f>AT52</f>
        <v>63854472.810000002</v>
      </c>
      <c r="BB401" s="736">
        <f>BB52</f>
        <v>69116932.683193192</v>
      </c>
      <c r="BC401" s="739">
        <f>BC52</f>
        <v>87178578.708361417</v>
      </c>
      <c r="BD401" s="739">
        <f t="shared" ref="BD401:BI401" si="528">BD52</f>
        <v>70689347.890000015</v>
      </c>
      <c r="BG401" s="739">
        <f t="shared" ref="BG401" si="529">BG52</f>
        <v>224474961.80738747</v>
      </c>
      <c r="BH401" s="738">
        <f t="shared" si="528"/>
        <v>213987547.36836141</v>
      </c>
      <c r="BI401" s="738">
        <f t="shared" si="528"/>
        <v>197498316.55000001</v>
      </c>
      <c r="BJ401" s="738"/>
      <c r="BK401" s="738"/>
      <c r="BL401" s="738">
        <f>BL52</f>
        <v>65761594.697101407</v>
      </c>
      <c r="BM401" s="738">
        <f>BM52</f>
        <v>72491318.413886473</v>
      </c>
      <c r="BO401" s="738"/>
      <c r="BP401" s="738"/>
      <c r="BQ401" s="738">
        <f>BQ52</f>
        <v>65761594.697101407</v>
      </c>
      <c r="BR401" s="738">
        <f>BR52</f>
        <v>0</v>
      </c>
      <c r="BU401" s="752"/>
      <c r="BV401" s="752"/>
      <c r="BW401" s="752"/>
      <c r="BY401" s="752"/>
      <c r="BZ401" s="752"/>
      <c r="CA401" s="752"/>
      <c r="CB401" s="752"/>
      <c r="CC401" s="752"/>
      <c r="CK401" s="736" t="str">
        <f>CK52</f>
        <v>Директор по экономике</v>
      </c>
      <c r="CL401" s="736" t="str">
        <f>CL52</f>
        <v>Начальник отдела труда и заработной платы</v>
      </c>
      <c r="CM401" s="780" t="s">
        <v>2026</v>
      </c>
      <c r="DB401" s="736">
        <f>DB52</f>
        <v>62954495.849999994</v>
      </c>
      <c r="DF401" s="752"/>
      <c r="DG401" s="752"/>
      <c r="DH401" s="752"/>
      <c r="DI401" s="752"/>
    </row>
    <row r="402" spans="2:113" outlineLevel="1">
      <c r="B402" s="780" t="s">
        <v>1925</v>
      </c>
      <c r="G402" s="736">
        <f>G141+G142+G143+G144+G145+G147+G149+G151+G153+G155+G156+G157+G159+G161+G162+G163+G164+G165+G166+G167+G168+G169+G171+G172+G174+G177+G178+G180+G185+G186+G187+G191+G194+G196+G197+G198+G201+G202+G203+G205+G208+G213+G214+G215+G218+G219+G220+G221+G222+G226+G228</f>
        <v>303686950.64258635</v>
      </c>
      <c r="I402" s="736">
        <f t="shared" ref="I402:Q402" si="530">I141+I142+I143+I144+I145+I147+I148+I149+I150+I151+I152+I153+I155+I156+I157+I159+I161+I162+I163+I164+I165+I166+I167+I168+I169+I171+I172+I174+I177+I178+I180+I185+I186+I187+I191+I194+I196+I197+I198+I201+I202+I203+I205+I208+I213+I214+I215+I218+I219+I220+I221+I222+I226+I228</f>
        <v>492143947.30999994</v>
      </c>
      <c r="J402" s="736">
        <f t="shared" si="530"/>
        <v>190321629.04000005</v>
      </c>
      <c r="K402" s="736">
        <f t="shared" si="530"/>
        <v>164593277.27999997</v>
      </c>
      <c r="L402" s="736">
        <f t="shared" si="530"/>
        <v>137229040.98999998</v>
      </c>
      <c r="M402" s="736">
        <f t="shared" si="530"/>
        <v>354914906.32000011</v>
      </c>
      <c r="N402" s="736">
        <f t="shared" si="530"/>
        <v>299705019.07000005</v>
      </c>
      <c r="O402" s="736">
        <f t="shared" si="530"/>
        <v>138928637.09999996</v>
      </c>
      <c r="P402" s="736">
        <f t="shared" si="530"/>
        <v>438633656.17000008</v>
      </c>
      <c r="Q402" s="736">
        <f t="shared" si="530"/>
        <v>-53510291.139999993</v>
      </c>
      <c r="S402" s="736">
        <f>S141+S142+S143+S144+S145+S147+S148+S149+S150+S151+S152+S153+S155+S156+S157+S159+S161+S162+S163+S164+S165+S166+S167+S168+S169+S171+S172+S174+S177+S178+S180+S185+S186+S187+S191+S194+S196+S197+S198+S201+S202+S203+S205+S208+S213+S214+S215+S218+S219+S220+S221+S222+S226+S228</f>
        <v>307860741.49740821</v>
      </c>
      <c r="T402" s="736">
        <f>T141+T142+T143+T144+T145+T147+T148+T149+T150+T151+T152+T153+T155+T156+T157+T159+T161+T162+T163+T164+T165+T166+T167+T168+T169+T171+T172+T174+T177+T178+T180+T185+T186+T187+T191+T194+T196+T197+T198+T201+T202+T203+T205+T208+T213+T214+T215+T218+T219+T220+T221+T222+T226+T228</f>
        <v>344959723.57876444</v>
      </c>
      <c r="U402" s="736">
        <f>U141+U142+U143+U144+U145+U147+U148+U149+U150+U151+U152+U153+U155+U156+U157+U159+U161+U162+U163+U164+U165+U166+U167+U168+U169+U171+U172+U174+U177+U178+U180+U185+U186+U187+U191+U194+U196+U197+U198+U201+U202+U203+U205+U208+U213+U214+U215+U218+U219+U220+U221+U222+U226+U228</f>
        <v>403628112.32000011</v>
      </c>
      <c r="AQ402" s="736">
        <f>AQ141+AQ142+AQ143+AQ144+AQ145+AQ147+AQ148+AQ149+AQ150+AQ151+AQ152+AQ153+AQ155+AQ156+AQ157+AQ159+AQ161+AQ162+AQ163+AQ164+AQ165+AQ166+AQ167+AQ168+AQ169+AQ171+AQ172+AQ174+AQ177+AQ178+AQ180+AQ185+AQ186+AQ187+AQ191+AQ194+AQ196+AQ197+AQ198+AQ201+AQ202+AQ203+AQ205+AQ208+AQ213+AQ214+AQ215+AQ218+AQ219+AQ220+AQ221+AQ222+AQ226+AQ228</f>
        <v>95957423.939999998</v>
      </c>
      <c r="AR402" s="736">
        <f>AR141+AR142+AR143+AR144+AR145+AR147+AR148+AR149+AR150+AR151+AR152+AR153+AR155+AR156+AR157+AR159+AR161+AR162+AR163+AR164+AR165+AR166+AR167+AR168+AR169+AR171+AR172+AR174+AR177+AR178+AR180+AR185+AR186+AR187+AR191+AR194+AR196+AR197+AR198+AR201+AR202+AR203+AR205+AR208+AR213+AR214+AR215+AR218+AR219+AR220+AR221+AR222+AR226+AR228</f>
        <v>97823859.730000019</v>
      </c>
      <c r="AS402" s="736">
        <f>AS141+AS142+AS143+AS144+AS145+AS147+AS148+AS149+AS150+AS151+AS152+AS153+AS155+AS156+AS157+AS159+AS161+AS162+AS163+AS164+AS165+AS166+AS167+AS168+AS169+AS171+AS172+AS174+AS177+AS178+AS180+AS185+AS186+AS187+AS191+AS194+AS196+AS197+AS198+AS201+AS202+AS203+AS205+AS208+AS213+AS214+AS215+AS218+AS219+AS220+AS221+AS222+AS226+AS228</f>
        <v>114210463.21999998</v>
      </c>
      <c r="AT402" s="736">
        <f>AT141+AT142+AT143+AT144+AT145+AT147+AT148+AT149+AT150+AT151+AT152+AT153+AT155+AT156+AT157+AT159+AT161+AT162+AT163+AT164+AT165+AT166+AT167+AT168+AT169+AT171+AT172+AT174+AT177+AT178+AT180+AT185+AT186+AT187+AT191+AT194+AT196+AT197+AT198+AT201+AT202+AT203+AT205+AT208+AT213+AT214+AT215+AT218+AT219+AT220+AT221+AT222+AT226+AT228</f>
        <v>104182244.82999998</v>
      </c>
      <c r="BB402" s="736">
        <f>BB141+BB142+BB143+BB144+BB145+BB147+BB148+BB149+BB150+BB151+BB152+BB153+BB155+BB156+BB157+BB159+BB161+BB162+BB163+BB164+BB165+BB166+BB167+BB168+BB169+BB171+BB172+BB174+BB177+BB178+BB180+BB185+BB186+BB187+BB191+BB194+BB196+BB197+BB198+BB201+BB202+BB203+BB205+BB208+BB213+BB214+BB215+BB218+BB219+BB220+BB221+BB222+BB226+BB228</f>
        <v>108035532.20999996</v>
      </c>
      <c r="BC402" s="739">
        <f>BC141+BC142+BC143+BC144+BC145+BC147+BC148+BC149+BC150+BC151+BC152+BC153+BC155+BC156+BC157+BC159+BC161+BC162+BC163+BC164+BC165+BC166+BC167+BC168+BC169+BC171+BC172+BC174+BC177+BC178+BC180+BC185+BC186+BC187+BC191+BC194+BC196+BC197+BC198+BC201+BC202+BC203+BC205+BC208+BC213+BC214+BC215+BC218+BC219+BC220+BC221+BC222+BC226+BC228</f>
        <v>123125178.27000001</v>
      </c>
      <c r="BD402" s="739">
        <f t="shared" ref="BD402:BI402" si="531">BD141+BD142+BD143+BD144+BD145+BD147+BD148+BD149+BD150+BD151+BD152+BD153+BD155+BD156+BD157+BD159+BD161+BD162+BD163+BD164+BD165+BD166+BD167+BD168+BD169+BD171+BD172+BD174+BD177+BD178+BD180+BD185+BD186+BD187+BD191+BD194+BD196+BD197+BD198+BD201+BD202+BD203+BD205+BD208+BD213+BD214+BD215+BD218+BD219+BD220+BD221+BD222+BD226+BD228</f>
        <v>110709799.33999999</v>
      </c>
      <c r="BG402" s="739">
        <f t="shared" ref="BG402" si="532">BG141+BG142+BG143+BG144+BG145+BG147+BG148+BG149+BG150+BG151+BG152+BG153+BG155+BG156+BG157+BG159+BG161+BG162+BG163+BG164+BG165+BG166+BG167+BG168+BG169+BG171+BG172+BG174+BG177+BG178+BG180+BG185+BG186+BG187+BG191+BG194+BG196+BG197+BG198+BG201+BG202+BG203+BG205+BG208+BG213+BG214+BG215+BG218+BG219+BG220+BG221+BG222+BG226+BG228</f>
        <v>318203419.37</v>
      </c>
      <c r="BH402" s="738">
        <f t="shared" si="531"/>
        <v>325131282.82999998</v>
      </c>
      <c r="BI402" s="738">
        <f t="shared" si="531"/>
        <v>312715903.90000004</v>
      </c>
      <c r="BJ402" s="738"/>
      <c r="BK402" s="738"/>
      <c r="BL402" s="738">
        <f>BL141+BL142+BL143+BL144+BL145+BL147+BL148+BL149+BL150+BL151+BL152+BL153+BL155+BL156+BL157+BL159+BL161+BL162+BL163+BL164+BL165+BL166+BL167+BL168+BL169+BL171+BL172+BL174+BL177+BL178+BL180+BL185+BL186+BL187+BL191+BL194+BL196+BL197+BL198+BL201+BL202+BL203+BL205+BL208+BL213+BL214+BL215+BL218+BL219+BL220+BL221+BL222+BL226+BL228</f>
        <v>85424692.950000003</v>
      </c>
      <c r="BM402" s="738">
        <f>BM141+BM142+BM143+BM144+BM145+BM147+BM148+BM149+BM150+BM151+BM152+BM153+BM155+BM156+BM157+BM159+BM161+BM162+BM163+BM164+BM165+BM166+BM167+BM168+BM169+BM171+BM172+BM174+BM177+BM178+BM180+BM185+BM186+BM187+BM191+BM194+BM196+BM197+BM198+BM201+BM202+BM203+BM205+BM208+BM213+BM214+BM215+BM218+BM219+BM220+BM221+BM222+BM226+BM228</f>
        <v>106089792.79000005</v>
      </c>
      <c r="BO402" s="738"/>
      <c r="BP402" s="738"/>
      <c r="BQ402" s="738">
        <f>BQ141+BQ142+BQ143+BQ144+BQ145+BQ147+BQ148+BQ149+BQ150+BQ151+BQ152+BQ153+BQ155+BQ156+BQ157+BQ159+BQ161+BQ162+BQ163+BQ164+BQ165+BQ166+BQ167+BQ168+BQ169+BQ171+BQ172+BQ174+BQ177+BQ178+BQ180+BQ185+BQ186+BQ187+BQ191+BQ194+BQ196+BQ197+BQ198+BQ201+BQ202+BQ203+BQ205+BQ208+BQ213+BQ214+BQ215+BQ218+BQ219+BQ220+BQ221+BQ222+BQ226+BQ228</f>
        <v>85424692.950000003</v>
      </c>
      <c r="BR402" s="738">
        <f>BR141+BR142+BR143+BR144+BR145+BR147+BR148+BR149+BR150+BR151+BR152+BR153+BR155+BR156+BR157+BR159+BR161+BR162+BR163+BR164+BR165+BR166+BR167+BR168+BR169+BR171+BR172+BR174+BR177+BR178+BR180+BR185+BR186+BR187+BR191+BR194+BR196+BR197+BR198+BR201+BR202+BR203+BR205+BR208+BR213+BR214+BR215+BR218+BR219+BR220+BR221+BR222+BR226+BR228</f>
        <v>0</v>
      </c>
      <c r="BU402" s="752"/>
      <c r="BV402" s="752"/>
      <c r="BW402" s="752"/>
      <c r="BY402" s="752"/>
      <c r="BZ402" s="752"/>
      <c r="CA402" s="752"/>
      <c r="CB402" s="752"/>
      <c r="CC402" s="752"/>
      <c r="CK402" s="736" t="e">
        <f>CK141+CK142+CK143+CK144+CK145+CK147+CK148+CK149+CK150+CK151+CK152+CK153+CK155+CK156+CK157+CK159+CK161+CK162+CK163+CK164+CK165+CK166+CK167+CK168+CK169+CK171+CK172+CK174+CK177+CK178+CK180+CK185+CK186+CK187+CK191+CK194+CK196+CK197+CK198+CK201+CK202+CK203+CK205+CK208+CK213+CK214+CK215+CK218+CK219+CK220+CK221+CK222+CK226+CK228</f>
        <v>#VALUE!</v>
      </c>
      <c r="CL402" s="736" t="e">
        <f>CL141+CL142+CL143+CL144+CL145+CL147+CL148+CL149+CL150+CL151+CL152+CL153+CL155+CL156+CL157+CL159+CL161+CL162+CL163+CL164+CL165+CL166+CL167+CL168+CL169+CL171+CL172+CL174+CL177+CL178+CL180+CL185+CL186+CL187+CL191+CL194+CL196+CL197+CL198+CL201+CL202+CL203+CL205+CL208+CL213+CL214+CL215+CL218+CL219+CL220+CL221+CL222+CL226+CL228</f>
        <v>#VALUE!</v>
      </c>
      <c r="CM402" s="780" t="s">
        <v>1925</v>
      </c>
      <c r="DB402" s="736">
        <f>DB141+DB142+DB143+DB144+DB145+DB147+DB148+DB149+DB150+DB151+DB152+DB153+DB155+DB156+DB157+DB159+DB161+DB162+DB163+DB164+DB165+DB166+DB167+DB168+DB169+DB171+DB172+DB174+DB177+DB178+DB180+DB185+DB186+DB187+DB191+DB194+DB196+DB197+DB198+DB201+DB202+DB203+DB205+DB208+DB213+DB214+DB215+DB218+DB219+DB220+DB221+DB222+DB226+DB228</f>
        <v>97823859.730000019</v>
      </c>
      <c r="DF402" s="752"/>
      <c r="DG402" s="752"/>
      <c r="DH402" s="752"/>
      <c r="DI402" s="752"/>
    </row>
    <row r="403" spans="2:113" outlineLevel="1">
      <c r="B403" s="780" t="s">
        <v>64</v>
      </c>
      <c r="G403" s="736">
        <f t="shared" ref="G403:Q403" si="533">G36+G37</f>
        <v>206057330</v>
      </c>
      <c r="H403" s="736">
        <f t="shared" si="533"/>
        <v>0</v>
      </c>
      <c r="I403" s="736">
        <f t="shared" si="533"/>
        <v>326412603.35000002</v>
      </c>
      <c r="J403" s="736">
        <f t="shared" si="533"/>
        <v>160609730.24000001</v>
      </c>
      <c r="K403" s="736">
        <f t="shared" si="533"/>
        <v>81931596.74000001</v>
      </c>
      <c r="L403" s="736">
        <f t="shared" si="533"/>
        <v>83871276.370000005</v>
      </c>
      <c r="M403" s="736">
        <f t="shared" si="533"/>
        <v>242541326.97999999</v>
      </c>
      <c r="N403" s="736">
        <f t="shared" si="533"/>
        <v>240976483.78</v>
      </c>
      <c r="O403" s="736">
        <f t="shared" si="533"/>
        <v>80852149.879999995</v>
      </c>
      <c r="P403" s="736">
        <f t="shared" si="533"/>
        <v>321828633.65999997</v>
      </c>
      <c r="Q403" s="736">
        <f t="shared" si="533"/>
        <v>-4583969.6900000237</v>
      </c>
      <c r="S403" s="736">
        <f>S36+S37</f>
        <v>297196020</v>
      </c>
      <c r="T403" s="736">
        <f>T36+T37</f>
        <v>297196020</v>
      </c>
      <c r="U403" s="736">
        <f>U36+U37</f>
        <v>319845333.33249998</v>
      </c>
      <c r="AQ403" s="736">
        <f>AQ36+AQ37</f>
        <v>79886000</v>
      </c>
      <c r="AR403" s="736">
        <f>AR36+AR37</f>
        <v>85984794.669999987</v>
      </c>
      <c r="AS403" s="736">
        <f>AS36+AS37</f>
        <v>79732000</v>
      </c>
      <c r="AT403" s="736">
        <f>AT36+AT37</f>
        <v>86590113.219999999</v>
      </c>
      <c r="BB403" s="736">
        <f>BB36+BB37</f>
        <v>80266000</v>
      </c>
      <c r="BC403" s="739">
        <f>BC36+BC37</f>
        <v>87319043.430000007</v>
      </c>
      <c r="BD403" s="739">
        <f t="shared" ref="BD403:BI403" si="534">BD36+BD37</f>
        <v>88544804.50000003</v>
      </c>
      <c r="BG403" s="739">
        <f t="shared" ref="BG403" si="535">BG36+BG37</f>
        <v>239884000</v>
      </c>
      <c r="BH403" s="738">
        <f t="shared" si="534"/>
        <v>259893951.31999999</v>
      </c>
      <c r="BI403" s="738">
        <f t="shared" si="534"/>
        <v>261119712.39000002</v>
      </c>
      <c r="BJ403" s="738"/>
      <c r="BK403" s="738"/>
      <c r="BL403" s="738">
        <f>BL36+BL37</f>
        <v>79961333.332499996</v>
      </c>
      <c r="BM403" s="738">
        <f>BM36+BM37</f>
        <v>87238111.129999995</v>
      </c>
      <c r="BO403" s="738"/>
      <c r="BP403" s="738"/>
      <c r="BQ403" s="738">
        <f>BQ36+BQ37</f>
        <v>79961333.332499996</v>
      </c>
      <c r="BR403" s="738">
        <f>BR36+BR37</f>
        <v>0</v>
      </c>
      <c r="BU403" s="752"/>
      <c r="BV403" s="752"/>
      <c r="BW403" s="752"/>
      <c r="BY403" s="752"/>
      <c r="BZ403" s="752"/>
      <c r="CA403" s="752"/>
      <c r="CB403" s="752"/>
      <c r="CC403" s="752"/>
      <c r="CK403" s="736" t="e">
        <f>CK36+CK37</f>
        <v>#VALUE!</v>
      </c>
      <c r="CL403" s="736" t="e">
        <f>CL36+CL37</f>
        <v>#VALUE!</v>
      </c>
      <c r="CM403" s="780" t="s">
        <v>64</v>
      </c>
      <c r="DB403" s="736">
        <f>DB36+DB37</f>
        <v>85984794.669999987</v>
      </c>
      <c r="DF403" s="752"/>
      <c r="DG403" s="752"/>
      <c r="DH403" s="752"/>
      <c r="DI403" s="752"/>
    </row>
    <row r="404" spans="2:113" outlineLevel="1">
      <c r="B404" s="780" t="s">
        <v>1905</v>
      </c>
      <c r="G404" s="736">
        <f t="shared" ref="G404:Q404" si="536">G73+G74+G75+G76+G77+G78+G79+G80+G81+G82+G83+G84</f>
        <v>1371851016.4803262</v>
      </c>
      <c r="H404" s="736">
        <f t="shared" si="536"/>
        <v>0</v>
      </c>
      <c r="I404" s="736">
        <f t="shared" si="536"/>
        <v>1370467635.5400002</v>
      </c>
      <c r="J404" s="736">
        <f t="shared" si="536"/>
        <v>707974624.26000011</v>
      </c>
      <c r="K404" s="736">
        <f t="shared" si="536"/>
        <v>334649870.25999999</v>
      </c>
      <c r="L404" s="736">
        <f t="shared" si="536"/>
        <v>327843141.02000004</v>
      </c>
      <c r="M404" s="736">
        <f t="shared" si="536"/>
        <v>1042624494.52</v>
      </c>
      <c r="N404" s="736">
        <f t="shared" si="536"/>
        <v>1038030065.6999999</v>
      </c>
      <c r="O404" s="736">
        <f t="shared" si="536"/>
        <v>326918135.42999995</v>
      </c>
      <c r="P404" s="736">
        <f t="shared" si="536"/>
        <v>1364948201.1300001</v>
      </c>
      <c r="Q404" s="736">
        <f t="shared" si="536"/>
        <v>-5519434.410000111</v>
      </c>
      <c r="S404" s="736">
        <f>S73+S74+S75+S76+S77+S78+S79+S80+S81+S82+S83+S84</f>
        <v>1412934144.9205999</v>
      </c>
      <c r="T404" s="736">
        <f>T73+T74+T75+T76+T77+T78+T79+T80+T81+T82+T83+T84</f>
        <v>1263084855.1806002</v>
      </c>
      <c r="U404" s="736">
        <f>U73+U74+U75+U76+U77+U78+U79+U80+U81+U82+U83+U84</f>
        <v>1304065106.77</v>
      </c>
      <c r="AQ404" s="736">
        <f>AQ73+AQ74+AQ75+AQ76+AQ77+AQ78+AQ79+AQ80+AQ81+AQ82+AQ83+AQ84</f>
        <v>333389904.99999994</v>
      </c>
      <c r="AR404" s="736">
        <f>AR73+AR74+AR75+AR76+AR77+AR78+AR79+AR80+AR81+AR82+AR83+AR84</f>
        <v>329818283.73000002</v>
      </c>
      <c r="AS404" s="736">
        <f>AS73+AS74+AS75+AS76+AS77+AS78+AS79+AS80+AS81+AS82+AS83+AS84</f>
        <v>345003446.88999999</v>
      </c>
      <c r="AT404" s="736">
        <f>AT73+AT74+AT75+AT76+AT77+AT78+AT79+AT80+AT81+AT82+AT83+AT84</f>
        <v>329421061.11000001</v>
      </c>
      <c r="BB404" s="736">
        <f>BB73+BB74+BB75+BB76+BB77+BB78+BB79+BB80+BB81+BB82+BB83+BB84</f>
        <v>324727501.71999997</v>
      </c>
      <c r="BC404" s="739">
        <f>BC73+BC74+BC75+BC76+BC77+BC78+BC79+BC80+BC81+BC82+BC83+BC84</f>
        <v>331368755.82999998</v>
      </c>
      <c r="BD404" s="739">
        <f t="shared" ref="BD404:BI404" si="537">BD73+BD74+BD75+BD76+BD77+BD78+BD79+BD80+BD81+BD82+BD83+BD84</f>
        <v>311777879.12999994</v>
      </c>
      <c r="BG404" s="739">
        <f t="shared" ref="BG404" si="538">BG73+BG74+BG75+BG76+BG77+BG78+BG79+BG80+BG81+BG82+BG83+BG84</f>
        <v>1003120853.6100003</v>
      </c>
      <c r="BH404" s="738">
        <f t="shared" si="537"/>
        <v>990608100.66999996</v>
      </c>
      <c r="BI404" s="738">
        <f t="shared" si="537"/>
        <v>971017223.97000003</v>
      </c>
      <c r="BJ404" s="738"/>
      <c r="BK404" s="738"/>
      <c r="BL404" s="738">
        <f>BL73+BL74+BL75+BL76+BL77+BL78+BL79+BL80+BL81+BL82+BL83+BL84</f>
        <v>300944253.16000003</v>
      </c>
      <c r="BM404" s="738">
        <f>BM73+BM74+BM75+BM76+BM77+BM78+BM79+BM80+BM81+BM82+BM83+BM84</f>
        <v>307563446.94999999</v>
      </c>
      <c r="BO404" s="738"/>
      <c r="BP404" s="738"/>
      <c r="BQ404" s="738">
        <f>BQ73+BQ74+BQ75+BQ76+BQ77+BQ78+BQ79+BQ80+BQ81+BQ82+BQ83+BQ84</f>
        <v>300944253.16000003</v>
      </c>
      <c r="BR404" s="738">
        <f>BR73+BR74+BR75+BR76+BR77+BR78+BR79+BR80+BR81+BR82+BR83+BR84</f>
        <v>0</v>
      </c>
      <c r="BU404" s="752"/>
      <c r="BV404" s="752"/>
      <c r="BW404" s="752"/>
      <c r="BY404" s="752"/>
      <c r="BZ404" s="752"/>
      <c r="CA404" s="752"/>
      <c r="CB404" s="752"/>
      <c r="CC404" s="752"/>
      <c r="CK404" s="736" t="e">
        <f>CK73+CK74+CK75+CK76+CK77+CK78+CK79+CK80+CK81+CK82+CK83+CK84</f>
        <v>#VALUE!</v>
      </c>
      <c r="CL404" s="736" t="e">
        <f>CL73+CL74+CL75+CL76+CL77+CL78+CL79+CL80+CL81+CL82+CL83+CL84</f>
        <v>#VALUE!</v>
      </c>
      <c r="CM404" s="780" t="s">
        <v>1905</v>
      </c>
      <c r="DB404" s="736">
        <f>DB73+DB74+DB75+DB76+DB77+DB78+DB79+DB80+DB81+DB82+DB83+DB84</f>
        <v>329818283.73000002</v>
      </c>
      <c r="DF404" s="752"/>
      <c r="DG404" s="752"/>
      <c r="DH404" s="752"/>
      <c r="DI404" s="752"/>
    </row>
    <row r="405" spans="2:113" ht="28.8" outlineLevel="1" thickBot="1">
      <c r="B405" s="781" t="s">
        <v>1305</v>
      </c>
      <c r="G405" s="736">
        <f>G57+G60+G61+G62+G65+G67+G68+G69+G231+G232+G233+G234</f>
        <v>41081441.806252494</v>
      </c>
      <c r="I405" s="736">
        <f t="shared" ref="I405:Q405" si="539">I57+I58+I59+I60+I61+I62+I65+I67+I68+I69+I231+I232+I233+I234</f>
        <v>49173394.930000007</v>
      </c>
      <c r="J405" s="736">
        <f t="shared" si="539"/>
        <v>21188133.300000001</v>
      </c>
      <c r="K405" s="736">
        <f t="shared" si="539"/>
        <v>13645852.289999999</v>
      </c>
      <c r="L405" s="736">
        <f t="shared" si="539"/>
        <v>14339409.34</v>
      </c>
      <c r="M405" s="736">
        <f t="shared" si="539"/>
        <v>34833985.590000004</v>
      </c>
      <c r="N405" s="736">
        <f t="shared" si="539"/>
        <v>32378896.48</v>
      </c>
      <c r="O405" s="736">
        <f t="shared" si="539"/>
        <v>21645726.710000001</v>
      </c>
      <c r="P405" s="736">
        <f t="shared" si="539"/>
        <v>54024623.189999998</v>
      </c>
      <c r="Q405" s="736">
        <f t="shared" si="539"/>
        <v>4851228.259999997</v>
      </c>
      <c r="S405" s="736">
        <f>S57+S58+S59+S60+S61+S62+S65+S67+S68+S69+S231+S232+S233+S234</f>
        <v>68044295.687608331</v>
      </c>
      <c r="T405" s="736">
        <f>T57+T58+T59+T60+T61+T62+T65+T67+T68+T69+T231+T232+T233+T234</f>
        <v>69035180.700108334</v>
      </c>
      <c r="U405" s="736">
        <f>U57+U58+U59+U60+U61+U62+U65+U67+U68+U69+U231+U232+U233+U234</f>
        <v>60448796.529999994</v>
      </c>
      <c r="AQ405" s="736">
        <f>AQ57+AQ58+AQ59+AQ60+AQ61+AQ62+AQ65+AQ67+AQ68+AQ69+AQ231+AQ232+AQ233+AQ234</f>
        <v>11710522.41</v>
      </c>
      <c r="AR405" s="736">
        <f>AR57+AR58+AR59+AR60+AR61+AR62+AR65+AR67+AR68+AR69+AR231+AR232+AR233+AR234</f>
        <v>11609278.959999999</v>
      </c>
      <c r="AS405" s="736">
        <f>AS57+AS58+AS59+AS60+AS61+AS62+AS65+AS67+AS68+AS69+AS231+AS232+AS233+AS234</f>
        <v>13019270.379999999</v>
      </c>
      <c r="AT405" s="736">
        <f>AT57+AT58+AT59+AT60+AT61+AT62+AT65+AT67+AT68+AT69+AT231+AT232+AT233+AT234</f>
        <v>13271689.279999999</v>
      </c>
      <c r="BB405" s="736">
        <f>BB57+BB58+BB59+BB60+BB61+BB62+BB65+BB67+BB68+BB69+BB231+BB232+BB233+BB234</f>
        <v>13032178.68</v>
      </c>
      <c r="BC405" s="739">
        <f>BC57+BC58+BC59+BC60+BC61+BC62+BC65+BC67+BC68+BC69+BC231+BC232+BC233+BC234</f>
        <v>13472047.129181087</v>
      </c>
      <c r="BD405" s="739">
        <f t="shared" ref="BD405:BI405" si="540">BD57+BD58+BD59+BD60+BD61+BD62+BD65+BD67+BD68+BD69+BD231+BD232+BD233+BD234</f>
        <v>13147244.639999999</v>
      </c>
      <c r="BG405" s="739">
        <f t="shared" ref="BG405" si="541">BG57+BG58+BG59+BG60+BG61+BG62+BG65+BG67+BG68+BG69+BG231+BG232+BG233+BG234</f>
        <v>37761971.469999999</v>
      </c>
      <c r="BH405" s="738">
        <f t="shared" si="540"/>
        <v>38353015.369181089</v>
      </c>
      <c r="BI405" s="738">
        <f t="shared" si="540"/>
        <v>38028212.879999995</v>
      </c>
      <c r="BJ405" s="738"/>
      <c r="BK405" s="738"/>
      <c r="BL405" s="738">
        <f>BL57+BL58+BL59+BL60+BL61+BL62+BL65+BL67+BL68+BL69+BL231+BL232+BL233+BL234</f>
        <v>22686825.059999999</v>
      </c>
      <c r="BM405" s="738">
        <f>BM57+BM58+BM59+BM60+BM61+BM62+BM65+BM67+BM68+BM69+BM231+BM232+BM233+BM234</f>
        <v>23342417.291471425</v>
      </c>
      <c r="BO405" s="738"/>
      <c r="BP405" s="738"/>
      <c r="BQ405" s="738">
        <f>BQ57+BQ58+BQ59+BQ60+BQ61+BQ62+BQ65+BQ67+BQ68+BQ69+BQ231+BQ232+BQ233+BQ234</f>
        <v>22686825.059999999</v>
      </c>
      <c r="BR405" s="738">
        <f>BR57+BR58+BR59+BR60+BR61+BR62+BR65+BR67+BR68+BR69+BR231+BR232+BR233+BR234</f>
        <v>0</v>
      </c>
      <c r="BU405" s="752"/>
      <c r="BV405" s="752"/>
      <c r="BW405" s="752"/>
      <c r="BY405" s="752"/>
      <c r="BZ405" s="752"/>
      <c r="CA405" s="752"/>
      <c r="CB405" s="752"/>
      <c r="CC405" s="752"/>
      <c r="CK405" s="736" t="e">
        <f>CK57+CK58+CK59+CK60+CK61+CK62+CK65+CK67+CK68+CK69+CK231+CK232+CK233+CK234</f>
        <v>#VALUE!</v>
      </c>
      <c r="CL405" s="736" t="e">
        <f>CL57+CL58+CL59+CL60+CL61+CL62+CL65+CL67+CL68+CL69+CL231+CL232+CL233+CL234</f>
        <v>#VALUE!</v>
      </c>
      <c r="CM405" s="781" t="s">
        <v>1305</v>
      </c>
      <c r="DB405" s="736">
        <f>DB57+DB58+DB59+DB60+DB61+DB62+DB65+DB67+DB68+DB69+DB231+DB232+DB233+DB234</f>
        <v>11609278.959999999</v>
      </c>
      <c r="DF405" s="752"/>
      <c r="DG405" s="752"/>
      <c r="DH405" s="752"/>
      <c r="DI405" s="752"/>
    </row>
    <row r="406" spans="2:113" outlineLevel="1">
      <c r="G406" s="736">
        <f>G36+G37+G39+G40+G41+G42+G43+G44+G45+G46+G47+G48+G49+G50+G51+G52+G53+G54+G55+G57+G60+G61+G62+G65+G67+G68+G69+G73+G74+G75+G76+G77+G78+G79+G80+G81+G82+G83+G84+G87+G88+G91+G92+G93+G94+G95+G96+G97+G105+G106+G107+G108+G110+G111+G113+G114+G115+G120+G121+G122+G123+G126+G127+G128+G129+G130+G131+G132+G141+G142+G143+G144+G145+G147+G149+G151+G153+G155+G156+G157+G159+G161+G162+G163+G164+G165+G166+G167+G168+G169+G171+G172+G174+G177+G178+G180+G185+G186+G187+G191+G194+G196+G197+G198+G201+G202+G203+G205+G208+G213+G214+G215+G218+G219+G220+G221+G222+G226+G228+G231+G232+G233+G234</f>
        <v>3289566005.1233473</v>
      </c>
      <c r="H406" s="736">
        <f>H36+H37+H39+H40+H41+H42+H43+H44+H45+H46+H47+H48+H49+H50+H51+H52+H53+H54+H55+H57+H60+H61+H62+H65+H67+H68+H69+H73+H74+H75+H76+H77+H78+H79+H80+H81+H82+H83+H84+H87+H88+H91+H92+H93+H94+H95+H96+H97+H105+H106+H107+H108+H110+H111+H113+H114+H115+H120+H121+H122+H123+H126+H127+H128+H129+H130+H131+H132+H141+H142+H143+H144+H145+H147+H149+H151+H153+H155+H156+H157+H159+H161+H162+H163+H164+H165+H166+H167+H168+H169+H171+H172+H174+H177+H178+H180+H185+H186+H187+H191+H194+H196+H197+H198+H201+H202+H203+H205+H208+H213+H214+H215+H218+H219+H220+H221+H222+H226+H228+H231+H232+H233+H234</f>
        <v>0</v>
      </c>
      <c r="BH406" s="738"/>
      <c r="BI406" s="738"/>
      <c r="BJ406" s="738"/>
      <c r="BK406" s="738"/>
      <c r="BO406" s="738"/>
      <c r="BP406" s="738"/>
      <c r="BU406" s="752"/>
      <c r="BV406" s="752"/>
      <c r="BW406" s="752"/>
      <c r="BY406" s="752"/>
      <c r="BZ406" s="752"/>
      <c r="CA406" s="752"/>
      <c r="CB406" s="752"/>
      <c r="CC406" s="752"/>
      <c r="CK406" s="736"/>
      <c r="CL406" s="736"/>
      <c r="DF406" s="752"/>
      <c r="DG406" s="752"/>
      <c r="DH406" s="752"/>
      <c r="DI406" s="752"/>
    </row>
    <row r="407" spans="2:113" outlineLevel="1">
      <c r="G407" s="736">
        <f>G399+G400+G401+G402+G403+G404+G405-G406</f>
        <v>0</v>
      </c>
      <c r="H407" s="736">
        <f>H399+H400+H401+H402+H403+H404+H405-H406</f>
        <v>0</v>
      </c>
      <c r="I407" s="736">
        <f t="shared" ref="I407:Q407" si="542">I36+I37+I39+I40+I41+I42+I43+I44+I45+I46+I47+I48+I49+I50+I51+I52+I53+I54+I55+I57+I58+I59+I60+I61+I62+I65+I67+I68+I69+I73+I74+I75+I76+I77+I78+I79+I80+I81+I82+I83+I84+I87+I88+I91+I92+I93+I94+I95+I96+I97+I105+I106+I107+I108+I110+I111+I113+I114+I115+I116+I117+I120+I121+I122+I123+I126+I127+I128+I129+I130+I131+I132+I141+I142+I143+I144+I145+I147+I148+I149+I150+I151+I152+I153+I155+I156+I157+I159+I161+I162+I163+I164+I165+I166+I167+I168+I169+I171+I172+I174+I177+I178+I180+I185+I186+I187+I191+I194+I196+I197+I198+I201+I202+I203+I205+I208+I213+I214+I215+I218+I219+I220+I221+I222+I226+I228+I231+I232+I233+I234</f>
        <v>3792781932.3599982</v>
      </c>
      <c r="J407" s="736">
        <f t="shared" si="542"/>
        <v>1839584755.7699997</v>
      </c>
      <c r="K407" s="736">
        <f t="shared" si="542"/>
        <v>996475250.97000027</v>
      </c>
      <c r="L407" s="736">
        <f t="shared" si="542"/>
        <v>956721925.61999965</v>
      </c>
      <c r="M407" s="736">
        <f t="shared" si="542"/>
        <v>2836060006.7399993</v>
      </c>
      <c r="N407" s="736">
        <f t="shared" si="542"/>
        <v>2724129865.4799972</v>
      </c>
      <c r="O407" s="736">
        <f t="shared" si="542"/>
        <v>951313162.94000018</v>
      </c>
      <c r="P407" s="736">
        <f t="shared" si="542"/>
        <v>3675443028.420002</v>
      </c>
      <c r="Q407" s="736">
        <f t="shared" si="542"/>
        <v>-117338903.94000004</v>
      </c>
      <c r="S407" s="736">
        <f>S36+S37+S39+S40+S41+S42+S43+S44+S45+S46+S47+S48+S49+S50+S51+S52+S53+S54+S55+S57+S58+S59+S60+S61+S62+S65+S67+S68+S69+S73+S74+S75+S76+S77+S78+S79+S80+S81+S82+S83+S84+S87+S88+S91+S92+S93+S94+S95+S96+S97+S105+S106+S107+S108+S110+S111+S113+S114+S115+S116+S117+S120+S121+S122+S123+S126+S127+S128+S129+S130+S131+S132+S141+S142+S143+S144+S145+S147+S148+S149+S150+S151+S152+S153+S155+S156+S157+S159+S161+S162+S163+S164+S165+S166+S167+S168+S169+S171+S172+S174+S177+S178+S180+S185+S186+S187+S191+S194+S196+S197+S198+S201+S202+S203+S205+S208+S213+S214+S215+S218+S219+S220+S221+S222+S226+S228+S231+S232+S233+S234</f>
        <v>3514638576.1953321</v>
      </c>
      <c r="T407" s="736">
        <f>T36+T37+T39+T40+T41+T42+T43+T44+T45+T46+T47+T48+T49+T50+T51+T52+T53+T54+T55+T57+T58+T59+T60+T61+T62+T65+T67+T68+T69+T73+T74+T75+T76+T77+T78+T79+T80+T81+T82+T83+T84+T87+T88+T91+T92+T93+T94+T95+T96+T97+T105+T106+T107+T108+T110+T111+T113+T114+T115+T116+T117+T120+T121+T122+T123+T126+T127+T128+T129+T130+T131+T132+T141+T142+T143+T144+T145+T147+T148+T149+T150+T151+T152+T153+T155+T156+T157+T159+T161+T162+T163+T164+T165+T166+T167+T168+T169+T171+T172+T174+T177+T178+T180+T185+T186+T187+T191+T194+T196+T197+T198+T201+T202+T203+T205+T208+T213+T214+T215+T218+T219+T220+T221+T222+T226+T228+T231+T232+T233+T234</f>
        <v>3477262458.0118933</v>
      </c>
      <c r="U407" s="736">
        <f>U36+U37+U39+U40+U41+U42+U43+U44+U45+U46+U47+U48+U49+U50+U51+U52+U53+U54+U55+U57+U58+U59+U60+U61+U62+U65+U67+U68+U69+U73+U74+U75+U76+U77+U78+U79+U80+U81+U82+U83+U84+U87+U88+U91+U92+U93+U94+U95+U96+U97+U105+U106+U107+U108+U110+U111+U113+U114+U115+U116+U117+U120+U121+U122+U123+U126+U127+U128+U129+U130+U131+U132+U141+U142+U143+U144+U145+U147+U148+U149+U150+U151+U152+U153+U155+U156+U157+U159+U161+U162+U163+U164+U165+U166+U167+U168+U169+U171+U172+U174+U177+U178+U180+U185+U186+U187+U191+U194+U196+U197+U198+U201+U202+U203+U205+U208+U213+U214+U215+U218+U219+U220+U221+U222+U226+U228+U231+U232+U233+U234</f>
        <v>3637048805.2570558</v>
      </c>
      <c r="AQ407" s="736">
        <f>AQ36+AQ37+AQ39+AQ40+AQ41+AQ42+AQ43+AQ44+AQ45+AQ46+AQ47+AQ48+AQ49+AQ50+AQ51+AQ52+AQ53+AQ54+AQ55+AQ57+AQ58+AQ59+AQ60+AQ61+AQ62+AQ65+AQ67+AQ68+AQ69+AQ73+AQ74+AQ75+AQ76+AQ77+AQ78+AQ79+AQ80+AQ81+AQ82+AQ83+AQ84+AQ87+AQ88+AQ91+AQ92+AQ93+AQ94+AQ95+AQ96+AQ97+AQ105+AQ106+AQ107+AQ108+AQ110+AQ111+AQ113+AQ114+AQ115+AQ116+AQ117+AQ120+AQ121+AQ122+AQ123+AQ126+AQ127+AQ128+AQ129+AQ130+AQ131+AQ132+AQ141+AQ142+AQ143+AQ144+AQ145+AQ147+AQ148+AQ149+AQ150+AQ151+AQ152+AQ153+AQ155+AQ156+AQ157+AQ159+AQ161+AQ162+AQ163+AQ164+AQ165+AQ166+AQ167+AQ168+AQ169+AQ171+AQ172+AQ174+AQ177+AQ178+AQ180+AQ185+AQ186+AQ187+AQ191+AQ194+AQ196+AQ197+AQ198+AQ201+AQ202+AQ203+AQ205+AQ208+AQ213+AQ214+AQ215+AQ218+AQ219+AQ220+AQ221+AQ222+AQ226+AQ228+AQ231+AQ232+AQ233+AQ234</f>
        <v>852837386.69259179</v>
      </c>
      <c r="AR407" s="736">
        <f>AR36+AR37+AR39+AR40+AR41+AR42+AR43+AR44+AR45+AR46+AR47+AR48+AR49+AR50+AR51+AR52+AR53+AR54+AR55+AR57+AR58+AR59+AR60+AR61+AR62+AR65+AR67+AR68+AR69+AR73+AR74+AR75+AR76+AR77+AR78+AR79+AR80+AR81+AR82+AR83+AR84+AR87+AR88+AR91+AR92+AR93+AR94+AR95+AR96+AR97+AR105+AR106+AR107+AR108+AR110+AR111+AR113+AR114+AR115+AR116+AR117+AR120+AR121+AR122+AR123+AR126+AR127+AR128+AR129+AR130+AR131+AR132+AR141+AR142+AR143+AR144+AR145+AR147+AR148+AR149+AR150+AR151+AR152+AR153+AR155+AR156+AR157+AR159+AR161+AR162+AR163+AR164+AR165+AR166+AR167+AR168+AR169+AR171+AR172+AR174+AR177+AR178+AR180+AR185+AR186+AR187+AR191+AR194+AR196+AR197+AR198+AR201+AR202+AR203+AR205+AR208+AR213+AR214+AR215+AR218+AR219+AR220+AR221+AR222+AR226+AR228+AR231+AR232+AR233+AR234</f>
        <v>870916635.77999985</v>
      </c>
      <c r="AS407" s="736">
        <f>AS36+AS37+AS39+AS40+AS41+AS42+AS43+AS44+AS45+AS46+AS47+AS48+AS49+AS50+AS51+AS52+AS53+AS54+AS55+AS57+AS58+AS59+AS60+AS61+AS62+AS65+AS67+AS68+AS69+AS73+AS74+AS75+AS76+AS77+AS78+AS79+AS80+AS81+AS82+AS83+AS84+AS87+AS88+AS91+AS92+AS93+AS94+AS95+AS96+AS97+AS105+AS106+AS107+AS108+AS110+AS111+AS113+AS114+AS115+AS116+AS117+AS120+AS121+AS122+AS123+AS126+AS127+AS128+AS129+AS130+AS131+AS132+AS141+AS142+AS143+AS144+AS145+AS147+AS148+AS149+AS150+AS151+AS152+AS153+AS155+AS156+AS157+AS159+AS161+AS162+AS163+AS164+AS165+AS166+AS167+AS168+AS169+AS171+AS172+AS174+AS177+AS178+AS180+AS185+AS186+AS187+AS191+AS194+AS196+AS197+AS198+AS201+AS202+AS203+AS205+AS208+AS213+AS214+AS215+AS218+AS219+AS220+AS221+AS222+AS226+AS228+AS231+AS232+AS233+AS234</f>
        <v>1035157760.073416</v>
      </c>
      <c r="AT407" s="736">
        <f>AT36+AT37+AT39+AT40+AT41+AT42+AT43+AT44+AT45+AT46+AT47+AT48+AT49+AT50+AT51+AT52+AT53+AT54+AT55+AT57+AT58+AT59+AT60+AT61+AT62+AT65+AT67+AT68+AT69+AT73+AT74+AT75+AT76+AT77+AT78+AT79+AT80+AT81+AT82+AT83+AT84+AT87+AT88+AT91+AT92+AT93+AT94+AT95+AT96+AT97+AT105+AT106+AT107+AT108+AT110+AT111+AT113+AT114+AT115+AT116+AT117+AT120+AT121+AT122+AT123+AT126+AT127+AT128+AT129+AT130+AT131+AT132+AT141+AT142+AT143+AT144+AT145+AT147+AT148+AT149+AT150+AT151+AT152+AT153+AT155+AT156+AT157+AT159+AT161+AT162+AT163+AT164+AT165+AT166+AT167+AT168+AT169+AT171+AT172+AT174+AT177+AT178+AT180+AT185+AT186+AT187+AT191+AT194+AT196+AT197+AT198+AT201+AT202+AT203+AT205+AT208+AT213+AT214+AT215+AT218+AT219+AT220+AT221+AT222+AT226+AT228+AT231+AT232+AT233+AT234</f>
        <v>908796612.32000065</v>
      </c>
      <c r="BB407" s="736">
        <f>BB36+BB37+BB39+BB40+BB41+BB42+BB43+BB44+BB45+BB46+BB47+BB48+BB49+BB50+BB51+BB52+BB53+BB54+BB55+BB57+BB58+BB59+BB60+BB61+BB62+BB65+BB67+BB68+BB69+BB73+BB74+BB75+BB76+BB77+BB78+BB79+BB80+BB81+BB82+BB83+BB84+BB87+BB88+BB91+BB92+BB93+BB94+BB95+BB96+BB97+BB105+BB106+BB107+BB108+BB110+BB111+BB113+BB114+BB115+BB116+BB117+BB120+BB121+BB122+BB123+BB126+BB127+BB128+BB129+BB130+BB131+BB132+BB141+BB142+BB143+BB144+BB145+BB147+BB148+BB149+BB150+BB151+BB152+BB153+BB155+BB156+BB157+BB159+BB161+BB162+BB163+BB164+BB165+BB166+BB167+BB168+BB169+BB171+BB172+BB174+BB177+BB178+BB180+BB185+BB186+BB187+BB191+BB194+BB196+BB197+BB198+BB201+BB202+BB203+BB205+BB208+BB213+BB214+BB215+BB218+BB219+BB220+BB221+BB222+BB226+BB228+BB231+BB232+BB233+BB234</f>
        <v>921459323.45323861</v>
      </c>
      <c r="BC407" s="739">
        <f>BC36+BC37+BC39+BC40+BC41+BC42+BC43+BC44+BC45+BC46+BC47+BC48+BC49+BC50+BC51+BC52+BC53+BC54+BC55+BC57+BC58+BC59+BC60+BC61+BC62+BC65+BC67+BC68+BC69+BC73+BC74+BC75+BC76+BC77+BC78+BC79+BC80+BC81+BC82+BC83+BC84+BC87+BC88+BC91+BC92+BC93+BC94+BC95+BC96+BC97+BC105+BC106+BC107+BC108+BC110+BC111+BC113+BC114+BC115+BC116+BC117+BC120+BC121+BC122+BC123+BC126+BC127+BC128+BC129+BC130+BC131+BC132+BC141+BC142+BC143+BC144+BC145+BC147+BC148+BC149+BC150+BC151+BC152+BC153+BC155+BC156+BC157+BC159+BC161+BC162+BC163+BC164+BC165+BC166+BC167+BC168+BC169+BC171+BC172+BC174+BC177+BC178+BC180+BC185+BC186+BC187+BC191+BC194+BC196+BC197+BC198+BC201+BC202+BC203+BC205+BC208+BC213+BC214+BC215+BC218+BC219+BC220+BC221+BC222+BC226+BC228+BC231+BC232+BC233+BC234</f>
        <v>1022519573.8423746</v>
      </c>
      <c r="BD407" s="739">
        <f t="shared" ref="BD407:BI407" si="543">BD36+BD37+BD39+BD40+BD41+BD42+BD43+BD44+BD45+BD46+BD47+BD48+BD49+BD50+BD51+BD52+BD53+BD54+BD55+BD57+BD58+BD59+BD60+BD61+BD62+BD65+BD67+BD68+BD69+BD73+BD74+BD75+BD76+BD77+BD78+BD79+BD80+BD81+BD82+BD83+BD84+BD87+BD88+BD91+BD92+BD93+BD94+BD95+BD96+BD97+BD105+BD106+BD107+BD108+BD110+BD111+BD113+BD114+BD115+BD116+BD117+BD120+BD121+BD122+BD123+BD126+BD127+BD128+BD129+BD130+BD131+BD132+BD141+BD142+BD143+BD144+BD145+BD147+BD148+BD149+BD150+BD151+BD152+BD153+BD155+BD156+BD157+BD159+BD161+BD162+BD163+BD164+BD165+BD166+BD167+BD168+BD169+BD171+BD172+BD174+BD177+BD178+BD180+BD185+BD186+BD187+BD191+BD194+BD196+BD197+BD198+BD201+BD202+BD203+BD205+BD208+BD213+BD214+BD215+BD218+BD219+BD220+BD221+BD222+BD226+BD228+BD231+BD232+BD233+BD234</f>
        <v>947553644.7099998</v>
      </c>
      <c r="BG407" s="739">
        <f t="shared" ref="BG407" si="544">BG36+BG37+BG39+BG40+BG41+BG42+BG43+BG44+BG45+BG46+BG47+BG48+BG49+BG50+BG51+BG52+BG53+BG54+BG55+BG57+BG58+BG59+BG60+BG61+BG62+BG65+BG67+BG68+BG69+BG73+BG74+BG75+BG76+BG77+BG78+BG79+BG80+BG81+BG82+BG83+BG84+BG87+BG88+BG91+BG92+BG93+BG94+BG95+BG96+BG97+BG105+BG106+BG107+BG108+BG110+BG111+BG113+BG114+BG115+BG116+BG117+BG120+BG121+BG122+BG123+BG126+BG127+BG128+BG129+BG130+BG131+BG132+BG141+BG142+BG143+BG144+BG145+BG147+BG148+BG149+BG150+BG151+BG152+BG153+BG155+BG156+BG157+BG159+BG161+BG162+BG163+BG164+BG165+BG166+BG167+BG168+BG169+BG171+BG172+BG174+BG177+BG178+BG180+BG185+BG186+BG187+BG191+BG194+BG196+BG197+BG198+BG201+BG202+BG203+BG205+BG208+BG213+BG214+BG215+BG218+BG219+BG220+BG221+BG222+BG226+BG228+BG231+BG232+BG233+BG234</f>
        <v>2809454470.2192488</v>
      </c>
      <c r="BH407" s="738">
        <f t="shared" si="543"/>
        <v>2802232821.9423742</v>
      </c>
      <c r="BI407" s="738">
        <f t="shared" si="543"/>
        <v>2727266892.809998</v>
      </c>
      <c r="BJ407" s="738"/>
      <c r="BK407" s="738"/>
      <c r="BL407" s="738">
        <f>BL36+BL37+BL39+BL40+BL41+BL42+BL43+BL44+BL45+BL46+BL47+BL48+BL49+BL50+BL51+BL52+BL53+BL54+BL55+BL57+BL58+BL59+BL60+BL61+BL62+BL65+BL67+BL68+BL69+BL73+BL74+BL75+BL76+BL77+BL78+BL79+BL80+BL81+BL82+BL83+BL84+BL87+BL88+BL91+BL92+BL93+BL94+BL95+BL96+BL97+BL105+BL106+BL107+BL108+BL110+BL111+BL113+BL114+BL115+BL116+BL117+BL120+BL121+BL122+BL123+BL126+BL127+BL128+BL129+BL130+BL131+BL132+BL141+BL142+BL143+BL144+BL145+BL147+BL148+BL149+BL150+BL151+BL152+BL153+BL155+BL156+BL157+BL159+BL161+BL162+BL163+BL164+BL165+BL166+BL167+BL168+BL169+BL171+BL172+BL174+BL177+BL178+BL180+BL185+BL186+BL187+BL191+BL194+BL196+BL197+BL198+BL201+BL202+BL203+BL205+BL208+BL213+BL214+BL215+BL218+BL219+BL220+BL221+BL222+BL226+BL228+BL231+BL232+BL233+BL234</f>
        <v>827594335.03780663</v>
      </c>
      <c r="BM407" s="738">
        <f>BM36+BM37+BM39+BM40+BM41+BM42+BM43+BM44+BM45+BM46+BM47+BM48+BM49+BM50+BM51+BM52+BM53+BM54+BM55+BM57+BM58+BM59+BM60+BM61+BM62+BM65+BM67+BM68+BM69+BM73+BM74+BM75+BM76+BM77+BM78+BM79+BM80+BM81+BM82+BM83+BM84+BM87+BM88+BM91+BM92+BM93+BM94+BM95+BM96+BM97+BM105+BM106+BM107+BM108+BM110+BM111+BM113+BM114+BM115+BM116+BM117+BM120+BM121+BM122+BM123+BM126+BM127+BM128+BM129+BM130+BM131+BM132+BM141+BM142+BM143+BM144+BM145+BM147+BM148+BM149+BM150+BM151+BM152+BM153+BM155+BM156+BM157+BM159+BM161+BM162+BM163+BM164+BM165+BM166+BM167+BM168+BM169+BM171+BM172+BM174+BM177+BM178+BM180+BM185+BM186+BM187+BM191+BM194+BM196+BM197+BM198+BM201+BM202+BM203+BM205+BM208+BM213+BM214+BM215+BM218+BM219+BM220+BM221+BM222+BM226+BM228+BM231+BM232+BM233+BM234</f>
        <v>900162845.05311406</v>
      </c>
      <c r="BO407" s="738"/>
      <c r="BP407" s="738"/>
      <c r="BQ407" s="738">
        <f>BQ36+BQ37+BQ39+BQ40+BQ41+BQ42+BQ43+BQ44+BQ45+BQ46+BQ47+BQ48+BQ49+BQ50+BQ51+BQ52+BQ53+BQ54+BQ55+BQ57+BQ58+BQ59+BQ60+BQ61+BQ62+BQ65+BQ67+BQ68+BQ69+BQ73+BQ74+BQ75+BQ76+BQ77+BQ78+BQ79+BQ80+BQ81+BQ82+BQ83+BQ84+BQ87+BQ88+BQ91+BQ92+BQ93+BQ94+BQ95+BQ96+BQ97+BQ105+BQ106+BQ107+BQ108+BQ110+BQ111+BQ113+BQ114+BQ115+BQ116+BQ117+BQ120+BQ121+BQ122+BQ123+BQ126+BQ127+BQ128+BQ129+BQ130+BQ131+BQ132+BQ141+BQ142+BQ143+BQ144+BQ145+BQ147+BQ148+BQ149+BQ150+BQ151+BQ152+BQ153+BQ155+BQ156+BQ157+BQ159+BQ161+BQ162+BQ163+BQ164+BQ165+BQ166+BQ167+BQ168+BQ169+BQ171+BQ172+BQ174+BQ177+BQ178+BQ180+BQ185+BQ186+BQ187+BQ191+BQ194+BQ196+BQ197+BQ198+BQ201+BQ202+BQ203+BQ205+BQ208+BQ213+BQ214+BQ215+BQ218+BQ219+BQ220+BQ221+BQ222+BQ226+BQ228+BQ231+BQ232+BQ233+BQ234</f>
        <v>827594335.03780663</v>
      </c>
      <c r="BR407" s="738">
        <f>BR36+BR37+BR39+BR40+BR41+BR42+BR43+BR44+BR45+BR46+BR47+BR48+BR49+BR50+BR51+BR52+BR53+BR54+BR55+BR57+BR58+BR59+BR60+BR61+BR62+BR65+BR67+BR68+BR69+BR73+BR74+BR75+BR76+BR77+BR78+BR79+BR80+BR81+BR82+BR83+BR84+BR87+BR88+BR91+BR92+BR93+BR94+BR95+BR96+BR97+BR105+BR106+BR107+BR108+BR110+BR111+BR113+BR114+BR115+BR116+BR117+BR120+BR121+BR122+BR123+BR126+BR127+BR128+BR129+BR130+BR131+BR132+BR141+BR142+BR143+BR144+BR145+BR147+BR148+BR149+BR150+BR151+BR152+BR153+BR155+BR156+BR157+BR159+BR161+BR162+BR163+BR164+BR165+BR166+BR167+BR168+BR169+BR171+BR172+BR174+BR177+BR178+BR180+BR185+BR186+BR187+BR191+BR194+BR196+BR197+BR198+BR201+BR202+BR203+BR205+BR208+BR213+BR214+BR215+BR218+BR219+BR220+BR221+BR222+BR226+BR228+BR231+BR232+BR233+BR234</f>
        <v>0</v>
      </c>
      <c r="BU407" s="752"/>
      <c r="BV407" s="752"/>
      <c r="BW407" s="752"/>
      <c r="BY407" s="752"/>
      <c r="BZ407" s="752"/>
      <c r="CA407" s="752"/>
      <c r="CB407" s="752"/>
      <c r="CC407" s="752"/>
      <c r="CK407" s="736" t="e">
        <f>CK36+CK37+CK39+CK40+CK41+CK42+CK43+CK44+CK45+CK46+CK47+CK48+CK49+CK50+CK51+CK52+CK53+CK54+CK55+CK57+CK58+CK59+CK60+CK61+CK62+CK65+CK67+CK68+CK69+CK73+CK74+CK75+CK76+CK77+CK78+CK79+CK80+CK81+CK82+CK83+CK84+CK87+CK88+CK91+CK92+CK93+CK94+CK95+CK96+CK97+CK105+CK106+CK107+CK108+CK110+CK111+CK113+CK114+CK115+CK116+CK117+CK120+CK121+CK122+CK123+CK126+CK127+CK128+CK129+CK130+CK131+CK132+CK141+CK142+CK143+CK144+CK145+CK147+CK148+CK149+CK150+CK151+CK152+CK153+CK155+CK156+CK157+CK159+CK161+CK162+CK163+CK164+CK165+CK166+CK167+CK168+CK169+CK171+CK172+CK174+CK177+CK178+CK180+CK185+CK186+CK187+CK191+CK194+CK196+CK197+CK198+CK201+CK202+CK203+CK205+CK208+CK213+CK214+CK215+CK218+CK219+CK220+CK221+CK222+CK226+CK228+CK231+CK232+CK233+CK234</f>
        <v>#VALUE!</v>
      </c>
      <c r="CL407" s="736" t="e">
        <f>CL36+CL37+CL39+CL40+CL41+CL42+CL43+CL44+CL45+CL46+CL47+CL48+CL49+CL50+CL51+CL52+CL53+CL54+CL55+CL57+CL58+CL59+CL60+CL61+CL62+CL65+CL67+CL68+CL69+CL73+CL74+CL75+CL76+CL77+CL78+CL79+CL80+CL81+CL82+CL83+CL84+CL87+CL88+CL91+CL92+CL93+CL94+CL95+CL96+CL97+CL105+CL106+CL107+CL108+CL110+CL111+CL113+CL114+CL115+CL116+CL117+CL120+CL121+CL122+CL123+CL126+CL127+CL128+CL129+CL130+CL131+CL132+CL141+CL142+CL143+CL144+CL145+CL147+CL148+CL149+CL150+CL151+CL152+CL153+CL155+CL156+CL157+CL159+CL161+CL162+CL163+CL164+CL165+CL166+CL167+CL168+CL169+CL171+CL172+CL174+CL177+CL178+CL180+CL185+CL186+CL187+CL191+CL194+CL196+CL197+CL198+CL201+CL202+CL203+CL205+CL208+CL213+CL214+CL215+CL218+CL219+CL220+CL221+CL222+CL226+CL228+CL231+CL232+CL233+CL234</f>
        <v>#VALUE!</v>
      </c>
      <c r="DB407" s="736">
        <f>DB36+DB37+DB39+DB40+DB41+DB42+DB43+DB44+DB45+DB46+DB47+DB48+DB49+DB50+DB51+DB52+DB53+DB54+DB55+DB57+DB58+DB59+DB60+DB61+DB62+DB65+DB67+DB68+DB69+DB73+DB74+DB75+DB76+DB77+DB78+DB79+DB80+DB81+DB82+DB83+DB84+DB87+DB88+DB91+DB92+DB93+DB94+DB95+DB96+DB97+DB105+DB106+DB107+DB108+DB110+DB111+DB113+DB114+DB115+DB116+DB117+DB120+DB121+DB122+DB123+DB126+DB127+DB128+DB129+DB130+DB131+DB132+DB141+DB142+DB143+DB144+DB145+DB147+DB148+DB149+DB150+DB151+DB152+DB153+DB155+DB156+DB157+DB159+DB161+DB162+DB163+DB164+DB165+DB166+DB167+DB168+DB169+DB171+DB172+DB174+DB177+DB178+DB180+DB185+DB186+DB187+DB191+DB194+DB196+DB197+DB198+DB201+DB202+DB203+DB205+DB208+DB213+DB214+DB215+DB218+DB219+DB220+DB221+DB222+DB226+DB228+DB231+DB232+DB233+DB234</f>
        <v>870916635.77999985</v>
      </c>
      <c r="DF407" s="752"/>
      <c r="DG407" s="752"/>
      <c r="DH407" s="752"/>
      <c r="DI407" s="752"/>
    </row>
    <row r="408" spans="2:113" outlineLevel="1">
      <c r="B408" s="782" t="s">
        <v>1305</v>
      </c>
      <c r="BH408" s="738"/>
      <c r="BI408" s="738"/>
      <c r="BJ408" s="738"/>
      <c r="BK408" s="738"/>
      <c r="BO408" s="738"/>
      <c r="BP408" s="738"/>
      <c r="BU408" s="752"/>
      <c r="BV408" s="752"/>
      <c r="BW408" s="752"/>
      <c r="BY408" s="752"/>
      <c r="BZ408" s="752"/>
      <c r="CA408" s="752"/>
      <c r="CB408" s="752"/>
      <c r="CC408" s="752"/>
      <c r="CK408" s="736"/>
      <c r="CL408" s="736"/>
      <c r="CM408" s="782"/>
      <c r="DF408" s="752"/>
      <c r="DG408" s="752"/>
      <c r="DH408" s="752"/>
      <c r="DI408" s="752"/>
    </row>
    <row r="409" spans="2:113" outlineLevel="1">
      <c r="B409" s="782" t="s">
        <v>1990</v>
      </c>
      <c r="BH409" s="738"/>
      <c r="BI409" s="738"/>
      <c r="BJ409" s="738"/>
      <c r="BK409" s="738"/>
      <c r="BO409" s="738"/>
      <c r="BP409" s="738"/>
      <c r="BU409" s="752"/>
      <c r="BV409" s="752"/>
      <c r="BW409" s="752"/>
      <c r="BY409" s="752"/>
      <c r="BZ409" s="752"/>
      <c r="CA409" s="752"/>
      <c r="CB409" s="752"/>
      <c r="CC409" s="752"/>
      <c r="CK409" s="736"/>
      <c r="CL409" s="736"/>
      <c r="DF409" s="752"/>
      <c r="DG409" s="752"/>
      <c r="DH409" s="752"/>
      <c r="DI409" s="752"/>
    </row>
    <row r="410" spans="2:113" outlineLevel="1">
      <c r="BH410" s="738"/>
      <c r="BI410" s="738"/>
      <c r="BJ410" s="738"/>
      <c r="BK410" s="738"/>
      <c r="BO410" s="738"/>
      <c r="BP410" s="738"/>
      <c r="BU410" s="752"/>
      <c r="BV410" s="752"/>
      <c r="BW410" s="752"/>
      <c r="BY410" s="752"/>
      <c r="BZ410" s="752"/>
      <c r="CA410" s="752"/>
      <c r="CB410" s="752"/>
      <c r="CC410" s="752"/>
      <c r="CK410" s="736"/>
      <c r="CL410" s="736"/>
      <c r="DF410" s="752"/>
      <c r="DG410" s="752"/>
      <c r="DH410" s="752"/>
      <c r="DI410" s="752"/>
    </row>
    <row r="411" spans="2:113" outlineLevel="1">
      <c r="BH411" s="738"/>
      <c r="BI411" s="738"/>
      <c r="BJ411" s="738"/>
      <c r="BK411" s="738"/>
      <c r="BO411" s="738"/>
      <c r="BP411" s="738"/>
      <c r="BU411" s="752"/>
      <c r="BV411" s="752"/>
      <c r="BW411" s="752"/>
      <c r="BY411" s="752"/>
      <c r="BZ411" s="752"/>
      <c r="CA411" s="752"/>
      <c r="CB411" s="752"/>
      <c r="CC411" s="752"/>
      <c r="CK411" s="736"/>
      <c r="CL411" s="736"/>
      <c r="DF411" s="752"/>
      <c r="DG411" s="752"/>
      <c r="DH411" s="752"/>
      <c r="DI411" s="752"/>
    </row>
    <row r="412" spans="2:113" outlineLevel="1">
      <c r="BH412" s="738"/>
      <c r="BI412" s="738"/>
      <c r="BJ412" s="738"/>
      <c r="BK412" s="738"/>
      <c r="BO412" s="738"/>
      <c r="BP412" s="738"/>
      <c r="BU412" s="752"/>
      <c r="BV412" s="752"/>
      <c r="BW412" s="752"/>
      <c r="BY412" s="752"/>
      <c r="BZ412" s="752"/>
      <c r="CA412" s="752"/>
      <c r="CB412" s="752"/>
      <c r="CC412" s="752"/>
      <c r="CK412" s="736"/>
      <c r="CL412" s="736"/>
      <c r="DF412" s="752"/>
      <c r="DG412" s="752"/>
      <c r="DH412" s="752"/>
      <c r="DI412" s="752"/>
    </row>
    <row r="413" spans="2:113" outlineLevel="1">
      <c r="B413" s="534" t="s">
        <v>2027</v>
      </c>
      <c r="I413" s="736">
        <f t="shared" ref="I413:Q413" si="545">I399+I400+I401+I402+I403+I404+I405-I407</f>
        <v>0</v>
      </c>
      <c r="J413" s="736">
        <f t="shared" si="545"/>
        <v>0</v>
      </c>
      <c r="K413" s="736">
        <f t="shared" si="545"/>
        <v>0</v>
      </c>
      <c r="L413" s="736">
        <f t="shared" si="545"/>
        <v>0</v>
      </c>
      <c r="M413" s="736">
        <f t="shared" si="545"/>
        <v>0</v>
      </c>
      <c r="N413" s="736">
        <f t="shared" si="545"/>
        <v>0</v>
      </c>
      <c r="O413" s="736">
        <f t="shared" si="545"/>
        <v>0</v>
      </c>
      <c r="P413" s="736">
        <f t="shared" si="545"/>
        <v>0</v>
      </c>
      <c r="Q413" s="736">
        <f t="shared" si="545"/>
        <v>0</v>
      </c>
      <c r="S413" s="736">
        <f>S399+S400+S401+S402+S403+S404+S405-S407</f>
        <v>0</v>
      </c>
      <c r="T413" s="736">
        <f>T399+T400+T401+T402+T403+T404+T405-T407</f>
        <v>0</v>
      </c>
      <c r="U413" s="736">
        <f>U399+U400+U401+U402+U403+U404+U405-U407</f>
        <v>0</v>
      </c>
      <c r="AQ413" s="736">
        <f>AQ399+AQ400+AQ401+AQ402+AQ403+AQ404+AQ405-AQ407</f>
        <v>0</v>
      </c>
      <c r="AR413" s="736">
        <f>AR399+AR400+AR401+AR402+AR403+AR404+AR405-AR407</f>
        <v>0</v>
      </c>
      <c r="AS413" s="736">
        <f>AS399+AS400+AS401+AS402+AS403+AS404+AS405-AS407</f>
        <v>0</v>
      </c>
      <c r="AT413" s="736">
        <f>AT399+AT400+AT401+AT402+AT403+AT404+AT405-AT407</f>
        <v>0</v>
      </c>
      <c r="BB413" s="736">
        <f>BB399+BB400+BB401+BB402+BB403+BB404+BB405-BB407</f>
        <v>0</v>
      </c>
      <c r="BC413" s="739">
        <f>BC399+BC400+BC401+BC402+BC403+BC404+BC405-BC407</f>
        <v>0</v>
      </c>
      <c r="BD413" s="739">
        <f t="shared" ref="BD413:BI413" si="546">BD399+BD400+BD401+BD402+BD403+BD404+BD405-BD407</f>
        <v>0</v>
      </c>
      <c r="BG413" s="739">
        <f t="shared" ref="BG413" si="547">BG399+BG400+BG401+BG402+BG403+BG404+BG405-BG407</f>
        <v>0</v>
      </c>
      <c r="BH413" s="738">
        <f t="shared" si="546"/>
        <v>0</v>
      </c>
      <c r="BI413" s="738">
        <f t="shared" si="546"/>
        <v>0</v>
      </c>
      <c r="BJ413" s="738"/>
      <c r="BK413" s="738"/>
      <c r="BL413" s="738">
        <f>BL399+BL400+BL401+BL402+BL403+BL404+BL405-BL407</f>
        <v>0</v>
      </c>
      <c r="BM413" s="738">
        <f>BM399+BM400+BM401+BM402+BM403+BM404+BM405-BM407</f>
        <v>0</v>
      </c>
      <c r="BO413" s="738"/>
      <c r="BP413" s="738"/>
      <c r="BQ413" s="738">
        <f>BQ399+BQ400+BQ401+BQ402+BQ403+BQ404+BQ405-BQ407</f>
        <v>0</v>
      </c>
      <c r="BR413" s="738">
        <f>BR399+BR400+BR401+BR402+BR403+BR404+BR405-BR407</f>
        <v>0</v>
      </c>
      <c r="BU413" s="752"/>
      <c r="BV413" s="752"/>
      <c r="BW413" s="752"/>
      <c r="BY413" s="752"/>
      <c r="BZ413" s="752"/>
      <c r="CA413" s="752"/>
      <c r="CB413" s="752"/>
      <c r="CC413" s="752"/>
      <c r="CK413" s="736" t="e">
        <f>CK399+CK400+CK401+CK402+CK403+CK404+CK405-CK407</f>
        <v>#VALUE!</v>
      </c>
      <c r="CL413" s="736" t="e">
        <f>CL399+CL400+CL401+CL402+CL403+CL404+CL405-CL407</f>
        <v>#VALUE!</v>
      </c>
      <c r="DB413" s="736">
        <f>DB399+DB400+DB401+DB402+DB403+DB404+DB405-DB407</f>
        <v>0</v>
      </c>
      <c r="DF413" s="752"/>
      <c r="DG413" s="752"/>
      <c r="DH413" s="752"/>
      <c r="DI413" s="752"/>
    </row>
    <row r="414" spans="2:113" outlineLevel="1">
      <c r="B414" s="780" t="s">
        <v>1907</v>
      </c>
      <c r="G414" s="736">
        <f>G91+G113+G114+G115+G121+G123</f>
        <v>187411515.28412318</v>
      </c>
      <c r="I414" s="736">
        <f t="shared" ref="I414:Q414" si="548">I91+I113+I114+I115+I116+I117+I121+I123</f>
        <v>202875510.36000004</v>
      </c>
      <c r="J414" s="736">
        <f t="shared" si="548"/>
        <v>70337567.210000008</v>
      </c>
      <c r="K414" s="736">
        <f t="shared" si="548"/>
        <v>68889121.549999997</v>
      </c>
      <c r="L414" s="736">
        <f t="shared" si="548"/>
        <v>63648821.600000009</v>
      </c>
      <c r="M414" s="736">
        <f t="shared" si="548"/>
        <v>139226688.75999999</v>
      </c>
      <c r="N414" s="736">
        <f t="shared" si="548"/>
        <v>117933144.95999999</v>
      </c>
      <c r="O414" s="736">
        <f t="shared" si="548"/>
        <v>73120667.450000003</v>
      </c>
      <c r="P414" s="736">
        <f t="shared" si="548"/>
        <v>191053812.41</v>
      </c>
      <c r="Q414" s="736">
        <f t="shared" si="548"/>
        <v>-11821697.950000003</v>
      </c>
      <c r="S414" s="736">
        <f>S91+S113+S114+S115+S116+S117+S121+S123</f>
        <v>147381073.20001602</v>
      </c>
      <c r="T414" s="736">
        <f>T91+T113+T114+T115+T116+T117+T121+T123</f>
        <v>147381073.20001602</v>
      </c>
      <c r="U414" s="736">
        <f>U91+U113+U114+U115+U116+U117+U121+U123</f>
        <v>166439252.02999997</v>
      </c>
      <c r="AQ414" s="736">
        <f>AQ91+AQ113+AQ114+AQ115+AQ116+AQ117+AQ121+AQ123</f>
        <v>14150020</v>
      </c>
      <c r="AR414" s="736">
        <f>AR91+AR113+AR114+AR115+AR116+AR117+AR121+AR123</f>
        <v>30825250.879999999</v>
      </c>
      <c r="AS414" s="736">
        <f>AS91+AS113+AS114+AS115+AS116+AS117+AS121+AS123</f>
        <v>60295939.57</v>
      </c>
      <c r="AT414" s="736">
        <f>AT91+AT113+AT114+AT115+AT116+AT117+AT121+AT123</f>
        <v>44260926.229999997</v>
      </c>
      <c r="BB414" s="736">
        <f>BB91+BB113+BB114+BB115+BB116+BB117+BB121+BB123</f>
        <v>61803813.359999992</v>
      </c>
      <c r="BC414" s="739">
        <f>BC91+BC113+BC114+BC115+BC116+BC117+BC121+BC123</f>
        <v>49830792.359999999</v>
      </c>
      <c r="BD414" s="739">
        <f t="shared" ref="BD414:BI414" si="549">BD91+BD113+BD114+BD115+BD116+BD117+BD121+BD123</f>
        <v>49640731.760000005</v>
      </c>
      <c r="BG414" s="739">
        <f t="shared" ref="BG414" si="550">BG91+BG113+BG114+BG115+BG116+BG117+BG121+BG123</f>
        <v>136249772.93000001</v>
      </c>
      <c r="BH414" s="738">
        <f t="shared" si="549"/>
        <v>124916969.47</v>
      </c>
      <c r="BI414" s="738">
        <f t="shared" si="549"/>
        <v>124726908.86999999</v>
      </c>
      <c r="BJ414" s="738"/>
      <c r="BK414" s="738"/>
      <c r="BL414" s="738">
        <f>BL91+BL113+BL114+BL115+BL116+BL117+BL121+BL123</f>
        <v>30189479.100000001</v>
      </c>
      <c r="BM414" s="738">
        <f>BM91+BM113+BM114+BM115+BM116+BM117+BM121+BM123</f>
        <v>25029136.330000002</v>
      </c>
      <c r="BO414" s="738"/>
      <c r="BP414" s="738"/>
      <c r="BQ414" s="738">
        <f>BQ91+BQ113+BQ114+BQ115+BQ116+BQ117+BQ121+BQ123</f>
        <v>30189479.100000001</v>
      </c>
      <c r="BR414" s="738">
        <f>BR91+BR113+BR114+BR115+BR116+BR117+BR121+BR123</f>
        <v>0</v>
      </c>
      <c r="BU414" s="752"/>
      <c r="BV414" s="752"/>
      <c r="BW414" s="752"/>
      <c r="BY414" s="752"/>
      <c r="BZ414" s="752"/>
      <c r="CA414" s="752"/>
      <c r="CB414" s="752"/>
      <c r="CC414" s="752"/>
      <c r="CK414" s="736" t="e">
        <f>CK91+CK113+CK114+CK115+CK116+CK117+CK121+CK123</f>
        <v>#VALUE!</v>
      </c>
      <c r="CL414" s="736" t="e">
        <f>CL91+CL113+CL114+CL115+CL116+CL117+CL121+CL123</f>
        <v>#VALUE!</v>
      </c>
      <c r="DB414" s="736">
        <f>DB91+DB113+DB114+DB115+DB116+DB117+DB121+DB123</f>
        <v>30825250.879999999</v>
      </c>
      <c r="DF414" s="752"/>
      <c r="DG414" s="752"/>
      <c r="DH414" s="752"/>
      <c r="DI414" s="752"/>
    </row>
    <row r="415" spans="2:113" outlineLevel="1">
      <c r="B415" s="780" t="s">
        <v>1857</v>
      </c>
      <c r="BH415" s="738"/>
      <c r="BI415" s="738"/>
      <c r="BJ415" s="738"/>
      <c r="BK415" s="738"/>
      <c r="BO415" s="738"/>
      <c r="BP415" s="738"/>
      <c r="BU415" s="752"/>
      <c r="BV415" s="752"/>
      <c r="BW415" s="752"/>
      <c r="BY415" s="752"/>
      <c r="BZ415" s="752"/>
      <c r="CA415" s="752"/>
      <c r="CB415" s="752"/>
      <c r="CC415" s="752"/>
      <c r="DB415" s="736"/>
      <c r="DF415" s="752"/>
      <c r="DG415" s="752"/>
      <c r="DH415" s="752"/>
      <c r="DI415" s="752"/>
    </row>
    <row r="416" spans="2:113" outlineLevel="1">
      <c r="B416" s="780" t="s">
        <v>2026</v>
      </c>
      <c r="BH416" s="738"/>
      <c r="BI416" s="738"/>
      <c r="BJ416" s="738"/>
      <c r="BK416" s="738"/>
      <c r="BO416" s="738"/>
      <c r="BP416" s="738"/>
      <c r="BU416" s="752"/>
      <c r="BV416" s="752"/>
      <c r="BW416" s="752"/>
      <c r="BY416" s="752"/>
      <c r="BZ416" s="752"/>
      <c r="CA416" s="752"/>
      <c r="CB416" s="752"/>
      <c r="CC416" s="752"/>
      <c r="DB416" s="736"/>
      <c r="DF416" s="752"/>
      <c r="DG416" s="752"/>
      <c r="DH416" s="752"/>
      <c r="DI416" s="752"/>
    </row>
    <row r="417" spans="1:123" outlineLevel="1">
      <c r="B417" s="780" t="s">
        <v>1925</v>
      </c>
      <c r="G417" s="736">
        <f>G147+G149+G151+G153+G155</f>
        <v>79818307.421773016</v>
      </c>
      <c r="I417" s="736">
        <f t="shared" ref="I417:Q417" si="551">I147+I148+I149+I150+I151+I153+I155</f>
        <v>113457807.37</v>
      </c>
      <c r="J417" s="736">
        <f t="shared" si="551"/>
        <v>18542631.100000001</v>
      </c>
      <c r="K417" s="736">
        <f t="shared" si="551"/>
        <v>58591381.469999999</v>
      </c>
      <c r="L417" s="736">
        <f t="shared" si="551"/>
        <v>36323794.800000004</v>
      </c>
      <c r="M417" s="736">
        <f t="shared" si="551"/>
        <v>77134012.569999993</v>
      </c>
      <c r="N417" s="736">
        <f t="shared" si="551"/>
        <v>52820594.910000004</v>
      </c>
      <c r="O417" s="736">
        <f t="shared" si="551"/>
        <v>66606812.400000006</v>
      </c>
      <c r="P417" s="736">
        <f t="shared" si="551"/>
        <v>119427407.31</v>
      </c>
      <c r="Q417" s="736">
        <f t="shared" si="551"/>
        <v>5969599.9400000004</v>
      </c>
      <c r="S417" s="736">
        <f>S147+S148+S149+S150+S151+S153+S155</f>
        <v>70369046.634844899</v>
      </c>
      <c r="T417" s="736">
        <f>T147+T148+T149+T150+T151+T153+T155</f>
        <v>70369046.634844899</v>
      </c>
      <c r="U417" s="736">
        <f>U147+U148+U149+U150+U151+U153+U155</f>
        <v>88685828.370000005</v>
      </c>
      <c r="AQ417" s="736">
        <f>AQ147+AQ148+AQ149+AQ150+AQ151+AQ153+AQ155</f>
        <v>7097237.7800000003</v>
      </c>
      <c r="AR417" s="736">
        <f>AR147+AR148+AR149+AR150+AR151+AR153+AR155</f>
        <v>16258392.219999999</v>
      </c>
      <c r="AS417" s="736">
        <f>AS147+AS148+AS149+AS150+AS151+AS153+AS155</f>
        <v>24557627.359999999</v>
      </c>
      <c r="AT417" s="736">
        <f>AT147+AT148+AT149+AT150+AT151+AT153+AT155</f>
        <v>32818768.449999999</v>
      </c>
      <c r="BB417" s="736">
        <f>BB147+BB148+BB149+BB150+BB151+BB153+BB155</f>
        <v>38465073.609999999</v>
      </c>
      <c r="BC417" s="739">
        <f>BC147+BC148+BC149+BC150+BC151+BC153+BC155</f>
        <v>54191883.50999999</v>
      </c>
      <c r="BD417" s="739">
        <f t="shared" ref="BD417:BI417" si="552">BD147+BD148+BD149+BD150+BD151+BD153+BD155</f>
        <v>49852511.809999995</v>
      </c>
      <c r="BG417" s="739">
        <f t="shared" ref="BG417" si="553">BG147+BG148+BG149+BG150+BG151+BG153+BG155</f>
        <v>70119938.75</v>
      </c>
      <c r="BH417" s="738">
        <f t="shared" si="552"/>
        <v>103269044.18000002</v>
      </c>
      <c r="BI417" s="738">
        <f t="shared" si="552"/>
        <v>98929672.479999989</v>
      </c>
      <c r="BJ417" s="738"/>
      <c r="BK417" s="738"/>
      <c r="BL417" s="738">
        <f>BL147+BL148+BL149+BL150+BL151+BL153+BL155</f>
        <v>18565889.620000005</v>
      </c>
      <c r="BM417" s="738">
        <f>BM147+BM148+BM149+BM150+BM151+BM153+BM155</f>
        <v>31700175.25</v>
      </c>
      <c r="BO417" s="738"/>
      <c r="BP417" s="738"/>
      <c r="BQ417" s="738">
        <f>BQ147+BQ148+BQ149+BQ150+BQ151+BQ153+BQ155</f>
        <v>18565889.620000005</v>
      </c>
      <c r="BR417" s="738">
        <f>BR147+BR148+BR149+BR150+BR151+BR153+BR155</f>
        <v>0</v>
      </c>
      <c r="BU417" s="752"/>
      <c r="BV417" s="752"/>
      <c r="BW417" s="752"/>
      <c r="BY417" s="752"/>
      <c r="BZ417" s="752"/>
      <c r="CA417" s="752"/>
      <c r="CB417" s="752"/>
      <c r="CC417" s="752"/>
      <c r="CK417" s="736" t="e">
        <f>CK147+CK148+CK149+CK150+CK151+CK153+CK155</f>
        <v>#VALUE!</v>
      </c>
      <c r="CL417" s="736" t="e">
        <f>CL147+CL148+CL149+CL150+CL151+CL153+CL155</f>
        <v>#VALUE!</v>
      </c>
      <c r="DB417" s="736">
        <f>DB147+DB148+DB149+DB150+DB151+DB153+DB155</f>
        <v>16258392.219999999</v>
      </c>
      <c r="DF417" s="752"/>
      <c r="DG417" s="752"/>
      <c r="DH417" s="752"/>
      <c r="DI417" s="752"/>
    </row>
    <row r="418" spans="1:123" outlineLevel="1">
      <c r="B418" s="780" t="s">
        <v>64</v>
      </c>
      <c r="BH418" s="738"/>
      <c r="BI418" s="738"/>
      <c r="BJ418" s="738"/>
      <c r="BK418" s="738"/>
      <c r="BO418" s="738"/>
      <c r="BP418" s="738"/>
      <c r="BU418" s="752"/>
      <c r="BV418" s="752"/>
      <c r="BW418" s="752"/>
      <c r="BY418" s="752"/>
      <c r="BZ418" s="752"/>
      <c r="CA418" s="752"/>
      <c r="CB418" s="752"/>
      <c r="CC418" s="752"/>
      <c r="DB418" s="736"/>
      <c r="DF418" s="752"/>
      <c r="DG418" s="752"/>
      <c r="DH418" s="752"/>
      <c r="DI418" s="752"/>
    </row>
    <row r="419" spans="1:123" outlineLevel="1">
      <c r="B419" s="780" t="s">
        <v>1905</v>
      </c>
      <c r="BH419" s="738"/>
      <c r="BI419" s="738"/>
      <c r="BJ419" s="738"/>
      <c r="BK419" s="738"/>
      <c r="BO419" s="738"/>
      <c r="BP419" s="738"/>
      <c r="BU419" s="752"/>
      <c r="BV419" s="752"/>
      <c r="BW419" s="752"/>
      <c r="BY419" s="752"/>
      <c r="BZ419" s="752"/>
      <c r="CA419" s="752"/>
      <c r="CB419" s="752"/>
      <c r="CC419" s="752"/>
      <c r="DB419" s="736"/>
      <c r="DF419" s="752"/>
      <c r="DG419" s="752"/>
      <c r="DH419" s="752"/>
      <c r="DI419" s="752"/>
    </row>
    <row r="420" spans="1:123" ht="28.8" outlineLevel="1" thickBot="1">
      <c r="B420" s="781" t="s">
        <v>1305</v>
      </c>
      <c r="BH420" s="738"/>
      <c r="BI420" s="738"/>
      <c r="BJ420" s="738"/>
      <c r="BK420" s="738"/>
      <c r="BO420" s="738"/>
      <c r="BP420" s="738"/>
      <c r="BU420" s="752"/>
      <c r="BV420" s="752"/>
      <c r="BW420" s="752"/>
      <c r="BY420" s="752"/>
      <c r="BZ420" s="752"/>
      <c r="CA420" s="752"/>
      <c r="CB420" s="752"/>
      <c r="CC420" s="752"/>
      <c r="DB420" s="736"/>
      <c r="DF420" s="752"/>
      <c r="DG420" s="752"/>
      <c r="DH420" s="752"/>
      <c r="DI420" s="752"/>
    </row>
    <row r="421" spans="1:123" outlineLevel="1">
      <c r="G421" s="736">
        <f t="shared" ref="G421:Q421" si="554">G414+G417</f>
        <v>267229822.7058962</v>
      </c>
      <c r="H421" s="736">
        <f t="shared" si="554"/>
        <v>0</v>
      </c>
      <c r="I421" s="736">
        <f t="shared" si="554"/>
        <v>316333317.73000002</v>
      </c>
      <c r="J421" s="736">
        <f t="shared" si="554"/>
        <v>88880198.310000002</v>
      </c>
      <c r="K421" s="736">
        <f t="shared" si="554"/>
        <v>127480503.02</v>
      </c>
      <c r="L421" s="736">
        <f t="shared" si="554"/>
        <v>99972616.400000006</v>
      </c>
      <c r="M421" s="736">
        <f t="shared" si="554"/>
        <v>216360701.32999998</v>
      </c>
      <c r="N421" s="736">
        <f t="shared" si="554"/>
        <v>170753739.87</v>
      </c>
      <c r="O421" s="736">
        <f t="shared" si="554"/>
        <v>139727479.85000002</v>
      </c>
      <c r="P421" s="736">
        <f t="shared" si="554"/>
        <v>310481219.72000003</v>
      </c>
      <c r="Q421" s="736">
        <f t="shared" si="554"/>
        <v>-5852098.0100000026</v>
      </c>
      <c r="S421" s="736">
        <f>S414+S417</f>
        <v>217750119.83486092</v>
      </c>
      <c r="T421" s="736">
        <f>T414+T417</f>
        <v>217750119.83486092</v>
      </c>
      <c r="U421" s="736">
        <f>U414+U417</f>
        <v>255125080.39999998</v>
      </c>
      <c r="AQ421" s="736">
        <f>AQ414+AQ417</f>
        <v>21247257.780000001</v>
      </c>
      <c r="AR421" s="736">
        <f>AR414+AR417</f>
        <v>47083643.099999994</v>
      </c>
      <c r="AS421" s="736">
        <f>AS414+AS417</f>
        <v>84853566.930000007</v>
      </c>
      <c r="AT421" s="736">
        <f>AT414+AT417</f>
        <v>77079694.679999992</v>
      </c>
      <c r="BB421" s="736">
        <f>BB414+BB417</f>
        <v>100268886.97</v>
      </c>
      <c r="BC421" s="739">
        <f>BC414+BC417</f>
        <v>104022675.86999999</v>
      </c>
      <c r="BD421" s="739">
        <f t="shared" ref="BD421:BI421" si="555">BD414+BD417</f>
        <v>99493243.569999993</v>
      </c>
      <c r="BG421" s="739">
        <f t="shared" ref="BG421" si="556">BG414+BG417</f>
        <v>206369711.68000001</v>
      </c>
      <c r="BH421" s="738">
        <f t="shared" si="555"/>
        <v>228186013.65000004</v>
      </c>
      <c r="BI421" s="738">
        <f t="shared" si="555"/>
        <v>223656581.34999996</v>
      </c>
      <c r="BJ421" s="738"/>
      <c r="BK421" s="738"/>
      <c r="BL421" s="738">
        <f>BL414+BL417</f>
        <v>48755368.720000006</v>
      </c>
      <c r="BM421" s="738">
        <f>BM414+BM417</f>
        <v>56729311.579999998</v>
      </c>
      <c r="BO421" s="738"/>
      <c r="BP421" s="738"/>
      <c r="BQ421" s="738">
        <f>BQ414+BQ417</f>
        <v>48755368.720000006</v>
      </c>
      <c r="BR421" s="738">
        <f>BR414+BR417</f>
        <v>0</v>
      </c>
      <c r="BU421" s="752"/>
      <c r="BV421" s="752"/>
      <c r="BW421" s="752"/>
      <c r="BY421" s="752"/>
      <c r="BZ421" s="752"/>
      <c r="CA421" s="752"/>
      <c r="CB421" s="752"/>
      <c r="CC421" s="752"/>
      <c r="CK421" s="736" t="e">
        <f>CK414+CK417</f>
        <v>#VALUE!</v>
      </c>
      <c r="CL421" s="736" t="e">
        <f>CL414+CL417</f>
        <v>#VALUE!</v>
      </c>
      <c r="DB421" s="736">
        <f>DB414+DB417</f>
        <v>47083643.099999994</v>
      </c>
      <c r="DF421" s="752"/>
      <c r="DG421" s="752"/>
      <c r="DH421" s="752"/>
      <c r="DI421" s="752"/>
    </row>
    <row r="422" spans="1:123" outlineLevel="1">
      <c r="BH422" s="738"/>
      <c r="BI422" s="738"/>
      <c r="BJ422" s="738"/>
      <c r="BK422" s="738"/>
      <c r="BO422" s="738"/>
      <c r="BP422" s="738"/>
      <c r="BU422" s="752"/>
      <c r="BV422" s="752"/>
      <c r="BW422" s="752"/>
      <c r="BY422" s="752"/>
      <c r="BZ422" s="752"/>
      <c r="CA422" s="752"/>
      <c r="CB422" s="752"/>
      <c r="CC422" s="752"/>
      <c r="DF422" s="752"/>
      <c r="DG422" s="752"/>
      <c r="DH422" s="752"/>
      <c r="DI422" s="752"/>
    </row>
    <row r="423" spans="1:123" outlineLevel="1">
      <c r="BH423" s="738"/>
      <c r="BI423" s="738"/>
      <c r="BJ423" s="738"/>
      <c r="BK423" s="738"/>
      <c r="BO423" s="738"/>
      <c r="BP423" s="738"/>
      <c r="BU423" s="752"/>
      <c r="BV423" s="752"/>
      <c r="BW423" s="752"/>
      <c r="BY423" s="752"/>
      <c r="BZ423" s="752"/>
      <c r="CA423" s="752"/>
      <c r="CB423" s="752"/>
      <c r="CC423" s="752"/>
      <c r="DF423" s="752"/>
      <c r="DG423" s="752"/>
      <c r="DH423" s="752"/>
      <c r="DI423" s="752"/>
    </row>
    <row r="424" spans="1:123" outlineLevel="1">
      <c r="BH424" s="738"/>
      <c r="BI424" s="738"/>
      <c r="BJ424" s="738"/>
      <c r="BK424" s="738"/>
      <c r="BO424" s="738"/>
      <c r="BP424" s="738"/>
      <c r="BU424" s="752"/>
      <c r="BV424" s="752"/>
      <c r="BW424" s="752"/>
      <c r="BY424" s="752"/>
      <c r="BZ424" s="752"/>
      <c r="CA424" s="752"/>
      <c r="CB424" s="752"/>
      <c r="CC424" s="752"/>
      <c r="DF424" s="752"/>
      <c r="DG424" s="752"/>
      <c r="DH424" s="752"/>
      <c r="DI424" s="752"/>
    </row>
    <row r="425" spans="1:123" outlineLevel="1">
      <c r="G425" s="736">
        <f>G36+G37+G39+G40+G41+G42+G43+G44+G45+G46+G47+G48+G49+G50+G51+G52+G53+G54+G55+G57+G60+G61+G62+G65+G67+G68+G69+G73+G74+G75+G76+G77+G78+G79+G80+G81+G82+G83+G84+G87+G88+G91+G92+G93+G94+G95+G96+G97+G105+G106+G107+G108+G110+G111+G113+G114+G115+G120+G121+G122+G123+G126+G127+G128+G129+G130+G131+G132+G141+G142+G143+G144+G145+G147+G149+G151+G153+G155+G156+G157+G159+G161+G162+G163+G164+G165+G166+G167+G168+G169+G171+G172+G174+G177+G178+G180+G185+G186+G187+G191+G194+G196+G197+G198+G201+G202+G203+G205+G208+G213+G214+G215+G218+G219+G220+G221+G222+G226+G228+G231+G232+G233+G234</f>
        <v>3289566005.1233473</v>
      </c>
      <c r="I425" s="736">
        <f t="shared" ref="I425:Q425" si="557">I36+I37+I39+I40+I41+I42+I43+I44+I45+I46+I47+I48+I49+I50+I51+I52+I53+I54+I55+I57+I58+I59+I60+I61+I62+I65+I67+I68+I69+I73+I74+I75+I76+I77+I78+I79+I80+I81+I82+I83+I84+I87+I88+I91+I92+I93+I94+I95+I96+I97+I105+I106+I107+I108+I110+I111+I113+I114+I115+I116+I117+I120+I121+I122+I123+I126+I127+I128+I129+I130+I131+I132+I141+I142+I143+I144+I145+I147+I148+I149+I150+I151+I152+I153+I155+I156+I157+I159+I161+I162+I163+I164+I165+I166+I167+I168+I169+I171+I172+I174+I177+I178+I180+I185+I186+I187+I191+I194+I196+I197+I198+I201+I202+I203+I205+I208+I213+I214+I215+I218+I219+I220+I221+I222+I226+I228+I231+I232+I233+I234</f>
        <v>3792781932.3599982</v>
      </c>
      <c r="J425" s="736">
        <f t="shared" si="557"/>
        <v>1839584755.7699997</v>
      </c>
      <c r="K425" s="736">
        <f t="shared" si="557"/>
        <v>996475250.97000027</v>
      </c>
      <c r="L425" s="736">
        <f t="shared" si="557"/>
        <v>956721925.61999965</v>
      </c>
      <c r="M425" s="736">
        <f t="shared" si="557"/>
        <v>2836060006.7399993</v>
      </c>
      <c r="N425" s="736">
        <f t="shared" si="557"/>
        <v>2724129865.4799972</v>
      </c>
      <c r="O425" s="736">
        <f t="shared" si="557"/>
        <v>951313162.94000018</v>
      </c>
      <c r="P425" s="736">
        <f t="shared" si="557"/>
        <v>3675443028.420002</v>
      </c>
      <c r="Q425" s="736">
        <f t="shared" si="557"/>
        <v>-117338903.94000004</v>
      </c>
      <c r="S425" s="736">
        <f>S36+S37+S39+S40+S41+S42+S43+S44+S45+S46+S47+S48+S49+S50+S51+S52+S53+S54+S55+S57+S58+S59+S60+S61+S62+S65+S67+S68+S69+S73+S74+S75+S76+S77+S78+S79+S80+S81+S82+S83+S84+S87+S88+S91+S92+S93+S94+S95+S96+S97+S105+S106+S107+S108+S110+S111+S113+S114+S115+S116+S117+S120+S121+S122+S123+S126+S127+S128+S129+S130+S131+S132+S141+S142+S143+S144+S145+S147+S148+S149+S150+S151+S152+S153+S155+S156+S157+S159+S161+S162+S163+S164+S165+S166+S167+S168+S169+S171+S172+S174+S177+S178+S180+S185+S186+S187+S191+S194+S196+S197+S198+S201+S202+S203+S205+S208+S213+S214+S215+S218+S219+S220+S221+S222+S226+S228+S231+S232+S233+S234</f>
        <v>3514638576.1953321</v>
      </c>
      <c r="T425" s="736">
        <f>T36+T37+T39+T40+T41+T42+T43+T44+T45+T46+T47+T48+T49+T50+T51+T52+T53+T54+T55+T57+T58+T59+T60+T61+T62+T65+T67+T68+T69+T73+T74+T75+T76+T77+T78+T79+T80+T81+T82+T83+T84+T87+T88+T91+T92+T93+T94+T95+T96+T97+T105+T106+T107+T108+T110+T111+T113+T114+T115+T116+T117+T120+T121+T122+T123+T126+T127+T128+T129+T130+T131+T132+T141+T142+T143+T144+T145+T147+T148+T149+T150+T151+T152+T153+T155+T156+T157+T159+T161+T162+T163+T164+T165+T166+T167+T168+T169+T171+T172+T174+T177+T178+T180+T185+T186+T187+T191+T194+T196+T197+T198+T201+T202+T203+T205+T208+T213+T214+T215+T218+T219+T220+T221+T222+T226+T228+T231+T232+T233+T234</f>
        <v>3477262458.0118933</v>
      </c>
      <c r="U425" s="736">
        <f>U36+U37+U39+U40+U41+U42+U43+U44+U45+U46+U47+U48+U49+U50+U51+U52+U53+U54+U55+U57+U58+U59+U60+U61+U62+U65+U67+U68+U69+U73+U74+U75+U76+U77+U78+U79+U80+U81+U82+U83+U84+U87+U88+U91+U92+U93+U94+U95+U96+U97+U105+U106+U107+U108+U110+U111+U113+U114+U115+U116+U117+U120+U121+U122+U123+U126+U127+U128+U129+U130+U131+U132+U141+U142+U143+U144+U145+U147+U148+U149+U150+U151+U152+U153+U155+U156+U157+U159+U161+U162+U163+U164+U165+U166+U167+U168+U169+U171+U172+U174+U177+U178+U180+U185+U186+U187+U191+U194+U196+U197+U198+U201+U202+U203+U205+U208+U213+U214+U215+U218+U219+U220+U221+U222+U226+U228+U231+U232+U233+U234</f>
        <v>3637048805.2570558</v>
      </c>
      <c r="BH425" s="738"/>
      <c r="BI425" s="738"/>
      <c r="BJ425" s="738"/>
      <c r="BK425" s="738"/>
      <c r="BO425" s="738"/>
      <c r="BP425" s="738"/>
      <c r="BU425" s="752"/>
      <c r="BV425" s="752"/>
      <c r="BW425" s="752"/>
      <c r="BY425" s="752"/>
      <c r="BZ425" s="752"/>
      <c r="CA425" s="752"/>
      <c r="CB425" s="752"/>
      <c r="CC425" s="752"/>
      <c r="CK425" s="736" t="e">
        <f>CK36+CK37+CK39+CK40+CK41+CK42+CK43+CK44+CK45+CK46+CK47+CK48+CK49+CK50+CK51+CK52+CK53+CK54+CK55+CK57+CK58+CK59+CK60+CK61+CK62+CK65+CK67+CK68+CK69+CK73+CK74+CK75+CK76+CK77+CK78+CK79+CK80+CK81+CK82+CK83+CK84+CK87+CK88+CK91+CK92+CK93+CK94+CK95+CK96+CK97+CK105+CK106+CK107+CK108+CK110+CK111+CK113+CK114+CK115+CK116+CK117+CK120+CK121+CK122+CK123+CK126+CK127+CK128+CK129+CK130+CK131+CK132+CK141+CK142+CK143+CK144+CK145+CK147+CK148+CK149+CK150+CK151+CK152+CK153+CK155+CK156+CK157+CK159+CK161+CK162+CK163+CK164+CK165+CK166+CK167+CK168+CK169+CK171+CK172+CK174+CK177+CK178+CK180+CK185+CK186+CK187+CK191+CK194+CK196+CK197+CK198+CK201+CK202+CK203+CK205+CK208+CK213+CK214+CK215+CK218+CK219+CK220+CK221+CK222+CK226+CK228+CK231+CK232+CK233+CK234</f>
        <v>#VALUE!</v>
      </c>
      <c r="CL425" s="736" t="e">
        <f>CL36+CL37+CL39+CL40+CL41+CL42+CL43+CL44+CL45+CL46+CL47+CL48+CL49+CL50+CL51+CL52+CL53+CL54+CL55+CL57+CL58+CL59+CL60+CL61+CL62+CL65+CL67+CL68+CL69+CL73+CL74+CL75+CL76+CL77+CL78+CL79+CL80+CL81+CL82+CL83+CL84+CL87+CL88+CL91+CL92+CL93+CL94+CL95+CL96+CL97+CL105+CL106+CL107+CL108+CL110+CL111+CL113+CL114+CL115+CL116+CL117+CL120+CL121+CL122+CL123+CL126+CL127+CL128+CL129+CL130+CL131+CL132+CL141+CL142+CL143+CL144+CL145+CL147+CL148+CL149+CL150+CL151+CL152+CL153+CL155+CL156+CL157+CL159+CL161+CL162+CL163+CL164+CL165+CL166+CL167+CL168+CL169+CL171+CL172+CL174+CL177+CL178+CL180+CL185+CL186+CL187+CL191+CL194+CL196+CL197+CL198+CL201+CL202+CL203+CL205+CL208+CL213+CL214+CL215+CL218+CL219+CL220+CL221+CL222+CL226+CL228+CL231+CL232+CL233+CL234</f>
        <v>#VALUE!</v>
      </c>
      <c r="DF425" s="752"/>
      <c r="DG425" s="752"/>
      <c r="DH425" s="752"/>
      <c r="DI425" s="752"/>
    </row>
    <row r="426" spans="1:123" outlineLevel="1">
      <c r="G426" s="736">
        <f>G91+G113+G114+G115+G121+G123+G147+G149+G151+G153+G155</f>
        <v>267229822.7058962</v>
      </c>
      <c r="I426" s="736">
        <f t="shared" ref="I426:Q426" si="558">I91+I113+I114+I115+I116+I117+I121+I123+I147+I148+I149+I150+I151+I153+I155</f>
        <v>316333317.72999996</v>
      </c>
      <c r="J426" s="736">
        <f t="shared" si="558"/>
        <v>88880198.310000032</v>
      </c>
      <c r="K426" s="736">
        <f t="shared" si="558"/>
        <v>127480503.02</v>
      </c>
      <c r="L426" s="736">
        <f t="shared" si="558"/>
        <v>99972616.400000006</v>
      </c>
      <c r="M426" s="736">
        <f t="shared" si="558"/>
        <v>216360701.32999998</v>
      </c>
      <c r="N426" s="736">
        <f t="shared" si="558"/>
        <v>170753739.87</v>
      </c>
      <c r="O426" s="736">
        <f t="shared" si="558"/>
        <v>139727479.84999999</v>
      </c>
      <c r="P426" s="736">
        <f t="shared" si="558"/>
        <v>310481219.72000003</v>
      </c>
      <c r="Q426" s="736">
        <f t="shared" si="558"/>
        <v>-5852098.0100000016</v>
      </c>
      <c r="S426" s="736">
        <f>S91+S113+S114+S115+S116+S117+S121+S123+S147+S148+S149+S150+S151+S153+S155</f>
        <v>217750119.83486089</v>
      </c>
      <c r="T426" s="736">
        <f>T91+T113+T114+T115+T116+T117+T121+T123+T147+T148+T149+T150+T151+T153+T155</f>
        <v>217750119.83486089</v>
      </c>
      <c r="U426" s="736">
        <f>U91+U113+U114+U115+U116+U117+U121+U123+U147+U148+U149+U150+U151+U153+U155</f>
        <v>255125080.39999998</v>
      </c>
      <c r="BH426" s="738"/>
      <c r="BI426" s="738"/>
      <c r="BJ426" s="738"/>
      <c r="BK426" s="738"/>
      <c r="BO426" s="738"/>
      <c r="BP426" s="738"/>
      <c r="BU426" s="752"/>
      <c r="BV426" s="752"/>
      <c r="BW426" s="752"/>
      <c r="BY426" s="752"/>
      <c r="BZ426" s="752"/>
      <c r="CA426" s="752"/>
      <c r="CB426" s="752"/>
      <c r="CC426" s="752"/>
      <c r="CK426" s="736" t="e">
        <f>CK91+CK113+CK114+CK115+CK116+CK117+CK121+CK123+CK147+CK148+CK149+CK150+CK151+CK153+CK155</f>
        <v>#VALUE!</v>
      </c>
      <c r="CL426" s="736" t="e">
        <f>CL91+CL113+CL114+CL115+CL116+CL117+CL121+CL123+CL147+CL148+CL149+CL150+CL151+CL153+CL155</f>
        <v>#VALUE!</v>
      </c>
      <c r="DF426" s="752"/>
      <c r="DG426" s="752"/>
      <c r="DH426" s="752"/>
      <c r="DI426" s="752"/>
    </row>
    <row r="427" spans="1:123" s="789" customFormat="1" outlineLevel="1">
      <c r="A427" s="783"/>
      <c r="B427" s="560" t="s">
        <v>1617</v>
      </c>
      <c r="C427" s="464"/>
      <c r="D427" s="736"/>
      <c r="E427" s="736"/>
      <c r="F427" s="736"/>
      <c r="G427" s="784">
        <f t="shared" ref="G427:Q427" si="559">G243+G244+G245+G246+G256+G267+G268+G277+G278+G279+G280+G281+G282+G283+G284+G285+G286+G287+G288+G289+G290+G291+G292+G293+G294+G295</f>
        <v>185162017.90706348</v>
      </c>
      <c r="H427" s="784">
        <f t="shared" si="559"/>
        <v>0</v>
      </c>
      <c r="I427" s="784">
        <f t="shared" si="559"/>
        <v>523168744.59000009</v>
      </c>
      <c r="J427" s="784">
        <f t="shared" si="559"/>
        <v>224245225.66999999</v>
      </c>
      <c r="K427" s="784">
        <f t="shared" si="559"/>
        <v>122935132.36</v>
      </c>
      <c r="L427" s="784">
        <f t="shared" si="559"/>
        <v>175988386.56</v>
      </c>
      <c r="M427" s="784">
        <f t="shared" si="559"/>
        <v>347180358.02999991</v>
      </c>
      <c r="N427" s="784">
        <f t="shared" si="559"/>
        <v>341994683.92999995</v>
      </c>
      <c r="O427" s="784">
        <f t="shared" si="559"/>
        <v>183897290.69000003</v>
      </c>
      <c r="P427" s="784">
        <f t="shared" si="559"/>
        <v>525891974.61999995</v>
      </c>
      <c r="Q427" s="784">
        <f t="shared" si="559"/>
        <v>2723230.0299999649</v>
      </c>
      <c r="R427" s="784"/>
      <c r="S427" s="784">
        <f>S243+S244+S245+S246+S256+S267+S268+S277+S278+S279+S280+S281+S282+S283+S284+S285+S286+S287+S288+S289+S290+S291+S292+S293+S294+S295</f>
        <v>193433217.09999999</v>
      </c>
      <c r="T427" s="784">
        <f>T243+T244+T245+T246+T256+T267+T268+T277+T278+T279+T280+T281+T282+T283+T284+T285+T286+T287+T288+T289+T290+T291+T292+T293+T294+T295</f>
        <v>193433217.09999999</v>
      </c>
      <c r="U427" s="784">
        <f>U243+U244+U245+U246+U256+U267+U268+U277+U278+U279+U280+U281+U282+U283+U284+U285+U286+U287+U288+U289+U290+U291+U292+U293+U294+U295</f>
        <v>782799547.78748775</v>
      </c>
      <c r="V427" s="784"/>
      <c r="W427" s="784"/>
      <c r="X427" s="784"/>
      <c r="Y427" s="784"/>
      <c r="Z427" s="785"/>
      <c r="AA427" s="784"/>
      <c r="AB427" s="784"/>
      <c r="AC427" s="784"/>
      <c r="AD427" s="784"/>
      <c r="AE427" s="784"/>
      <c r="AF427" s="784"/>
      <c r="AG427" s="786"/>
      <c r="AH427" s="784"/>
      <c r="AI427" s="784"/>
      <c r="AJ427" s="784"/>
      <c r="AK427" s="784"/>
      <c r="AL427" s="784"/>
      <c r="AM427" s="784"/>
      <c r="AN427" s="784"/>
      <c r="AO427" s="784"/>
      <c r="AP427" s="784"/>
      <c r="AQ427" s="784"/>
      <c r="AR427" s="784"/>
      <c r="AS427" s="784"/>
      <c r="AT427" s="784"/>
      <c r="AU427" s="784"/>
      <c r="AV427" s="784"/>
      <c r="AW427" s="784"/>
      <c r="AX427" s="784"/>
      <c r="AY427" s="784"/>
      <c r="AZ427" s="784"/>
      <c r="BA427" s="784"/>
      <c r="BB427" s="784"/>
      <c r="BC427" s="787"/>
      <c r="BD427" s="787"/>
      <c r="BE427" s="787"/>
      <c r="BF427" s="787"/>
      <c r="BG427" s="787"/>
      <c r="BH427" s="786"/>
      <c r="BI427" s="786"/>
      <c r="BJ427" s="786"/>
      <c r="BK427" s="786"/>
      <c r="BL427" s="786"/>
      <c r="BM427" s="786"/>
      <c r="BN427" s="784"/>
      <c r="BO427" s="786"/>
      <c r="BP427" s="786"/>
      <c r="BQ427" s="786"/>
      <c r="BR427" s="786"/>
      <c r="BS427" s="784"/>
      <c r="BT427" s="788"/>
      <c r="BU427" s="752"/>
      <c r="BV427" s="752"/>
      <c r="BW427" s="752"/>
      <c r="BX427" s="465"/>
      <c r="BY427" s="752"/>
      <c r="BZ427" s="752"/>
      <c r="CA427" s="752"/>
      <c r="CB427" s="752"/>
      <c r="CC427" s="752"/>
      <c r="CD427" s="784"/>
      <c r="CE427" s="784"/>
      <c r="CF427" s="784"/>
      <c r="CG427" s="784"/>
      <c r="CH427" s="784"/>
      <c r="CI427" s="784"/>
      <c r="CJ427" s="784"/>
      <c r="CK427" s="784" t="e">
        <f>CK243+CK244+CK245+CK246+CK256+CK267+CK268+CK277+CK278+CK279+CK280+CK281+CK282+CK283+CK284+CK285+CK286+CK287+CK288+CK289+CK290+CK291+CK292+CK293+CK294+CK295</f>
        <v>#VALUE!</v>
      </c>
      <c r="CL427" s="784" t="e">
        <f>CL243+CL244+CL245+CL246+CL256+CL267+CL268+CL277+CL278+CL279+CL280+CL281+CL282+CL283+CL284+CL285+CL286+CL287+CL288+CL289+CL290+CL291+CL292+CL293+CL294+CL295</f>
        <v>#VALUE!</v>
      </c>
      <c r="CM427" s="784"/>
      <c r="CN427" s="784"/>
      <c r="CS427" s="788"/>
      <c r="CT427" s="788"/>
      <c r="CU427" s="788"/>
      <c r="CV427" s="788"/>
      <c r="CW427" s="788"/>
      <c r="DF427" s="752"/>
      <c r="DG427" s="752"/>
      <c r="DH427" s="752"/>
      <c r="DI427" s="752"/>
      <c r="DJ427" s="788"/>
      <c r="DK427" s="788"/>
      <c r="DL427" s="788"/>
      <c r="DM427" s="788"/>
      <c r="DN427" s="788"/>
      <c r="DO427" s="788"/>
      <c r="DP427" s="788"/>
      <c r="DQ427" s="788"/>
      <c r="DR427" s="788"/>
      <c r="DS427" s="788"/>
    </row>
    <row r="428" spans="1:123" outlineLevel="1">
      <c r="BH428" s="738"/>
      <c r="BI428" s="738"/>
      <c r="BJ428" s="738"/>
      <c r="BK428" s="738"/>
      <c r="BO428" s="738"/>
      <c r="BP428" s="738"/>
      <c r="BU428" s="752"/>
      <c r="BV428" s="752"/>
      <c r="BW428" s="752"/>
      <c r="BY428" s="752"/>
      <c r="BZ428" s="752"/>
      <c r="CA428" s="752"/>
      <c r="CB428" s="752"/>
      <c r="CC428" s="752"/>
      <c r="DF428" s="752"/>
      <c r="DG428" s="752"/>
      <c r="DH428" s="752"/>
      <c r="DI428" s="752"/>
    </row>
    <row r="429" spans="1:123" outlineLevel="1">
      <c r="P429" s="739"/>
      <c r="Q429" s="790">
        <f>Q87+Q88+Q91+Q92+Q93+Q94+Q95+Q96+Q97+Q105+Q106+Q107+Q108+Q110+Q111+Q113+Q114+Q115+Q116+Q117+Q120+Q121+Q122+Q123+Q126+Q127+Q128+Q129+Q130+Q131+Q132</f>
        <v>-7505117.1999999946</v>
      </c>
      <c r="R429" s="790"/>
      <c r="S429" s="739"/>
      <c r="T429" s="739"/>
      <c r="U429" s="739"/>
      <c r="V429" s="739"/>
      <c r="W429" s="739"/>
      <c r="X429" s="739"/>
      <c r="Y429" s="739"/>
      <c r="AA429" s="739"/>
      <c r="AB429" s="739"/>
      <c r="AC429" s="739"/>
      <c r="AD429" s="739"/>
      <c r="AE429" s="739"/>
      <c r="AF429" s="739"/>
      <c r="AH429" s="739"/>
      <c r="AI429" s="739"/>
      <c r="AJ429" s="739"/>
      <c r="AK429" s="739"/>
      <c r="AL429" s="739"/>
      <c r="AM429" s="739"/>
      <c r="AN429" s="739"/>
      <c r="AO429" s="739"/>
      <c r="AP429" s="739"/>
      <c r="AQ429" s="739"/>
      <c r="AR429" s="739"/>
      <c r="AS429" s="739"/>
      <c r="AT429" s="739"/>
      <c r="AU429" s="739"/>
      <c r="AV429" s="739"/>
      <c r="AW429" s="739"/>
      <c r="AX429" s="739"/>
      <c r="AY429" s="739"/>
      <c r="AZ429" s="739"/>
      <c r="BA429" s="739"/>
      <c r="BB429" s="739"/>
      <c r="BH429" s="738"/>
      <c r="BI429" s="738"/>
      <c r="BJ429" s="738"/>
      <c r="BK429" s="738"/>
      <c r="BN429" s="739"/>
      <c r="BO429" s="738"/>
      <c r="BP429" s="738"/>
      <c r="BS429" s="739"/>
      <c r="BU429" s="752"/>
      <c r="BV429" s="752"/>
      <c r="BW429" s="752"/>
      <c r="BY429" s="752"/>
      <c r="BZ429" s="752"/>
      <c r="CA429" s="752"/>
      <c r="CB429" s="752"/>
      <c r="CC429" s="752"/>
      <c r="CD429" s="739"/>
      <c r="CE429" s="739"/>
      <c r="CF429" s="739"/>
      <c r="CG429" s="739"/>
      <c r="CH429" s="739"/>
      <c r="CI429" s="739"/>
      <c r="CJ429" s="739"/>
      <c r="DF429" s="752"/>
      <c r="DG429" s="752"/>
      <c r="DH429" s="752"/>
      <c r="DI429" s="752"/>
    </row>
    <row r="430" spans="1:123">
      <c r="S430" s="739"/>
      <c r="T430" s="739"/>
      <c r="U430" s="739"/>
      <c r="V430" s="739"/>
      <c r="W430" s="739"/>
      <c r="X430" s="739"/>
      <c r="Y430" s="739"/>
      <c r="AA430" s="739"/>
      <c r="AB430" s="739"/>
      <c r="AC430" s="739"/>
      <c r="AD430" s="739"/>
      <c r="AE430" s="739"/>
      <c r="AF430" s="739"/>
      <c r="AH430" s="739"/>
      <c r="AI430" s="739"/>
      <c r="AJ430" s="739"/>
      <c r="AK430" s="739"/>
      <c r="AL430" s="739"/>
      <c r="AM430" s="739"/>
      <c r="AN430" s="739"/>
      <c r="AO430" s="739"/>
      <c r="AP430" s="739"/>
      <c r="AQ430" s="739"/>
      <c r="AR430" s="739"/>
      <c r="AS430" s="739"/>
      <c r="AT430" s="739"/>
      <c r="AU430" s="739"/>
      <c r="AV430" s="739"/>
      <c r="AW430" s="739"/>
      <c r="AX430" s="739"/>
      <c r="AY430" s="739"/>
      <c r="AZ430" s="739"/>
      <c r="BA430" s="739"/>
      <c r="BB430" s="739"/>
      <c r="BH430" s="738"/>
      <c r="BI430" s="738"/>
      <c r="BJ430" s="738"/>
      <c r="BK430" s="738"/>
      <c r="BN430" s="739"/>
      <c r="BO430" s="738"/>
      <c r="BP430" s="738"/>
      <c r="BS430" s="739"/>
      <c r="BU430" s="752"/>
      <c r="BV430" s="752"/>
      <c r="BW430" s="752"/>
      <c r="BX430" s="791"/>
      <c r="BY430" s="752"/>
      <c r="BZ430" s="752"/>
      <c r="CA430" s="752"/>
      <c r="CB430" s="752"/>
      <c r="CC430" s="752"/>
      <c r="CD430" s="739"/>
      <c r="CE430" s="739"/>
      <c r="CF430" s="739"/>
      <c r="CG430" s="739"/>
      <c r="CH430" s="739"/>
      <c r="CI430" s="739"/>
      <c r="CJ430" s="739"/>
      <c r="CK430" s="736"/>
      <c r="CL430" s="736"/>
      <c r="DF430" s="752"/>
      <c r="DG430" s="752"/>
      <c r="DH430" s="752"/>
      <c r="DI430" s="752"/>
    </row>
    <row r="431" spans="1:123">
      <c r="A431" s="792" t="s">
        <v>30</v>
      </c>
      <c r="S431" s="739"/>
      <c r="T431" s="739"/>
      <c r="U431" s="739"/>
      <c r="V431" s="739"/>
      <c r="W431" s="739"/>
      <c r="X431" s="739"/>
      <c r="Y431" s="739"/>
      <c r="AA431" s="739"/>
      <c r="AB431" s="739"/>
      <c r="AC431" s="739"/>
      <c r="AD431" s="739"/>
      <c r="AE431" s="739"/>
      <c r="AF431" s="739"/>
      <c r="AH431" s="739"/>
      <c r="AI431" s="739"/>
      <c r="AJ431" s="739"/>
      <c r="AK431" s="739"/>
      <c r="AL431" s="739"/>
      <c r="AM431" s="739"/>
      <c r="AN431" s="739"/>
      <c r="AO431" s="739"/>
      <c r="AP431" s="739"/>
      <c r="AQ431" s="739"/>
      <c r="AR431" s="739"/>
      <c r="AS431" s="739"/>
      <c r="AT431" s="739"/>
      <c r="AU431" s="739"/>
      <c r="AV431" s="739"/>
      <c r="AW431" s="739"/>
      <c r="AX431" s="739"/>
      <c r="AY431" s="739"/>
      <c r="AZ431" s="739"/>
      <c r="BA431" s="739"/>
      <c r="BB431" s="739"/>
      <c r="BH431" s="738"/>
      <c r="BI431" s="738"/>
      <c r="BJ431" s="738"/>
      <c r="BK431" s="738"/>
      <c r="BN431" s="739"/>
      <c r="BO431" s="738"/>
      <c r="BP431" s="738"/>
      <c r="BS431" s="739"/>
      <c r="BU431" s="752"/>
      <c r="BV431" s="752"/>
      <c r="BW431" s="752"/>
      <c r="BY431" s="752"/>
      <c r="BZ431" s="752"/>
      <c r="CA431" s="752"/>
      <c r="CB431" s="752"/>
      <c r="CC431" s="752"/>
      <c r="CD431" s="739"/>
      <c r="CE431" s="739"/>
      <c r="CF431" s="739"/>
      <c r="CG431" s="739"/>
      <c r="CH431" s="739"/>
      <c r="CI431" s="739"/>
      <c r="CJ431" s="739"/>
      <c r="CK431" s="736"/>
      <c r="CL431" s="736"/>
      <c r="DF431" s="752"/>
      <c r="DG431" s="752"/>
      <c r="DH431" s="752"/>
      <c r="DI431" s="752"/>
    </row>
    <row r="432" spans="1:123" ht="8.25" customHeight="1" thickBot="1">
      <c r="S432" s="739"/>
      <c r="T432" s="739"/>
      <c r="U432" s="739"/>
      <c r="V432" s="739"/>
      <c r="W432" s="739"/>
      <c r="X432" s="739"/>
      <c r="Y432" s="739"/>
      <c r="AA432" s="739"/>
      <c r="AB432" s="739"/>
      <c r="AC432" s="739"/>
      <c r="AD432" s="739"/>
      <c r="AE432" s="739"/>
      <c r="AF432" s="739"/>
      <c r="AH432" s="739"/>
      <c r="AI432" s="739"/>
      <c r="AJ432" s="739"/>
      <c r="AK432" s="739"/>
      <c r="AL432" s="739"/>
      <c r="AM432" s="739"/>
      <c r="AN432" s="739"/>
      <c r="AO432" s="739"/>
      <c r="AP432" s="739"/>
      <c r="AQ432" s="739"/>
      <c r="AR432" s="739"/>
      <c r="AS432" s="739"/>
      <c r="AT432" s="739"/>
      <c r="AU432" s="739"/>
      <c r="AV432" s="739"/>
      <c r="AW432" s="739"/>
      <c r="AX432" s="739"/>
      <c r="AY432" s="739"/>
      <c r="AZ432" s="739"/>
      <c r="BA432" s="739"/>
      <c r="BB432" s="739"/>
      <c r="BH432" s="738"/>
      <c r="BI432" s="738"/>
      <c r="BJ432" s="738"/>
      <c r="BK432" s="738"/>
      <c r="BN432" s="739"/>
      <c r="BO432" s="738"/>
      <c r="BP432" s="738"/>
      <c r="BS432" s="739"/>
      <c r="BU432" s="755"/>
      <c r="BV432" s="755"/>
      <c r="BW432" s="755"/>
      <c r="BY432" s="755"/>
      <c r="BZ432" s="755"/>
      <c r="CA432" s="755"/>
      <c r="CB432" s="755"/>
      <c r="CC432" s="755"/>
      <c r="CD432" s="739"/>
      <c r="CE432" s="739"/>
      <c r="CF432" s="739"/>
      <c r="CG432" s="739"/>
      <c r="CH432" s="739"/>
      <c r="CI432" s="739"/>
      <c r="CJ432" s="739"/>
      <c r="DF432" s="755"/>
      <c r="DG432" s="755"/>
      <c r="DH432" s="755"/>
      <c r="DI432" s="755"/>
    </row>
    <row r="433" spans="1:123" ht="28.5" customHeight="1" thickBot="1">
      <c r="A433" s="1662" t="s">
        <v>110</v>
      </c>
      <c r="B433" s="1664" t="s">
        <v>2028</v>
      </c>
      <c r="C433" s="793"/>
      <c r="D433" s="794"/>
      <c r="E433" s="794"/>
      <c r="F433" s="794"/>
      <c r="G433" s="794"/>
      <c r="H433" s="794"/>
      <c r="I433" s="794"/>
      <c r="J433" s="794"/>
      <c r="K433" s="794"/>
      <c r="L433" s="794"/>
      <c r="M433" s="794"/>
      <c r="N433" s="794"/>
      <c r="O433" s="794"/>
      <c r="P433" s="794"/>
      <c r="Q433" s="794"/>
      <c r="R433" s="794"/>
      <c r="S433" s="795"/>
      <c r="T433" s="1674" t="s">
        <v>1713</v>
      </c>
      <c r="U433" s="1674" t="s">
        <v>2029</v>
      </c>
      <c r="V433" s="796"/>
      <c r="W433" s="796"/>
      <c r="X433" s="796"/>
      <c r="Y433" s="796"/>
      <c r="Z433" s="797"/>
      <c r="AA433" s="796"/>
      <c r="AB433" s="796"/>
      <c r="AC433" s="796"/>
      <c r="AD433" s="796"/>
      <c r="AE433" s="796"/>
      <c r="AF433" s="796"/>
      <c r="AG433" s="798"/>
      <c r="AH433" s="796"/>
      <c r="AI433" s="796"/>
      <c r="AJ433" s="796"/>
      <c r="AK433" s="796"/>
      <c r="AL433" s="796"/>
      <c r="AM433" s="796"/>
      <c r="AN433" s="796"/>
      <c r="AO433" s="796"/>
      <c r="AP433" s="796"/>
      <c r="AQ433" s="799">
        <f>AQ180+AQ262+AQ51+AQ54</f>
        <v>250000</v>
      </c>
      <c r="AR433" s="799"/>
      <c r="AS433" s="799">
        <f>AS180+AS262+AS51+AS54</f>
        <v>0</v>
      </c>
      <c r="AT433" s="799"/>
      <c r="AU433" s="799"/>
      <c r="AV433" s="799"/>
      <c r="AW433" s="799"/>
      <c r="AX433" s="799"/>
      <c r="AY433" s="799"/>
      <c r="AZ433" s="799"/>
      <c r="BA433" s="799"/>
      <c r="BB433" s="799">
        <f>BB180+BB262+BB51+BB54</f>
        <v>0</v>
      </c>
      <c r="BC433" s="800"/>
      <c r="BD433" s="800"/>
      <c r="BE433" s="800"/>
      <c r="BF433" s="800"/>
      <c r="BG433" s="800"/>
      <c r="BH433" s="801"/>
      <c r="BI433" s="801"/>
      <c r="BJ433" s="801"/>
      <c r="BK433" s="801"/>
      <c r="BL433" s="801">
        <f>BL180+BL262+BL51+BL54</f>
        <v>250000</v>
      </c>
      <c r="BM433" s="801"/>
      <c r="BN433" s="799"/>
      <c r="BO433" s="801"/>
      <c r="BP433" s="801"/>
      <c r="BQ433" s="801">
        <f>BQ180+BQ262+BQ51+BQ54</f>
        <v>250000</v>
      </c>
      <c r="BR433" s="801"/>
      <c r="BS433" s="799"/>
      <c r="BU433" s="752"/>
      <c r="BV433" s="752"/>
      <c r="BW433" s="752"/>
      <c r="BY433" s="752"/>
      <c r="BZ433" s="752"/>
      <c r="CA433" s="752"/>
      <c r="CB433" s="752"/>
      <c r="CC433" s="752"/>
      <c r="CD433" s="799"/>
      <c r="CE433" s="799"/>
      <c r="CF433" s="799"/>
      <c r="CG433" s="799"/>
      <c r="CH433" s="799"/>
      <c r="CI433" s="799"/>
      <c r="CJ433" s="799"/>
      <c r="CK433" s="799"/>
      <c r="CL433" s="799"/>
      <c r="CM433" s="799"/>
      <c r="CN433" s="799"/>
      <c r="CO433" s="799"/>
      <c r="CP433" s="1676" t="s">
        <v>2030</v>
      </c>
      <c r="CQ433" s="1677"/>
      <c r="CR433" s="1678"/>
      <c r="DF433" s="752"/>
      <c r="DG433" s="752"/>
      <c r="DH433" s="752"/>
      <c r="DI433" s="752"/>
    </row>
    <row r="434" spans="1:123" ht="24.75" customHeight="1" thickBot="1">
      <c r="A434" s="1663"/>
      <c r="B434" s="1665"/>
      <c r="C434" s="802"/>
      <c r="D434" s="803"/>
      <c r="E434" s="803"/>
      <c r="F434" s="803"/>
      <c r="G434" s="803"/>
      <c r="H434" s="803"/>
      <c r="I434" s="803"/>
      <c r="J434" s="803"/>
      <c r="K434" s="803"/>
      <c r="L434" s="803"/>
      <c r="M434" s="803"/>
      <c r="N434" s="803"/>
      <c r="O434" s="803"/>
      <c r="P434" s="803"/>
      <c r="Q434" s="803"/>
      <c r="R434" s="803"/>
      <c r="S434" s="804"/>
      <c r="T434" s="1675"/>
      <c r="U434" s="1675"/>
      <c r="V434" s="805"/>
      <c r="W434" s="805"/>
      <c r="X434" s="805"/>
      <c r="Y434" s="805"/>
      <c r="Z434" s="806"/>
      <c r="AA434" s="805"/>
      <c r="AB434" s="805"/>
      <c r="AC434" s="805"/>
      <c r="AD434" s="805"/>
      <c r="AE434" s="805"/>
      <c r="AF434" s="805"/>
      <c r="AG434" s="807"/>
      <c r="AH434" s="805"/>
      <c r="AI434" s="805"/>
      <c r="AJ434" s="805"/>
      <c r="AK434" s="805"/>
      <c r="AL434" s="805"/>
      <c r="AM434" s="805"/>
      <c r="AN434" s="805"/>
      <c r="AO434" s="805"/>
      <c r="AP434" s="805"/>
      <c r="AQ434" s="808"/>
      <c r="AR434" s="808"/>
      <c r="AS434" s="808"/>
      <c r="AT434" s="808"/>
      <c r="AU434" s="808"/>
      <c r="AV434" s="808"/>
      <c r="AW434" s="808"/>
      <c r="AX434" s="808"/>
      <c r="AY434" s="808"/>
      <c r="AZ434" s="808"/>
      <c r="BA434" s="808"/>
      <c r="BB434" s="808"/>
      <c r="BC434" s="809"/>
      <c r="BD434" s="809"/>
      <c r="BE434" s="809"/>
      <c r="BF434" s="809"/>
      <c r="BG434" s="809"/>
      <c r="BH434" s="810"/>
      <c r="BI434" s="810"/>
      <c r="BJ434" s="810"/>
      <c r="BK434" s="810"/>
      <c r="BL434" s="810"/>
      <c r="BM434" s="810"/>
      <c r="BN434" s="808"/>
      <c r="BO434" s="810"/>
      <c r="BP434" s="810"/>
      <c r="BQ434" s="810"/>
      <c r="BR434" s="810"/>
      <c r="BS434" s="808"/>
      <c r="BU434" s="811"/>
      <c r="BV434" s="811"/>
      <c r="BW434" s="811"/>
      <c r="BY434" s="811"/>
      <c r="BZ434" s="811"/>
      <c r="CA434" s="811"/>
      <c r="CB434" s="811"/>
      <c r="CC434" s="811"/>
      <c r="CD434" s="808"/>
      <c r="CE434" s="808"/>
      <c r="CF434" s="808"/>
      <c r="CG434" s="808"/>
      <c r="CH434" s="808"/>
      <c r="CI434" s="808"/>
      <c r="CJ434" s="808"/>
      <c r="CK434" s="808"/>
      <c r="CL434" s="808"/>
      <c r="CM434" s="808"/>
      <c r="CN434" s="808"/>
      <c r="CO434" s="808"/>
      <c r="CP434" s="812" t="s">
        <v>1764</v>
      </c>
      <c r="CQ434" s="812" t="s">
        <v>1765</v>
      </c>
      <c r="CR434" s="812" t="s">
        <v>1766</v>
      </c>
      <c r="DF434" s="811"/>
      <c r="DG434" s="811"/>
      <c r="DH434" s="811"/>
      <c r="DI434" s="811"/>
    </row>
    <row r="435" spans="1:123" s="821" customFormat="1" ht="18" customHeight="1">
      <c r="A435" s="813" t="s">
        <v>1824</v>
      </c>
      <c r="B435" s="814" t="s">
        <v>1825</v>
      </c>
      <c r="C435" s="815"/>
      <c r="D435" s="816"/>
      <c r="E435" s="816"/>
      <c r="F435" s="816"/>
      <c r="G435" s="816"/>
      <c r="H435" s="816"/>
      <c r="I435" s="816"/>
      <c r="J435" s="816"/>
      <c r="K435" s="816"/>
      <c r="L435" s="816"/>
      <c r="M435" s="816"/>
      <c r="N435" s="816"/>
      <c r="O435" s="816"/>
      <c r="P435" s="816"/>
      <c r="Q435" s="816"/>
      <c r="R435" s="816"/>
      <c r="S435" s="817"/>
      <c r="T435" s="817">
        <f>T20/1000</f>
        <v>0</v>
      </c>
      <c r="U435" s="817">
        <f>U20/1000</f>
        <v>156100</v>
      </c>
      <c r="V435" s="817"/>
      <c r="W435" s="817"/>
      <c r="X435" s="817"/>
      <c r="Y435" s="817"/>
      <c r="Z435" s="818"/>
      <c r="AA435" s="817"/>
      <c r="AB435" s="817"/>
      <c r="AC435" s="817"/>
      <c r="AD435" s="817"/>
      <c r="AE435" s="817"/>
      <c r="AF435" s="817"/>
      <c r="AG435" s="819"/>
      <c r="AH435" s="817"/>
      <c r="AI435" s="817"/>
      <c r="AJ435" s="817"/>
      <c r="AK435" s="817"/>
      <c r="AL435" s="817"/>
      <c r="AM435" s="817"/>
      <c r="AN435" s="817"/>
      <c r="AO435" s="817"/>
      <c r="AP435" s="817"/>
      <c r="AQ435" s="817">
        <f>AQ20/1000</f>
        <v>137400</v>
      </c>
      <c r="AR435" s="817"/>
      <c r="AS435" s="817">
        <f>AS20/1000</f>
        <v>6200</v>
      </c>
      <c r="AT435" s="817"/>
      <c r="AU435" s="817"/>
      <c r="AV435" s="817"/>
      <c r="AW435" s="817"/>
      <c r="AX435" s="817"/>
      <c r="AY435" s="817"/>
      <c r="AZ435" s="817"/>
      <c r="BA435" s="817"/>
      <c r="BB435" s="817">
        <f>BB20/1000</f>
        <v>7100</v>
      </c>
      <c r="BC435" s="817"/>
      <c r="BD435" s="817"/>
      <c r="BE435" s="817"/>
      <c r="BF435" s="817"/>
      <c r="BG435" s="817"/>
      <c r="BH435" s="819"/>
      <c r="BI435" s="819"/>
      <c r="BJ435" s="819"/>
      <c r="BK435" s="819"/>
      <c r="BL435" s="819">
        <f>BL20/1000</f>
        <v>5400</v>
      </c>
      <c r="BM435" s="819"/>
      <c r="BN435" s="817"/>
      <c r="BO435" s="819"/>
      <c r="BP435" s="819"/>
      <c r="BQ435" s="819">
        <f>BQ20/1000</f>
        <v>5400</v>
      </c>
      <c r="BR435" s="819"/>
      <c r="BS435" s="817"/>
      <c r="BT435" s="820"/>
      <c r="BU435" s="811"/>
      <c r="BV435" s="811"/>
      <c r="BW435" s="811"/>
      <c r="BX435" s="465"/>
      <c r="BY435" s="811"/>
      <c r="BZ435" s="811"/>
      <c r="CA435" s="811"/>
      <c r="CB435" s="811"/>
      <c r="CC435" s="811"/>
      <c r="CD435" s="817"/>
      <c r="CE435" s="817"/>
      <c r="CF435" s="817"/>
      <c r="CG435" s="817"/>
      <c r="CH435" s="817"/>
      <c r="CI435" s="817"/>
      <c r="CJ435" s="817"/>
      <c r="CK435" s="817" t="e">
        <f t="shared" ref="CK435:CR435" si="560">CK20/1000</f>
        <v>#VALUE!</v>
      </c>
      <c r="CL435" s="817" t="e">
        <f t="shared" si="560"/>
        <v>#VALUE!</v>
      </c>
      <c r="CM435" s="817">
        <f t="shared" si="560"/>
        <v>0</v>
      </c>
      <c r="CN435" s="817">
        <f t="shared" si="560"/>
        <v>0</v>
      </c>
      <c r="CO435" s="817">
        <f t="shared" si="560"/>
        <v>0</v>
      </c>
      <c r="CP435" s="817">
        <f t="shared" si="560"/>
        <v>144021.05228853872</v>
      </c>
      <c r="CQ435" s="817">
        <f t="shared" si="560"/>
        <v>10578.81614699157</v>
      </c>
      <c r="CR435" s="817">
        <f t="shared" si="560"/>
        <v>1500.1315644697097</v>
      </c>
      <c r="CS435" s="820"/>
      <c r="CT435" s="820"/>
      <c r="CU435" s="820"/>
      <c r="CV435" s="820"/>
      <c r="CW435" s="820"/>
      <c r="DF435" s="811"/>
      <c r="DG435" s="811"/>
      <c r="DH435" s="811"/>
      <c r="DI435" s="811"/>
      <c r="DJ435" s="820"/>
      <c r="DK435" s="820"/>
      <c r="DL435" s="820"/>
      <c r="DM435" s="820"/>
      <c r="DN435" s="820"/>
      <c r="DO435" s="820"/>
      <c r="DP435" s="820"/>
      <c r="DQ435" s="820"/>
      <c r="DR435" s="820"/>
      <c r="DS435" s="820"/>
    </row>
    <row r="436" spans="1:123" s="821" customFormat="1" ht="20.25" customHeight="1" thickBot="1">
      <c r="A436" s="822" t="s">
        <v>1969</v>
      </c>
      <c r="B436" s="823" t="s">
        <v>1294</v>
      </c>
      <c r="C436" s="824"/>
      <c r="D436" s="825"/>
      <c r="E436" s="825"/>
      <c r="F436" s="825"/>
      <c r="G436" s="825"/>
      <c r="H436" s="825"/>
      <c r="I436" s="825"/>
      <c r="J436" s="825"/>
      <c r="K436" s="825"/>
      <c r="L436" s="825"/>
      <c r="M436" s="825"/>
      <c r="N436" s="825"/>
      <c r="O436" s="825"/>
      <c r="P436" s="825"/>
      <c r="Q436" s="825"/>
      <c r="R436" s="825"/>
      <c r="S436" s="826"/>
      <c r="T436" s="826">
        <f>T272/1000</f>
        <v>0</v>
      </c>
      <c r="U436" s="826">
        <f>U272/1000</f>
        <v>119820</v>
      </c>
      <c r="V436" s="826"/>
      <c r="W436" s="826"/>
      <c r="X436" s="826"/>
      <c r="Y436" s="826"/>
      <c r="Z436" s="827"/>
      <c r="AA436" s="826"/>
      <c r="AB436" s="826"/>
      <c r="AC436" s="826"/>
      <c r="AD436" s="826"/>
      <c r="AE436" s="826"/>
      <c r="AF436" s="826"/>
      <c r="AG436" s="828"/>
      <c r="AH436" s="826"/>
      <c r="AI436" s="826"/>
      <c r="AJ436" s="826"/>
      <c r="AK436" s="826"/>
      <c r="AL436" s="826"/>
      <c r="AM436" s="826"/>
      <c r="AN436" s="826"/>
      <c r="AO436" s="826"/>
      <c r="AP436" s="826"/>
      <c r="AQ436" s="826">
        <f>AQ272/1000</f>
        <v>9720</v>
      </c>
      <c r="AR436" s="826"/>
      <c r="AS436" s="826">
        <f>AS272/1000</f>
        <v>9200</v>
      </c>
      <c r="AT436" s="826"/>
      <c r="AU436" s="826"/>
      <c r="AV436" s="826"/>
      <c r="AW436" s="826"/>
      <c r="AX436" s="826"/>
      <c r="AY436" s="826"/>
      <c r="AZ436" s="826"/>
      <c r="BA436" s="826"/>
      <c r="BB436" s="826">
        <f>BB272/1000</f>
        <v>77900</v>
      </c>
      <c r="BC436" s="826"/>
      <c r="BD436" s="826"/>
      <c r="BE436" s="826"/>
      <c r="BF436" s="826"/>
      <c r="BG436" s="826"/>
      <c r="BH436" s="828"/>
      <c r="BI436" s="828"/>
      <c r="BJ436" s="828"/>
      <c r="BK436" s="828"/>
      <c r="BL436" s="828">
        <f>BL272/1000</f>
        <v>23000</v>
      </c>
      <c r="BM436" s="828"/>
      <c r="BN436" s="826"/>
      <c r="BO436" s="828"/>
      <c r="BP436" s="828"/>
      <c r="BQ436" s="828">
        <f>BQ272/1000</f>
        <v>23000</v>
      </c>
      <c r="BR436" s="828"/>
      <c r="BS436" s="826"/>
      <c r="BT436" s="820"/>
      <c r="BU436" s="811"/>
      <c r="BV436" s="811"/>
      <c r="BW436" s="811"/>
      <c r="BX436" s="752"/>
      <c r="BY436" s="811"/>
      <c r="BZ436" s="811"/>
      <c r="CA436" s="811"/>
      <c r="CB436" s="811"/>
      <c r="CC436" s="811"/>
      <c r="CD436" s="826"/>
      <c r="CE436" s="826"/>
      <c r="CF436" s="826"/>
      <c r="CG436" s="826"/>
      <c r="CH436" s="826"/>
      <c r="CI436" s="826"/>
      <c r="CJ436" s="826"/>
      <c r="CK436" s="826" t="e">
        <f t="shared" ref="CK436:CR436" si="561">CK272/1000</f>
        <v>#VALUE!</v>
      </c>
      <c r="CL436" s="826" t="e">
        <f t="shared" si="561"/>
        <v>#VALUE!</v>
      </c>
      <c r="CM436" s="826" t="e">
        <f t="shared" si="561"/>
        <v>#VALUE!</v>
      </c>
      <c r="CN436" s="826">
        <f t="shared" si="561"/>
        <v>0</v>
      </c>
      <c r="CO436" s="826">
        <f t="shared" si="561"/>
        <v>0</v>
      </c>
      <c r="CP436" s="826">
        <f t="shared" si="561"/>
        <v>110548.38235241966</v>
      </c>
      <c r="CQ436" s="826">
        <f t="shared" si="561"/>
        <v>8120.1393384531066</v>
      </c>
      <c r="CR436" s="826">
        <f t="shared" si="561"/>
        <v>1151.47830912723</v>
      </c>
      <c r="CS436" s="820"/>
      <c r="CT436" s="820"/>
      <c r="CU436" s="820"/>
      <c r="CV436" s="820"/>
      <c r="CW436" s="820"/>
      <c r="DF436" s="811"/>
      <c r="DG436" s="811"/>
      <c r="DH436" s="811"/>
      <c r="DI436" s="811"/>
      <c r="DJ436" s="820"/>
      <c r="DK436" s="820"/>
      <c r="DL436" s="820"/>
      <c r="DM436" s="820"/>
      <c r="DN436" s="820"/>
      <c r="DO436" s="820"/>
      <c r="DP436" s="820"/>
      <c r="DQ436" s="820"/>
      <c r="DR436" s="820"/>
      <c r="DS436" s="820"/>
    </row>
    <row r="437" spans="1:123" ht="22.5" customHeight="1" thickBot="1">
      <c r="A437" s="1653" t="s">
        <v>2031</v>
      </c>
      <c r="B437" s="1654"/>
      <c r="C437" s="824"/>
      <c r="D437" s="825"/>
      <c r="E437" s="825"/>
      <c r="F437" s="825"/>
      <c r="G437" s="825"/>
      <c r="H437" s="825"/>
      <c r="I437" s="825"/>
      <c r="J437" s="825"/>
      <c r="K437" s="825"/>
      <c r="L437" s="825"/>
      <c r="M437" s="825"/>
      <c r="N437" s="825"/>
      <c r="O437" s="825"/>
      <c r="P437" s="825"/>
      <c r="Q437" s="825"/>
      <c r="R437" s="825"/>
      <c r="S437" s="826"/>
      <c r="T437" s="826">
        <f>T435-T436</f>
        <v>0</v>
      </c>
      <c r="U437" s="826">
        <f>U435-U436</f>
        <v>36280</v>
      </c>
      <c r="V437" s="826"/>
      <c r="W437" s="826"/>
      <c r="X437" s="826"/>
      <c r="Y437" s="826"/>
      <c r="Z437" s="827"/>
      <c r="AA437" s="826"/>
      <c r="AB437" s="826"/>
      <c r="AC437" s="826"/>
      <c r="AD437" s="826"/>
      <c r="AE437" s="826"/>
      <c r="AF437" s="826"/>
      <c r="AG437" s="828"/>
      <c r="AH437" s="826"/>
      <c r="AI437" s="826"/>
      <c r="AJ437" s="826"/>
      <c r="AK437" s="826"/>
      <c r="AL437" s="826"/>
      <c r="AM437" s="826"/>
      <c r="AN437" s="826"/>
      <c r="AO437" s="826"/>
      <c r="AP437" s="826"/>
      <c r="AQ437" s="826">
        <f t="shared" ref="AQ437:CR437" si="562">AQ435-AQ436</f>
        <v>127680</v>
      </c>
      <c r="AR437" s="826"/>
      <c r="AS437" s="826">
        <f t="shared" si="562"/>
        <v>-3000</v>
      </c>
      <c r="AT437" s="826"/>
      <c r="AU437" s="826"/>
      <c r="AV437" s="826"/>
      <c r="AW437" s="826"/>
      <c r="AX437" s="826"/>
      <c r="AY437" s="826"/>
      <c r="AZ437" s="826"/>
      <c r="BA437" s="826"/>
      <c r="BB437" s="826">
        <f t="shared" si="562"/>
        <v>-70800</v>
      </c>
      <c r="BC437" s="826"/>
      <c r="BD437" s="826"/>
      <c r="BE437" s="826"/>
      <c r="BF437" s="826"/>
      <c r="BG437" s="826"/>
      <c r="BH437" s="828"/>
      <c r="BI437" s="828"/>
      <c r="BJ437" s="828"/>
      <c r="BK437" s="828"/>
      <c r="BL437" s="828">
        <f t="shared" si="562"/>
        <v>-17600</v>
      </c>
      <c r="BM437" s="828"/>
      <c r="BN437" s="826"/>
      <c r="BO437" s="828"/>
      <c r="BP437" s="828"/>
      <c r="BQ437" s="828">
        <f t="shared" ref="BQ437" si="563">BQ435-BQ436</f>
        <v>-17600</v>
      </c>
      <c r="BR437" s="828"/>
      <c r="BS437" s="826"/>
      <c r="BU437" s="811"/>
      <c r="BV437" s="811"/>
      <c r="BW437" s="811"/>
      <c r="BX437" s="752"/>
      <c r="BY437" s="811"/>
      <c r="BZ437" s="811"/>
      <c r="CA437" s="811"/>
      <c r="CB437" s="811"/>
      <c r="CC437" s="811"/>
      <c r="CD437" s="826"/>
      <c r="CE437" s="826"/>
      <c r="CF437" s="826"/>
      <c r="CG437" s="826"/>
      <c r="CH437" s="826"/>
      <c r="CI437" s="826"/>
      <c r="CJ437" s="826"/>
      <c r="CK437" s="826" t="e">
        <f t="shared" si="562"/>
        <v>#VALUE!</v>
      </c>
      <c r="CL437" s="826" t="e">
        <f t="shared" si="562"/>
        <v>#VALUE!</v>
      </c>
      <c r="CM437" s="826" t="e">
        <f t="shared" si="562"/>
        <v>#VALUE!</v>
      </c>
      <c r="CN437" s="826">
        <f t="shared" si="562"/>
        <v>0</v>
      </c>
      <c r="CO437" s="826">
        <f t="shared" si="562"/>
        <v>0</v>
      </c>
      <c r="CP437" s="826">
        <f t="shared" si="562"/>
        <v>33472.669936119055</v>
      </c>
      <c r="CQ437" s="826">
        <f t="shared" si="562"/>
        <v>2458.6768085384638</v>
      </c>
      <c r="CR437" s="826">
        <f t="shared" si="562"/>
        <v>348.65325534247972</v>
      </c>
      <c r="DF437" s="811"/>
      <c r="DG437" s="811"/>
      <c r="DH437" s="811"/>
      <c r="DI437" s="811"/>
    </row>
    <row r="438" spans="1:123" ht="12.75" customHeight="1">
      <c r="A438" s="829"/>
      <c r="B438" s="830"/>
      <c r="C438" s="735"/>
      <c r="D438" s="831"/>
      <c r="E438" s="831"/>
      <c r="F438" s="831"/>
      <c r="G438" s="831"/>
      <c r="H438" s="831"/>
      <c r="I438" s="831"/>
      <c r="J438" s="831"/>
      <c r="K438" s="831"/>
      <c r="L438" s="831"/>
      <c r="M438" s="831"/>
      <c r="N438" s="831"/>
      <c r="O438" s="831"/>
      <c r="P438" s="831"/>
      <c r="Q438" s="831"/>
      <c r="R438" s="831"/>
      <c r="S438" s="832"/>
      <c r="T438" s="832"/>
      <c r="U438" s="832"/>
      <c r="V438" s="832"/>
      <c r="W438" s="832"/>
      <c r="X438" s="832"/>
      <c r="Y438" s="832"/>
      <c r="Z438" s="833"/>
      <c r="AA438" s="832"/>
      <c r="AB438" s="832"/>
      <c r="AC438" s="832"/>
      <c r="AD438" s="832"/>
      <c r="AE438" s="832"/>
      <c r="AF438" s="832"/>
      <c r="AG438" s="834"/>
      <c r="AH438" s="832"/>
      <c r="AI438" s="832"/>
      <c r="AJ438" s="832"/>
      <c r="AK438" s="832"/>
      <c r="AL438" s="832"/>
      <c r="AM438" s="832"/>
      <c r="AN438" s="832"/>
      <c r="AO438" s="832"/>
      <c r="AP438" s="832"/>
      <c r="AQ438" s="832"/>
      <c r="AR438" s="832"/>
      <c r="AS438" s="832"/>
      <c r="AT438" s="832"/>
      <c r="AU438" s="832"/>
      <c r="AV438" s="832"/>
      <c r="AW438" s="832"/>
      <c r="AX438" s="832"/>
      <c r="AY438" s="832"/>
      <c r="AZ438" s="832"/>
      <c r="BA438" s="832"/>
      <c r="BB438" s="832"/>
      <c r="BC438" s="832"/>
      <c r="BD438" s="832"/>
      <c r="BE438" s="832"/>
      <c r="BF438" s="832"/>
      <c r="BG438" s="832"/>
      <c r="BH438" s="834"/>
      <c r="BI438" s="834"/>
      <c r="BJ438" s="834"/>
      <c r="BK438" s="834"/>
      <c r="BL438" s="834"/>
      <c r="BM438" s="834"/>
      <c r="BN438" s="832"/>
      <c r="BO438" s="834"/>
      <c r="BP438" s="834"/>
      <c r="BQ438" s="834"/>
      <c r="BR438" s="834"/>
      <c r="BS438" s="832"/>
      <c r="BU438" s="752"/>
      <c r="BV438" s="752"/>
      <c r="BW438" s="752"/>
      <c r="BX438" s="752"/>
      <c r="BY438" s="752"/>
      <c r="BZ438" s="752"/>
      <c r="CA438" s="752"/>
      <c r="CB438" s="752"/>
      <c r="CC438" s="752"/>
      <c r="CD438" s="832"/>
      <c r="CE438" s="832"/>
      <c r="CF438" s="832"/>
      <c r="CG438" s="832"/>
      <c r="CH438" s="832"/>
      <c r="CI438" s="832"/>
      <c r="CJ438" s="832"/>
      <c r="CK438" s="832"/>
      <c r="CL438" s="832"/>
      <c r="CM438" s="832"/>
      <c r="CN438" s="832"/>
      <c r="CO438" s="832"/>
      <c r="CP438" s="832"/>
      <c r="CQ438" s="832"/>
      <c r="CR438" s="832"/>
      <c r="DF438" s="752"/>
      <c r="DG438" s="752"/>
      <c r="DH438" s="752"/>
      <c r="DI438" s="752"/>
    </row>
    <row r="439" spans="1:123" ht="21.75" customHeight="1">
      <c r="A439" s="835"/>
      <c r="B439" s="836" t="s">
        <v>2032</v>
      </c>
      <c r="BH439" s="738"/>
      <c r="BI439" s="738"/>
      <c r="BJ439" s="738"/>
      <c r="BK439" s="738"/>
      <c r="BO439" s="738"/>
      <c r="BP439" s="738"/>
      <c r="BU439" s="752"/>
      <c r="BV439" s="752"/>
      <c r="BW439" s="752"/>
      <c r="BX439" s="752"/>
      <c r="BY439" s="752"/>
      <c r="BZ439" s="752"/>
      <c r="CA439" s="752"/>
      <c r="CB439" s="752"/>
      <c r="CC439" s="752"/>
      <c r="CT439" s="1655" t="s">
        <v>2033</v>
      </c>
      <c r="CU439" s="1655"/>
      <c r="CV439" s="1655"/>
      <c r="CW439" s="1655"/>
      <c r="DF439" s="752"/>
      <c r="DG439" s="752"/>
      <c r="DH439" s="752"/>
      <c r="DI439" s="752"/>
    </row>
    <row r="440" spans="1:123" ht="8.25" customHeight="1" thickBot="1">
      <c r="A440" s="835"/>
      <c r="B440" s="836"/>
      <c r="BH440" s="738"/>
      <c r="BI440" s="738"/>
      <c r="BJ440" s="738"/>
      <c r="BK440" s="738"/>
      <c r="BO440" s="738"/>
      <c r="BP440" s="738"/>
      <c r="BU440" s="752"/>
      <c r="BV440" s="752"/>
      <c r="BW440" s="752"/>
      <c r="BX440" s="752"/>
      <c r="BY440" s="752"/>
      <c r="BZ440" s="752"/>
      <c r="CA440" s="752"/>
      <c r="CB440" s="752"/>
      <c r="CC440" s="752"/>
      <c r="DF440" s="752"/>
      <c r="DG440" s="752"/>
      <c r="DH440" s="752"/>
      <c r="DI440" s="752"/>
    </row>
    <row r="441" spans="1:123" ht="31.5" customHeight="1">
      <c r="A441" s="1647" t="s">
        <v>110</v>
      </c>
      <c r="B441" s="1633" t="s">
        <v>2028</v>
      </c>
      <c r="C441" s="837"/>
      <c r="D441" s="838"/>
      <c r="E441" s="838"/>
      <c r="F441" s="838"/>
      <c r="G441" s="838"/>
      <c r="H441" s="838"/>
      <c r="I441" s="838"/>
      <c r="J441" s="838"/>
      <c r="K441" s="838"/>
      <c r="L441" s="838"/>
      <c r="M441" s="838"/>
      <c r="N441" s="838"/>
      <c r="O441" s="838"/>
      <c r="P441" s="838"/>
      <c r="Q441" s="838"/>
      <c r="R441" s="838"/>
      <c r="S441" s="1633"/>
      <c r="T441" s="1633"/>
      <c r="U441" s="1633" t="s">
        <v>2034</v>
      </c>
      <c r="V441" s="839"/>
      <c r="W441" s="839"/>
      <c r="X441" s="839"/>
      <c r="Y441" s="839"/>
      <c r="Z441" s="840"/>
      <c r="AA441" s="839"/>
      <c r="AB441" s="839"/>
      <c r="AC441" s="839"/>
      <c r="AD441" s="839"/>
      <c r="AE441" s="839"/>
      <c r="AF441" s="839"/>
      <c r="AG441" s="841"/>
      <c r="AH441" s="839"/>
      <c r="AI441" s="839"/>
      <c r="AJ441" s="839"/>
      <c r="AK441" s="839"/>
      <c r="AL441" s="839"/>
      <c r="AM441" s="839"/>
      <c r="AN441" s="839"/>
      <c r="AO441" s="839"/>
      <c r="AP441" s="839"/>
      <c r="AQ441" s="1633"/>
      <c r="AR441" s="839"/>
      <c r="AS441" s="1633"/>
      <c r="AT441" s="839"/>
      <c r="AU441" s="839"/>
      <c r="AV441" s="839"/>
      <c r="AW441" s="839"/>
      <c r="AX441" s="839"/>
      <c r="AY441" s="839"/>
      <c r="AZ441" s="839"/>
      <c r="BA441" s="839"/>
      <c r="BB441" s="1633"/>
      <c r="BC441" s="842"/>
      <c r="BD441" s="842"/>
      <c r="BE441" s="842"/>
      <c r="BF441" s="842"/>
      <c r="BG441" s="842"/>
      <c r="BH441" s="841"/>
      <c r="BI441" s="841"/>
      <c r="BJ441" s="841"/>
      <c r="BK441" s="841"/>
      <c r="BL441" s="1636"/>
      <c r="BM441" s="841"/>
      <c r="BN441" s="839"/>
      <c r="BO441" s="841"/>
      <c r="BP441" s="841"/>
      <c r="BQ441" s="1636"/>
      <c r="BR441" s="841"/>
      <c r="BS441" s="839"/>
      <c r="BU441" s="752"/>
      <c r="BV441" s="752"/>
      <c r="BW441" s="752"/>
      <c r="BX441" s="752"/>
      <c r="BY441" s="752"/>
      <c r="BZ441" s="752"/>
      <c r="CA441" s="752"/>
      <c r="CB441" s="752"/>
      <c r="CC441" s="752"/>
      <c r="CD441" s="843"/>
      <c r="CE441" s="843"/>
      <c r="CF441" s="843"/>
      <c r="CG441" s="843"/>
      <c r="CH441" s="843"/>
      <c r="CI441" s="843"/>
      <c r="CJ441" s="843"/>
      <c r="CK441" s="844"/>
      <c r="CL441" s="844"/>
      <c r="CM441" s="837"/>
      <c r="CN441" s="837"/>
      <c r="CO441" s="837"/>
      <c r="CP441" s="1633" t="s">
        <v>1746</v>
      </c>
      <c r="CQ441" s="1639"/>
      <c r="CR441" s="1640"/>
      <c r="CT441" s="845" t="s">
        <v>2035</v>
      </c>
      <c r="CU441" s="845" t="s">
        <v>2036</v>
      </c>
      <c r="CV441" s="845" t="s">
        <v>2037</v>
      </c>
      <c r="CW441" s="845">
        <v>2015</v>
      </c>
      <c r="DF441" s="752"/>
      <c r="DG441" s="752"/>
      <c r="DH441" s="752"/>
      <c r="DI441" s="752"/>
    </row>
    <row r="442" spans="1:123" ht="32.25" customHeight="1">
      <c r="A442" s="1648"/>
      <c r="B442" s="1634"/>
      <c r="C442" s="837"/>
      <c r="D442" s="838"/>
      <c r="E442" s="838"/>
      <c r="F442" s="838"/>
      <c r="G442" s="838"/>
      <c r="H442" s="838"/>
      <c r="I442" s="838"/>
      <c r="J442" s="838"/>
      <c r="K442" s="838"/>
      <c r="L442" s="838"/>
      <c r="M442" s="838"/>
      <c r="N442" s="838"/>
      <c r="O442" s="838"/>
      <c r="P442" s="838"/>
      <c r="Q442" s="838"/>
      <c r="R442" s="838"/>
      <c r="S442" s="1634"/>
      <c r="T442" s="1634"/>
      <c r="U442" s="1634"/>
      <c r="V442" s="846"/>
      <c r="W442" s="846"/>
      <c r="X442" s="846"/>
      <c r="Y442" s="846"/>
      <c r="Z442" s="847"/>
      <c r="AA442" s="846"/>
      <c r="AB442" s="846"/>
      <c r="AC442" s="846"/>
      <c r="AD442" s="846"/>
      <c r="AE442" s="846"/>
      <c r="AF442" s="846"/>
      <c r="AG442" s="848"/>
      <c r="AH442" s="846"/>
      <c r="AI442" s="846"/>
      <c r="AJ442" s="846"/>
      <c r="AK442" s="846"/>
      <c r="AL442" s="846"/>
      <c r="AM442" s="846"/>
      <c r="AN442" s="846"/>
      <c r="AO442" s="846"/>
      <c r="AP442" s="846"/>
      <c r="AQ442" s="1634"/>
      <c r="AR442" s="846"/>
      <c r="AS442" s="1634"/>
      <c r="AT442" s="846"/>
      <c r="AU442" s="846"/>
      <c r="AV442" s="846"/>
      <c r="AW442" s="846"/>
      <c r="AX442" s="846"/>
      <c r="AY442" s="846"/>
      <c r="AZ442" s="846"/>
      <c r="BA442" s="846"/>
      <c r="BB442" s="1634"/>
      <c r="BC442" s="849"/>
      <c r="BD442" s="849"/>
      <c r="BE442" s="849"/>
      <c r="BF442" s="849"/>
      <c r="BG442" s="849"/>
      <c r="BH442" s="848"/>
      <c r="BI442" s="848"/>
      <c r="BJ442" s="848"/>
      <c r="BK442" s="848"/>
      <c r="BL442" s="1637"/>
      <c r="BM442" s="848"/>
      <c r="BN442" s="846"/>
      <c r="BO442" s="848"/>
      <c r="BP442" s="848"/>
      <c r="BQ442" s="1637"/>
      <c r="BR442" s="848"/>
      <c r="BS442" s="846"/>
      <c r="BU442" s="752"/>
      <c r="BV442" s="752"/>
      <c r="BW442" s="752"/>
      <c r="BX442" s="752"/>
      <c r="BY442" s="752"/>
      <c r="BZ442" s="752"/>
      <c r="CA442" s="752"/>
      <c r="CB442" s="752"/>
      <c r="CC442" s="752"/>
      <c r="CD442" s="843"/>
      <c r="CE442" s="843"/>
      <c r="CF442" s="843"/>
      <c r="CG442" s="843"/>
      <c r="CH442" s="843"/>
      <c r="CI442" s="843"/>
      <c r="CJ442" s="843"/>
      <c r="CK442" s="844"/>
      <c r="CL442" s="844"/>
      <c r="CM442" s="837"/>
      <c r="CN442" s="837"/>
      <c r="CO442" s="837"/>
      <c r="CP442" s="1634"/>
      <c r="CQ442" s="1641"/>
      <c r="CR442" s="1642"/>
      <c r="CT442" s="850" t="s">
        <v>1</v>
      </c>
      <c r="CU442" s="851" t="s">
        <v>2038</v>
      </c>
      <c r="CV442" s="850" t="s">
        <v>2039</v>
      </c>
      <c r="CW442" s="852">
        <v>6800371</v>
      </c>
      <c r="DF442" s="752"/>
      <c r="DG442" s="752"/>
      <c r="DH442" s="752"/>
      <c r="DI442" s="752"/>
    </row>
    <row r="443" spans="1:123" ht="169.8" thickBot="1">
      <c r="A443" s="1648"/>
      <c r="B443" s="1634"/>
      <c r="C443" s="837"/>
      <c r="D443" s="838"/>
      <c r="E443" s="838"/>
      <c r="F443" s="838"/>
      <c r="G443" s="838"/>
      <c r="H443" s="838"/>
      <c r="I443" s="838"/>
      <c r="J443" s="838"/>
      <c r="K443" s="838"/>
      <c r="L443" s="838"/>
      <c r="M443" s="838"/>
      <c r="N443" s="838"/>
      <c r="O443" s="838"/>
      <c r="P443" s="838"/>
      <c r="Q443" s="838"/>
      <c r="R443" s="838"/>
      <c r="S443" s="1634"/>
      <c r="T443" s="1634"/>
      <c r="U443" s="1634"/>
      <c r="V443" s="846"/>
      <c r="W443" s="846"/>
      <c r="X443" s="846"/>
      <c r="Y443" s="846"/>
      <c r="Z443" s="847"/>
      <c r="AA443" s="846"/>
      <c r="AB443" s="846"/>
      <c r="AC443" s="846"/>
      <c r="AD443" s="846"/>
      <c r="AE443" s="846"/>
      <c r="AF443" s="846"/>
      <c r="AG443" s="848"/>
      <c r="AH443" s="846"/>
      <c r="AI443" s="846"/>
      <c r="AJ443" s="846"/>
      <c r="AK443" s="846"/>
      <c r="AL443" s="846"/>
      <c r="AM443" s="846"/>
      <c r="AN443" s="846"/>
      <c r="AO443" s="846"/>
      <c r="AP443" s="846"/>
      <c r="AQ443" s="1634"/>
      <c r="AR443" s="846"/>
      <c r="AS443" s="1634"/>
      <c r="AT443" s="846"/>
      <c r="AU443" s="846"/>
      <c r="AV443" s="846"/>
      <c r="AW443" s="846"/>
      <c r="AX443" s="846"/>
      <c r="AY443" s="846"/>
      <c r="AZ443" s="846"/>
      <c r="BA443" s="846"/>
      <c r="BB443" s="1634"/>
      <c r="BC443" s="849"/>
      <c r="BD443" s="849"/>
      <c r="BE443" s="849"/>
      <c r="BF443" s="849"/>
      <c r="BG443" s="849"/>
      <c r="BH443" s="848"/>
      <c r="BI443" s="848"/>
      <c r="BJ443" s="848"/>
      <c r="BK443" s="848"/>
      <c r="BL443" s="1637"/>
      <c r="BM443" s="848"/>
      <c r="BN443" s="846"/>
      <c r="BO443" s="848"/>
      <c r="BP443" s="848"/>
      <c r="BQ443" s="1637"/>
      <c r="BR443" s="848"/>
      <c r="BS443" s="846"/>
      <c r="BU443" s="752"/>
      <c r="BV443" s="752"/>
      <c r="BW443" s="752"/>
      <c r="BX443" s="752"/>
      <c r="BY443" s="752"/>
      <c r="BZ443" s="752"/>
      <c r="CA443" s="752"/>
      <c r="CB443" s="752"/>
      <c r="CC443" s="752"/>
      <c r="CD443" s="843"/>
      <c r="CE443" s="843"/>
      <c r="CF443" s="843"/>
      <c r="CG443" s="843"/>
      <c r="CH443" s="843"/>
      <c r="CI443" s="843"/>
      <c r="CJ443" s="843"/>
      <c r="CK443" s="844"/>
      <c r="CL443" s="844"/>
      <c r="CM443" s="837"/>
      <c r="CN443" s="837"/>
      <c r="CO443" s="837"/>
      <c r="CP443" s="1635"/>
      <c r="CQ443" s="1643"/>
      <c r="CR443" s="1644"/>
      <c r="CT443" s="850" t="s">
        <v>6</v>
      </c>
      <c r="CU443" s="851" t="s">
        <v>2040</v>
      </c>
      <c r="CV443" s="850" t="s">
        <v>202</v>
      </c>
      <c r="CW443" s="853">
        <v>17.91</v>
      </c>
      <c r="DF443" s="752"/>
      <c r="DG443" s="752"/>
      <c r="DH443" s="752"/>
      <c r="DI443" s="752"/>
    </row>
    <row r="444" spans="1:123" ht="84.6">
      <c r="A444" s="1648"/>
      <c r="B444" s="1634"/>
      <c r="C444" s="837"/>
      <c r="D444" s="838"/>
      <c r="E444" s="838"/>
      <c r="F444" s="838"/>
      <c r="G444" s="838"/>
      <c r="H444" s="838"/>
      <c r="I444" s="838"/>
      <c r="J444" s="838"/>
      <c r="K444" s="838"/>
      <c r="L444" s="838"/>
      <c r="M444" s="838"/>
      <c r="N444" s="838"/>
      <c r="O444" s="838"/>
      <c r="P444" s="838"/>
      <c r="Q444" s="838"/>
      <c r="R444" s="838"/>
      <c r="S444" s="1634"/>
      <c r="T444" s="1634"/>
      <c r="U444" s="1634"/>
      <c r="V444" s="846"/>
      <c r="W444" s="846"/>
      <c r="X444" s="846"/>
      <c r="Y444" s="846"/>
      <c r="Z444" s="847"/>
      <c r="AA444" s="846"/>
      <c r="AB444" s="846"/>
      <c r="AC444" s="846"/>
      <c r="AD444" s="846"/>
      <c r="AE444" s="846"/>
      <c r="AF444" s="846"/>
      <c r="AG444" s="848"/>
      <c r="AH444" s="846"/>
      <c r="AI444" s="846"/>
      <c r="AJ444" s="846"/>
      <c r="AK444" s="846"/>
      <c r="AL444" s="846"/>
      <c r="AM444" s="846"/>
      <c r="AN444" s="846"/>
      <c r="AO444" s="846"/>
      <c r="AP444" s="846"/>
      <c r="AQ444" s="1634"/>
      <c r="AR444" s="846"/>
      <c r="AS444" s="1634"/>
      <c r="AT444" s="846"/>
      <c r="AU444" s="846"/>
      <c r="AV444" s="846"/>
      <c r="AW444" s="846"/>
      <c r="AX444" s="846"/>
      <c r="AY444" s="846"/>
      <c r="AZ444" s="846"/>
      <c r="BA444" s="846"/>
      <c r="BB444" s="1634"/>
      <c r="BC444" s="849"/>
      <c r="BD444" s="849"/>
      <c r="BE444" s="849"/>
      <c r="BF444" s="849"/>
      <c r="BG444" s="849"/>
      <c r="BH444" s="848"/>
      <c r="BI444" s="848"/>
      <c r="BJ444" s="848"/>
      <c r="BK444" s="848"/>
      <c r="BL444" s="1637"/>
      <c r="BM444" s="848"/>
      <c r="BN444" s="846"/>
      <c r="BO444" s="848"/>
      <c r="BP444" s="848"/>
      <c r="BQ444" s="1637"/>
      <c r="BR444" s="848"/>
      <c r="BS444" s="846"/>
      <c r="BU444" s="752"/>
      <c r="BV444" s="752"/>
      <c r="BW444" s="752"/>
      <c r="BX444" s="752"/>
      <c r="BY444" s="752"/>
      <c r="BZ444" s="752"/>
      <c r="CA444" s="752"/>
      <c r="CB444" s="752"/>
      <c r="CC444" s="752"/>
      <c r="CD444" s="843"/>
      <c r="CE444" s="843"/>
      <c r="CF444" s="843"/>
      <c r="CG444" s="843"/>
      <c r="CH444" s="843"/>
      <c r="CI444" s="843"/>
      <c r="CJ444" s="843"/>
      <c r="CK444" s="844"/>
      <c r="CL444" s="844"/>
      <c r="CM444" s="837"/>
      <c r="CN444" s="837"/>
      <c r="CO444" s="837"/>
      <c r="CP444" s="1645" t="s">
        <v>1764</v>
      </c>
      <c r="CQ444" s="1645" t="s">
        <v>1765</v>
      </c>
      <c r="CR444" s="1645" t="s">
        <v>1766</v>
      </c>
      <c r="CT444" s="850" t="s">
        <v>16</v>
      </c>
      <c r="CU444" s="851" t="s">
        <v>2041</v>
      </c>
      <c r="CV444" s="850" t="s">
        <v>2039</v>
      </c>
      <c r="CW444" s="852">
        <v>1218281</v>
      </c>
      <c r="DF444" s="752"/>
      <c r="DG444" s="752"/>
      <c r="DH444" s="752"/>
      <c r="DI444" s="752"/>
    </row>
    <row r="445" spans="1:123" ht="85.2" thickBot="1">
      <c r="A445" s="1649"/>
      <c r="B445" s="1635"/>
      <c r="C445" s="837"/>
      <c r="D445" s="838"/>
      <c r="E445" s="838"/>
      <c r="F445" s="838"/>
      <c r="G445" s="838"/>
      <c r="H445" s="838"/>
      <c r="I445" s="838"/>
      <c r="J445" s="838"/>
      <c r="K445" s="838"/>
      <c r="L445" s="838"/>
      <c r="M445" s="838"/>
      <c r="N445" s="838"/>
      <c r="O445" s="838"/>
      <c r="P445" s="838"/>
      <c r="Q445" s="838"/>
      <c r="R445" s="838"/>
      <c r="S445" s="1635"/>
      <c r="T445" s="1635"/>
      <c r="U445" s="1635"/>
      <c r="V445" s="854"/>
      <c r="W445" s="854"/>
      <c r="X445" s="854"/>
      <c r="Y445" s="854"/>
      <c r="Z445" s="855"/>
      <c r="AA445" s="854"/>
      <c r="AB445" s="854"/>
      <c r="AC445" s="854"/>
      <c r="AD445" s="854"/>
      <c r="AE445" s="854"/>
      <c r="AF445" s="854"/>
      <c r="AG445" s="856"/>
      <c r="AH445" s="854"/>
      <c r="AI445" s="854"/>
      <c r="AJ445" s="854"/>
      <c r="AK445" s="854"/>
      <c r="AL445" s="854"/>
      <c r="AM445" s="854"/>
      <c r="AN445" s="854"/>
      <c r="AO445" s="854"/>
      <c r="AP445" s="854"/>
      <c r="AQ445" s="1635"/>
      <c r="AR445" s="854"/>
      <c r="AS445" s="1635"/>
      <c r="AT445" s="854"/>
      <c r="AU445" s="854"/>
      <c r="AV445" s="854"/>
      <c r="AW445" s="854"/>
      <c r="AX445" s="854"/>
      <c r="AY445" s="854"/>
      <c r="AZ445" s="854"/>
      <c r="BA445" s="854"/>
      <c r="BB445" s="1635"/>
      <c r="BC445" s="857"/>
      <c r="BD445" s="857"/>
      <c r="BE445" s="857"/>
      <c r="BF445" s="857"/>
      <c r="BG445" s="857"/>
      <c r="BH445" s="856"/>
      <c r="BI445" s="856"/>
      <c r="BJ445" s="856"/>
      <c r="BK445" s="856"/>
      <c r="BL445" s="1638"/>
      <c r="BM445" s="856"/>
      <c r="BN445" s="854"/>
      <c r="BO445" s="856"/>
      <c r="BP445" s="856"/>
      <c r="BQ445" s="1638"/>
      <c r="BR445" s="856"/>
      <c r="BS445" s="854"/>
      <c r="BU445" s="752"/>
      <c r="BV445" s="752"/>
      <c r="BW445" s="752"/>
      <c r="BX445" s="752"/>
      <c r="BY445" s="752"/>
      <c r="BZ445" s="752"/>
      <c r="CA445" s="752"/>
      <c r="CB445" s="752"/>
      <c r="CC445" s="752"/>
      <c r="CD445" s="843"/>
      <c r="CE445" s="843"/>
      <c r="CF445" s="843"/>
      <c r="CG445" s="843"/>
      <c r="CH445" s="843"/>
      <c r="CI445" s="843"/>
      <c r="CJ445" s="843"/>
      <c r="CK445" s="844"/>
      <c r="CL445" s="844"/>
      <c r="CM445" s="837"/>
      <c r="CN445" s="837"/>
      <c r="CO445" s="837"/>
      <c r="CP445" s="1646"/>
      <c r="CQ445" s="1646"/>
      <c r="CR445" s="1646"/>
      <c r="CT445" s="850" t="s">
        <v>33</v>
      </c>
      <c r="CU445" s="851" t="s">
        <v>2042</v>
      </c>
      <c r="CV445" s="850" t="s">
        <v>2039</v>
      </c>
      <c r="CW445" s="852">
        <v>5575653</v>
      </c>
      <c r="DF445" s="752"/>
      <c r="DG445" s="752"/>
      <c r="DH445" s="752"/>
      <c r="DI445" s="752"/>
    </row>
    <row r="446" spans="1:123" ht="113.4" thickBot="1">
      <c r="A446" s="858" t="s">
        <v>242</v>
      </c>
      <c r="B446" s="859" t="s">
        <v>1770</v>
      </c>
      <c r="C446" s="837"/>
      <c r="D446" s="838"/>
      <c r="E446" s="838"/>
      <c r="F446" s="838"/>
      <c r="G446" s="838"/>
      <c r="H446" s="838"/>
      <c r="I446" s="838"/>
      <c r="J446" s="838"/>
      <c r="K446" s="838"/>
      <c r="L446" s="838"/>
      <c r="M446" s="838"/>
      <c r="N446" s="838"/>
      <c r="O446" s="838"/>
      <c r="P446" s="838"/>
      <c r="Q446" s="838"/>
      <c r="R446" s="838"/>
      <c r="S446" s="859"/>
      <c r="T446" s="859"/>
      <c r="U446" s="859"/>
      <c r="V446" s="859"/>
      <c r="W446" s="859"/>
      <c r="X446" s="859"/>
      <c r="Y446" s="859"/>
      <c r="Z446" s="860"/>
      <c r="AA446" s="859"/>
      <c r="AB446" s="859"/>
      <c r="AC446" s="859"/>
      <c r="AD446" s="859"/>
      <c r="AE446" s="859"/>
      <c r="AF446" s="859"/>
      <c r="AG446" s="861"/>
      <c r="AH446" s="859"/>
      <c r="AI446" s="859"/>
      <c r="AJ446" s="859"/>
      <c r="AK446" s="859"/>
      <c r="AL446" s="859"/>
      <c r="AM446" s="859"/>
      <c r="AN446" s="859"/>
      <c r="AO446" s="859"/>
      <c r="AP446" s="859"/>
      <c r="AQ446" s="859"/>
      <c r="AR446" s="859"/>
      <c r="AS446" s="859"/>
      <c r="AT446" s="859"/>
      <c r="AU446" s="859"/>
      <c r="AV446" s="859"/>
      <c r="AW446" s="859"/>
      <c r="AX446" s="859"/>
      <c r="AY446" s="859"/>
      <c r="AZ446" s="859"/>
      <c r="BA446" s="859"/>
      <c r="BB446" s="859"/>
      <c r="BC446" s="862"/>
      <c r="BD446" s="862"/>
      <c r="BE446" s="862"/>
      <c r="BF446" s="862"/>
      <c r="BG446" s="862"/>
      <c r="BH446" s="861"/>
      <c r="BI446" s="861"/>
      <c r="BJ446" s="861"/>
      <c r="BK446" s="861"/>
      <c r="BL446" s="861"/>
      <c r="BM446" s="861"/>
      <c r="BN446" s="859"/>
      <c r="BO446" s="861"/>
      <c r="BP446" s="861"/>
      <c r="BQ446" s="861"/>
      <c r="BR446" s="861"/>
      <c r="BS446" s="859"/>
      <c r="BU446" s="752"/>
      <c r="BV446" s="752"/>
      <c r="BW446" s="752"/>
      <c r="BX446" s="752"/>
      <c r="BY446" s="752"/>
      <c r="BZ446" s="752"/>
      <c r="CA446" s="752"/>
      <c r="CB446" s="752"/>
      <c r="CC446" s="752"/>
      <c r="CD446" s="863"/>
      <c r="CE446" s="863"/>
      <c r="CF446" s="863"/>
      <c r="CG446" s="863"/>
      <c r="CH446" s="863"/>
      <c r="CI446" s="863"/>
      <c r="CJ446" s="863"/>
      <c r="CK446" s="844"/>
      <c r="CL446" s="844"/>
      <c r="CM446" s="837"/>
      <c r="CN446" s="837"/>
      <c r="CO446" s="837"/>
      <c r="CP446" s="859"/>
      <c r="CQ446" s="859"/>
      <c r="CR446" s="859"/>
      <c r="CT446" s="850" t="s">
        <v>52</v>
      </c>
      <c r="CU446" s="851" t="s">
        <v>2043</v>
      </c>
      <c r="CV446" s="850" t="s">
        <v>24</v>
      </c>
      <c r="CW446" s="853">
        <v>1210.8399999999999</v>
      </c>
      <c r="DF446" s="752"/>
      <c r="DG446" s="752"/>
      <c r="DH446" s="752"/>
      <c r="DI446" s="752"/>
    </row>
    <row r="447" spans="1:123" ht="28.8" thickBot="1">
      <c r="A447" s="864" t="s">
        <v>1</v>
      </c>
      <c r="B447" s="865" t="s">
        <v>2044</v>
      </c>
      <c r="C447" s="866"/>
      <c r="D447" s="867"/>
      <c r="E447" s="867"/>
      <c r="F447" s="867"/>
      <c r="G447" s="867"/>
      <c r="H447" s="867"/>
      <c r="I447" s="867"/>
      <c r="J447" s="867"/>
      <c r="K447" s="867"/>
      <c r="L447" s="867"/>
      <c r="M447" s="867"/>
      <c r="N447" s="867"/>
      <c r="O447" s="867"/>
      <c r="P447" s="867"/>
      <c r="Q447" s="867"/>
      <c r="R447" s="867"/>
      <c r="S447" s="868">
        <f>SUM(S448,S452)</f>
        <v>0</v>
      </c>
      <c r="T447" s="868">
        <f>SUM(T448,T452)</f>
        <v>7483414.4476683699</v>
      </c>
      <c r="U447" s="868">
        <f>SUM(U448,U452)</f>
        <v>7861555.2234983696</v>
      </c>
      <c r="V447" s="868"/>
      <c r="W447" s="868"/>
      <c r="X447" s="868"/>
      <c r="Y447" s="868"/>
      <c r="Z447" s="869"/>
      <c r="AA447" s="868"/>
      <c r="AB447" s="868"/>
      <c r="AC447" s="868"/>
      <c r="AD447" s="868"/>
      <c r="AE447" s="868"/>
      <c r="AF447" s="868"/>
      <c r="AG447" s="801"/>
      <c r="AH447" s="868"/>
      <c r="AI447" s="868"/>
      <c r="AJ447" s="868"/>
      <c r="AK447" s="868"/>
      <c r="AL447" s="868"/>
      <c r="AM447" s="868"/>
      <c r="AN447" s="868"/>
      <c r="AO447" s="868"/>
      <c r="AP447" s="868"/>
      <c r="AQ447" s="868">
        <f>SUM(AQ448,AQ452)</f>
        <v>1951623.6224698198</v>
      </c>
      <c r="AR447" s="868"/>
      <c r="AS447" s="868">
        <f>SUM(AS448,AS452)</f>
        <v>1884489.8748842999</v>
      </c>
      <c r="AT447" s="868"/>
      <c r="AU447" s="868"/>
      <c r="AV447" s="868"/>
      <c r="AW447" s="868"/>
      <c r="AX447" s="868"/>
      <c r="AY447" s="868"/>
      <c r="AZ447" s="868"/>
      <c r="BA447" s="868"/>
      <c r="BB447" s="868">
        <f>SUM(BB448,BB452)</f>
        <v>1968613.70631949</v>
      </c>
      <c r="BC447" s="800"/>
      <c r="BD447" s="800"/>
      <c r="BE447" s="800"/>
      <c r="BF447" s="800"/>
      <c r="BG447" s="800"/>
      <c r="BH447" s="801"/>
      <c r="BI447" s="801"/>
      <c r="BJ447" s="801"/>
      <c r="BK447" s="801"/>
      <c r="BL447" s="801">
        <f>SUM(BL448,BL452)</f>
        <v>2056828.01982476</v>
      </c>
      <c r="BM447" s="801"/>
      <c r="BN447" s="868"/>
      <c r="BO447" s="801"/>
      <c r="BP447" s="801"/>
      <c r="BQ447" s="801">
        <f>SUM(BQ448,BQ452)</f>
        <v>2056828.01982476</v>
      </c>
      <c r="BR447" s="801"/>
      <c r="BS447" s="868"/>
      <c r="BU447" s="752"/>
      <c r="BV447" s="752"/>
      <c r="BW447" s="752"/>
      <c r="BX447" s="752"/>
      <c r="BY447" s="752"/>
      <c r="BZ447" s="752"/>
      <c r="CA447" s="752"/>
      <c r="CB447" s="752"/>
      <c r="CC447" s="752"/>
      <c r="CD447" s="870"/>
      <c r="CE447" s="870"/>
      <c r="CF447" s="870"/>
      <c r="CG447" s="870"/>
      <c r="CH447" s="870"/>
      <c r="CI447" s="870"/>
      <c r="CJ447" s="870"/>
      <c r="CP447" s="868">
        <f>SUM(CP448,CP452)</f>
        <v>7483414.4476683699</v>
      </c>
      <c r="CQ447" s="868">
        <f>SUM(CQ448,CQ452)</f>
        <v>331178</v>
      </c>
      <c r="CR447" s="868">
        <f>SUM(CR448,CR452)</f>
        <v>46962.775830000006</v>
      </c>
      <c r="CT447" s="871"/>
      <c r="CU447" s="872"/>
      <c r="CV447" s="871"/>
      <c r="CW447" s="871"/>
      <c r="DF447" s="752"/>
      <c r="DG447" s="752"/>
      <c r="DH447" s="752"/>
      <c r="DI447" s="752"/>
    </row>
    <row r="448" spans="1:123" ht="28.8" thickBot="1">
      <c r="A448" s="873" t="s">
        <v>294</v>
      </c>
      <c r="B448" s="874" t="s">
        <v>2045</v>
      </c>
      <c r="C448" s="866"/>
      <c r="D448" s="867"/>
      <c r="E448" s="867"/>
      <c r="F448" s="867"/>
      <c r="G448" s="867"/>
      <c r="H448" s="867"/>
      <c r="I448" s="867"/>
      <c r="J448" s="867"/>
      <c r="K448" s="867"/>
      <c r="L448" s="867"/>
      <c r="M448" s="867"/>
      <c r="N448" s="867"/>
      <c r="O448" s="867"/>
      <c r="P448" s="867"/>
      <c r="Q448" s="867"/>
      <c r="R448" s="867"/>
      <c r="S448" s="875">
        <f>SUM(S449:S451)</f>
        <v>0</v>
      </c>
      <c r="T448" s="875">
        <f>SUM(T449:T451)</f>
        <v>7483414.4476683699</v>
      </c>
      <c r="U448" s="875">
        <f>SUM(U449:U451)</f>
        <v>7861555.2234983696</v>
      </c>
      <c r="V448" s="875"/>
      <c r="W448" s="875"/>
      <c r="X448" s="875"/>
      <c r="Y448" s="875"/>
      <c r="Z448" s="876"/>
      <c r="AA448" s="875"/>
      <c r="AB448" s="875"/>
      <c r="AC448" s="875"/>
      <c r="AD448" s="875"/>
      <c r="AE448" s="875"/>
      <c r="AF448" s="875"/>
      <c r="AG448" s="877"/>
      <c r="AH448" s="875"/>
      <c r="AI448" s="875"/>
      <c r="AJ448" s="875"/>
      <c r="AK448" s="875"/>
      <c r="AL448" s="875"/>
      <c r="AM448" s="875"/>
      <c r="AN448" s="875"/>
      <c r="AO448" s="875"/>
      <c r="AP448" s="875"/>
      <c r="AQ448" s="875">
        <f>SUM(AQ449:AQ451)</f>
        <v>1951623.6224698198</v>
      </c>
      <c r="AR448" s="875"/>
      <c r="AS448" s="875">
        <f>SUM(AS449:AS451)</f>
        <v>1884489.8748842999</v>
      </c>
      <c r="AT448" s="875"/>
      <c r="AU448" s="875"/>
      <c r="AV448" s="875"/>
      <c r="AW448" s="875"/>
      <c r="AX448" s="875"/>
      <c r="AY448" s="875"/>
      <c r="AZ448" s="875"/>
      <c r="BA448" s="875"/>
      <c r="BB448" s="875">
        <f>SUM(BB449:BB451)</f>
        <v>1968613.70631949</v>
      </c>
      <c r="BC448" s="878"/>
      <c r="BD448" s="878"/>
      <c r="BE448" s="878"/>
      <c r="BF448" s="878"/>
      <c r="BG448" s="878"/>
      <c r="BH448" s="877"/>
      <c r="BI448" s="877"/>
      <c r="BJ448" s="877"/>
      <c r="BK448" s="877"/>
      <c r="BL448" s="877">
        <f>SUM(BL449:BL451)</f>
        <v>2056828.01982476</v>
      </c>
      <c r="BM448" s="877"/>
      <c r="BN448" s="875"/>
      <c r="BO448" s="877"/>
      <c r="BP448" s="877"/>
      <c r="BQ448" s="877">
        <f>SUM(BQ449:BQ451)</f>
        <v>2056828.01982476</v>
      </c>
      <c r="BR448" s="877"/>
      <c r="BS448" s="875"/>
      <c r="BU448" s="752"/>
      <c r="BV448" s="752"/>
      <c r="BW448" s="752"/>
      <c r="BX448" s="752"/>
      <c r="BY448" s="752"/>
      <c r="BZ448" s="752"/>
      <c r="CA448" s="752"/>
      <c r="CB448" s="752"/>
      <c r="CC448" s="752"/>
      <c r="CD448" s="879"/>
      <c r="CE448" s="879"/>
      <c r="CF448" s="879"/>
      <c r="CG448" s="879"/>
      <c r="CH448" s="879"/>
      <c r="CI448" s="879"/>
      <c r="CJ448" s="879"/>
      <c r="CP448" s="875">
        <f>SUM(CP449:CP451)</f>
        <v>7483414.4476683699</v>
      </c>
      <c r="CQ448" s="875">
        <f>SUM(CQ449:CQ451)</f>
        <v>331178</v>
      </c>
      <c r="CR448" s="875">
        <f>SUM(CR449:CR451)</f>
        <v>46962.775830000006</v>
      </c>
      <c r="CT448" s="1655" t="s">
        <v>2046</v>
      </c>
      <c r="CU448" s="1655"/>
      <c r="CV448" s="1655"/>
      <c r="CW448" s="1655"/>
      <c r="DF448" s="752"/>
      <c r="DG448" s="752"/>
      <c r="DH448" s="752"/>
      <c r="DI448" s="752"/>
    </row>
    <row r="449" spans="1:113">
      <c r="A449" s="880" t="s">
        <v>294</v>
      </c>
      <c r="B449" s="881" t="s">
        <v>2047</v>
      </c>
      <c r="S449" s="817">
        <f>'8.Бюджет на 2015'!N445/1000</f>
        <v>0</v>
      </c>
      <c r="T449" s="817">
        <f t="shared" ref="T449:U451" si="564">T7/1000</f>
        <v>7483414.4476683699</v>
      </c>
      <c r="U449" s="817">
        <f t="shared" si="564"/>
        <v>7483414.4476683699</v>
      </c>
      <c r="V449" s="817"/>
      <c r="W449" s="817"/>
      <c r="X449" s="817"/>
      <c r="Y449" s="817"/>
      <c r="Z449" s="818"/>
      <c r="AA449" s="817"/>
      <c r="AB449" s="817"/>
      <c r="AC449" s="817"/>
      <c r="AD449" s="817"/>
      <c r="AE449" s="817"/>
      <c r="AF449" s="817"/>
      <c r="AG449" s="819"/>
      <c r="AH449" s="817"/>
      <c r="AI449" s="817"/>
      <c r="AJ449" s="817"/>
      <c r="AK449" s="817"/>
      <c r="AL449" s="817"/>
      <c r="AM449" s="817"/>
      <c r="AN449" s="817"/>
      <c r="AO449" s="817"/>
      <c r="AP449" s="817"/>
      <c r="AQ449" s="817">
        <f>AQ7/1000</f>
        <v>1882703.7531998199</v>
      </c>
      <c r="AR449" s="817"/>
      <c r="AS449" s="817">
        <f>AS7/1000</f>
        <v>1799599.1087342999</v>
      </c>
      <c r="AT449" s="817"/>
      <c r="AU449" s="817"/>
      <c r="AV449" s="817"/>
      <c r="AW449" s="817"/>
      <c r="AX449" s="817"/>
      <c r="AY449" s="817"/>
      <c r="AZ449" s="817"/>
      <c r="BA449" s="817"/>
      <c r="BB449" s="817">
        <f>BB7/1000</f>
        <v>1882264.3815694901</v>
      </c>
      <c r="BC449" s="817"/>
      <c r="BD449" s="817"/>
      <c r="BE449" s="817"/>
      <c r="BF449" s="817"/>
      <c r="BG449" s="817"/>
      <c r="BH449" s="819"/>
      <c r="BI449" s="819"/>
      <c r="BJ449" s="819"/>
      <c r="BK449" s="819"/>
      <c r="BL449" s="819">
        <f>BL7/1000</f>
        <v>1918847.20416476</v>
      </c>
      <c r="BM449" s="819"/>
      <c r="BN449" s="817"/>
      <c r="BO449" s="819"/>
      <c r="BP449" s="819"/>
      <c r="BQ449" s="819">
        <f>BQ7/1000</f>
        <v>1918847.20416476</v>
      </c>
      <c r="BR449" s="819"/>
      <c r="BS449" s="817"/>
      <c r="BU449" s="752"/>
      <c r="BV449" s="752"/>
      <c r="BW449" s="752"/>
      <c r="BX449" s="752"/>
      <c r="BY449" s="752"/>
      <c r="BZ449" s="752"/>
      <c r="CA449" s="752"/>
      <c r="CB449" s="752"/>
      <c r="CC449" s="752"/>
      <c r="CD449" s="817"/>
      <c r="CE449" s="817"/>
      <c r="CF449" s="817"/>
      <c r="CG449" s="817"/>
      <c r="CH449" s="817"/>
      <c r="CI449" s="817"/>
      <c r="CJ449" s="817"/>
      <c r="CK449" s="817" t="e">
        <f t="shared" ref="CK449:CR451" si="565">CK7/1000</f>
        <v>#VALUE!</v>
      </c>
      <c r="CL449" s="817" t="e">
        <f t="shared" si="565"/>
        <v>#VALUE!</v>
      </c>
      <c r="CM449" s="817">
        <f t="shared" si="565"/>
        <v>0</v>
      </c>
      <c r="CN449" s="817">
        <f t="shared" si="565"/>
        <v>0</v>
      </c>
      <c r="CO449" s="817">
        <f t="shared" si="565"/>
        <v>0</v>
      </c>
      <c r="CP449" s="817">
        <f t="shared" si="565"/>
        <v>7483414.4476683699</v>
      </c>
      <c r="CQ449" s="817">
        <f t="shared" si="565"/>
        <v>0</v>
      </c>
      <c r="CR449" s="817">
        <f t="shared" si="565"/>
        <v>0</v>
      </c>
      <c r="CT449" s="871"/>
      <c r="CU449" s="871"/>
      <c r="CV449" s="871"/>
      <c r="CW449" s="871"/>
      <c r="DF449" s="752"/>
      <c r="DG449" s="752"/>
      <c r="DH449" s="752"/>
      <c r="DI449" s="752"/>
    </row>
    <row r="450" spans="1:113">
      <c r="A450" s="882" t="s">
        <v>75</v>
      </c>
      <c r="B450" s="883" t="s">
        <v>2048</v>
      </c>
      <c r="S450" s="884">
        <f>'8.Бюджет на 2015'!N446/1000</f>
        <v>0</v>
      </c>
      <c r="T450" s="884">
        <f t="shared" si="564"/>
        <v>0</v>
      </c>
      <c r="U450" s="884">
        <f t="shared" si="564"/>
        <v>331178</v>
      </c>
      <c r="V450" s="884"/>
      <c r="W450" s="884"/>
      <c r="X450" s="884"/>
      <c r="Y450" s="884"/>
      <c r="Z450" s="885"/>
      <c r="AA450" s="884"/>
      <c r="AB450" s="884"/>
      <c r="AC450" s="884"/>
      <c r="AD450" s="884"/>
      <c r="AE450" s="884"/>
      <c r="AF450" s="884"/>
      <c r="AG450" s="886"/>
      <c r="AH450" s="884"/>
      <c r="AI450" s="884"/>
      <c r="AJ450" s="884"/>
      <c r="AK450" s="884"/>
      <c r="AL450" s="884"/>
      <c r="AM450" s="884"/>
      <c r="AN450" s="884"/>
      <c r="AO450" s="884"/>
      <c r="AP450" s="884"/>
      <c r="AQ450" s="884">
        <f>AQ8/1000</f>
        <v>59893</v>
      </c>
      <c r="AR450" s="884"/>
      <c r="AS450" s="884">
        <f>AS8/1000</f>
        <v>72683</v>
      </c>
      <c r="AT450" s="884"/>
      <c r="AU450" s="884"/>
      <c r="AV450" s="884"/>
      <c r="AW450" s="884"/>
      <c r="AX450" s="884"/>
      <c r="AY450" s="884"/>
      <c r="AZ450" s="884"/>
      <c r="BA450" s="884"/>
      <c r="BB450" s="884">
        <f>BB8/1000</f>
        <v>73595</v>
      </c>
      <c r="BC450" s="884"/>
      <c r="BD450" s="884"/>
      <c r="BE450" s="884"/>
      <c r="BF450" s="884"/>
      <c r="BG450" s="884"/>
      <c r="BH450" s="886"/>
      <c r="BI450" s="886"/>
      <c r="BJ450" s="886"/>
      <c r="BK450" s="886"/>
      <c r="BL450" s="886">
        <f>BL8/1000</f>
        <v>125007</v>
      </c>
      <c r="BM450" s="886"/>
      <c r="BN450" s="884"/>
      <c r="BO450" s="886"/>
      <c r="BP450" s="886"/>
      <c r="BQ450" s="886">
        <f>BQ8/1000</f>
        <v>125007</v>
      </c>
      <c r="BR450" s="886"/>
      <c r="BS450" s="884"/>
      <c r="BU450" s="752"/>
      <c r="BV450" s="752"/>
      <c r="BW450" s="752"/>
      <c r="BX450" s="752"/>
      <c r="BY450" s="752"/>
      <c r="BZ450" s="752"/>
      <c r="CA450" s="752"/>
      <c r="CB450" s="752"/>
      <c r="CC450" s="752"/>
      <c r="CD450" s="884"/>
      <c r="CE450" s="884"/>
      <c r="CF450" s="884"/>
      <c r="CG450" s="884"/>
      <c r="CH450" s="884"/>
      <c r="CI450" s="884"/>
      <c r="CJ450" s="884"/>
      <c r="CK450" s="884" t="e">
        <f t="shared" si="565"/>
        <v>#VALUE!</v>
      </c>
      <c r="CL450" s="884" t="e">
        <f t="shared" si="565"/>
        <v>#VALUE!</v>
      </c>
      <c r="CM450" s="884">
        <f t="shared" si="565"/>
        <v>0</v>
      </c>
      <c r="CN450" s="884">
        <f t="shared" si="565"/>
        <v>0</v>
      </c>
      <c r="CO450" s="884">
        <f t="shared" si="565"/>
        <v>0</v>
      </c>
      <c r="CP450" s="884">
        <f t="shared" si="565"/>
        <v>0</v>
      </c>
      <c r="CQ450" s="884">
        <f t="shared" si="565"/>
        <v>331178</v>
      </c>
      <c r="CR450" s="884">
        <f t="shared" si="565"/>
        <v>0</v>
      </c>
      <c r="CT450" s="845" t="s">
        <v>2035</v>
      </c>
      <c r="CU450" s="845" t="s">
        <v>2036</v>
      </c>
      <c r="CV450" s="845" t="s">
        <v>2037</v>
      </c>
      <c r="CW450" s="845">
        <v>2015</v>
      </c>
      <c r="DF450" s="752"/>
      <c r="DG450" s="752"/>
      <c r="DH450" s="752"/>
      <c r="DI450" s="752"/>
    </row>
    <row r="451" spans="1:113" ht="141.6" thickBot="1">
      <c r="A451" s="887" t="s">
        <v>546</v>
      </c>
      <c r="B451" s="888" t="s">
        <v>2049</v>
      </c>
      <c r="S451" s="826">
        <f>'8.Бюджет на 2015'!N447/1000</f>
        <v>0</v>
      </c>
      <c r="T451" s="826">
        <f t="shared" si="564"/>
        <v>0</v>
      </c>
      <c r="U451" s="826">
        <f t="shared" si="564"/>
        <v>46962.775830000006</v>
      </c>
      <c r="V451" s="826"/>
      <c r="W451" s="826"/>
      <c r="X451" s="826"/>
      <c r="Y451" s="826"/>
      <c r="Z451" s="827"/>
      <c r="AA451" s="826"/>
      <c r="AB451" s="826"/>
      <c r="AC451" s="826"/>
      <c r="AD451" s="826"/>
      <c r="AE451" s="826"/>
      <c r="AF451" s="826"/>
      <c r="AG451" s="828"/>
      <c r="AH451" s="826"/>
      <c r="AI451" s="826"/>
      <c r="AJ451" s="826"/>
      <c r="AK451" s="826"/>
      <c r="AL451" s="826"/>
      <c r="AM451" s="826"/>
      <c r="AN451" s="826"/>
      <c r="AO451" s="826"/>
      <c r="AP451" s="826"/>
      <c r="AQ451" s="826">
        <f>AQ9/1000</f>
        <v>9026.8692700000011</v>
      </c>
      <c r="AR451" s="826"/>
      <c r="AS451" s="826">
        <f>AS9/1000</f>
        <v>12207.766150000003</v>
      </c>
      <c r="AT451" s="826"/>
      <c r="AU451" s="826"/>
      <c r="AV451" s="826"/>
      <c r="AW451" s="826"/>
      <c r="AX451" s="826"/>
      <c r="AY451" s="826"/>
      <c r="AZ451" s="826"/>
      <c r="BA451" s="826"/>
      <c r="BB451" s="826">
        <f>BB9/1000</f>
        <v>12754.32475</v>
      </c>
      <c r="BC451" s="826"/>
      <c r="BD451" s="826"/>
      <c r="BE451" s="826"/>
      <c r="BF451" s="826"/>
      <c r="BG451" s="826"/>
      <c r="BH451" s="828"/>
      <c r="BI451" s="828"/>
      <c r="BJ451" s="828"/>
      <c r="BK451" s="828"/>
      <c r="BL451" s="828">
        <f>BL9/1000</f>
        <v>12973.81566</v>
      </c>
      <c r="BM451" s="828"/>
      <c r="BN451" s="826"/>
      <c r="BO451" s="828"/>
      <c r="BP451" s="828"/>
      <c r="BQ451" s="828">
        <f>BQ9/1000</f>
        <v>12973.81566</v>
      </c>
      <c r="BR451" s="828"/>
      <c r="BS451" s="826"/>
      <c r="BU451" s="752"/>
      <c r="BV451" s="752"/>
      <c r="BW451" s="752"/>
      <c r="BX451" s="752"/>
      <c r="BY451" s="752"/>
      <c r="BZ451" s="752"/>
      <c r="CA451" s="752"/>
      <c r="CB451" s="752"/>
      <c r="CC451" s="752"/>
      <c r="CD451" s="826"/>
      <c r="CE451" s="826"/>
      <c r="CF451" s="826"/>
      <c r="CG451" s="826"/>
      <c r="CH451" s="826"/>
      <c r="CI451" s="826"/>
      <c r="CJ451" s="826"/>
      <c r="CK451" s="826">
        <f t="shared" si="565"/>
        <v>0</v>
      </c>
      <c r="CL451" s="826">
        <f t="shared" si="565"/>
        <v>0</v>
      </c>
      <c r="CM451" s="826">
        <f t="shared" si="565"/>
        <v>0</v>
      </c>
      <c r="CN451" s="826">
        <f t="shared" si="565"/>
        <v>0</v>
      </c>
      <c r="CO451" s="826">
        <f t="shared" si="565"/>
        <v>0</v>
      </c>
      <c r="CP451" s="826">
        <f t="shared" si="565"/>
        <v>0</v>
      </c>
      <c r="CQ451" s="826">
        <f t="shared" si="565"/>
        <v>0</v>
      </c>
      <c r="CR451" s="826">
        <f t="shared" si="565"/>
        <v>46962.775830000006</v>
      </c>
      <c r="CT451" s="850" t="s">
        <v>1</v>
      </c>
      <c r="CU451" s="889" t="s">
        <v>2050</v>
      </c>
      <c r="CV451" s="890" t="s">
        <v>2051</v>
      </c>
      <c r="CW451" s="891">
        <v>310.30043000000001</v>
      </c>
      <c r="DF451" s="752"/>
      <c r="DG451" s="752"/>
      <c r="DH451" s="752"/>
      <c r="DI451" s="752"/>
    </row>
    <row r="452" spans="1:113" ht="198" thickBot="1">
      <c r="A452" s="892" t="s">
        <v>75</v>
      </c>
      <c r="B452" s="893" t="s">
        <v>2052</v>
      </c>
      <c r="S452" s="894"/>
      <c r="T452" s="894"/>
      <c r="U452" s="894"/>
      <c r="V452" s="894"/>
      <c r="W452" s="894"/>
      <c r="X452" s="894"/>
      <c r="Y452" s="894"/>
      <c r="Z452" s="895"/>
      <c r="AA452" s="894"/>
      <c r="AB452" s="894"/>
      <c r="AC452" s="894"/>
      <c r="AD452" s="894"/>
      <c r="AE452" s="894"/>
      <c r="AF452" s="894"/>
      <c r="AG452" s="896"/>
      <c r="AH452" s="894"/>
      <c r="AI452" s="894"/>
      <c r="AJ452" s="894"/>
      <c r="AK452" s="894"/>
      <c r="AL452" s="894"/>
      <c r="AM452" s="894"/>
      <c r="AN452" s="894"/>
      <c r="AO452" s="894"/>
      <c r="AP452" s="894"/>
      <c r="AQ452" s="894"/>
      <c r="AR452" s="894"/>
      <c r="AS452" s="894"/>
      <c r="AT452" s="894"/>
      <c r="AU452" s="894"/>
      <c r="AV452" s="894"/>
      <c r="AW452" s="894"/>
      <c r="AX452" s="894"/>
      <c r="AY452" s="894"/>
      <c r="AZ452" s="894"/>
      <c r="BA452" s="894"/>
      <c r="BB452" s="894"/>
      <c r="BC452" s="894"/>
      <c r="BD452" s="894"/>
      <c r="BE452" s="894"/>
      <c r="BF452" s="894"/>
      <c r="BG452" s="894"/>
      <c r="BH452" s="896"/>
      <c r="BI452" s="896"/>
      <c r="BJ452" s="896"/>
      <c r="BK452" s="896"/>
      <c r="BL452" s="896"/>
      <c r="BM452" s="896"/>
      <c r="BN452" s="894"/>
      <c r="BO452" s="896"/>
      <c r="BP452" s="896"/>
      <c r="BQ452" s="896"/>
      <c r="BR452" s="896"/>
      <c r="BS452" s="894"/>
      <c r="BU452" s="752"/>
      <c r="BV452" s="752"/>
      <c r="BW452" s="752"/>
      <c r="BX452" s="752"/>
      <c r="BY452" s="752"/>
      <c r="BZ452" s="752"/>
      <c r="CA452" s="752"/>
      <c r="CB452" s="752"/>
      <c r="CC452" s="752"/>
      <c r="CD452" s="897"/>
      <c r="CE452" s="897"/>
      <c r="CF452" s="897"/>
      <c r="CG452" s="897"/>
      <c r="CH452" s="897"/>
      <c r="CI452" s="897"/>
      <c r="CJ452" s="897"/>
      <c r="CP452" s="894"/>
      <c r="CQ452" s="894"/>
      <c r="CR452" s="894"/>
      <c r="CT452" s="850" t="s">
        <v>6</v>
      </c>
      <c r="CU452" s="889" t="s">
        <v>2053</v>
      </c>
      <c r="CV452" s="850" t="s">
        <v>2054</v>
      </c>
      <c r="CW452" s="891">
        <v>0.53351999999999999</v>
      </c>
      <c r="DF452" s="752"/>
      <c r="DG452" s="752"/>
      <c r="DH452" s="752"/>
      <c r="DI452" s="752"/>
    </row>
    <row r="453" spans="1:113" ht="28.8" thickBot="1">
      <c r="A453" s="864" t="s">
        <v>6</v>
      </c>
      <c r="B453" s="865" t="s">
        <v>2055</v>
      </c>
      <c r="C453" s="866"/>
      <c r="D453" s="867"/>
      <c r="E453" s="867"/>
      <c r="F453" s="867"/>
      <c r="G453" s="867"/>
      <c r="H453" s="867"/>
      <c r="I453" s="867"/>
      <c r="J453" s="867"/>
      <c r="K453" s="867"/>
      <c r="L453" s="867"/>
      <c r="M453" s="867"/>
      <c r="N453" s="867"/>
      <c r="O453" s="867"/>
      <c r="P453" s="867"/>
      <c r="Q453" s="867"/>
      <c r="R453" s="867"/>
      <c r="S453" s="868">
        <f>'8.Бюджет на 2015'!N757/1000</f>
        <v>0</v>
      </c>
      <c r="T453" s="868">
        <f>T454+T462</f>
        <v>6513347.4430355262</v>
      </c>
      <c r="U453" s="868">
        <f>U454+U462</f>
        <v>6743181.1236267611</v>
      </c>
      <c r="V453" s="868"/>
      <c r="W453" s="868"/>
      <c r="X453" s="868"/>
      <c r="Y453" s="868"/>
      <c r="Z453" s="869"/>
      <c r="AA453" s="868"/>
      <c r="AB453" s="868"/>
      <c r="AC453" s="868"/>
      <c r="AD453" s="868"/>
      <c r="AE453" s="868"/>
      <c r="AF453" s="868"/>
      <c r="AG453" s="801"/>
      <c r="AH453" s="868"/>
      <c r="AI453" s="868"/>
      <c r="AJ453" s="868"/>
      <c r="AK453" s="868"/>
      <c r="AL453" s="868"/>
      <c r="AM453" s="868"/>
      <c r="AN453" s="868"/>
      <c r="AO453" s="868"/>
      <c r="AP453" s="868"/>
      <c r="AQ453" s="868">
        <f t="shared" ref="AQ453:CR453" si="566">AQ454+AQ462</f>
        <v>1845448.0814108406</v>
      </c>
      <c r="AR453" s="868"/>
      <c r="AS453" s="868">
        <f t="shared" si="566"/>
        <v>1547581.8187460515</v>
      </c>
      <c r="AT453" s="868"/>
      <c r="AU453" s="868"/>
      <c r="AV453" s="868"/>
      <c r="AW453" s="868"/>
      <c r="AX453" s="868"/>
      <c r="AY453" s="868"/>
      <c r="AZ453" s="868"/>
      <c r="BA453" s="868"/>
      <c r="BB453" s="868">
        <f t="shared" si="566"/>
        <v>1625020.8893096803</v>
      </c>
      <c r="BC453" s="800"/>
      <c r="BD453" s="800"/>
      <c r="BE453" s="800"/>
      <c r="BF453" s="800"/>
      <c r="BG453" s="800"/>
      <c r="BH453" s="801"/>
      <c r="BI453" s="801"/>
      <c r="BJ453" s="801"/>
      <c r="BK453" s="801"/>
      <c r="BL453" s="801">
        <f t="shared" si="566"/>
        <v>1725130.3341601896</v>
      </c>
      <c r="BM453" s="801"/>
      <c r="BN453" s="868"/>
      <c r="BO453" s="801"/>
      <c r="BP453" s="801"/>
      <c r="BQ453" s="801">
        <f t="shared" ref="BQ453" si="567">BQ454+BQ462</f>
        <v>1725130.3341601896</v>
      </c>
      <c r="BR453" s="801"/>
      <c r="BS453" s="868"/>
      <c r="BU453" s="752"/>
      <c r="BV453" s="752"/>
      <c r="BW453" s="752"/>
      <c r="BX453" s="752"/>
      <c r="BY453" s="752"/>
      <c r="BZ453" s="752"/>
      <c r="CA453" s="752"/>
      <c r="CB453" s="752"/>
      <c r="CC453" s="752"/>
      <c r="CD453" s="868"/>
      <c r="CE453" s="868"/>
      <c r="CF453" s="868"/>
      <c r="CG453" s="868"/>
      <c r="CH453" s="868"/>
      <c r="CI453" s="868"/>
      <c r="CJ453" s="868"/>
      <c r="CK453" s="868" t="e">
        <f t="shared" si="566"/>
        <v>#VALUE!</v>
      </c>
      <c r="CL453" s="868" t="e">
        <f t="shared" si="566"/>
        <v>#VALUE!</v>
      </c>
      <c r="CM453" s="868" t="e">
        <f t="shared" si="566"/>
        <v>#VALUE!</v>
      </c>
      <c r="CN453" s="868" t="e">
        <f t="shared" si="566"/>
        <v>#VALUE!</v>
      </c>
      <c r="CO453" s="868">
        <f t="shared" si="566"/>
        <v>0</v>
      </c>
      <c r="CP453" s="868">
        <f t="shared" si="566"/>
        <v>6555924.3214213578</v>
      </c>
      <c r="CQ453" s="868">
        <f t="shared" si="566"/>
        <v>160817.81179253248</v>
      </c>
      <c r="CR453" s="868">
        <f t="shared" si="566"/>
        <v>26438.990412871422</v>
      </c>
      <c r="CT453" s="850" t="s">
        <v>1144</v>
      </c>
      <c r="CU453" s="898" t="s">
        <v>2056</v>
      </c>
      <c r="CV453" s="850" t="s">
        <v>2054</v>
      </c>
      <c r="CW453" s="891">
        <v>0.47748000000000002</v>
      </c>
      <c r="DF453" s="752"/>
      <c r="DG453" s="752"/>
      <c r="DH453" s="752"/>
      <c r="DI453" s="752"/>
    </row>
    <row r="454" spans="1:113">
      <c r="A454" s="882" t="s">
        <v>7</v>
      </c>
      <c r="B454" s="883" t="s">
        <v>2057</v>
      </c>
      <c r="S454" s="884">
        <f>S453-S462</f>
        <v>0</v>
      </c>
      <c r="T454" s="884">
        <f>T455+T456+T457+T458+T459+T460+T461</f>
        <v>3538623.1441550665</v>
      </c>
      <c r="U454" s="884">
        <f>U455+U456+U457+U458+U459+U460+U461</f>
        <v>3768456.8247570517</v>
      </c>
      <c r="V454" s="884"/>
      <c r="W454" s="884"/>
      <c r="X454" s="884"/>
      <c r="Y454" s="884"/>
      <c r="Z454" s="885"/>
      <c r="AA454" s="884"/>
      <c r="AB454" s="884"/>
      <c r="AC454" s="884"/>
      <c r="AD454" s="884"/>
      <c r="AE454" s="884"/>
      <c r="AF454" s="884"/>
      <c r="AG454" s="886"/>
      <c r="AH454" s="884"/>
      <c r="AI454" s="884"/>
      <c r="AJ454" s="884"/>
      <c r="AK454" s="884"/>
      <c r="AL454" s="884"/>
      <c r="AM454" s="884"/>
      <c r="AN454" s="884"/>
      <c r="AO454" s="884"/>
      <c r="AP454" s="884"/>
      <c r="AQ454" s="884">
        <f t="shared" ref="AQ454:CR454" si="568">AQ455+AQ456+AQ457+AQ458+AQ459+AQ460+AQ461</f>
        <v>883768.73935259157</v>
      </c>
      <c r="AR454" s="884"/>
      <c r="AS454" s="884">
        <f t="shared" si="568"/>
        <v>1071427.0357534154</v>
      </c>
      <c r="AT454" s="884"/>
      <c r="AU454" s="884"/>
      <c r="AV454" s="884"/>
      <c r="AW454" s="884"/>
      <c r="AX454" s="884"/>
      <c r="AY454" s="884"/>
      <c r="AZ454" s="884"/>
      <c r="BA454" s="884"/>
      <c r="BB454" s="884">
        <f t="shared" si="568"/>
        <v>953444.84873323829</v>
      </c>
      <c r="BC454" s="884"/>
      <c r="BD454" s="884"/>
      <c r="BE454" s="884"/>
      <c r="BF454" s="884"/>
      <c r="BG454" s="884"/>
      <c r="BH454" s="886"/>
      <c r="BI454" s="886"/>
      <c r="BJ454" s="886"/>
      <c r="BK454" s="886"/>
      <c r="BL454" s="886">
        <f t="shared" si="568"/>
        <v>859816.20091780659</v>
      </c>
      <c r="BM454" s="886"/>
      <c r="BN454" s="884"/>
      <c r="BO454" s="886"/>
      <c r="BP454" s="886"/>
      <c r="BQ454" s="886">
        <f t="shared" ref="BQ454" si="569">BQ455+BQ456+BQ457+BQ458+BQ459+BQ460+BQ461</f>
        <v>859816.20091780659</v>
      </c>
      <c r="BR454" s="886"/>
      <c r="BS454" s="884"/>
      <c r="BU454" s="752"/>
      <c r="BV454" s="752"/>
      <c r="BW454" s="752"/>
      <c r="BX454" s="752"/>
      <c r="BY454" s="752"/>
      <c r="BZ454" s="752"/>
      <c r="CA454" s="752"/>
      <c r="CB454" s="752"/>
      <c r="CC454" s="752"/>
      <c r="CD454" s="884"/>
      <c r="CE454" s="884"/>
      <c r="CF454" s="884"/>
      <c r="CG454" s="884"/>
      <c r="CH454" s="884"/>
      <c r="CI454" s="884"/>
      <c r="CJ454" s="884"/>
      <c r="CK454" s="884" t="e">
        <f t="shared" si="568"/>
        <v>#VALUE!</v>
      </c>
      <c r="CL454" s="884" t="e">
        <f t="shared" si="568"/>
        <v>#VALUE!</v>
      </c>
      <c r="CM454" s="884" t="e">
        <f t="shared" si="568"/>
        <v>#VALUE!</v>
      </c>
      <c r="CN454" s="884" t="e">
        <f t="shared" si="568"/>
        <v>#VALUE!</v>
      </c>
      <c r="CO454" s="884">
        <f t="shared" si="568"/>
        <v>0</v>
      </c>
      <c r="CP454" s="884">
        <f t="shared" si="568"/>
        <v>3581200.0225516479</v>
      </c>
      <c r="CQ454" s="884">
        <f t="shared" si="568"/>
        <v>160817.81179253248</v>
      </c>
      <c r="CR454" s="884">
        <f t="shared" si="568"/>
        <v>26438.990412871422</v>
      </c>
      <c r="CT454" s="850" t="s">
        <v>1149</v>
      </c>
      <c r="CU454" s="898" t="s">
        <v>2058</v>
      </c>
      <c r="CV454" s="850" t="s">
        <v>2054</v>
      </c>
      <c r="CW454" s="891">
        <v>0.53881999999999997</v>
      </c>
      <c r="DF454" s="752"/>
      <c r="DG454" s="752"/>
      <c r="DH454" s="752"/>
      <c r="DI454" s="752"/>
    </row>
    <row r="455" spans="1:113" ht="225.6">
      <c r="A455" s="882" t="s">
        <v>2059</v>
      </c>
      <c r="B455" s="899" t="s">
        <v>1614</v>
      </c>
      <c r="S455" s="884">
        <f>'8.Бюджет на 2015'!N523/1000</f>
        <v>0</v>
      </c>
      <c r="T455" s="884">
        <f>T85/1000</f>
        <v>244570.80639018721</v>
      </c>
      <c r="U455" s="884">
        <f>U85/1000</f>
        <v>272063.17375999992</v>
      </c>
      <c r="V455" s="884"/>
      <c r="W455" s="884"/>
      <c r="X455" s="884"/>
      <c r="Y455" s="884"/>
      <c r="Z455" s="885"/>
      <c r="AA455" s="884"/>
      <c r="AB455" s="884"/>
      <c r="AC455" s="884"/>
      <c r="AD455" s="884"/>
      <c r="AE455" s="884"/>
      <c r="AF455" s="884"/>
      <c r="AG455" s="886"/>
      <c r="AH455" s="884"/>
      <c r="AI455" s="884"/>
      <c r="AJ455" s="884"/>
      <c r="AK455" s="884"/>
      <c r="AL455" s="884"/>
      <c r="AM455" s="884"/>
      <c r="AN455" s="884"/>
      <c r="AO455" s="884"/>
      <c r="AP455" s="884"/>
      <c r="AQ455" s="884">
        <f>AQ85/1000</f>
        <v>39297.597170000001</v>
      </c>
      <c r="AR455" s="884"/>
      <c r="AS455" s="884">
        <f>AS85/1000</f>
        <v>90654.800220000005</v>
      </c>
      <c r="AT455" s="884"/>
      <c r="AU455" s="884"/>
      <c r="AV455" s="884"/>
      <c r="AW455" s="884"/>
      <c r="AX455" s="884"/>
      <c r="AY455" s="884"/>
      <c r="AZ455" s="884"/>
      <c r="BA455" s="884"/>
      <c r="BB455" s="884">
        <f>BB85/1000</f>
        <v>91834.370370000033</v>
      </c>
      <c r="BC455" s="884"/>
      <c r="BD455" s="884"/>
      <c r="BE455" s="884"/>
      <c r="BF455" s="884"/>
      <c r="BG455" s="884"/>
      <c r="BH455" s="886"/>
      <c r="BI455" s="886"/>
      <c r="BJ455" s="886"/>
      <c r="BK455" s="886"/>
      <c r="BL455" s="886">
        <f>BL85/1000</f>
        <v>50276.405999999995</v>
      </c>
      <c r="BM455" s="886"/>
      <c r="BN455" s="884"/>
      <c r="BO455" s="886"/>
      <c r="BP455" s="886"/>
      <c r="BQ455" s="886">
        <f>BQ85/1000</f>
        <v>50276.405999999995</v>
      </c>
      <c r="BR455" s="886"/>
      <c r="BS455" s="884"/>
      <c r="BU455" s="752"/>
      <c r="BV455" s="752"/>
      <c r="BW455" s="752"/>
      <c r="BX455" s="752"/>
      <c r="BY455" s="752"/>
      <c r="BZ455" s="752"/>
      <c r="CA455" s="752"/>
      <c r="CB455" s="752"/>
      <c r="CC455" s="752"/>
      <c r="CD455" s="884"/>
      <c r="CE455" s="884"/>
      <c r="CF455" s="884"/>
      <c r="CG455" s="884"/>
      <c r="CH455" s="884"/>
      <c r="CI455" s="884"/>
      <c r="CJ455" s="884"/>
      <c r="CK455" s="884">
        <f t="shared" ref="CK455:CR455" si="570">CK85/1000</f>
        <v>0</v>
      </c>
      <c r="CL455" s="884">
        <f t="shared" si="570"/>
        <v>0</v>
      </c>
      <c r="CM455" s="884" t="e">
        <f t="shared" si="570"/>
        <v>#VALUE!</v>
      </c>
      <c r="CN455" s="884">
        <f t="shared" si="570"/>
        <v>0</v>
      </c>
      <c r="CO455" s="884">
        <f t="shared" si="570"/>
        <v>0</v>
      </c>
      <c r="CP455" s="884">
        <f t="shared" si="570"/>
        <v>258249.36509168695</v>
      </c>
      <c r="CQ455" s="884">
        <f t="shared" si="570"/>
        <v>8737.3853152064476</v>
      </c>
      <c r="CR455" s="884">
        <f t="shared" si="570"/>
        <v>5076.4233531065302</v>
      </c>
      <c r="CT455" s="850" t="s">
        <v>16</v>
      </c>
      <c r="CU455" s="889" t="s">
        <v>2060</v>
      </c>
      <c r="CV455" s="850" t="s">
        <v>2054</v>
      </c>
      <c r="CW455" s="891">
        <v>1.34216</v>
      </c>
      <c r="DF455" s="752"/>
      <c r="DG455" s="752"/>
      <c r="DH455" s="752"/>
      <c r="DI455" s="752"/>
    </row>
    <row r="456" spans="1:113">
      <c r="A456" s="882" t="s">
        <v>2061</v>
      </c>
      <c r="B456" s="899" t="s">
        <v>1857</v>
      </c>
      <c r="S456" s="884">
        <f>('8.Бюджет на 2015'!N477+'8.Бюджет на 2015'!N478+'8.Бюджет на 2015'!N479+'8.Бюджет на 2015'!N480+'8.Бюджет на 2015'!N481+'8.Бюджет на 2015'!N482+'8.Бюджет на 2015'!N483+'8.Бюджет на 2015'!N484+'8.Бюджет на 2015'!N485+'8.Бюджет на 2015'!N486+'8.Бюджет на 2015'!N487+'8.Бюджет на 2015'!N488+'8.Бюджет на 2015'!N489)/1000</f>
        <v>0</v>
      </c>
      <c r="T456" s="884">
        <f>(T38-T52)/1000</f>
        <v>962477.47734777979</v>
      </c>
      <c r="U456" s="884">
        <f>(U38-U52)/1000</f>
        <v>1004278.7422300632</v>
      </c>
      <c r="V456" s="884"/>
      <c r="W456" s="884"/>
      <c r="X456" s="884"/>
      <c r="Y456" s="884"/>
      <c r="Z456" s="885"/>
      <c r="AA456" s="884"/>
      <c r="AB456" s="884"/>
      <c r="AC456" s="884"/>
      <c r="AD456" s="884"/>
      <c r="AE456" s="884"/>
      <c r="AF456" s="884"/>
      <c r="AG456" s="886"/>
      <c r="AH456" s="884"/>
      <c r="AI456" s="884"/>
      <c r="AJ456" s="884"/>
      <c r="AK456" s="884"/>
      <c r="AL456" s="884"/>
      <c r="AM456" s="884"/>
      <c r="AN456" s="884"/>
      <c r="AO456" s="884"/>
      <c r="AP456" s="884"/>
      <c r="AQ456" s="884">
        <f>(AQ38-AQ52)/1000</f>
        <v>229435.5648274566</v>
      </c>
      <c r="AR456" s="884"/>
      <c r="AS456" s="884">
        <f>(AS38-AS52)/1000</f>
        <v>308135.47020435648</v>
      </c>
      <c r="AT456" s="884"/>
      <c r="AU456" s="884"/>
      <c r="AV456" s="884"/>
      <c r="AW456" s="884"/>
      <c r="AX456" s="884"/>
      <c r="AY456" s="884"/>
      <c r="AZ456" s="884"/>
      <c r="BA456" s="884"/>
      <c r="BB456" s="884">
        <f>(BB38-BB52)/1000</f>
        <v>239158.93662004513</v>
      </c>
      <c r="BC456" s="884"/>
      <c r="BD456" s="884"/>
      <c r="BE456" s="884"/>
      <c r="BF456" s="884"/>
      <c r="BG456" s="884"/>
      <c r="BH456" s="886"/>
      <c r="BI456" s="886"/>
      <c r="BJ456" s="886"/>
      <c r="BK456" s="886"/>
      <c r="BL456" s="886">
        <f>(BL38-BL52)/1000</f>
        <v>227548.77057820506</v>
      </c>
      <c r="BM456" s="886"/>
      <c r="BN456" s="884"/>
      <c r="BO456" s="886"/>
      <c r="BP456" s="886"/>
      <c r="BQ456" s="886">
        <f>(BQ38-BQ52)/1000</f>
        <v>227548.77057820506</v>
      </c>
      <c r="BR456" s="886"/>
      <c r="BS456" s="884"/>
      <c r="BU456" s="752"/>
      <c r="BV456" s="752"/>
      <c r="BW456" s="752"/>
      <c r="BX456" s="752"/>
      <c r="BY456" s="752"/>
      <c r="BZ456" s="752"/>
      <c r="CA456" s="752"/>
      <c r="CB456" s="752"/>
      <c r="CC456" s="752"/>
      <c r="CD456" s="884"/>
      <c r="CE456" s="884"/>
      <c r="CF456" s="884"/>
      <c r="CG456" s="884"/>
      <c r="CH456" s="884"/>
      <c r="CI456" s="884"/>
      <c r="CJ456" s="884"/>
      <c r="CK456" s="884" t="e">
        <f t="shared" ref="CK456:CR456" si="571">(CK38-CK52)/1000</f>
        <v>#VALUE!</v>
      </c>
      <c r="CL456" s="884" t="e">
        <f t="shared" si="571"/>
        <v>#VALUE!</v>
      </c>
      <c r="CM456" s="884" t="e">
        <f t="shared" si="571"/>
        <v>#VALUE!</v>
      </c>
      <c r="CN456" s="884" t="e">
        <f t="shared" si="571"/>
        <v>#VALUE!</v>
      </c>
      <c r="CO456" s="884">
        <f t="shared" si="571"/>
        <v>0</v>
      </c>
      <c r="CP456" s="884">
        <f t="shared" si="571"/>
        <v>926568.10536184406</v>
      </c>
      <c r="CQ456" s="884">
        <f t="shared" si="571"/>
        <v>68059.450188236908</v>
      </c>
      <c r="CR456" s="884">
        <f t="shared" si="571"/>
        <v>9651.1866799824311</v>
      </c>
      <c r="CT456" s="850" t="s">
        <v>2062</v>
      </c>
      <c r="CU456" s="898" t="s">
        <v>2056</v>
      </c>
      <c r="CV456" s="850" t="s">
        <v>2054</v>
      </c>
      <c r="CW456" s="891">
        <v>1.2861199999999999</v>
      </c>
      <c r="DF456" s="752"/>
      <c r="DG456" s="752"/>
      <c r="DH456" s="752"/>
      <c r="DI456" s="752"/>
    </row>
    <row r="457" spans="1:113">
      <c r="A457" s="882" t="s">
        <v>2063</v>
      </c>
      <c r="B457" s="899" t="s">
        <v>2064</v>
      </c>
      <c r="S457" s="884">
        <f>'8.Бюджет на 2015'!N490/1000</f>
        <v>0</v>
      </c>
      <c r="T457" s="884">
        <f>T52/1000</f>
        <v>305659.3041537251</v>
      </c>
      <c r="U457" s="884">
        <f>U52/1000</f>
        <v>290236.55650448886</v>
      </c>
      <c r="V457" s="884"/>
      <c r="W457" s="884"/>
      <c r="X457" s="884"/>
      <c r="Y457" s="884"/>
      <c r="Z457" s="885"/>
      <c r="AA457" s="884"/>
      <c r="AB457" s="884"/>
      <c r="AC457" s="884"/>
      <c r="AD457" s="884"/>
      <c r="AE457" s="884"/>
      <c r="AF457" s="884"/>
      <c r="AG457" s="886"/>
      <c r="AH457" s="884"/>
      <c r="AI457" s="884"/>
      <c r="AJ457" s="884"/>
      <c r="AK457" s="884"/>
      <c r="AL457" s="884"/>
      <c r="AM457" s="884"/>
      <c r="AN457" s="884"/>
      <c r="AO457" s="884"/>
      <c r="AP457" s="884"/>
      <c r="AQ457" s="884">
        <f>AQ52/1000</f>
        <v>66306.878235135096</v>
      </c>
      <c r="AR457" s="884"/>
      <c r="AS457" s="884">
        <f>AS52/1000</f>
        <v>89051.150889059194</v>
      </c>
      <c r="AT457" s="884"/>
      <c r="AU457" s="884"/>
      <c r="AV457" s="884"/>
      <c r="AW457" s="884"/>
      <c r="AX457" s="884"/>
      <c r="AY457" s="884"/>
      <c r="AZ457" s="884"/>
      <c r="BA457" s="884"/>
      <c r="BB457" s="884">
        <f>BB52/1000</f>
        <v>69116.932683193198</v>
      </c>
      <c r="BC457" s="884"/>
      <c r="BD457" s="884"/>
      <c r="BE457" s="884"/>
      <c r="BF457" s="884"/>
      <c r="BG457" s="884"/>
      <c r="BH457" s="886"/>
      <c r="BI457" s="886"/>
      <c r="BJ457" s="886"/>
      <c r="BK457" s="886"/>
      <c r="BL457" s="886">
        <f>BL52/1000</f>
        <v>65761.594697101405</v>
      </c>
      <c r="BM457" s="886"/>
      <c r="BN457" s="884"/>
      <c r="BO457" s="886"/>
      <c r="BP457" s="886"/>
      <c r="BQ457" s="886">
        <f>BQ52/1000</f>
        <v>65761.594697101405</v>
      </c>
      <c r="BR457" s="886"/>
      <c r="BS457" s="884"/>
      <c r="BU457" s="752"/>
      <c r="BV457" s="752"/>
      <c r="BW457" s="752"/>
      <c r="BX457" s="752"/>
      <c r="BY457" s="752"/>
      <c r="BZ457" s="752"/>
      <c r="CA457" s="752"/>
      <c r="CB457" s="752"/>
      <c r="CC457" s="752"/>
      <c r="CD457" s="884"/>
      <c r="CE457" s="884"/>
      <c r="CF457" s="884"/>
      <c r="CG457" s="884"/>
      <c r="CH457" s="884"/>
      <c r="CI457" s="884"/>
      <c r="CJ457" s="884"/>
      <c r="CK457" s="884" t="e">
        <f t="shared" ref="CK457:CR457" si="572">CK52/1000</f>
        <v>#VALUE!</v>
      </c>
      <c r="CL457" s="884" t="e">
        <f t="shared" si="572"/>
        <v>#VALUE!</v>
      </c>
      <c r="CM457" s="884" t="e">
        <f t="shared" si="572"/>
        <v>#VALUE!</v>
      </c>
      <c r="CN457" s="884" t="e">
        <f t="shared" si="572"/>
        <v>#VALUE!</v>
      </c>
      <c r="CO457" s="884">
        <f t="shared" si="572"/>
        <v>0</v>
      </c>
      <c r="CP457" s="884">
        <f t="shared" si="572"/>
        <v>267778.18244957348</v>
      </c>
      <c r="CQ457" s="884">
        <f t="shared" si="572"/>
        <v>19669.181104400501</v>
      </c>
      <c r="CR457" s="884">
        <f t="shared" si="572"/>
        <v>2789.1929505149274</v>
      </c>
      <c r="CT457" s="900" t="s">
        <v>2065</v>
      </c>
      <c r="CU457" s="898" t="s">
        <v>2058</v>
      </c>
      <c r="CV457" s="850" t="s">
        <v>2054</v>
      </c>
      <c r="CW457" s="891">
        <v>1.3474600000000001</v>
      </c>
      <c r="DF457" s="752"/>
      <c r="DG457" s="752"/>
      <c r="DH457" s="752"/>
      <c r="DI457" s="752"/>
    </row>
    <row r="458" spans="1:113">
      <c r="A458" s="882" t="s">
        <v>2066</v>
      </c>
      <c r="B458" s="899" t="s">
        <v>2067</v>
      </c>
      <c r="S458" s="884">
        <f>'8.Бюджет на 2015'!N577/1000</f>
        <v>0</v>
      </c>
      <c r="T458" s="884">
        <f>T139/1000</f>
        <v>394375.43193641584</v>
      </c>
      <c r="U458" s="884">
        <f>U139/1000</f>
        <v>510056.97868999996</v>
      </c>
      <c r="V458" s="884"/>
      <c r="W458" s="884"/>
      <c r="X458" s="884"/>
      <c r="Y458" s="884"/>
      <c r="Z458" s="885"/>
      <c r="AA458" s="884"/>
      <c r="AB458" s="884"/>
      <c r="AC458" s="884"/>
      <c r="AD458" s="884"/>
      <c r="AE458" s="884"/>
      <c r="AF458" s="884"/>
      <c r="AG458" s="886"/>
      <c r="AH458" s="884"/>
      <c r="AI458" s="884"/>
      <c r="AJ458" s="884"/>
      <c r="AK458" s="884"/>
      <c r="AL458" s="884"/>
      <c r="AM458" s="884"/>
      <c r="AN458" s="884"/>
      <c r="AO458" s="884"/>
      <c r="AP458" s="884"/>
      <c r="AQ458" s="884">
        <f>AQ139/1000</f>
        <v>122753.20886</v>
      </c>
      <c r="AR458" s="884"/>
      <c r="AS458" s="884">
        <f>AS139/1000</f>
        <v>143115.02745999998</v>
      </c>
      <c r="AT458" s="884"/>
      <c r="AU458" s="884"/>
      <c r="AV458" s="884"/>
      <c r="AW458" s="884"/>
      <c r="AX458" s="884"/>
      <c r="AY458" s="884"/>
      <c r="AZ458" s="884"/>
      <c r="BA458" s="884"/>
      <c r="BB458" s="884">
        <f>BB139/1000</f>
        <v>133707.77206999998</v>
      </c>
      <c r="BC458" s="884"/>
      <c r="BD458" s="884"/>
      <c r="BE458" s="884"/>
      <c r="BF458" s="884"/>
      <c r="BG458" s="884"/>
      <c r="BH458" s="886"/>
      <c r="BI458" s="886"/>
      <c r="BJ458" s="886"/>
      <c r="BK458" s="886"/>
      <c r="BL458" s="886">
        <f>BL139/1000</f>
        <v>110480.97030000002</v>
      </c>
      <c r="BM458" s="886"/>
      <c r="BN458" s="884"/>
      <c r="BO458" s="886"/>
      <c r="BP458" s="886"/>
      <c r="BQ458" s="886">
        <f>BQ139/1000</f>
        <v>110480.97030000002</v>
      </c>
      <c r="BR458" s="886"/>
      <c r="BS458" s="884"/>
      <c r="BU458" s="752"/>
      <c r="BV458" s="752"/>
      <c r="BW458" s="752"/>
      <c r="BX458" s="752"/>
      <c r="BY458" s="752"/>
      <c r="BZ458" s="752"/>
      <c r="CA458" s="752"/>
      <c r="CB458" s="752"/>
      <c r="CC458" s="752"/>
      <c r="CD458" s="884"/>
      <c r="CE458" s="884"/>
      <c r="CF458" s="884"/>
      <c r="CG458" s="884"/>
      <c r="CH458" s="884"/>
      <c r="CI458" s="884"/>
      <c r="CJ458" s="884"/>
      <c r="CK458" s="884">
        <f t="shared" ref="CK458:CR458" si="573">CK139/1000</f>
        <v>0</v>
      </c>
      <c r="CL458" s="884">
        <f t="shared" si="573"/>
        <v>0</v>
      </c>
      <c r="CM458" s="884" t="e">
        <f t="shared" si="573"/>
        <v>#VALUE!</v>
      </c>
      <c r="CN458" s="884">
        <f t="shared" si="573"/>
        <v>0</v>
      </c>
      <c r="CO458" s="884">
        <f t="shared" si="573"/>
        <v>0</v>
      </c>
      <c r="CP458" s="884">
        <f t="shared" si="573"/>
        <v>477813.42231795774</v>
      </c>
      <c r="CQ458" s="884">
        <f t="shared" si="573"/>
        <v>28239.103515725732</v>
      </c>
      <c r="CR458" s="884">
        <f t="shared" si="573"/>
        <v>4004.45285631652</v>
      </c>
      <c r="CT458" s="871"/>
      <c r="CU458" s="901"/>
      <c r="CV458" s="871"/>
      <c r="CW458" s="871"/>
      <c r="DF458" s="752"/>
      <c r="DG458" s="752"/>
      <c r="DH458" s="752"/>
      <c r="DI458" s="752"/>
    </row>
    <row r="459" spans="1:113">
      <c r="A459" s="882" t="s">
        <v>2068</v>
      </c>
      <c r="B459" s="899" t="s">
        <v>67</v>
      </c>
      <c r="S459" s="884">
        <f>'8.Бюджет на 2015'!N473/1000</f>
        <v>0</v>
      </c>
      <c r="T459" s="884">
        <f>T35/1000</f>
        <v>297196.02</v>
      </c>
      <c r="U459" s="884">
        <f>U35/1000</f>
        <v>319845.33333249995</v>
      </c>
      <c r="V459" s="884"/>
      <c r="W459" s="884"/>
      <c r="X459" s="884"/>
      <c r="Y459" s="884"/>
      <c r="Z459" s="885"/>
      <c r="AA459" s="884"/>
      <c r="AB459" s="884"/>
      <c r="AC459" s="884"/>
      <c r="AD459" s="884"/>
      <c r="AE459" s="884"/>
      <c r="AF459" s="884"/>
      <c r="AG459" s="886"/>
      <c r="AH459" s="884"/>
      <c r="AI459" s="884"/>
      <c r="AJ459" s="884"/>
      <c r="AK459" s="884"/>
      <c r="AL459" s="884"/>
      <c r="AM459" s="884"/>
      <c r="AN459" s="884"/>
      <c r="AO459" s="884"/>
      <c r="AP459" s="884"/>
      <c r="AQ459" s="884">
        <f>AQ35/1000</f>
        <v>79886</v>
      </c>
      <c r="AR459" s="884"/>
      <c r="AS459" s="884">
        <f>AS35/1000</f>
        <v>79732</v>
      </c>
      <c r="AT459" s="884"/>
      <c r="AU459" s="884"/>
      <c r="AV459" s="884"/>
      <c r="AW459" s="884"/>
      <c r="AX459" s="884"/>
      <c r="AY459" s="884"/>
      <c r="AZ459" s="884"/>
      <c r="BA459" s="884"/>
      <c r="BB459" s="884">
        <f>BB35/1000</f>
        <v>80266</v>
      </c>
      <c r="BC459" s="884"/>
      <c r="BD459" s="884"/>
      <c r="BE459" s="884"/>
      <c r="BF459" s="884"/>
      <c r="BG459" s="884"/>
      <c r="BH459" s="886"/>
      <c r="BI459" s="886"/>
      <c r="BJ459" s="886"/>
      <c r="BK459" s="886"/>
      <c r="BL459" s="886">
        <f>BL35/1000</f>
        <v>79961.333332499999</v>
      </c>
      <c r="BM459" s="886"/>
      <c r="BN459" s="884"/>
      <c r="BO459" s="886"/>
      <c r="BP459" s="886"/>
      <c r="BQ459" s="886">
        <f>BQ35/1000</f>
        <v>79961.333332499999</v>
      </c>
      <c r="BR459" s="886"/>
      <c r="BS459" s="884"/>
      <c r="BU459" s="752"/>
      <c r="BV459" s="752"/>
      <c r="BW459" s="752"/>
      <c r="BX459" s="752"/>
      <c r="BY459" s="752"/>
      <c r="BZ459" s="752"/>
      <c r="CA459" s="752"/>
      <c r="CB459" s="752"/>
      <c r="CC459" s="752"/>
      <c r="CD459" s="884"/>
      <c r="CE459" s="884"/>
      <c r="CF459" s="884"/>
      <c r="CG459" s="884"/>
      <c r="CH459" s="884"/>
      <c r="CI459" s="884"/>
      <c r="CJ459" s="884"/>
      <c r="CK459" s="884">
        <f t="shared" ref="CK459:CR459" si="574">CK35/1000</f>
        <v>0</v>
      </c>
      <c r="CL459" s="884">
        <f t="shared" si="574"/>
        <v>0</v>
      </c>
      <c r="CM459" s="884">
        <f t="shared" si="574"/>
        <v>0</v>
      </c>
      <c r="CN459" s="884">
        <f t="shared" si="574"/>
        <v>0</v>
      </c>
      <c r="CO459" s="884">
        <f t="shared" si="574"/>
        <v>0</v>
      </c>
      <c r="CP459" s="884">
        <f t="shared" si="574"/>
        <v>295095.84545884095</v>
      </c>
      <c r="CQ459" s="884">
        <f t="shared" si="574"/>
        <v>21675.752573976632</v>
      </c>
      <c r="CR459" s="884">
        <f t="shared" si="574"/>
        <v>3073.7352996823765</v>
      </c>
      <c r="CT459" s="1655" t="s">
        <v>2069</v>
      </c>
      <c r="CU459" s="1655"/>
      <c r="CV459" s="1655"/>
      <c r="CW459" s="1655"/>
      <c r="DF459" s="752"/>
      <c r="DG459" s="752"/>
      <c r="DH459" s="752"/>
      <c r="DI459" s="752"/>
    </row>
    <row r="460" spans="1:113">
      <c r="A460" s="882" t="s">
        <v>2070</v>
      </c>
      <c r="B460" s="899" t="s">
        <v>2071</v>
      </c>
      <c r="S460" s="884">
        <f>'8.Бюджет на 2015'!N510/1000</f>
        <v>0</v>
      </c>
      <c r="T460" s="884">
        <f>T72/1000</f>
        <v>1263084.8551806002</v>
      </c>
      <c r="U460" s="884">
        <f>U72/1000</f>
        <v>1304065.10677</v>
      </c>
      <c r="V460" s="884"/>
      <c r="W460" s="884"/>
      <c r="X460" s="884"/>
      <c r="Y460" s="884"/>
      <c r="Z460" s="885"/>
      <c r="AA460" s="884"/>
      <c r="AB460" s="884"/>
      <c r="AC460" s="884"/>
      <c r="AD460" s="884"/>
      <c r="AE460" s="884"/>
      <c r="AF460" s="884"/>
      <c r="AG460" s="886"/>
      <c r="AH460" s="884"/>
      <c r="AI460" s="884"/>
      <c r="AJ460" s="884"/>
      <c r="AK460" s="884"/>
      <c r="AL460" s="884"/>
      <c r="AM460" s="884"/>
      <c r="AN460" s="884"/>
      <c r="AO460" s="884"/>
      <c r="AP460" s="884"/>
      <c r="AQ460" s="884">
        <f>AQ72/1000</f>
        <v>333389.90499999991</v>
      </c>
      <c r="AR460" s="884"/>
      <c r="AS460" s="884">
        <f>AS72/1000</f>
        <v>345003.44688999996</v>
      </c>
      <c r="AT460" s="884"/>
      <c r="AU460" s="884"/>
      <c r="AV460" s="884"/>
      <c r="AW460" s="884"/>
      <c r="AX460" s="884"/>
      <c r="AY460" s="884"/>
      <c r="AZ460" s="884"/>
      <c r="BA460" s="884"/>
      <c r="BB460" s="884">
        <f>BB72/1000</f>
        <v>324727.50171999994</v>
      </c>
      <c r="BC460" s="884"/>
      <c r="BD460" s="884"/>
      <c r="BE460" s="884"/>
      <c r="BF460" s="884"/>
      <c r="BG460" s="884"/>
      <c r="BH460" s="886"/>
      <c r="BI460" s="886"/>
      <c r="BJ460" s="886"/>
      <c r="BK460" s="886"/>
      <c r="BL460" s="886">
        <f>BL72/1000</f>
        <v>300944.25316000002</v>
      </c>
      <c r="BM460" s="886"/>
      <c r="BN460" s="884"/>
      <c r="BO460" s="886"/>
      <c r="BP460" s="886"/>
      <c r="BQ460" s="886">
        <f>BQ72/1000</f>
        <v>300944.25316000002</v>
      </c>
      <c r="BR460" s="886"/>
      <c r="BS460" s="884"/>
      <c r="BU460" s="752"/>
      <c r="BV460" s="752"/>
      <c r="BW460" s="752"/>
      <c r="BX460" s="752"/>
      <c r="BY460" s="752"/>
      <c r="BZ460" s="752"/>
      <c r="CA460" s="752"/>
      <c r="CB460" s="752"/>
      <c r="CC460" s="752"/>
      <c r="CD460" s="884"/>
      <c r="CE460" s="884"/>
      <c r="CF460" s="884"/>
      <c r="CG460" s="884"/>
      <c r="CH460" s="884"/>
      <c r="CI460" s="884"/>
      <c r="CJ460" s="884"/>
      <c r="CK460" s="884">
        <f t="shared" ref="CK460:CR460" si="575">CK72/1000</f>
        <v>0</v>
      </c>
      <c r="CL460" s="884">
        <f t="shared" si="575"/>
        <v>0</v>
      </c>
      <c r="CM460" s="884" t="e">
        <f t="shared" si="575"/>
        <v>#VALUE!</v>
      </c>
      <c r="CN460" s="884">
        <f t="shared" si="575"/>
        <v>0</v>
      </c>
      <c r="CO460" s="884">
        <f t="shared" si="575"/>
        <v>0</v>
      </c>
      <c r="CP460" s="884">
        <f t="shared" si="575"/>
        <v>1292851.577694241</v>
      </c>
      <c r="CQ460" s="884">
        <f t="shared" si="575"/>
        <v>9820.8772225113789</v>
      </c>
      <c r="CR460" s="884">
        <f t="shared" si="575"/>
        <v>1392.6518532473622</v>
      </c>
      <c r="CU460" s="902"/>
      <c r="DF460" s="752"/>
      <c r="DG460" s="752"/>
      <c r="DH460" s="752"/>
      <c r="DI460" s="752"/>
    </row>
    <row r="461" spans="1:113">
      <c r="A461" s="882" t="s">
        <v>2072</v>
      </c>
      <c r="B461" s="899" t="s">
        <v>1617</v>
      </c>
      <c r="S461" s="884">
        <f>S454-S455-S458-S459-S460-S456-S457</f>
        <v>0</v>
      </c>
      <c r="T461" s="884">
        <f>(T56+T230)/1000</f>
        <v>71259.249146358343</v>
      </c>
      <c r="U461" s="884">
        <f>(U56+U230)/1000</f>
        <v>67910.933470000004</v>
      </c>
      <c r="V461" s="884"/>
      <c r="W461" s="884"/>
      <c r="X461" s="884"/>
      <c r="Y461" s="884"/>
      <c r="Z461" s="885"/>
      <c r="AA461" s="884"/>
      <c r="AB461" s="884"/>
      <c r="AC461" s="884"/>
      <c r="AD461" s="884"/>
      <c r="AE461" s="884"/>
      <c r="AF461" s="884"/>
      <c r="AG461" s="886"/>
      <c r="AH461" s="884"/>
      <c r="AI461" s="884"/>
      <c r="AJ461" s="884"/>
      <c r="AK461" s="884"/>
      <c r="AL461" s="884"/>
      <c r="AM461" s="884"/>
      <c r="AN461" s="884"/>
      <c r="AO461" s="884"/>
      <c r="AP461" s="884"/>
      <c r="AQ461" s="884">
        <f>(AQ56+AQ230)/1000</f>
        <v>12699.585259999998</v>
      </c>
      <c r="AR461" s="884"/>
      <c r="AS461" s="884">
        <f>(AS56+AS230)/1000</f>
        <v>15735.140089999997</v>
      </c>
      <c r="AT461" s="884"/>
      <c r="AU461" s="884"/>
      <c r="AV461" s="884"/>
      <c r="AW461" s="884"/>
      <c r="AX461" s="884"/>
      <c r="AY461" s="884"/>
      <c r="AZ461" s="884"/>
      <c r="BA461" s="884"/>
      <c r="BB461" s="884">
        <f>(BB56+BB230)/1000</f>
        <v>14633.335269999998</v>
      </c>
      <c r="BC461" s="884"/>
      <c r="BD461" s="884"/>
      <c r="BE461" s="884"/>
      <c r="BF461" s="884"/>
      <c r="BG461" s="884"/>
      <c r="BH461" s="886"/>
      <c r="BI461" s="886"/>
      <c r="BJ461" s="886"/>
      <c r="BK461" s="886"/>
      <c r="BL461" s="886">
        <f>(BL56+BL230)/1000</f>
        <v>24842.87285</v>
      </c>
      <c r="BM461" s="886"/>
      <c r="BN461" s="884"/>
      <c r="BO461" s="886"/>
      <c r="BP461" s="886"/>
      <c r="BQ461" s="886">
        <f>(BQ56+BQ230)/1000</f>
        <v>24842.87285</v>
      </c>
      <c r="BR461" s="886"/>
      <c r="BS461" s="884"/>
      <c r="BU461" s="752"/>
      <c r="BV461" s="752"/>
      <c r="BW461" s="752"/>
      <c r="BX461" s="752"/>
      <c r="BY461" s="752"/>
      <c r="BZ461" s="752"/>
      <c r="CA461" s="752"/>
      <c r="CB461" s="752"/>
      <c r="CC461" s="752"/>
      <c r="CD461" s="884"/>
      <c r="CE461" s="884"/>
      <c r="CF461" s="884"/>
      <c r="CG461" s="884"/>
      <c r="CH461" s="884"/>
      <c r="CI461" s="884"/>
      <c r="CJ461" s="884"/>
      <c r="CK461" s="884">
        <f t="shared" ref="CK461:CR461" si="576">(CK56+CK230)/1000</f>
        <v>0</v>
      </c>
      <c r="CL461" s="884">
        <f t="shared" si="576"/>
        <v>0</v>
      </c>
      <c r="CM461" s="884">
        <f t="shared" si="576"/>
        <v>0</v>
      </c>
      <c r="CN461" s="884">
        <f t="shared" si="576"/>
        <v>0</v>
      </c>
      <c r="CO461" s="884">
        <f t="shared" si="576"/>
        <v>0</v>
      </c>
      <c r="CP461" s="884">
        <f t="shared" si="576"/>
        <v>62843.524177503859</v>
      </c>
      <c r="CQ461" s="884">
        <f t="shared" si="576"/>
        <v>4616.0618724748674</v>
      </c>
      <c r="CR461" s="884">
        <f t="shared" si="576"/>
        <v>451.34742002127524</v>
      </c>
      <c r="CT461" s="845" t="s">
        <v>2035</v>
      </c>
      <c r="CU461" s="845" t="s">
        <v>2036</v>
      </c>
      <c r="CV461" s="845" t="s">
        <v>2037</v>
      </c>
      <c r="CW461" s="845">
        <v>2015</v>
      </c>
      <c r="DF461" s="752"/>
      <c r="DG461" s="752"/>
      <c r="DH461" s="752"/>
      <c r="DI461" s="752"/>
    </row>
    <row r="462" spans="1:113" ht="85.2" thickBot="1">
      <c r="A462" s="882" t="s">
        <v>2073</v>
      </c>
      <c r="B462" s="883" t="s">
        <v>2074</v>
      </c>
      <c r="S462" s="884">
        <f>'8.Бюджет на 2015'!N468/1000</f>
        <v>0</v>
      </c>
      <c r="T462" s="884">
        <f>T28/1000</f>
        <v>2974724.2988804602</v>
      </c>
      <c r="U462" s="884">
        <f>U28/1000</f>
        <v>2974724.2988697099</v>
      </c>
      <c r="V462" s="884"/>
      <c r="W462" s="884"/>
      <c r="X462" s="884"/>
      <c r="Y462" s="884"/>
      <c r="Z462" s="885"/>
      <c r="AA462" s="884"/>
      <c r="AB462" s="884"/>
      <c r="AC462" s="884"/>
      <c r="AD462" s="884"/>
      <c r="AE462" s="884"/>
      <c r="AF462" s="884"/>
      <c r="AG462" s="886"/>
      <c r="AH462" s="884"/>
      <c r="AI462" s="884"/>
      <c r="AJ462" s="884"/>
      <c r="AK462" s="884"/>
      <c r="AL462" s="884"/>
      <c r="AM462" s="884"/>
      <c r="AN462" s="884"/>
      <c r="AO462" s="884"/>
      <c r="AP462" s="884"/>
      <c r="AQ462" s="884">
        <f>AQ28/1000</f>
        <v>961679.34205824905</v>
      </c>
      <c r="AR462" s="884"/>
      <c r="AS462" s="884">
        <f>AS28/1000</f>
        <v>476154.78299263603</v>
      </c>
      <c r="AT462" s="884"/>
      <c r="AU462" s="884"/>
      <c r="AV462" s="884"/>
      <c r="AW462" s="884"/>
      <c r="AX462" s="884"/>
      <c r="AY462" s="884"/>
      <c r="AZ462" s="884"/>
      <c r="BA462" s="884"/>
      <c r="BB462" s="884">
        <f>BB28/1000</f>
        <v>671576.04057644203</v>
      </c>
      <c r="BC462" s="884"/>
      <c r="BD462" s="884"/>
      <c r="BE462" s="884"/>
      <c r="BF462" s="884"/>
      <c r="BG462" s="884"/>
      <c r="BH462" s="886"/>
      <c r="BI462" s="886"/>
      <c r="BJ462" s="886"/>
      <c r="BK462" s="886"/>
      <c r="BL462" s="886">
        <f>BL28/1000</f>
        <v>865314.13324238302</v>
      </c>
      <c r="BM462" s="886"/>
      <c r="BN462" s="884"/>
      <c r="BO462" s="886"/>
      <c r="BP462" s="886"/>
      <c r="BQ462" s="886">
        <f>BQ28/1000</f>
        <v>865314.13324238302</v>
      </c>
      <c r="BR462" s="886"/>
      <c r="BS462" s="884"/>
      <c r="BU462" s="752"/>
      <c r="BV462" s="752"/>
      <c r="BW462" s="752"/>
      <c r="BX462" s="752"/>
      <c r="BY462" s="752"/>
      <c r="BZ462" s="752"/>
      <c r="CA462" s="752"/>
      <c r="CB462" s="752"/>
      <c r="CC462" s="752"/>
      <c r="CD462" s="884"/>
      <c r="CE462" s="884"/>
      <c r="CF462" s="884"/>
      <c r="CG462" s="884"/>
      <c r="CH462" s="884"/>
      <c r="CI462" s="884"/>
      <c r="CJ462" s="884"/>
      <c r="CK462" s="884">
        <f t="shared" ref="CK462:CR462" si="577">CK28/1000</f>
        <v>0</v>
      </c>
      <c r="CL462" s="884">
        <f t="shared" si="577"/>
        <v>0</v>
      </c>
      <c r="CM462" s="884">
        <f t="shared" si="577"/>
        <v>0</v>
      </c>
      <c r="CN462" s="884">
        <f t="shared" si="577"/>
        <v>0</v>
      </c>
      <c r="CO462" s="884">
        <f t="shared" si="577"/>
        <v>0</v>
      </c>
      <c r="CP462" s="884">
        <f t="shared" si="577"/>
        <v>2974724.2988697099</v>
      </c>
      <c r="CQ462" s="884">
        <f t="shared" si="577"/>
        <v>0</v>
      </c>
      <c r="CR462" s="884">
        <f t="shared" si="577"/>
        <v>0</v>
      </c>
      <c r="CT462" s="900" t="s">
        <v>1</v>
      </c>
      <c r="CU462" s="889" t="s">
        <v>2075</v>
      </c>
      <c r="CV462" s="903"/>
      <c r="CW462" s="852"/>
      <c r="DF462" s="752"/>
      <c r="DG462" s="752"/>
      <c r="DH462" s="752"/>
      <c r="DI462" s="752"/>
    </row>
    <row r="463" spans="1:113" ht="28.8" thickBot="1">
      <c r="A463" s="864" t="s">
        <v>16</v>
      </c>
      <c r="B463" s="865" t="s">
        <v>2076</v>
      </c>
      <c r="C463" s="866"/>
      <c r="D463" s="867"/>
      <c r="E463" s="867"/>
      <c r="F463" s="867"/>
      <c r="G463" s="867"/>
      <c r="H463" s="867"/>
      <c r="I463" s="867"/>
      <c r="J463" s="867"/>
      <c r="K463" s="867"/>
      <c r="L463" s="867"/>
      <c r="M463" s="867"/>
      <c r="N463" s="867"/>
      <c r="O463" s="867"/>
      <c r="P463" s="867"/>
      <c r="Q463" s="867"/>
      <c r="R463" s="867"/>
      <c r="S463" s="868">
        <f>SUM(S447,-S453)</f>
        <v>0</v>
      </c>
      <c r="T463" s="868">
        <f>SUM(T447,-T453)</f>
        <v>970067.00463284366</v>
      </c>
      <c r="U463" s="868">
        <f>SUM(U447,-U453)</f>
        <v>1118374.0998716084</v>
      </c>
      <c r="V463" s="868"/>
      <c r="W463" s="868"/>
      <c r="X463" s="868"/>
      <c r="Y463" s="868"/>
      <c r="Z463" s="869"/>
      <c r="AA463" s="868"/>
      <c r="AB463" s="868"/>
      <c r="AC463" s="868"/>
      <c r="AD463" s="868"/>
      <c r="AE463" s="868"/>
      <c r="AF463" s="868"/>
      <c r="AG463" s="801"/>
      <c r="AH463" s="868"/>
      <c r="AI463" s="868"/>
      <c r="AJ463" s="868"/>
      <c r="AK463" s="868"/>
      <c r="AL463" s="868"/>
      <c r="AM463" s="868"/>
      <c r="AN463" s="868"/>
      <c r="AO463" s="868"/>
      <c r="AP463" s="868"/>
      <c r="AQ463" s="868">
        <f>SUM(AQ447,-AQ453)</f>
        <v>106175.54105897923</v>
      </c>
      <c r="AR463" s="868"/>
      <c r="AS463" s="868">
        <f>SUM(AS447,-AS453)</f>
        <v>336908.05613824842</v>
      </c>
      <c r="AT463" s="868"/>
      <c r="AU463" s="868"/>
      <c r="AV463" s="868"/>
      <c r="AW463" s="868"/>
      <c r="AX463" s="868"/>
      <c r="AY463" s="868"/>
      <c r="AZ463" s="868"/>
      <c r="BA463" s="868"/>
      <c r="BB463" s="868">
        <f>SUM(BB447,-BB453)</f>
        <v>343592.81700980966</v>
      </c>
      <c r="BC463" s="800"/>
      <c r="BD463" s="800"/>
      <c r="BE463" s="800"/>
      <c r="BF463" s="800"/>
      <c r="BG463" s="800"/>
      <c r="BH463" s="801"/>
      <c r="BI463" s="801"/>
      <c r="BJ463" s="801"/>
      <c r="BK463" s="801"/>
      <c r="BL463" s="801">
        <f>SUM(BL447,-BL453)</f>
        <v>331697.68566457042</v>
      </c>
      <c r="BM463" s="801"/>
      <c r="BN463" s="868"/>
      <c r="BO463" s="801"/>
      <c r="BP463" s="801"/>
      <c r="BQ463" s="801">
        <f>SUM(BQ447,-BQ453)</f>
        <v>331697.68566457042</v>
      </c>
      <c r="BR463" s="801"/>
      <c r="BS463" s="868"/>
      <c r="BU463" s="752"/>
      <c r="BV463" s="752"/>
      <c r="BW463" s="752"/>
      <c r="BX463" s="752"/>
      <c r="BY463" s="752"/>
      <c r="BZ463" s="752"/>
      <c r="CA463" s="752"/>
      <c r="CB463" s="752"/>
      <c r="CC463" s="752"/>
      <c r="CD463" s="870"/>
      <c r="CE463" s="870"/>
      <c r="CF463" s="870"/>
      <c r="CG463" s="870"/>
      <c r="CH463" s="870"/>
      <c r="CI463" s="870"/>
      <c r="CJ463" s="870"/>
      <c r="CP463" s="868">
        <f>SUM(CP447,-CP453)</f>
        <v>927490.12624701206</v>
      </c>
      <c r="CQ463" s="868">
        <f>SUM(CQ447,-CQ453)</f>
        <v>170360.18820746752</v>
      </c>
      <c r="CR463" s="868">
        <f>SUM(CR447,-CR453)</f>
        <v>20523.785417128584</v>
      </c>
      <c r="CT463" s="904" t="s">
        <v>294</v>
      </c>
      <c r="CU463" s="889" t="s">
        <v>2077</v>
      </c>
      <c r="CV463" s="850" t="s">
        <v>187</v>
      </c>
      <c r="CW463" s="852">
        <v>18236</v>
      </c>
      <c r="DF463" s="752"/>
      <c r="DG463" s="752"/>
      <c r="DH463" s="752"/>
      <c r="DI463" s="752"/>
    </row>
    <row r="464" spans="1:113" ht="141">
      <c r="A464" s="905" t="s">
        <v>33</v>
      </c>
      <c r="B464" s="906" t="s">
        <v>1671</v>
      </c>
      <c r="S464" s="884"/>
      <c r="T464" s="884"/>
      <c r="U464" s="884"/>
      <c r="V464" s="884"/>
      <c r="W464" s="884"/>
      <c r="X464" s="884"/>
      <c r="Y464" s="884"/>
      <c r="Z464" s="885"/>
      <c r="AA464" s="884"/>
      <c r="AB464" s="884"/>
      <c r="AC464" s="884"/>
      <c r="AD464" s="884"/>
      <c r="AE464" s="884"/>
      <c r="AF464" s="884"/>
      <c r="AG464" s="886"/>
      <c r="AH464" s="884"/>
      <c r="AI464" s="884"/>
      <c r="AJ464" s="884"/>
      <c r="AK464" s="884"/>
      <c r="AL464" s="884"/>
      <c r="AM464" s="884"/>
      <c r="AN464" s="884"/>
      <c r="AO464" s="884"/>
      <c r="AP464" s="884"/>
      <c r="AQ464" s="884"/>
      <c r="AR464" s="884"/>
      <c r="AS464" s="884"/>
      <c r="AT464" s="884"/>
      <c r="AU464" s="884"/>
      <c r="AV464" s="884"/>
      <c r="AW464" s="884"/>
      <c r="AX464" s="884"/>
      <c r="AY464" s="884"/>
      <c r="AZ464" s="884"/>
      <c r="BA464" s="884"/>
      <c r="BB464" s="884"/>
      <c r="BC464" s="884"/>
      <c r="BD464" s="884"/>
      <c r="BE464" s="884"/>
      <c r="BF464" s="884"/>
      <c r="BG464" s="884"/>
      <c r="BH464" s="886"/>
      <c r="BI464" s="886"/>
      <c r="BJ464" s="886"/>
      <c r="BK464" s="886"/>
      <c r="BL464" s="886"/>
      <c r="BM464" s="886"/>
      <c r="BN464" s="884"/>
      <c r="BO464" s="886"/>
      <c r="BP464" s="886"/>
      <c r="BQ464" s="886"/>
      <c r="BR464" s="886"/>
      <c r="BS464" s="884"/>
      <c r="BU464" s="752"/>
      <c r="BV464" s="752"/>
      <c r="BW464" s="752"/>
      <c r="BX464" s="752"/>
      <c r="BY464" s="752"/>
      <c r="BZ464" s="752"/>
      <c r="CA464" s="752"/>
      <c r="CB464" s="752"/>
      <c r="CC464" s="752"/>
      <c r="CD464" s="832"/>
      <c r="CE464" s="832"/>
      <c r="CF464" s="832"/>
      <c r="CG464" s="832"/>
      <c r="CH464" s="832"/>
      <c r="CI464" s="832"/>
      <c r="CJ464" s="832"/>
      <c r="CP464" s="884"/>
      <c r="CQ464" s="884"/>
      <c r="CR464" s="884"/>
      <c r="CT464" s="900" t="s">
        <v>75</v>
      </c>
      <c r="CU464" s="889" t="s">
        <v>2078</v>
      </c>
      <c r="CV464" s="850" t="s">
        <v>2079</v>
      </c>
      <c r="CW464" s="852">
        <v>132999</v>
      </c>
      <c r="DF464" s="752"/>
      <c r="DG464" s="752"/>
      <c r="DH464" s="752"/>
      <c r="DI464" s="752"/>
    </row>
    <row r="465" spans="1:113" ht="28.8" thickBot="1">
      <c r="A465" s="905" t="s">
        <v>52</v>
      </c>
      <c r="B465" s="906" t="s">
        <v>1673</v>
      </c>
      <c r="S465" s="907"/>
      <c r="T465" s="907"/>
      <c r="U465" s="907"/>
      <c r="V465" s="907"/>
      <c r="W465" s="907"/>
      <c r="X465" s="907"/>
      <c r="Y465" s="907"/>
      <c r="Z465" s="908"/>
      <c r="AA465" s="907"/>
      <c r="AB465" s="907"/>
      <c r="AC465" s="907"/>
      <c r="AD465" s="907"/>
      <c r="AE465" s="907"/>
      <c r="AF465" s="907"/>
      <c r="AG465" s="909"/>
      <c r="AH465" s="907"/>
      <c r="AI465" s="907"/>
      <c r="AJ465" s="907"/>
      <c r="AK465" s="907"/>
      <c r="AL465" s="907"/>
      <c r="AM465" s="907"/>
      <c r="AN465" s="907"/>
      <c r="AO465" s="907"/>
      <c r="AP465" s="907"/>
      <c r="AQ465" s="907"/>
      <c r="AR465" s="907"/>
      <c r="AS465" s="907"/>
      <c r="AT465" s="907"/>
      <c r="AU465" s="907"/>
      <c r="AV465" s="907"/>
      <c r="AW465" s="907"/>
      <c r="AX465" s="907"/>
      <c r="AY465" s="907"/>
      <c r="AZ465" s="907"/>
      <c r="BA465" s="907"/>
      <c r="BB465" s="907"/>
      <c r="BC465" s="907"/>
      <c r="BD465" s="907"/>
      <c r="BE465" s="907"/>
      <c r="BF465" s="907"/>
      <c r="BG465" s="907"/>
      <c r="BH465" s="909"/>
      <c r="BI465" s="909"/>
      <c r="BJ465" s="909"/>
      <c r="BK465" s="909"/>
      <c r="BL465" s="909"/>
      <c r="BM465" s="909"/>
      <c r="BN465" s="907"/>
      <c r="BO465" s="909"/>
      <c r="BP465" s="909"/>
      <c r="BQ465" s="909"/>
      <c r="BR465" s="909"/>
      <c r="BS465" s="907"/>
      <c r="BU465" s="752"/>
      <c r="BV465" s="752"/>
      <c r="BW465" s="752"/>
      <c r="BX465" s="752"/>
      <c r="BY465" s="752"/>
      <c r="BZ465" s="752"/>
      <c r="CA465" s="752"/>
      <c r="CB465" s="752"/>
      <c r="CC465" s="752"/>
      <c r="CD465" s="832"/>
      <c r="CE465" s="832"/>
      <c r="CF465" s="832"/>
      <c r="CG465" s="832"/>
      <c r="CH465" s="832"/>
      <c r="CI465" s="832"/>
      <c r="CJ465" s="832"/>
      <c r="CP465" s="907"/>
      <c r="CQ465" s="907"/>
      <c r="CR465" s="907"/>
      <c r="CT465" s="900" t="s">
        <v>2080</v>
      </c>
      <c r="CU465" s="898" t="s">
        <v>2081</v>
      </c>
      <c r="CV465" s="850" t="s">
        <v>2079</v>
      </c>
      <c r="CW465" s="852">
        <v>32500</v>
      </c>
      <c r="DF465" s="752"/>
      <c r="DG465" s="752"/>
      <c r="DH465" s="752"/>
      <c r="DI465" s="752"/>
    </row>
    <row r="466" spans="1:113" ht="57" thickBot="1">
      <c r="A466" s="864" t="s">
        <v>1470</v>
      </c>
      <c r="B466" s="865" t="s">
        <v>2082</v>
      </c>
      <c r="C466" s="866"/>
      <c r="D466" s="867"/>
      <c r="E466" s="867"/>
      <c r="F466" s="867"/>
      <c r="G466" s="867"/>
      <c r="H466" s="867"/>
      <c r="I466" s="867"/>
      <c r="J466" s="867"/>
      <c r="K466" s="867"/>
      <c r="L466" s="867"/>
      <c r="M466" s="867"/>
      <c r="N466" s="867"/>
      <c r="O466" s="867"/>
      <c r="P466" s="867"/>
      <c r="Q466" s="867"/>
      <c r="R466" s="867"/>
      <c r="S466" s="868">
        <f>SUM(S463,-S464,-S465)</f>
        <v>0</v>
      </c>
      <c r="T466" s="868">
        <f>SUM(T463,-T464,-T465)</f>
        <v>970067.00463284366</v>
      </c>
      <c r="U466" s="868">
        <f>SUM(U463,-U464,-U465)</f>
        <v>1118374.0998716084</v>
      </c>
      <c r="V466" s="868"/>
      <c r="W466" s="868"/>
      <c r="X466" s="868"/>
      <c r="Y466" s="868"/>
      <c r="Z466" s="869"/>
      <c r="AA466" s="868"/>
      <c r="AB466" s="868"/>
      <c r="AC466" s="868"/>
      <c r="AD466" s="868"/>
      <c r="AE466" s="868"/>
      <c r="AF466" s="868"/>
      <c r="AG466" s="801"/>
      <c r="AH466" s="868"/>
      <c r="AI466" s="868"/>
      <c r="AJ466" s="868"/>
      <c r="AK466" s="868"/>
      <c r="AL466" s="868"/>
      <c r="AM466" s="868"/>
      <c r="AN466" s="868"/>
      <c r="AO466" s="868"/>
      <c r="AP466" s="868"/>
      <c r="AQ466" s="868">
        <f>SUM(AQ463,-AQ464,-AQ465)</f>
        <v>106175.54105897923</v>
      </c>
      <c r="AR466" s="868"/>
      <c r="AS466" s="868">
        <f>SUM(AS463,-AS464,-AS465)</f>
        <v>336908.05613824842</v>
      </c>
      <c r="AT466" s="868"/>
      <c r="AU466" s="868"/>
      <c r="AV466" s="868"/>
      <c r="AW466" s="868"/>
      <c r="AX466" s="868"/>
      <c r="AY466" s="868"/>
      <c r="AZ466" s="868"/>
      <c r="BA466" s="868"/>
      <c r="BB466" s="868">
        <f>SUM(BB463,-BB464,-BB465)</f>
        <v>343592.81700980966</v>
      </c>
      <c r="BC466" s="800"/>
      <c r="BD466" s="800"/>
      <c r="BE466" s="800"/>
      <c r="BF466" s="800"/>
      <c r="BG466" s="800"/>
      <c r="BH466" s="801"/>
      <c r="BI466" s="801"/>
      <c r="BJ466" s="801"/>
      <c r="BK466" s="801"/>
      <c r="BL466" s="801">
        <f>SUM(BL463,-BL464,-BL465)</f>
        <v>331697.68566457042</v>
      </c>
      <c r="BM466" s="801"/>
      <c r="BN466" s="868"/>
      <c r="BO466" s="801"/>
      <c r="BP466" s="801"/>
      <c r="BQ466" s="801">
        <f>SUM(BQ463,-BQ464,-BQ465)</f>
        <v>331697.68566457042</v>
      </c>
      <c r="BR466" s="801"/>
      <c r="BS466" s="868"/>
      <c r="BU466" s="752"/>
      <c r="BV466" s="752"/>
      <c r="BW466" s="752"/>
      <c r="BX466" s="752"/>
      <c r="BY466" s="752"/>
      <c r="BZ466" s="752"/>
      <c r="CA466" s="752"/>
      <c r="CB466" s="752"/>
      <c r="CC466" s="752"/>
      <c r="CD466" s="870"/>
      <c r="CE466" s="870"/>
      <c r="CF466" s="870"/>
      <c r="CG466" s="870"/>
      <c r="CH466" s="870"/>
      <c r="CI466" s="870"/>
      <c r="CJ466" s="870"/>
      <c r="CP466" s="868">
        <f>SUM(CP463,-CP464,-CP465)</f>
        <v>927490.12624701206</v>
      </c>
      <c r="CQ466" s="868">
        <f>SUM(CQ463,-CQ464,-CQ465)</f>
        <v>170360.18820746752</v>
      </c>
      <c r="CR466" s="868">
        <f>SUM(CR463,-CR464,-CR465)</f>
        <v>20523.785417128584</v>
      </c>
      <c r="CT466" s="900" t="s">
        <v>2083</v>
      </c>
      <c r="CU466" s="898" t="s">
        <v>2084</v>
      </c>
      <c r="CV466" s="850" t="s">
        <v>2079</v>
      </c>
      <c r="CW466" s="852">
        <v>68525</v>
      </c>
      <c r="DF466" s="752"/>
      <c r="DG466" s="752"/>
      <c r="DH466" s="752"/>
      <c r="DI466" s="752"/>
    </row>
    <row r="467" spans="1:113">
      <c r="A467" s="905" t="s">
        <v>2085</v>
      </c>
      <c r="B467" s="906" t="s">
        <v>1678</v>
      </c>
      <c r="S467" s="910">
        <f>'8.Бюджет на 2015'!N452/1000</f>
        <v>0</v>
      </c>
      <c r="T467" s="910">
        <f>T14/1000</f>
        <v>0</v>
      </c>
      <c r="U467" s="910">
        <f>U14/1000</f>
        <v>0</v>
      </c>
      <c r="V467" s="910"/>
      <c r="W467" s="910"/>
      <c r="X467" s="910"/>
      <c r="Y467" s="910"/>
      <c r="Z467" s="911"/>
      <c r="AA467" s="910"/>
      <c r="AB467" s="910"/>
      <c r="AC467" s="910"/>
      <c r="AD467" s="910"/>
      <c r="AE467" s="910"/>
      <c r="AF467" s="910"/>
      <c r="AG467" s="912"/>
      <c r="AH467" s="910"/>
      <c r="AI467" s="910"/>
      <c r="AJ467" s="910"/>
      <c r="AK467" s="910"/>
      <c r="AL467" s="910"/>
      <c r="AM467" s="910"/>
      <c r="AN467" s="910"/>
      <c r="AO467" s="910"/>
      <c r="AP467" s="910"/>
      <c r="AQ467" s="910">
        <f>AQ14/1000</f>
        <v>0</v>
      </c>
      <c r="AR467" s="910"/>
      <c r="AS467" s="910">
        <f>AS14/1000</f>
        <v>0</v>
      </c>
      <c r="AT467" s="910"/>
      <c r="AU467" s="910"/>
      <c r="AV467" s="910"/>
      <c r="AW467" s="910"/>
      <c r="AX467" s="910"/>
      <c r="AY467" s="910"/>
      <c r="AZ467" s="910"/>
      <c r="BA467" s="910"/>
      <c r="BB467" s="910">
        <f>BB14/1000</f>
        <v>0</v>
      </c>
      <c r="BC467" s="910"/>
      <c r="BD467" s="910"/>
      <c r="BE467" s="910"/>
      <c r="BF467" s="910"/>
      <c r="BG467" s="910"/>
      <c r="BH467" s="912"/>
      <c r="BI467" s="912"/>
      <c r="BJ467" s="912"/>
      <c r="BK467" s="912"/>
      <c r="BL467" s="912">
        <f>BL14/1000</f>
        <v>0</v>
      </c>
      <c r="BM467" s="912"/>
      <c r="BN467" s="910"/>
      <c r="BO467" s="912"/>
      <c r="BP467" s="912"/>
      <c r="BQ467" s="912">
        <f>BQ14/1000</f>
        <v>0</v>
      </c>
      <c r="BR467" s="912"/>
      <c r="BS467" s="910"/>
      <c r="BU467" s="752"/>
      <c r="BV467" s="752"/>
      <c r="BW467" s="752"/>
      <c r="BX467" s="752"/>
      <c r="BY467" s="752"/>
      <c r="BZ467" s="752"/>
      <c r="CA467" s="752"/>
      <c r="CB467" s="752"/>
      <c r="CC467" s="752"/>
      <c r="CD467" s="910"/>
      <c r="CE467" s="910"/>
      <c r="CF467" s="910"/>
      <c r="CG467" s="910"/>
      <c r="CH467" s="910"/>
      <c r="CI467" s="910"/>
      <c r="CJ467" s="910"/>
      <c r="CK467" s="910" t="e">
        <f t="shared" ref="CK467:CR467" si="578">CK14/1000</f>
        <v>#VALUE!</v>
      </c>
      <c r="CL467" s="910" t="e">
        <f t="shared" si="578"/>
        <v>#VALUE!</v>
      </c>
      <c r="CM467" s="910">
        <f t="shared" si="578"/>
        <v>0</v>
      </c>
      <c r="CN467" s="910">
        <f t="shared" si="578"/>
        <v>0</v>
      </c>
      <c r="CO467" s="910">
        <f t="shared" si="578"/>
        <v>0</v>
      </c>
      <c r="CP467" s="910">
        <f t="shared" si="578"/>
        <v>0</v>
      </c>
      <c r="CQ467" s="910">
        <f t="shared" si="578"/>
        <v>0</v>
      </c>
      <c r="CR467" s="910">
        <f t="shared" si="578"/>
        <v>0</v>
      </c>
      <c r="CT467" s="900" t="s">
        <v>2086</v>
      </c>
      <c r="CU467" s="898" t="s">
        <v>2087</v>
      </c>
      <c r="CV467" s="850" t="s">
        <v>2079</v>
      </c>
      <c r="CW467" s="852">
        <v>31974</v>
      </c>
      <c r="DF467" s="752"/>
      <c r="DG467" s="752"/>
      <c r="DH467" s="752"/>
      <c r="DI467" s="752"/>
    </row>
    <row r="468" spans="1:113" ht="197.4">
      <c r="A468" s="905" t="s">
        <v>2088</v>
      </c>
      <c r="B468" s="906" t="s">
        <v>1680</v>
      </c>
      <c r="S468" s="884">
        <f>('8.Бюджет на 2015'!N680+'8.Бюджет на 2015'!N681)/1000</f>
        <v>0</v>
      </c>
      <c r="T468" s="884">
        <f>(T243+T244)/1000</f>
        <v>147355.24710000001</v>
      </c>
      <c r="U468" s="884">
        <f>(U243+U244)/1000</f>
        <v>685737.68066187121</v>
      </c>
      <c r="V468" s="884"/>
      <c r="W468" s="884"/>
      <c r="X468" s="884"/>
      <c r="Y468" s="884"/>
      <c r="Z468" s="885"/>
      <c r="AA468" s="884"/>
      <c r="AB468" s="884"/>
      <c r="AC468" s="884"/>
      <c r="AD468" s="884"/>
      <c r="AE468" s="884"/>
      <c r="AF468" s="884"/>
      <c r="AG468" s="886"/>
      <c r="AH468" s="884"/>
      <c r="AI468" s="884"/>
      <c r="AJ468" s="884"/>
      <c r="AK468" s="884"/>
      <c r="AL468" s="884"/>
      <c r="AM468" s="884"/>
      <c r="AN468" s="884"/>
      <c r="AO468" s="884"/>
      <c r="AP468" s="884"/>
      <c r="AQ468" s="884">
        <f>(AQ243+AQ244)/1000</f>
        <v>153583.52997693949</v>
      </c>
      <c r="AR468" s="884"/>
      <c r="AS468" s="884">
        <f>(AS243+AS244)/1000</f>
        <v>174129.47123287671</v>
      </c>
      <c r="AT468" s="884"/>
      <c r="AU468" s="884"/>
      <c r="AV468" s="884"/>
      <c r="AW468" s="884"/>
      <c r="AX468" s="884"/>
      <c r="AY468" s="884"/>
      <c r="AZ468" s="884"/>
      <c r="BA468" s="884"/>
      <c r="BB468" s="884">
        <f>(BB243+BB244)/1000</f>
        <v>179012.33972602748</v>
      </c>
      <c r="BC468" s="884"/>
      <c r="BD468" s="884"/>
      <c r="BE468" s="884"/>
      <c r="BF468" s="884"/>
      <c r="BG468" s="884"/>
      <c r="BH468" s="886"/>
      <c r="BI468" s="886"/>
      <c r="BJ468" s="886"/>
      <c r="BK468" s="886"/>
      <c r="BL468" s="886">
        <f>(BL243+BL244)/1000</f>
        <v>179012.33972602748</v>
      </c>
      <c r="BM468" s="886"/>
      <c r="BN468" s="884"/>
      <c r="BO468" s="886"/>
      <c r="BP468" s="886"/>
      <c r="BQ468" s="886">
        <f>(BQ243+BQ244)/1000</f>
        <v>179012.33972602748</v>
      </c>
      <c r="BR468" s="886"/>
      <c r="BS468" s="884"/>
      <c r="BU468" s="752"/>
      <c r="BV468" s="752"/>
      <c r="BW468" s="752"/>
      <c r="BX468" s="752"/>
      <c r="BY468" s="752"/>
      <c r="BZ468" s="752"/>
      <c r="CA468" s="752"/>
      <c r="CB468" s="752"/>
      <c r="CC468" s="752"/>
      <c r="CD468" s="884"/>
      <c r="CE468" s="884"/>
      <c r="CF468" s="884"/>
      <c r="CG468" s="884"/>
      <c r="CH468" s="884"/>
      <c r="CI468" s="884"/>
      <c r="CJ468" s="884"/>
      <c r="CK468" s="884" t="e">
        <f t="shared" ref="CK468:CR468" si="579">(CK243+CK244)/1000</f>
        <v>#VALUE!</v>
      </c>
      <c r="CL468" s="884" t="e">
        <f t="shared" si="579"/>
        <v>#VALUE!</v>
      </c>
      <c r="CM468" s="884" t="e">
        <f t="shared" si="579"/>
        <v>#VALUE!</v>
      </c>
      <c r="CN468" s="884" t="e">
        <f t="shared" si="579"/>
        <v>#VALUE!</v>
      </c>
      <c r="CO468" s="884">
        <f t="shared" si="579"/>
        <v>0</v>
      </c>
      <c r="CP468" s="884">
        <f t="shared" si="579"/>
        <v>638814.65981977095</v>
      </c>
      <c r="CQ468" s="884">
        <f t="shared" si="579"/>
        <v>46923.02084210029</v>
      </c>
      <c r="CR468" s="884">
        <f t="shared" si="579"/>
        <v>0</v>
      </c>
      <c r="CT468" s="900" t="s">
        <v>6</v>
      </c>
      <c r="CU468" s="889" t="s">
        <v>2089</v>
      </c>
      <c r="CV468" s="850" t="s">
        <v>552</v>
      </c>
      <c r="CW468" s="852">
        <v>331178</v>
      </c>
      <c r="DF468" s="752"/>
      <c r="DG468" s="752"/>
      <c r="DH468" s="752"/>
      <c r="DI468" s="752"/>
    </row>
    <row r="469" spans="1:113" ht="84.6">
      <c r="A469" s="905" t="s">
        <v>2090</v>
      </c>
      <c r="B469" s="906" t="s">
        <v>1682</v>
      </c>
      <c r="S469" s="884">
        <f>('8.Бюджет на 2015'!N451-'8.Бюджет на 2015'!N452)/1000</f>
        <v>0</v>
      </c>
      <c r="T469" s="884">
        <f>(T13-T14)/1000</f>
        <v>0</v>
      </c>
      <c r="U469" s="884">
        <f>(U13-U14)/1000</f>
        <v>306447.21135</v>
      </c>
      <c r="V469" s="884"/>
      <c r="W469" s="884"/>
      <c r="X469" s="884"/>
      <c r="Y469" s="884"/>
      <c r="Z469" s="885"/>
      <c r="AA469" s="884"/>
      <c r="AB469" s="884"/>
      <c r="AC469" s="884"/>
      <c r="AD469" s="884"/>
      <c r="AE469" s="884"/>
      <c r="AF469" s="884"/>
      <c r="AG469" s="886"/>
      <c r="AH469" s="884"/>
      <c r="AI469" s="884"/>
      <c r="AJ469" s="884"/>
      <c r="AK469" s="884"/>
      <c r="AL469" s="884"/>
      <c r="AM469" s="884"/>
      <c r="AN469" s="884"/>
      <c r="AO469" s="884"/>
      <c r="AP469" s="884"/>
      <c r="AQ469" s="884">
        <f>(AQ13-AQ14)/1000</f>
        <v>181210.90559000001</v>
      </c>
      <c r="AR469" s="884"/>
      <c r="AS469" s="884">
        <f>(AS13-AS14)/1000</f>
        <v>42523.110240000002</v>
      </c>
      <c r="AT469" s="884"/>
      <c r="AU469" s="884"/>
      <c r="AV469" s="884"/>
      <c r="AW469" s="884"/>
      <c r="AX469" s="884"/>
      <c r="AY469" s="884"/>
      <c r="AZ469" s="884"/>
      <c r="BA469" s="884"/>
      <c r="BB469" s="884">
        <f>(BB13-BB14)/1000</f>
        <v>43463.787579999997</v>
      </c>
      <c r="BC469" s="884"/>
      <c r="BD469" s="884"/>
      <c r="BE469" s="884"/>
      <c r="BF469" s="884"/>
      <c r="BG469" s="884"/>
      <c r="BH469" s="886"/>
      <c r="BI469" s="886"/>
      <c r="BJ469" s="886"/>
      <c r="BK469" s="886"/>
      <c r="BL469" s="886">
        <f>(BL13-BL14)/1000</f>
        <v>39249.407939999997</v>
      </c>
      <c r="BM469" s="886"/>
      <c r="BN469" s="884"/>
      <c r="BO469" s="886"/>
      <c r="BP469" s="886"/>
      <c r="BQ469" s="886">
        <f>(BQ13-BQ14)/1000</f>
        <v>39249.407939999997</v>
      </c>
      <c r="BR469" s="886"/>
      <c r="BS469" s="884"/>
      <c r="BU469" s="752"/>
      <c r="BV469" s="752"/>
      <c r="BW469" s="752"/>
      <c r="BX469" s="752"/>
      <c r="BY469" s="752"/>
      <c r="BZ469" s="752"/>
      <c r="CA469" s="752"/>
      <c r="CB469" s="752"/>
      <c r="CC469" s="752"/>
      <c r="CD469" s="884"/>
      <c r="CE469" s="884"/>
      <c r="CF469" s="884"/>
      <c r="CG469" s="884"/>
      <c r="CH469" s="884"/>
      <c r="CI469" s="884"/>
      <c r="CJ469" s="884"/>
      <c r="CK469" s="884" t="e">
        <f t="shared" ref="CK469:CR469" si="580">(CK13-CK14)/1000</f>
        <v>#VALUE!</v>
      </c>
      <c r="CL469" s="884" t="e">
        <f t="shared" si="580"/>
        <v>#VALUE!</v>
      </c>
      <c r="CM469" s="884">
        <f t="shared" si="580"/>
        <v>0</v>
      </c>
      <c r="CN469" s="884">
        <f t="shared" si="580"/>
        <v>0</v>
      </c>
      <c r="CO469" s="884">
        <f t="shared" si="580"/>
        <v>0</v>
      </c>
      <c r="CP469" s="884">
        <f t="shared" si="580"/>
        <v>255932.60912853872</v>
      </c>
      <c r="CQ469" s="884">
        <f t="shared" si="580"/>
        <v>10578.81614699157</v>
      </c>
      <c r="CR469" s="884">
        <f t="shared" si="580"/>
        <v>39935.78607446971</v>
      </c>
      <c r="CT469" s="900" t="s">
        <v>1144</v>
      </c>
      <c r="CU469" s="898" t="s">
        <v>2091</v>
      </c>
      <c r="CV469" s="850" t="s">
        <v>552</v>
      </c>
      <c r="CW469" s="852">
        <v>8500</v>
      </c>
      <c r="DF469" s="752"/>
      <c r="DG469" s="752"/>
      <c r="DH469" s="752"/>
      <c r="DI469" s="752"/>
    </row>
    <row r="470" spans="1:113" ht="226.2" thickBot="1">
      <c r="A470" s="905" t="s">
        <v>2092</v>
      </c>
      <c r="B470" s="906" t="s">
        <v>1305</v>
      </c>
      <c r="S470" s="884">
        <f>('8.Бюджет на 2015'!N679-'8.Бюджет на 2015'!N680-'8.Бюджет на 2015'!N681)/1000</f>
        <v>0</v>
      </c>
      <c r="T470" s="884">
        <f>(T241-T243-T244)/1000</f>
        <v>46077.97</v>
      </c>
      <c r="U470" s="884">
        <f>(U241-U243-U244)/1000</f>
        <v>296097.35105261637</v>
      </c>
      <c r="V470" s="884"/>
      <c r="W470" s="884"/>
      <c r="X470" s="884"/>
      <c r="Y470" s="884"/>
      <c r="Z470" s="885"/>
      <c r="AA470" s="884"/>
      <c r="AB470" s="884"/>
      <c r="AC470" s="884"/>
      <c r="AD470" s="884"/>
      <c r="AE470" s="884"/>
      <c r="AF470" s="884"/>
      <c r="AG470" s="886"/>
      <c r="AH470" s="884"/>
      <c r="AI470" s="884"/>
      <c r="AJ470" s="884"/>
      <c r="AK470" s="884"/>
      <c r="AL470" s="884"/>
      <c r="AM470" s="884"/>
      <c r="AN470" s="884"/>
      <c r="AO470" s="884"/>
      <c r="AP470" s="884"/>
      <c r="AQ470" s="884">
        <f>(AQ241-AQ243-AQ244)/1000</f>
        <v>26036.825651600004</v>
      </c>
      <c r="AR470" s="884"/>
      <c r="AS470" s="884">
        <f>(AS241-AS243-AS244)/1000</f>
        <v>44302.136331810012</v>
      </c>
      <c r="AT470" s="884"/>
      <c r="AU470" s="884"/>
      <c r="AV470" s="884"/>
      <c r="AW470" s="884"/>
      <c r="AX470" s="884"/>
      <c r="AY470" s="884"/>
      <c r="AZ470" s="884"/>
      <c r="BA470" s="884"/>
      <c r="BB470" s="884">
        <f>(BB241-BB243-BB244)/1000</f>
        <v>118200.50588150007</v>
      </c>
      <c r="BC470" s="884"/>
      <c r="BD470" s="884"/>
      <c r="BE470" s="884"/>
      <c r="BF470" s="884"/>
      <c r="BG470" s="884"/>
      <c r="BH470" s="886"/>
      <c r="BI470" s="886"/>
      <c r="BJ470" s="886"/>
      <c r="BK470" s="886"/>
      <c r="BL470" s="886">
        <f>(BL241-BL243-BL244)/1000</f>
        <v>107557.88318770652</v>
      </c>
      <c r="BM470" s="886"/>
      <c r="BN470" s="884"/>
      <c r="BO470" s="886"/>
      <c r="BP470" s="886"/>
      <c r="BQ470" s="886">
        <f>(BQ241-BQ243-BQ244)/1000</f>
        <v>107557.88318770652</v>
      </c>
      <c r="BR470" s="886"/>
      <c r="BS470" s="884"/>
      <c r="BU470" s="752"/>
      <c r="BV470" s="752"/>
      <c r="BW470" s="752"/>
      <c r="BX470" s="752"/>
      <c r="BY470" s="752"/>
      <c r="BZ470" s="752"/>
      <c r="CA470" s="752"/>
      <c r="CB470" s="752"/>
      <c r="CC470" s="752"/>
      <c r="CD470" s="884"/>
      <c r="CE470" s="884"/>
      <c r="CF470" s="884"/>
      <c r="CG470" s="884"/>
      <c r="CH470" s="884"/>
      <c r="CI470" s="884"/>
      <c r="CJ470" s="884"/>
      <c r="CK470" s="884" t="e">
        <f t="shared" ref="CK470:CR470" si="581">(CK241-CK243-CK244)/1000</f>
        <v>#VALUE!</v>
      </c>
      <c r="CL470" s="884" t="e">
        <f t="shared" si="581"/>
        <v>#VALUE!</v>
      </c>
      <c r="CM470" s="884" t="e">
        <f t="shared" si="581"/>
        <v>#VALUE!</v>
      </c>
      <c r="CN470" s="884" t="e">
        <f t="shared" si="581"/>
        <v>#VALUE!</v>
      </c>
      <c r="CO470" s="884">
        <f t="shared" si="581"/>
        <v>0</v>
      </c>
      <c r="CP470" s="884">
        <f t="shared" si="581"/>
        <v>261822.80498437607</v>
      </c>
      <c r="CQ470" s="884">
        <f t="shared" si="581"/>
        <v>18631.088221955233</v>
      </c>
      <c r="CR470" s="884">
        <f t="shared" si="581"/>
        <v>15643.457846284993</v>
      </c>
      <c r="CT470" s="900" t="s">
        <v>1149</v>
      </c>
      <c r="CU470" s="898" t="s">
        <v>2093</v>
      </c>
      <c r="CV470" s="850" t="s">
        <v>552</v>
      </c>
      <c r="CW470" s="852">
        <v>322678</v>
      </c>
      <c r="DF470" s="752"/>
      <c r="DG470" s="752"/>
      <c r="DH470" s="752"/>
      <c r="DI470" s="752"/>
    </row>
    <row r="471" spans="1:113" ht="28.8" thickBot="1">
      <c r="A471" s="864" t="s">
        <v>2094</v>
      </c>
      <c r="B471" s="865" t="s">
        <v>2095</v>
      </c>
      <c r="C471" s="866"/>
      <c r="D471" s="867"/>
      <c r="E471" s="867"/>
      <c r="F471" s="867"/>
      <c r="G471" s="867"/>
      <c r="H471" s="867"/>
      <c r="I471" s="867"/>
      <c r="J471" s="867"/>
      <c r="K471" s="867"/>
      <c r="L471" s="867"/>
      <c r="M471" s="867"/>
      <c r="N471" s="867"/>
      <c r="O471" s="867"/>
      <c r="P471" s="867"/>
      <c r="Q471" s="867"/>
      <c r="R471" s="867"/>
      <c r="S471" s="868">
        <f>SUM(S466,S467,S469,-S468,-S470)</f>
        <v>0</v>
      </c>
      <c r="T471" s="868">
        <f>SUM(T466,T467,T469,-T468,-T470)</f>
        <v>776633.78753284365</v>
      </c>
      <c r="U471" s="868">
        <f>SUM(U466,U467,U469,-U468,-U470)</f>
        <v>442986.27950712084</v>
      </c>
      <c r="V471" s="868"/>
      <c r="W471" s="868"/>
      <c r="X471" s="868"/>
      <c r="Y471" s="868"/>
      <c r="Z471" s="869"/>
      <c r="AA471" s="868"/>
      <c r="AB471" s="868"/>
      <c r="AC471" s="868"/>
      <c r="AD471" s="868"/>
      <c r="AE471" s="868"/>
      <c r="AF471" s="868"/>
      <c r="AG471" s="801"/>
      <c r="AH471" s="868"/>
      <c r="AI471" s="868"/>
      <c r="AJ471" s="868"/>
      <c r="AK471" s="868"/>
      <c r="AL471" s="868"/>
      <c r="AM471" s="868"/>
      <c r="AN471" s="868"/>
      <c r="AO471" s="868"/>
      <c r="AP471" s="868"/>
      <c r="AQ471" s="868">
        <f>SUM(AQ466,AQ467,AQ469,-AQ468,-AQ470)</f>
        <v>107766.09102043972</v>
      </c>
      <c r="AR471" s="868"/>
      <c r="AS471" s="868">
        <f>SUM(AS466,AS467,AS469,-AS468,-AS470)</f>
        <v>160999.55881356171</v>
      </c>
      <c r="AT471" s="868"/>
      <c r="AU471" s="868"/>
      <c r="AV471" s="868"/>
      <c r="AW471" s="868"/>
      <c r="AX471" s="868"/>
      <c r="AY471" s="868"/>
      <c r="AZ471" s="868"/>
      <c r="BA471" s="868"/>
      <c r="BB471" s="868">
        <f>SUM(BB466,BB467,BB469,-BB468,-BB470)</f>
        <v>89843.758982282117</v>
      </c>
      <c r="BC471" s="800"/>
      <c r="BD471" s="800"/>
      <c r="BE471" s="800"/>
      <c r="BF471" s="800"/>
      <c r="BG471" s="800"/>
      <c r="BH471" s="801"/>
      <c r="BI471" s="801"/>
      <c r="BJ471" s="801"/>
      <c r="BK471" s="801"/>
      <c r="BL471" s="801">
        <f>SUM(BL466,BL467,BL469,-BL468,-BL470)</f>
        <v>84376.870690836426</v>
      </c>
      <c r="BM471" s="801"/>
      <c r="BN471" s="868"/>
      <c r="BO471" s="801"/>
      <c r="BP471" s="801"/>
      <c r="BQ471" s="801">
        <f>SUM(BQ466,BQ467,BQ469,-BQ468,-BQ470)</f>
        <v>84376.870690836426</v>
      </c>
      <c r="BR471" s="801"/>
      <c r="BS471" s="868"/>
      <c r="BU471" s="752"/>
      <c r="BV471" s="752"/>
      <c r="BW471" s="752"/>
      <c r="BX471" s="752"/>
      <c r="BY471" s="752"/>
      <c r="BZ471" s="752"/>
      <c r="CA471" s="752"/>
      <c r="CB471" s="752"/>
      <c r="CC471" s="752"/>
      <c r="CD471" s="870"/>
      <c r="CE471" s="870"/>
      <c r="CF471" s="870"/>
      <c r="CG471" s="870"/>
      <c r="CH471" s="870"/>
      <c r="CI471" s="870"/>
      <c r="CJ471" s="870"/>
      <c r="CP471" s="868">
        <f>SUM(CP466,CP467,CP469,-CP468,-CP470)</f>
        <v>282785.27057140379</v>
      </c>
      <c r="CQ471" s="868">
        <f>SUM(CQ466,CQ467,CQ469,-CQ468,-CQ470)</f>
        <v>115384.89529040357</v>
      </c>
      <c r="CR471" s="868">
        <f>SUM(CR466,CR467,CR469,-CR468,-CR470)</f>
        <v>44816.113645313308</v>
      </c>
      <c r="CT471" s="871"/>
      <c r="CU471" s="871"/>
      <c r="CV471" s="871"/>
      <c r="CW471" s="871"/>
      <c r="DF471" s="752"/>
      <c r="DG471" s="752"/>
      <c r="DH471" s="752"/>
      <c r="DI471" s="752"/>
    </row>
    <row r="472" spans="1:113">
      <c r="A472" s="905" t="s">
        <v>2096</v>
      </c>
      <c r="B472" s="906" t="s">
        <v>2097</v>
      </c>
      <c r="S472" s="910">
        <f>-'8.Бюджет на 2015'!N749/1000</f>
        <v>0</v>
      </c>
      <c r="T472" s="910">
        <f>T313/1000</f>
        <v>0</v>
      </c>
      <c r="U472" s="910">
        <f>U313/1000</f>
        <v>0</v>
      </c>
      <c r="V472" s="910"/>
      <c r="W472" s="910"/>
      <c r="X472" s="910"/>
      <c r="Y472" s="910"/>
      <c r="Z472" s="911"/>
      <c r="AA472" s="910"/>
      <c r="AB472" s="910"/>
      <c r="AC472" s="910"/>
      <c r="AD472" s="910"/>
      <c r="AE472" s="910"/>
      <c r="AF472" s="910"/>
      <c r="AG472" s="912"/>
      <c r="AH472" s="910"/>
      <c r="AI472" s="910"/>
      <c r="AJ472" s="910"/>
      <c r="AK472" s="910"/>
      <c r="AL472" s="910"/>
      <c r="AM472" s="910"/>
      <c r="AN472" s="910"/>
      <c r="AO472" s="910"/>
      <c r="AP472" s="910"/>
      <c r="AQ472" s="910">
        <f t="shared" ref="AQ472:CR472" si="582">AQ313/1000</f>
        <v>0</v>
      </c>
      <c r="AR472" s="910"/>
      <c r="AS472" s="910">
        <f t="shared" si="582"/>
        <v>0</v>
      </c>
      <c r="AT472" s="910"/>
      <c r="AU472" s="910"/>
      <c r="AV472" s="910"/>
      <c r="AW472" s="910"/>
      <c r="AX472" s="910"/>
      <c r="AY472" s="910"/>
      <c r="AZ472" s="910"/>
      <c r="BA472" s="910"/>
      <c r="BB472" s="910">
        <f t="shared" si="582"/>
        <v>0</v>
      </c>
      <c r="BC472" s="910"/>
      <c r="BD472" s="910"/>
      <c r="BE472" s="910"/>
      <c r="BF472" s="910"/>
      <c r="BG472" s="910"/>
      <c r="BH472" s="912"/>
      <c r="BI472" s="912"/>
      <c r="BJ472" s="912"/>
      <c r="BK472" s="912"/>
      <c r="BL472" s="912">
        <f t="shared" si="582"/>
        <v>0</v>
      </c>
      <c r="BM472" s="912"/>
      <c r="BN472" s="910"/>
      <c r="BO472" s="912"/>
      <c r="BP472" s="912"/>
      <c r="BQ472" s="912">
        <f t="shared" ref="BQ472" si="583">BQ313/1000</f>
        <v>0</v>
      </c>
      <c r="BR472" s="912"/>
      <c r="BS472" s="910"/>
      <c r="BU472" s="752"/>
      <c r="BV472" s="752"/>
      <c r="BW472" s="752"/>
      <c r="BX472" s="752"/>
      <c r="BY472" s="752"/>
      <c r="BZ472" s="752"/>
      <c r="CA472" s="752"/>
      <c r="CB472" s="752"/>
      <c r="CC472" s="752"/>
      <c r="CD472" s="910"/>
      <c r="CE472" s="910"/>
      <c r="CF472" s="910"/>
      <c r="CG472" s="910"/>
      <c r="CH472" s="910"/>
      <c r="CI472" s="910"/>
      <c r="CJ472" s="910"/>
      <c r="CK472" s="910" t="e">
        <f t="shared" si="582"/>
        <v>#VALUE!</v>
      </c>
      <c r="CL472" s="910" t="e">
        <f t="shared" si="582"/>
        <v>#VALUE!</v>
      </c>
      <c r="CM472" s="910" t="e">
        <f t="shared" si="582"/>
        <v>#VALUE!</v>
      </c>
      <c r="CN472" s="910" t="e">
        <f t="shared" si="582"/>
        <v>#VALUE!</v>
      </c>
      <c r="CO472" s="910">
        <f t="shared" si="582"/>
        <v>0</v>
      </c>
      <c r="CP472" s="910">
        <f t="shared" si="582"/>
        <v>0</v>
      </c>
      <c r="CQ472" s="910">
        <f t="shared" si="582"/>
        <v>0</v>
      </c>
      <c r="CR472" s="910">
        <f t="shared" si="582"/>
        <v>0</v>
      </c>
      <c r="CT472" s="871"/>
      <c r="CU472" s="913"/>
      <c r="CV472" s="871"/>
      <c r="CW472" s="914"/>
      <c r="DF472" s="752"/>
      <c r="DG472" s="752"/>
      <c r="DH472" s="752"/>
      <c r="DI472" s="752"/>
    </row>
    <row r="473" spans="1:113" ht="26.25" customHeight="1">
      <c r="A473" s="905" t="s">
        <v>2098</v>
      </c>
      <c r="B473" s="906" t="s">
        <v>2099</v>
      </c>
      <c r="S473" s="910">
        <f>'8.Бюджет на 2015'!N748/1000</f>
        <v>0</v>
      </c>
      <c r="T473" s="910">
        <f>T312/1000</f>
        <v>0</v>
      </c>
      <c r="U473" s="910">
        <f>U312/1000</f>
        <v>0</v>
      </c>
      <c r="V473" s="910"/>
      <c r="W473" s="910"/>
      <c r="X473" s="910"/>
      <c r="Y473" s="910"/>
      <c r="Z473" s="911"/>
      <c r="AA473" s="910"/>
      <c r="AB473" s="910"/>
      <c r="AC473" s="910"/>
      <c r="AD473" s="910"/>
      <c r="AE473" s="910"/>
      <c r="AF473" s="910"/>
      <c r="AG473" s="912"/>
      <c r="AH473" s="910"/>
      <c r="AI473" s="910"/>
      <c r="AJ473" s="910"/>
      <c r="AK473" s="910"/>
      <c r="AL473" s="910"/>
      <c r="AM473" s="910"/>
      <c r="AN473" s="910"/>
      <c r="AO473" s="910"/>
      <c r="AP473" s="910"/>
      <c r="AQ473" s="910">
        <f t="shared" ref="AQ473:CR473" si="584">AQ312/1000</f>
        <v>0</v>
      </c>
      <c r="AR473" s="910"/>
      <c r="AS473" s="910">
        <f t="shared" si="584"/>
        <v>0</v>
      </c>
      <c r="AT473" s="910"/>
      <c r="AU473" s="910"/>
      <c r="AV473" s="910"/>
      <c r="AW473" s="910"/>
      <c r="AX473" s="910"/>
      <c r="AY473" s="910"/>
      <c r="AZ473" s="910"/>
      <c r="BA473" s="910"/>
      <c r="BB473" s="910">
        <f t="shared" si="584"/>
        <v>0</v>
      </c>
      <c r="BC473" s="910"/>
      <c r="BD473" s="910"/>
      <c r="BE473" s="910"/>
      <c r="BF473" s="910"/>
      <c r="BG473" s="910"/>
      <c r="BH473" s="912"/>
      <c r="BI473" s="912"/>
      <c r="BJ473" s="912"/>
      <c r="BK473" s="912"/>
      <c r="BL473" s="912">
        <f t="shared" si="584"/>
        <v>0</v>
      </c>
      <c r="BM473" s="912"/>
      <c r="BN473" s="910"/>
      <c r="BO473" s="912"/>
      <c r="BP473" s="912"/>
      <c r="BQ473" s="912">
        <f t="shared" ref="BQ473" si="585">BQ312/1000</f>
        <v>0</v>
      </c>
      <c r="BR473" s="912"/>
      <c r="BS473" s="910"/>
      <c r="BU473" s="752"/>
      <c r="BV473" s="752"/>
      <c r="BW473" s="752"/>
      <c r="BX473" s="752"/>
      <c r="BY473" s="752"/>
      <c r="BZ473" s="752"/>
      <c r="CA473" s="752"/>
      <c r="CB473" s="752"/>
      <c r="CC473" s="752"/>
      <c r="CD473" s="910"/>
      <c r="CE473" s="910"/>
      <c r="CF473" s="910"/>
      <c r="CG473" s="910"/>
      <c r="CH473" s="910"/>
      <c r="CI473" s="910"/>
      <c r="CJ473" s="910"/>
      <c r="CK473" s="910" t="e">
        <f t="shared" si="584"/>
        <v>#VALUE!</v>
      </c>
      <c r="CL473" s="910" t="e">
        <f t="shared" si="584"/>
        <v>#VALUE!</v>
      </c>
      <c r="CM473" s="910" t="e">
        <f t="shared" si="584"/>
        <v>#VALUE!</v>
      </c>
      <c r="CN473" s="910" t="e">
        <f t="shared" si="584"/>
        <v>#VALUE!</v>
      </c>
      <c r="CO473" s="910">
        <f t="shared" si="584"/>
        <v>0</v>
      </c>
      <c r="CP473" s="910">
        <f t="shared" si="584"/>
        <v>0</v>
      </c>
      <c r="CQ473" s="910">
        <f t="shared" si="584"/>
        <v>0</v>
      </c>
      <c r="CR473" s="910">
        <f t="shared" si="584"/>
        <v>0</v>
      </c>
      <c r="CT473" s="1650" t="s">
        <v>2100</v>
      </c>
      <c r="CU473" s="1650"/>
      <c r="CV473" s="1650"/>
      <c r="CW473" s="1650"/>
      <c r="CX473" s="1650"/>
      <c r="CY473" s="1650"/>
      <c r="CZ473" s="1650"/>
      <c r="DA473" s="1650"/>
      <c r="DB473" s="1650"/>
      <c r="DF473" s="752"/>
      <c r="DG473" s="752"/>
      <c r="DH473" s="752"/>
      <c r="DI473" s="752"/>
    </row>
    <row r="474" spans="1:113" ht="22.5" customHeight="1">
      <c r="A474" s="905" t="s">
        <v>2101</v>
      </c>
      <c r="B474" s="906" t="s">
        <v>2102</v>
      </c>
      <c r="S474" s="910">
        <f>'8.Бюджет на 2015'!N747/1000</f>
        <v>0</v>
      </c>
      <c r="T474" s="910">
        <f>T311/1000</f>
        <v>94894.848929851971</v>
      </c>
      <c r="U474" s="910">
        <f>U311/1000</f>
        <v>88597.255901424229</v>
      </c>
      <c r="V474" s="910"/>
      <c r="W474" s="910"/>
      <c r="X474" s="910"/>
      <c r="Y474" s="910"/>
      <c r="Z474" s="911"/>
      <c r="AA474" s="910"/>
      <c r="AB474" s="910"/>
      <c r="AC474" s="910"/>
      <c r="AD474" s="910"/>
      <c r="AE474" s="910"/>
      <c r="AF474" s="910"/>
      <c r="AG474" s="912"/>
      <c r="AH474" s="910"/>
      <c r="AI474" s="910"/>
      <c r="AJ474" s="910"/>
      <c r="AK474" s="910"/>
      <c r="AL474" s="910"/>
      <c r="AM474" s="910"/>
      <c r="AN474" s="910"/>
      <c r="AO474" s="910"/>
      <c r="AP474" s="910"/>
      <c r="AQ474" s="910">
        <f t="shared" ref="AQ474:CR474" si="586">AQ311/1000</f>
        <v>21553.218204087989</v>
      </c>
      <c r="AR474" s="910"/>
      <c r="AS474" s="910">
        <f t="shared" si="586"/>
        <v>32199.911762712301</v>
      </c>
      <c r="AT474" s="910"/>
      <c r="AU474" s="910"/>
      <c r="AV474" s="910"/>
      <c r="AW474" s="910"/>
      <c r="AX474" s="910"/>
      <c r="AY474" s="910"/>
      <c r="AZ474" s="910"/>
      <c r="BA474" s="910"/>
      <c r="BB474" s="910">
        <f t="shared" si="586"/>
        <v>17968.751796456421</v>
      </c>
      <c r="BC474" s="910"/>
      <c r="BD474" s="910"/>
      <c r="BE474" s="910"/>
      <c r="BF474" s="910"/>
      <c r="BG474" s="910"/>
      <c r="BH474" s="912"/>
      <c r="BI474" s="912"/>
      <c r="BJ474" s="912"/>
      <c r="BK474" s="912"/>
      <c r="BL474" s="912">
        <f t="shared" si="586"/>
        <v>16875.374138167299</v>
      </c>
      <c r="BM474" s="912"/>
      <c r="BN474" s="910"/>
      <c r="BO474" s="912"/>
      <c r="BP474" s="912"/>
      <c r="BQ474" s="912">
        <f t="shared" ref="BQ474" si="587">BQ311/1000</f>
        <v>16875.374138167299</v>
      </c>
      <c r="BR474" s="912"/>
      <c r="BS474" s="910"/>
      <c r="BU474" s="752"/>
      <c r="BV474" s="752"/>
      <c r="BW474" s="752"/>
      <c r="BX474" s="752"/>
      <c r="BY474" s="752"/>
      <c r="BZ474" s="752"/>
      <c r="CA474" s="752"/>
      <c r="CB474" s="752"/>
      <c r="CC474" s="752"/>
      <c r="CD474" s="910"/>
      <c r="CE474" s="910"/>
      <c r="CF474" s="910"/>
      <c r="CG474" s="910"/>
      <c r="CH474" s="910"/>
      <c r="CI474" s="910"/>
      <c r="CJ474" s="910"/>
      <c r="CK474" s="910" t="e">
        <f t="shared" si="586"/>
        <v>#VALUE!</v>
      </c>
      <c r="CL474" s="910" t="e">
        <f t="shared" si="586"/>
        <v>#VALUE!</v>
      </c>
      <c r="CM474" s="910" t="e">
        <f t="shared" si="586"/>
        <v>#VALUE!</v>
      </c>
      <c r="CN474" s="910" t="e">
        <f t="shared" si="586"/>
        <v>#VALUE!</v>
      </c>
      <c r="CO474" s="910">
        <f t="shared" si="586"/>
        <v>0</v>
      </c>
      <c r="CP474" s="910">
        <f t="shared" si="586"/>
        <v>56557.054114280756</v>
      </c>
      <c r="CQ474" s="910" t="e">
        <f t="shared" si="586"/>
        <v>#REF!</v>
      </c>
      <c r="CR474" s="910" t="e">
        <f t="shared" si="586"/>
        <v>#REF!</v>
      </c>
      <c r="CT474" s="1650"/>
      <c r="CU474" s="1650"/>
      <c r="CV474" s="1650"/>
      <c r="CW474" s="1650"/>
      <c r="CX474" s="1650"/>
      <c r="CY474" s="1650"/>
      <c r="CZ474" s="1650"/>
      <c r="DA474" s="1650"/>
      <c r="DB474" s="1650"/>
      <c r="DF474" s="752"/>
      <c r="DG474" s="752"/>
      <c r="DH474" s="752"/>
      <c r="DI474" s="752"/>
    </row>
    <row r="475" spans="1:113" ht="30.75" customHeight="1" thickBot="1">
      <c r="A475" s="915" t="s">
        <v>2103</v>
      </c>
      <c r="B475" s="916" t="s">
        <v>2104</v>
      </c>
      <c r="S475" s="917">
        <f>'8.Бюджет на 2015'!N750/1000</f>
        <v>0</v>
      </c>
      <c r="T475" s="917">
        <f>(T314+T315+T317)/1000</f>
        <v>0</v>
      </c>
      <c r="U475" s="917">
        <f>(U314+U315+U317)/1000</f>
        <v>139462.50759052328</v>
      </c>
      <c r="V475" s="917"/>
      <c r="W475" s="917"/>
      <c r="X475" s="917"/>
      <c r="Y475" s="917"/>
      <c r="Z475" s="918"/>
      <c r="AA475" s="917"/>
      <c r="AB475" s="917"/>
      <c r="AC475" s="917"/>
      <c r="AD475" s="917"/>
      <c r="AE475" s="917"/>
      <c r="AF475" s="917"/>
      <c r="AG475" s="919"/>
      <c r="AH475" s="917"/>
      <c r="AI475" s="917"/>
      <c r="AJ475" s="917"/>
      <c r="AK475" s="917"/>
      <c r="AL475" s="917"/>
      <c r="AM475" s="917"/>
      <c r="AN475" s="917"/>
      <c r="AO475" s="917"/>
      <c r="AP475" s="917"/>
      <c r="AQ475" s="917">
        <f>(AQ314+AQ315+AQ317)/1000</f>
        <v>85952.604656320007</v>
      </c>
      <c r="AR475" s="917"/>
      <c r="AS475" s="917">
        <f>(AS314+AS315+AS317)/1000</f>
        <v>8685.0001443620022</v>
      </c>
      <c r="AT475" s="917"/>
      <c r="AU475" s="917"/>
      <c r="AV475" s="917"/>
      <c r="AW475" s="917"/>
      <c r="AX475" s="917"/>
      <c r="AY475" s="917"/>
      <c r="AZ475" s="917"/>
      <c r="BA475" s="917"/>
      <c r="BB475" s="917">
        <f>(BB314+BB315+BB317)/1000</f>
        <v>23465.377012300014</v>
      </c>
      <c r="BC475" s="917"/>
      <c r="BD475" s="917"/>
      <c r="BE475" s="917"/>
      <c r="BF475" s="917"/>
      <c r="BG475" s="917"/>
      <c r="BH475" s="919"/>
      <c r="BI475" s="919"/>
      <c r="BJ475" s="919"/>
      <c r="BK475" s="919"/>
      <c r="BL475" s="919">
        <f>(BL314+BL315+BL317)/1000</f>
        <v>21359.525777541305</v>
      </c>
      <c r="BM475" s="919"/>
      <c r="BN475" s="917"/>
      <c r="BO475" s="919"/>
      <c r="BP475" s="919"/>
      <c r="BQ475" s="919">
        <f>(BQ314+BQ315+BQ317)/1000</f>
        <v>21359.525777541305</v>
      </c>
      <c r="BR475" s="919"/>
      <c r="BS475" s="917"/>
      <c r="BU475" s="752"/>
      <c r="BV475" s="752"/>
      <c r="BW475" s="752"/>
      <c r="BX475" s="752"/>
      <c r="BY475" s="752"/>
      <c r="BZ475" s="752"/>
      <c r="CA475" s="752"/>
      <c r="CB475" s="752"/>
      <c r="CC475" s="752"/>
      <c r="CD475" s="917"/>
      <c r="CE475" s="917"/>
      <c r="CF475" s="917"/>
      <c r="CG475" s="917"/>
      <c r="CH475" s="917"/>
      <c r="CI475" s="917"/>
      <c r="CJ475" s="917"/>
      <c r="CK475" s="917" t="e">
        <f t="shared" ref="CK475:CR475" si="588">(CK314+CK315+CK317)/1000</f>
        <v>#VALUE!</v>
      </c>
      <c r="CL475" s="917" t="e">
        <f t="shared" si="588"/>
        <v>#VALUE!</v>
      </c>
      <c r="CM475" s="917" t="e">
        <f t="shared" si="588"/>
        <v>#VALUE!</v>
      </c>
      <c r="CN475" s="917" t="e">
        <f t="shared" si="588"/>
        <v>#VALUE!</v>
      </c>
      <c r="CO475" s="917">
        <f t="shared" si="588"/>
        <v>0</v>
      </c>
      <c r="CP475" s="917">
        <f t="shared" si="588"/>
        <v>126398.42827615869</v>
      </c>
      <c r="CQ475" s="917">
        <f t="shared" si="588"/>
        <v>9164.2467252314837</v>
      </c>
      <c r="CR475" s="917">
        <f t="shared" si="588"/>
        <v>3899.8325891331087</v>
      </c>
      <c r="CT475" s="1650"/>
      <c r="CU475" s="1650"/>
      <c r="CV475" s="1650"/>
      <c r="CW475" s="1650"/>
      <c r="CX475" s="1650"/>
      <c r="CY475" s="1650"/>
      <c r="CZ475" s="1650"/>
      <c r="DA475" s="1650"/>
      <c r="DB475" s="1650"/>
      <c r="DC475" s="920"/>
      <c r="DF475" s="752"/>
      <c r="DG475" s="752"/>
      <c r="DH475" s="752"/>
      <c r="DI475" s="752"/>
    </row>
    <row r="476" spans="1:113" ht="28.8" thickBot="1">
      <c r="A476" s="1629" t="s">
        <v>1270</v>
      </c>
      <c r="B476" s="1630"/>
      <c r="S476" s="894"/>
      <c r="T476" s="894">
        <f>T320/1000</f>
        <v>345140.29777159984</v>
      </c>
      <c r="U476" s="894"/>
      <c r="V476" s="894"/>
      <c r="W476" s="894"/>
      <c r="X476" s="894"/>
      <c r="Y476" s="894"/>
      <c r="Z476" s="895"/>
      <c r="AA476" s="894"/>
      <c r="AB476" s="894"/>
      <c r="AC476" s="894"/>
      <c r="AD476" s="894"/>
      <c r="AE476" s="894"/>
      <c r="AF476" s="894"/>
      <c r="AG476" s="896"/>
      <c r="AH476" s="894"/>
      <c r="AI476" s="894"/>
      <c r="AJ476" s="894"/>
      <c r="AK476" s="894"/>
      <c r="AL476" s="894"/>
      <c r="AM476" s="894"/>
      <c r="AN476" s="894"/>
      <c r="AO476" s="894"/>
      <c r="AP476" s="894"/>
      <c r="AQ476" s="894"/>
      <c r="AR476" s="894"/>
      <c r="AS476" s="894"/>
      <c r="AT476" s="894"/>
      <c r="AU476" s="894"/>
      <c r="AV476" s="894"/>
      <c r="AW476" s="894"/>
      <c r="AX476" s="894"/>
      <c r="AY476" s="894"/>
      <c r="AZ476" s="894"/>
      <c r="BA476" s="894"/>
      <c r="BB476" s="894"/>
      <c r="BC476" s="894"/>
      <c r="BD476" s="894"/>
      <c r="BE476" s="894"/>
      <c r="BF476" s="894"/>
      <c r="BG476" s="894"/>
      <c r="BH476" s="896"/>
      <c r="BI476" s="896"/>
      <c r="BJ476" s="896"/>
      <c r="BK476" s="896"/>
      <c r="BL476" s="896"/>
      <c r="BM476" s="896"/>
      <c r="BN476" s="894"/>
      <c r="BO476" s="896"/>
      <c r="BP476" s="896"/>
      <c r="BQ476" s="896"/>
      <c r="BR476" s="896"/>
      <c r="BS476" s="894"/>
      <c r="BU476" s="752"/>
      <c r="BV476" s="752"/>
      <c r="BW476" s="752"/>
      <c r="BX476" s="752"/>
      <c r="BY476" s="752"/>
      <c r="BZ476" s="752"/>
      <c r="CA476" s="752"/>
      <c r="CB476" s="752"/>
      <c r="CC476" s="752"/>
      <c r="CD476" s="897"/>
      <c r="CE476" s="897"/>
      <c r="CF476" s="897"/>
      <c r="CG476" s="897"/>
      <c r="CH476" s="897"/>
      <c r="CI476" s="897"/>
      <c r="CJ476" s="897"/>
      <c r="CP476" s="894"/>
      <c r="CQ476" s="894"/>
      <c r="CR476" s="894"/>
      <c r="CT476" s="921"/>
      <c r="CU476" s="922"/>
      <c r="CV476" s="923"/>
      <c r="CW476" s="914"/>
      <c r="CX476" s="735"/>
      <c r="CY476" s="735"/>
      <c r="CZ476" s="735"/>
      <c r="DA476" s="735"/>
      <c r="DB476" s="924"/>
      <c r="DC476" s="920"/>
      <c r="DF476" s="752"/>
      <c r="DG476" s="752"/>
      <c r="DH476" s="752"/>
      <c r="DI476" s="752"/>
    </row>
    <row r="477" spans="1:113" ht="28.8" thickBot="1">
      <c r="A477" s="864" t="s">
        <v>2105</v>
      </c>
      <c r="B477" s="925" t="s">
        <v>1685</v>
      </c>
      <c r="C477" s="866"/>
      <c r="D477" s="867"/>
      <c r="E477" s="867"/>
      <c r="F477" s="867"/>
      <c r="G477" s="867"/>
      <c r="H477" s="867"/>
      <c r="I477" s="867"/>
      <c r="J477" s="867"/>
      <c r="K477" s="867"/>
      <c r="L477" s="867"/>
      <c r="M477" s="867"/>
      <c r="N477" s="867"/>
      <c r="O477" s="867"/>
      <c r="P477" s="867"/>
      <c r="Q477" s="867"/>
      <c r="R477" s="867"/>
      <c r="S477" s="868">
        <f>'8.Бюджет на 2015'!N761/1000</f>
        <v>0</v>
      </c>
      <c r="T477" s="868">
        <f>T447-T453+T467-T468+T469-T470-T474-T475-T476</f>
        <v>336598.64083139179</v>
      </c>
      <c r="U477" s="868">
        <f>U447-U453+U467-U468+U469-U470-U474-U475</f>
        <v>214926.51601517334</v>
      </c>
      <c r="V477" s="868"/>
      <c r="W477" s="868"/>
      <c r="X477" s="868"/>
      <c r="Y477" s="868"/>
      <c r="Z477" s="869"/>
      <c r="AA477" s="868"/>
      <c r="AB477" s="868"/>
      <c r="AC477" s="868"/>
      <c r="AD477" s="868"/>
      <c r="AE477" s="868"/>
      <c r="AF477" s="868"/>
      <c r="AG477" s="801"/>
      <c r="AH477" s="868"/>
      <c r="AI477" s="868"/>
      <c r="AJ477" s="868"/>
      <c r="AK477" s="868"/>
      <c r="AL477" s="868"/>
      <c r="AM477" s="868"/>
      <c r="AN477" s="868"/>
      <c r="AO477" s="868"/>
      <c r="AP477" s="868"/>
      <c r="AQ477" s="868">
        <f t="shared" ref="AQ477:CR477" si="589">AQ447-AQ453+AQ467-AQ468+AQ469-AQ470-AQ474-AQ475</f>
        <v>260.26816003175918</v>
      </c>
      <c r="AR477" s="868"/>
      <c r="AS477" s="868">
        <f t="shared" si="589"/>
        <v>120114.64690648741</v>
      </c>
      <c r="AT477" s="868"/>
      <c r="AU477" s="868"/>
      <c r="AV477" s="868"/>
      <c r="AW477" s="868"/>
      <c r="AX477" s="868"/>
      <c r="AY477" s="868"/>
      <c r="AZ477" s="868"/>
      <c r="BA477" s="868"/>
      <c r="BB477" s="868">
        <f t="shared" si="589"/>
        <v>48409.630173525686</v>
      </c>
      <c r="BC477" s="800"/>
      <c r="BD477" s="800"/>
      <c r="BE477" s="800"/>
      <c r="BF477" s="800"/>
      <c r="BG477" s="800"/>
      <c r="BH477" s="801"/>
      <c r="BI477" s="801"/>
      <c r="BJ477" s="801"/>
      <c r="BK477" s="801"/>
      <c r="BL477" s="801">
        <f t="shared" si="589"/>
        <v>46141.970775127818</v>
      </c>
      <c r="BM477" s="801"/>
      <c r="BN477" s="868"/>
      <c r="BO477" s="801"/>
      <c r="BP477" s="801"/>
      <c r="BQ477" s="801">
        <f t="shared" ref="BQ477" si="590">BQ447-BQ453+BQ467-BQ468+BQ469-BQ470-BQ474-BQ475</f>
        <v>46141.970775127818</v>
      </c>
      <c r="BR477" s="801"/>
      <c r="BS477" s="868"/>
      <c r="BU477" s="752"/>
      <c r="BV477" s="752"/>
      <c r="BW477" s="752"/>
      <c r="BX477" s="752"/>
      <c r="BY477" s="752"/>
      <c r="BZ477" s="752"/>
      <c r="CA477" s="752"/>
      <c r="CB477" s="752"/>
      <c r="CC477" s="752"/>
      <c r="CD477" s="868"/>
      <c r="CE477" s="868"/>
      <c r="CF477" s="868"/>
      <c r="CG477" s="868"/>
      <c r="CH477" s="868"/>
      <c r="CI477" s="868"/>
      <c r="CJ477" s="868"/>
      <c r="CK477" s="868" t="e">
        <f t="shared" si="589"/>
        <v>#VALUE!</v>
      </c>
      <c r="CL477" s="868" t="e">
        <f t="shared" si="589"/>
        <v>#VALUE!</v>
      </c>
      <c r="CM477" s="868" t="e">
        <f t="shared" si="589"/>
        <v>#VALUE!</v>
      </c>
      <c r="CN477" s="868" t="e">
        <f t="shared" si="589"/>
        <v>#VALUE!</v>
      </c>
      <c r="CO477" s="868">
        <f t="shared" si="589"/>
        <v>0</v>
      </c>
      <c r="CP477" s="868">
        <f t="shared" si="589"/>
        <v>99829.78818096433</v>
      </c>
      <c r="CQ477" s="868" t="e">
        <f t="shared" si="589"/>
        <v>#REF!</v>
      </c>
      <c r="CR477" s="868" t="e">
        <f t="shared" si="589"/>
        <v>#REF!</v>
      </c>
      <c r="CT477" s="1651" t="s">
        <v>2035</v>
      </c>
      <c r="CU477" s="1651" t="s">
        <v>2036</v>
      </c>
      <c r="CV477" s="891"/>
      <c r="CW477" s="1652">
        <v>2015</v>
      </c>
      <c r="CX477" s="1652"/>
      <c r="CY477" s="1652"/>
      <c r="CZ477" s="1652"/>
      <c r="DA477" s="1652"/>
      <c r="DB477" s="1652"/>
      <c r="DC477" s="920"/>
      <c r="DF477" s="752"/>
      <c r="DG477" s="752"/>
      <c r="DH477" s="752"/>
      <c r="DI477" s="752"/>
    </row>
    <row r="478" spans="1:113" ht="23.25" customHeight="1" thickBot="1">
      <c r="A478" s="926" t="s">
        <v>2106</v>
      </c>
      <c r="B478" s="927" t="s">
        <v>2107</v>
      </c>
      <c r="C478" s="928"/>
      <c r="D478" s="929"/>
      <c r="E478" s="929"/>
      <c r="F478" s="929"/>
      <c r="G478" s="929"/>
      <c r="H478" s="929"/>
      <c r="I478" s="929"/>
      <c r="J478" s="929"/>
      <c r="K478" s="929"/>
      <c r="L478" s="929"/>
      <c r="M478" s="929"/>
      <c r="N478" s="929"/>
      <c r="O478" s="929"/>
      <c r="P478" s="929"/>
      <c r="Q478" s="929"/>
      <c r="R478" s="929"/>
      <c r="S478" s="930"/>
      <c r="T478" s="1631">
        <f>T477-U477</f>
        <v>121672.12481621845</v>
      </c>
      <c r="U478" s="1632"/>
      <c r="V478" s="931"/>
      <c r="W478" s="931"/>
      <c r="X478" s="931"/>
      <c r="Y478" s="931"/>
      <c r="Z478" s="932"/>
      <c r="AA478" s="931"/>
      <c r="AB478" s="931"/>
      <c r="AC478" s="931"/>
      <c r="AD478" s="931"/>
      <c r="AE478" s="931"/>
      <c r="AF478" s="931"/>
      <c r="AG478" s="933"/>
      <c r="AH478" s="931"/>
      <c r="AI478" s="931"/>
      <c r="AJ478" s="931"/>
      <c r="AK478" s="931"/>
      <c r="AL478" s="931"/>
      <c r="AM478" s="931"/>
      <c r="AN478" s="931"/>
      <c r="AO478" s="931"/>
      <c r="AP478" s="931"/>
      <c r="AQ478" s="930"/>
      <c r="AR478" s="930"/>
      <c r="AS478" s="930"/>
      <c r="AT478" s="930"/>
      <c r="AU478" s="930"/>
      <c r="AV478" s="930"/>
      <c r="AW478" s="930"/>
      <c r="AX478" s="930"/>
      <c r="AY478" s="930"/>
      <c r="AZ478" s="930"/>
      <c r="BA478" s="930"/>
      <c r="BB478" s="930"/>
      <c r="BC478" s="800"/>
      <c r="BD478" s="800"/>
      <c r="BE478" s="800"/>
      <c r="BF478" s="800"/>
      <c r="BG478" s="800"/>
      <c r="BH478" s="801"/>
      <c r="BI478" s="801"/>
      <c r="BJ478" s="801"/>
      <c r="BK478" s="801"/>
      <c r="BL478" s="801"/>
      <c r="BM478" s="801"/>
      <c r="BN478" s="930"/>
      <c r="BO478" s="801"/>
      <c r="BP478" s="801"/>
      <c r="BQ478" s="801"/>
      <c r="BR478" s="801"/>
      <c r="BS478" s="930"/>
      <c r="BU478" s="752"/>
      <c r="BV478" s="752"/>
      <c r="BW478" s="752"/>
      <c r="BX478" s="752"/>
      <c r="BY478" s="752"/>
      <c r="BZ478" s="752"/>
      <c r="CA478" s="752"/>
      <c r="CB478" s="752"/>
      <c r="CC478" s="752"/>
      <c r="CD478" s="930"/>
      <c r="CE478" s="930"/>
      <c r="CF478" s="930"/>
      <c r="CG478" s="930"/>
      <c r="CH478" s="930"/>
      <c r="CI478" s="930"/>
      <c r="CJ478" s="930"/>
      <c r="CK478" s="930"/>
      <c r="CL478" s="930"/>
      <c r="CM478" s="930"/>
      <c r="CN478" s="930"/>
      <c r="CO478" s="930"/>
      <c r="CP478" s="930"/>
      <c r="CQ478" s="930"/>
      <c r="CR478" s="930"/>
      <c r="CT478" s="1651"/>
      <c r="CU478" s="1651"/>
      <c r="CV478" s="845" t="s">
        <v>2037</v>
      </c>
      <c r="CW478" s="845" t="s">
        <v>2108</v>
      </c>
      <c r="CX478" s="510"/>
      <c r="CY478" s="510"/>
      <c r="CZ478" s="510"/>
      <c r="DA478" s="510"/>
      <c r="DB478" s="934" t="s">
        <v>2109</v>
      </c>
      <c r="DC478" s="920"/>
      <c r="DF478" s="752"/>
      <c r="DG478" s="752"/>
      <c r="DH478" s="752"/>
      <c r="DI478" s="752"/>
    </row>
    <row r="479" spans="1:113" ht="141">
      <c r="BH479" s="738"/>
      <c r="BI479" s="738"/>
      <c r="BJ479" s="738"/>
      <c r="BK479" s="738"/>
      <c r="BO479" s="738"/>
      <c r="BP479" s="738"/>
      <c r="BU479" s="752"/>
      <c r="BV479" s="752"/>
      <c r="BW479" s="752"/>
      <c r="BX479" s="752"/>
      <c r="BY479" s="752"/>
      <c r="BZ479" s="752"/>
      <c r="CA479" s="752"/>
      <c r="CB479" s="752"/>
      <c r="CC479" s="752"/>
      <c r="CT479" s="935" t="s">
        <v>1</v>
      </c>
      <c r="CU479" s="936" t="s">
        <v>2110</v>
      </c>
      <c r="CV479" s="937" t="s">
        <v>2111</v>
      </c>
      <c r="CW479" s="938">
        <f>CW480+CW481+CW482</f>
        <v>1488392.19</v>
      </c>
      <c r="DB479" s="939">
        <f>DB480+DB481+DB482</f>
        <v>1440231.3969999999</v>
      </c>
      <c r="DF479" s="752"/>
      <c r="DG479" s="752"/>
      <c r="DH479" s="752"/>
      <c r="DI479" s="752"/>
    </row>
    <row r="480" spans="1:113" ht="56.4">
      <c r="A480" s="835"/>
      <c r="B480" s="836" t="s">
        <v>2112</v>
      </c>
      <c r="BH480" s="738"/>
      <c r="BI480" s="738"/>
      <c r="BJ480" s="738"/>
      <c r="BK480" s="738"/>
      <c r="BO480" s="738"/>
      <c r="BP480" s="738"/>
      <c r="BU480" s="752"/>
      <c r="BV480" s="752"/>
      <c r="BW480" s="752"/>
      <c r="BX480" s="752"/>
      <c r="BY480" s="752"/>
      <c r="BZ480" s="752"/>
      <c r="CA480" s="752"/>
      <c r="CB480" s="752"/>
      <c r="CC480" s="752"/>
      <c r="CT480" s="850" t="s">
        <v>294</v>
      </c>
      <c r="CU480" s="851" t="s">
        <v>1462</v>
      </c>
      <c r="CV480" s="890" t="s">
        <v>2111</v>
      </c>
      <c r="CW480" s="852">
        <v>297196</v>
      </c>
      <c r="DB480" s="940">
        <v>319845.33299999998</v>
      </c>
      <c r="DF480" s="752"/>
      <c r="DG480" s="752"/>
      <c r="DH480" s="752"/>
      <c r="DI480" s="752"/>
    </row>
    <row r="481" spans="1:113" ht="141.6" thickBot="1">
      <c r="A481" s="835"/>
      <c r="B481" s="836"/>
      <c r="BH481" s="738"/>
      <c r="BI481" s="738"/>
      <c r="BJ481" s="738"/>
      <c r="BK481" s="738"/>
      <c r="BO481" s="738"/>
      <c r="BP481" s="738"/>
      <c r="BU481" s="752"/>
      <c r="BV481" s="752"/>
      <c r="BW481" s="752"/>
      <c r="BX481" s="752"/>
      <c r="BY481" s="752"/>
      <c r="BZ481" s="752"/>
      <c r="CA481" s="752"/>
      <c r="CB481" s="752"/>
      <c r="CC481" s="752"/>
      <c r="CT481" s="850" t="s">
        <v>75</v>
      </c>
      <c r="CU481" s="851" t="s">
        <v>2113</v>
      </c>
      <c r="CV481" s="890" t="s">
        <v>2111</v>
      </c>
      <c r="CW481" s="852">
        <v>336599</v>
      </c>
      <c r="DB481" s="940">
        <v>214926.516</v>
      </c>
      <c r="DF481" s="752"/>
      <c r="DG481" s="752"/>
      <c r="DH481" s="752"/>
      <c r="DI481" s="752"/>
    </row>
    <row r="482" spans="1:113" ht="112.8">
      <c r="A482" s="1647" t="s">
        <v>110</v>
      </c>
      <c r="B482" s="1633" t="s">
        <v>2028</v>
      </c>
      <c r="C482" s="837"/>
      <c r="D482" s="838"/>
      <c r="E482" s="838"/>
      <c r="F482" s="838"/>
      <c r="G482" s="838"/>
      <c r="H482" s="838"/>
      <c r="I482" s="838"/>
      <c r="J482" s="838"/>
      <c r="K482" s="838"/>
      <c r="L482" s="838"/>
      <c r="M482" s="838"/>
      <c r="N482" s="838"/>
      <c r="O482" s="838"/>
      <c r="P482" s="838"/>
      <c r="Q482" s="838"/>
      <c r="R482" s="838"/>
      <c r="S482" s="1633"/>
      <c r="T482" s="1633"/>
      <c r="U482" s="1633" t="s">
        <v>2034</v>
      </c>
      <c r="V482" s="839"/>
      <c r="W482" s="839"/>
      <c r="X482" s="839"/>
      <c r="Y482" s="839"/>
      <c r="Z482" s="840"/>
      <c r="AA482" s="839"/>
      <c r="AB482" s="839"/>
      <c r="AC482" s="839"/>
      <c r="AD482" s="839"/>
      <c r="AE482" s="839"/>
      <c r="AF482" s="839"/>
      <c r="AG482" s="841"/>
      <c r="AH482" s="839"/>
      <c r="AI482" s="839"/>
      <c r="AJ482" s="839"/>
      <c r="AK482" s="839"/>
      <c r="AL482" s="839"/>
      <c r="AM482" s="839"/>
      <c r="AN482" s="839"/>
      <c r="AO482" s="839"/>
      <c r="AP482" s="839"/>
      <c r="AQ482" s="1633"/>
      <c r="AR482" s="839"/>
      <c r="AS482" s="1633"/>
      <c r="AT482" s="839"/>
      <c r="AU482" s="839"/>
      <c r="AV482" s="839"/>
      <c r="AW482" s="839"/>
      <c r="AX482" s="839"/>
      <c r="AY482" s="839"/>
      <c r="AZ482" s="839"/>
      <c r="BA482" s="839"/>
      <c r="BB482" s="1633"/>
      <c r="BC482" s="842"/>
      <c r="BD482" s="842"/>
      <c r="BE482" s="842"/>
      <c r="BF482" s="842"/>
      <c r="BG482" s="842"/>
      <c r="BH482" s="841"/>
      <c r="BI482" s="841"/>
      <c r="BJ482" s="841"/>
      <c r="BK482" s="841"/>
      <c r="BL482" s="1636"/>
      <c r="BM482" s="841"/>
      <c r="BN482" s="839"/>
      <c r="BO482" s="841"/>
      <c r="BP482" s="841"/>
      <c r="BQ482" s="1636"/>
      <c r="BR482" s="841"/>
      <c r="BS482" s="839"/>
      <c r="BU482" s="752"/>
      <c r="BV482" s="752"/>
      <c r="BW482" s="752"/>
      <c r="BX482" s="752"/>
      <c r="BY482" s="752"/>
      <c r="BZ482" s="752"/>
      <c r="CA482" s="752"/>
      <c r="CB482" s="752"/>
      <c r="CC482" s="752"/>
      <c r="CD482" s="843"/>
      <c r="CE482" s="843"/>
      <c r="CF482" s="843"/>
      <c r="CG482" s="843"/>
      <c r="CH482" s="843"/>
      <c r="CI482" s="843"/>
      <c r="CJ482" s="843"/>
      <c r="CK482" s="844"/>
      <c r="CL482" s="844"/>
      <c r="CM482" s="837"/>
      <c r="CN482" s="837"/>
      <c r="CO482" s="837"/>
      <c r="CP482" s="1633" t="s">
        <v>1746</v>
      </c>
      <c r="CQ482" s="1639"/>
      <c r="CR482" s="1640"/>
      <c r="CT482" s="850" t="s">
        <v>546</v>
      </c>
      <c r="CU482" s="851" t="s">
        <v>2114</v>
      </c>
      <c r="CV482" s="890" t="s">
        <v>2111</v>
      </c>
      <c r="CW482" s="852">
        <f>CW483+CW484+CW485+CW486</f>
        <v>854597.19000000006</v>
      </c>
      <c r="DB482" s="940">
        <f>DB483+DB484+DB485+DB486</f>
        <v>905459.54799999995</v>
      </c>
      <c r="DF482" s="752"/>
      <c r="DG482" s="752"/>
      <c r="DH482" s="752"/>
      <c r="DI482" s="752"/>
    </row>
    <row r="483" spans="1:113" ht="56.4">
      <c r="A483" s="1648"/>
      <c r="B483" s="1634"/>
      <c r="C483" s="837"/>
      <c r="D483" s="838"/>
      <c r="E483" s="838"/>
      <c r="F483" s="838"/>
      <c r="G483" s="838"/>
      <c r="H483" s="838"/>
      <c r="I483" s="838"/>
      <c r="J483" s="838"/>
      <c r="K483" s="838"/>
      <c r="L483" s="838"/>
      <c r="M483" s="838"/>
      <c r="N483" s="838"/>
      <c r="O483" s="838"/>
      <c r="P483" s="838"/>
      <c r="Q483" s="838"/>
      <c r="R483" s="838"/>
      <c r="S483" s="1634"/>
      <c r="T483" s="1634"/>
      <c r="U483" s="1634"/>
      <c r="V483" s="846"/>
      <c r="W483" s="846"/>
      <c r="X483" s="846"/>
      <c r="Y483" s="846"/>
      <c r="Z483" s="847"/>
      <c r="AA483" s="846"/>
      <c r="AB483" s="846"/>
      <c r="AC483" s="846"/>
      <c r="AD483" s="846"/>
      <c r="AE483" s="846"/>
      <c r="AF483" s="846"/>
      <c r="AG483" s="848"/>
      <c r="AH483" s="846"/>
      <c r="AI483" s="846"/>
      <c r="AJ483" s="846"/>
      <c r="AK483" s="846"/>
      <c r="AL483" s="846"/>
      <c r="AM483" s="846"/>
      <c r="AN483" s="846"/>
      <c r="AO483" s="846"/>
      <c r="AP483" s="846"/>
      <c r="AQ483" s="1634"/>
      <c r="AR483" s="846"/>
      <c r="AS483" s="1634"/>
      <c r="AT483" s="846"/>
      <c r="AU483" s="846"/>
      <c r="AV483" s="846"/>
      <c r="AW483" s="846"/>
      <c r="AX483" s="846"/>
      <c r="AY483" s="846"/>
      <c r="AZ483" s="846"/>
      <c r="BA483" s="846"/>
      <c r="BB483" s="1634"/>
      <c r="BC483" s="849"/>
      <c r="BD483" s="849"/>
      <c r="BE483" s="849"/>
      <c r="BF483" s="849"/>
      <c r="BG483" s="849"/>
      <c r="BH483" s="848"/>
      <c r="BI483" s="848"/>
      <c r="BJ483" s="848"/>
      <c r="BK483" s="848"/>
      <c r="BL483" s="1637"/>
      <c r="BM483" s="848"/>
      <c r="BN483" s="846"/>
      <c r="BO483" s="848"/>
      <c r="BP483" s="848"/>
      <c r="BQ483" s="1637"/>
      <c r="BR483" s="848"/>
      <c r="BS483" s="846"/>
      <c r="BU483" s="752"/>
      <c r="BV483" s="752"/>
      <c r="BW483" s="752"/>
      <c r="BX483" s="752"/>
      <c r="BY483" s="752"/>
      <c r="BZ483" s="752"/>
      <c r="CA483" s="752"/>
      <c r="CB483" s="752"/>
      <c r="CC483" s="752"/>
      <c r="CD483" s="843"/>
      <c r="CE483" s="843"/>
      <c r="CF483" s="843"/>
      <c r="CG483" s="843"/>
      <c r="CH483" s="843"/>
      <c r="CI483" s="843"/>
      <c r="CJ483" s="843"/>
      <c r="CK483" s="844"/>
      <c r="CL483" s="844"/>
      <c r="CM483" s="837"/>
      <c r="CN483" s="837"/>
      <c r="CO483" s="837"/>
      <c r="CP483" s="1634"/>
      <c r="CQ483" s="1641"/>
      <c r="CR483" s="1642"/>
      <c r="CT483" s="850" t="s">
        <v>2115</v>
      </c>
      <c r="CU483" s="941" t="s">
        <v>2116</v>
      </c>
      <c r="CV483" s="890" t="s">
        <v>2111</v>
      </c>
      <c r="CW483" s="852">
        <v>57418.25</v>
      </c>
      <c r="DB483" s="940">
        <v>57418.245000000003</v>
      </c>
      <c r="DF483" s="752"/>
      <c r="DG483" s="752"/>
      <c r="DH483" s="752"/>
      <c r="DI483" s="752"/>
    </row>
    <row r="484" spans="1:113" ht="27.75" customHeight="1" thickBot="1">
      <c r="A484" s="1648"/>
      <c r="B484" s="1634"/>
      <c r="C484" s="837"/>
      <c r="D484" s="838"/>
      <c r="E484" s="838"/>
      <c r="F484" s="838"/>
      <c r="G484" s="838"/>
      <c r="H484" s="838"/>
      <c r="I484" s="838"/>
      <c r="J484" s="838"/>
      <c r="K484" s="838"/>
      <c r="L484" s="838"/>
      <c r="M484" s="838"/>
      <c r="N484" s="838"/>
      <c r="O484" s="838"/>
      <c r="P484" s="838"/>
      <c r="Q484" s="838"/>
      <c r="R484" s="838"/>
      <c r="S484" s="1634"/>
      <c r="T484" s="1634"/>
      <c r="U484" s="1634"/>
      <c r="V484" s="846"/>
      <c r="W484" s="846"/>
      <c r="X484" s="846"/>
      <c r="Y484" s="846"/>
      <c r="Z484" s="847"/>
      <c r="AA484" s="846"/>
      <c r="AB484" s="846"/>
      <c r="AC484" s="846"/>
      <c r="AD484" s="846"/>
      <c r="AE484" s="846"/>
      <c r="AF484" s="846"/>
      <c r="AG484" s="848"/>
      <c r="AH484" s="846"/>
      <c r="AI484" s="846"/>
      <c r="AJ484" s="846"/>
      <c r="AK484" s="846"/>
      <c r="AL484" s="846"/>
      <c r="AM484" s="846"/>
      <c r="AN484" s="846"/>
      <c r="AO484" s="846"/>
      <c r="AP484" s="846"/>
      <c r="AQ484" s="1634"/>
      <c r="AR484" s="846"/>
      <c r="AS484" s="1634"/>
      <c r="AT484" s="846"/>
      <c r="AU484" s="846"/>
      <c r="AV484" s="846"/>
      <c r="AW484" s="846"/>
      <c r="AX484" s="846"/>
      <c r="AY484" s="846"/>
      <c r="AZ484" s="846"/>
      <c r="BA484" s="846"/>
      <c r="BB484" s="1634"/>
      <c r="BC484" s="849"/>
      <c r="BD484" s="849"/>
      <c r="BE484" s="849"/>
      <c r="BF484" s="849"/>
      <c r="BG484" s="849"/>
      <c r="BH484" s="848"/>
      <c r="BI484" s="848"/>
      <c r="BJ484" s="848"/>
      <c r="BK484" s="848"/>
      <c r="BL484" s="1637"/>
      <c r="BM484" s="848"/>
      <c r="BN484" s="846"/>
      <c r="BO484" s="848"/>
      <c r="BP484" s="848"/>
      <c r="BQ484" s="1637"/>
      <c r="BR484" s="848"/>
      <c r="BS484" s="846"/>
      <c r="BU484" s="752"/>
      <c r="BV484" s="752"/>
      <c r="BW484" s="752"/>
      <c r="BX484" s="752"/>
      <c r="BY484" s="752"/>
      <c r="BZ484" s="752"/>
      <c r="CA484" s="752"/>
      <c r="CB484" s="752"/>
      <c r="CC484" s="752"/>
      <c r="CD484" s="843"/>
      <c r="CE484" s="843"/>
      <c r="CF484" s="843"/>
      <c r="CG484" s="843"/>
      <c r="CH484" s="843"/>
      <c r="CI484" s="843"/>
      <c r="CJ484" s="843"/>
      <c r="CK484" s="844"/>
      <c r="CL484" s="844"/>
      <c r="CM484" s="837"/>
      <c r="CN484" s="837"/>
      <c r="CO484" s="837"/>
      <c r="CP484" s="1635"/>
      <c r="CQ484" s="1643"/>
      <c r="CR484" s="1644"/>
      <c r="CT484" s="850" t="s">
        <v>2117</v>
      </c>
      <c r="CU484" s="941" t="s">
        <v>1164</v>
      </c>
      <c r="CV484" s="890" t="s">
        <v>2111</v>
      </c>
      <c r="CW484" s="852">
        <v>144204.48000000001</v>
      </c>
      <c r="DB484" s="940">
        <v>169988.2</v>
      </c>
      <c r="DF484" s="752"/>
      <c r="DG484" s="752"/>
      <c r="DH484" s="752"/>
      <c r="DI484" s="752"/>
    </row>
    <row r="485" spans="1:113" ht="84.6">
      <c r="A485" s="1648"/>
      <c r="B485" s="1634"/>
      <c r="C485" s="837"/>
      <c r="D485" s="838"/>
      <c r="E485" s="838"/>
      <c r="F485" s="838"/>
      <c r="G485" s="838"/>
      <c r="H485" s="838"/>
      <c r="I485" s="838"/>
      <c r="J485" s="838"/>
      <c r="K485" s="838"/>
      <c r="L485" s="838"/>
      <c r="M485" s="838"/>
      <c r="N485" s="838"/>
      <c r="O485" s="838"/>
      <c r="P485" s="838"/>
      <c r="Q485" s="838"/>
      <c r="R485" s="838"/>
      <c r="S485" s="1634"/>
      <c r="T485" s="1634"/>
      <c r="U485" s="1634"/>
      <c r="V485" s="846"/>
      <c r="W485" s="846"/>
      <c r="X485" s="846"/>
      <c r="Y485" s="846"/>
      <c r="Z485" s="847"/>
      <c r="AA485" s="846"/>
      <c r="AB485" s="846"/>
      <c r="AC485" s="846"/>
      <c r="AD485" s="846"/>
      <c r="AE485" s="846"/>
      <c r="AF485" s="846"/>
      <c r="AG485" s="848"/>
      <c r="AH485" s="846"/>
      <c r="AI485" s="846"/>
      <c r="AJ485" s="846"/>
      <c r="AK485" s="846"/>
      <c r="AL485" s="846"/>
      <c r="AM485" s="846"/>
      <c r="AN485" s="846"/>
      <c r="AO485" s="846"/>
      <c r="AP485" s="846"/>
      <c r="AQ485" s="1634"/>
      <c r="AR485" s="846"/>
      <c r="AS485" s="1634"/>
      <c r="AT485" s="846"/>
      <c r="AU485" s="846"/>
      <c r="AV485" s="846"/>
      <c r="AW485" s="846"/>
      <c r="AX485" s="846"/>
      <c r="AY485" s="846"/>
      <c r="AZ485" s="846"/>
      <c r="BA485" s="846"/>
      <c r="BB485" s="1634"/>
      <c r="BC485" s="849"/>
      <c r="BD485" s="849"/>
      <c r="BE485" s="849"/>
      <c r="BF485" s="849"/>
      <c r="BG485" s="849"/>
      <c r="BH485" s="848"/>
      <c r="BI485" s="848"/>
      <c r="BJ485" s="848"/>
      <c r="BK485" s="848"/>
      <c r="BL485" s="1637"/>
      <c r="BM485" s="848"/>
      <c r="BN485" s="846"/>
      <c r="BO485" s="848"/>
      <c r="BP485" s="848"/>
      <c r="BQ485" s="1637"/>
      <c r="BR485" s="848"/>
      <c r="BS485" s="846"/>
      <c r="BX485" s="752"/>
      <c r="CD485" s="843"/>
      <c r="CE485" s="843"/>
      <c r="CF485" s="843"/>
      <c r="CG485" s="843"/>
      <c r="CH485" s="843"/>
      <c r="CI485" s="843"/>
      <c r="CJ485" s="843"/>
      <c r="CK485" s="844"/>
      <c r="CL485" s="844"/>
      <c r="CM485" s="837"/>
      <c r="CN485" s="837"/>
      <c r="CO485" s="837"/>
      <c r="CP485" s="1645" t="s">
        <v>1764</v>
      </c>
      <c r="CQ485" s="1645" t="s">
        <v>1765</v>
      </c>
      <c r="CR485" s="1645" t="s">
        <v>1766</v>
      </c>
      <c r="CT485" s="850" t="s">
        <v>2118</v>
      </c>
      <c r="CU485" s="941" t="s">
        <v>1169</v>
      </c>
      <c r="CV485" s="890" t="s">
        <v>2111</v>
      </c>
      <c r="CW485" s="852">
        <v>88888.55</v>
      </c>
      <c r="DB485" s="940">
        <v>96586.418999999994</v>
      </c>
    </row>
    <row r="486" spans="1:113" ht="28.8" thickBot="1">
      <c r="A486" s="1649"/>
      <c r="B486" s="1635"/>
      <c r="C486" s="837"/>
      <c r="D486" s="838"/>
      <c r="E486" s="838"/>
      <c r="F486" s="838"/>
      <c r="G486" s="838"/>
      <c r="H486" s="838"/>
      <c r="I486" s="838"/>
      <c r="J486" s="838"/>
      <c r="K486" s="838"/>
      <c r="L486" s="838"/>
      <c r="M486" s="838"/>
      <c r="N486" s="838"/>
      <c r="O486" s="838"/>
      <c r="P486" s="838"/>
      <c r="Q486" s="838"/>
      <c r="R486" s="838"/>
      <c r="S486" s="1635"/>
      <c r="T486" s="1635"/>
      <c r="U486" s="1635"/>
      <c r="V486" s="854"/>
      <c r="W486" s="854"/>
      <c r="X486" s="854"/>
      <c r="Y486" s="854"/>
      <c r="Z486" s="855"/>
      <c r="AA486" s="854"/>
      <c r="AB486" s="854"/>
      <c r="AC486" s="854"/>
      <c r="AD486" s="854"/>
      <c r="AE486" s="854"/>
      <c r="AF486" s="854"/>
      <c r="AG486" s="856"/>
      <c r="AH486" s="854"/>
      <c r="AI486" s="854"/>
      <c r="AJ486" s="854"/>
      <c r="AK486" s="854"/>
      <c r="AL486" s="854"/>
      <c r="AM486" s="854"/>
      <c r="AN486" s="854"/>
      <c r="AO486" s="854"/>
      <c r="AP486" s="854"/>
      <c r="AQ486" s="1635"/>
      <c r="AR486" s="854"/>
      <c r="AS486" s="1635"/>
      <c r="AT486" s="854"/>
      <c r="AU486" s="854"/>
      <c r="AV486" s="854"/>
      <c r="AW486" s="854"/>
      <c r="AX486" s="854"/>
      <c r="AY486" s="854"/>
      <c r="AZ486" s="854"/>
      <c r="BA486" s="854"/>
      <c r="BB486" s="1635"/>
      <c r="BC486" s="857"/>
      <c r="BD486" s="857"/>
      <c r="BE486" s="857"/>
      <c r="BF486" s="857"/>
      <c r="BG486" s="857"/>
      <c r="BH486" s="856"/>
      <c r="BI486" s="856"/>
      <c r="BJ486" s="856"/>
      <c r="BK486" s="856"/>
      <c r="BL486" s="1638"/>
      <c r="BM486" s="856"/>
      <c r="BN486" s="854"/>
      <c r="BO486" s="856"/>
      <c r="BP486" s="856"/>
      <c r="BQ486" s="1638"/>
      <c r="BR486" s="856"/>
      <c r="BS486" s="854"/>
      <c r="BX486" s="752"/>
      <c r="CD486" s="843"/>
      <c r="CE486" s="843"/>
      <c r="CF486" s="843"/>
      <c r="CG486" s="843"/>
      <c r="CH486" s="843"/>
      <c r="CI486" s="843"/>
      <c r="CJ486" s="843"/>
      <c r="CK486" s="844"/>
      <c r="CL486" s="844"/>
      <c r="CM486" s="837"/>
      <c r="CN486" s="837"/>
      <c r="CO486" s="837"/>
      <c r="CP486" s="1646"/>
      <c r="CQ486" s="1646"/>
      <c r="CR486" s="1646"/>
      <c r="CT486" s="850" t="s">
        <v>2119</v>
      </c>
      <c r="CU486" s="941" t="s">
        <v>2120</v>
      </c>
      <c r="CV486" s="890" t="s">
        <v>2111</v>
      </c>
      <c r="CW486" s="852">
        <v>564085.91</v>
      </c>
      <c r="DB486" s="940">
        <v>581466.68400000001</v>
      </c>
    </row>
    <row r="487" spans="1:113" ht="198" thickBot="1">
      <c r="A487" s="858" t="s">
        <v>242</v>
      </c>
      <c r="B487" s="859" t="s">
        <v>1770</v>
      </c>
      <c r="C487" s="837"/>
      <c r="D487" s="838"/>
      <c r="E487" s="838"/>
      <c r="F487" s="838"/>
      <c r="G487" s="838"/>
      <c r="H487" s="838"/>
      <c r="I487" s="838"/>
      <c r="J487" s="838"/>
      <c r="K487" s="838"/>
      <c r="L487" s="838"/>
      <c r="M487" s="838"/>
      <c r="N487" s="838"/>
      <c r="O487" s="838"/>
      <c r="P487" s="838"/>
      <c r="Q487" s="838"/>
      <c r="R487" s="838"/>
      <c r="S487" s="859"/>
      <c r="T487" s="859"/>
      <c r="U487" s="859"/>
      <c r="V487" s="859"/>
      <c r="W487" s="859"/>
      <c r="X487" s="859"/>
      <c r="Y487" s="859"/>
      <c r="Z487" s="860"/>
      <c r="AA487" s="859"/>
      <c r="AB487" s="859"/>
      <c r="AC487" s="859"/>
      <c r="AD487" s="859"/>
      <c r="AE487" s="859"/>
      <c r="AF487" s="859"/>
      <c r="AG487" s="861"/>
      <c r="AH487" s="859"/>
      <c r="AI487" s="859"/>
      <c r="AJ487" s="859"/>
      <c r="AK487" s="859"/>
      <c r="AL487" s="859"/>
      <c r="AM487" s="859"/>
      <c r="AN487" s="859"/>
      <c r="AO487" s="859"/>
      <c r="AP487" s="859"/>
      <c r="AQ487" s="859"/>
      <c r="AR487" s="859"/>
      <c r="AS487" s="859"/>
      <c r="AT487" s="859"/>
      <c r="AU487" s="859"/>
      <c r="AV487" s="859"/>
      <c r="AW487" s="859"/>
      <c r="AX487" s="859"/>
      <c r="AY487" s="859"/>
      <c r="AZ487" s="859"/>
      <c r="BA487" s="859"/>
      <c r="BB487" s="859"/>
      <c r="BC487" s="862"/>
      <c r="BD487" s="862"/>
      <c r="BE487" s="862"/>
      <c r="BF487" s="862"/>
      <c r="BG487" s="862"/>
      <c r="BH487" s="861"/>
      <c r="BI487" s="861"/>
      <c r="BJ487" s="861"/>
      <c r="BK487" s="861"/>
      <c r="BL487" s="861"/>
      <c r="BM487" s="861"/>
      <c r="BN487" s="859"/>
      <c r="BO487" s="861"/>
      <c r="BP487" s="861"/>
      <c r="BQ487" s="861"/>
      <c r="BR487" s="861"/>
      <c r="BS487" s="859"/>
      <c r="BX487" s="752"/>
      <c r="CD487" s="863"/>
      <c r="CE487" s="863"/>
      <c r="CF487" s="863"/>
      <c r="CG487" s="863"/>
      <c r="CH487" s="863"/>
      <c r="CI487" s="863"/>
      <c r="CJ487" s="863"/>
      <c r="CK487" s="844"/>
      <c r="CL487" s="844"/>
      <c r="CM487" s="837"/>
      <c r="CN487" s="837"/>
      <c r="CO487" s="837"/>
      <c r="CP487" s="859"/>
      <c r="CQ487" s="859"/>
      <c r="CR487" s="859"/>
      <c r="CT487" s="850" t="s">
        <v>597</v>
      </c>
      <c r="CU487" s="851" t="s">
        <v>2121</v>
      </c>
      <c r="CV487" s="890" t="s">
        <v>2111</v>
      </c>
      <c r="CW487" s="852">
        <f>CW479-CW482</f>
        <v>633794.99999999988</v>
      </c>
      <c r="DB487" s="940">
        <f>DB479-DB482</f>
        <v>534771.84899999993</v>
      </c>
    </row>
    <row r="488" spans="1:113" ht="28.8" thickBot="1">
      <c r="A488" s="864" t="s">
        <v>1</v>
      </c>
      <c r="B488" s="865" t="s">
        <v>2044</v>
      </c>
      <c r="C488" s="866"/>
      <c r="D488" s="867"/>
      <c r="E488" s="867"/>
      <c r="F488" s="867"/>
      <c r="G488" s="867"/>
      <c r="H488" s="867"/>
      <c r="I488" s="867"/>
      <c r="J488" s="867"/>
      <c r="K488" s="867"/>
      <c r="L488" s="867"/>
      <c r="M488" s="867"/>
      <c r="N488" s="867"/>
      <c r="O488" s="867"/>
      <c r="P488" s="867"/>
      <c r="Q488" s="867"/>
      <c r="R488" s="867"/>
      <c r="S488" s="868">
        <f>SUM(S489,S493)</f>
        <v>0</v>
      </c>
      <c r="T488" s="868">
        <f>SUM(T489,T493)</f>
        <v>7483414.4476683699</v>
      </c>
      <c r="U488" s="868">
        <f>SUM(U489,U493)</f>
        <v>7516414.9257267695</v>
      </c>
      <c r="V488" s="868"/>
      <c r="W488" s="868"/>
      <c r="X488" s="868"/>
      <c r="Y488" s="868"/>
      <c r="Z488" s="869"/>
      <c r="AA488" s="868"/>
      <c r="AB488" s="868"/>
      <c r="AC488" s="868"/>
      <c r="AD488" s="868"/>
      <c r="AE488" s="868"/>
      <c r="AF488" s="868"/>
      <c r="AG488" s="801"/>
      <c r="AH488" s="868"/>
      <c r="AI488" s="868"/>
      <c r="AJ488" s="868"/>
      <c r="AK488" s="868"/>
      <c r="AL488" s="868"/>
      <c r="AM488" s="868"/>
      <c r="AN488" s="868"/>
      <c r="AO488" s="868"/>
      <c r="AP488" s="868"/>
      <c r="AQ488" s="868" t="e">
        <f>SUM(AQ489,AQ493)</f>
        <v>#REF!</v>
      </c>
      <c r="AR488" s="868"/>
      <c r="AS488" s="868" t="e">
        <f>SUM(AS489,AS493)</f>
        <v>#REF!</v>
      </c>
      <c r="AT488" s="868"/>
      <c r="AU488" s="868"/>
      <c r="AV488" s="868"/>
      <c r="AW488" s="868"/>
      <c r="AX488" s="868"/>
      <c r="AY488" s="868"/>
      <c r="AZ488" s="868"/>
      <c r="BA488" s="868"/>
      <c r="BB488" s="868" t="e">
        <f>SUM(BB489,BB493)</f>
        <v>#REF!</v>
      </c>
      <c r="BC488" s="800"/>
      <c r="BD488" s="800"/>
      <c r="BE488" s="800"/>
      <c r="BF488" s="800"/>
      <c r="BG488" s="800"/>
      <c r="BH488" s="801"/>
      <c r="BI488" s="801"/>
      <c r="BJ488" s="801"/>
      <c r="BK488" s="801"/>
      <c r="BL488" s="801" t="e">
        <f>SUM(BL489,BL493)</f>
        <v>#REF!</v>
      </c>
      <c r="BM488" s="801"/>
      <c r="BN488" s="868"/>
      <c r="BO488" s="801"/>
      <c r="BP488" s="801"/>
      <c r="BQ488" s="801" t="e">
        <f>SUM(BQ489,BQ493)</f>
        <v>#REF!</v>
      </c>
      <c r="BR488" s="801"/>
      <c r="BS488" s="868"/>
      <c r="BX488" s="752"/>
      <c r="CD488" s="870"/>
      <c r="CE488" s="870"/>
      <c r="CF488" s="870"/>
      <c r="CG488" s="870"/>
      <c r="CH488" s="870"/>
      <c r="CI488" s="870"/>
      <c r="CJ488" s="870"/>
      <c r="CP488" s="868">
        <f>SUM(CP489,CP493)</f>
        <v>7138274.1498967698</v>
      </c>
      <c r="CQ488" s="868">
        <f>SUM(CQ489,CQ493)</f>
        <v>331178</v>
      </c>
      <c r="CR488" s="868">
        <f>SUM(CR489,CR493)</f>
        <v>46962.775830000006</v>
      </c>
    </row>
    <row r="489" spans="1:113" ht="28.8" thickBot="1">
      <c r="A489" s="873" t="s">
        <v>294</v>
      </c>
      <c r="B489" s="874" t="s">
        <v>2045</v>
      </c>
      <c r="C489" s="866"/>
      <c r="D489" s="867"/>
      <c r="E489" s="867"/>
      <c r="F489" s="867"/>
      <c r="G489" s="867"/>
      <c r="H489" s="867"/>
      <c r="I489" s="867"/>
      <c r="J489" s="867"/>
      <c r="K489" s="867"/>
      <c r="L489" s="867"/>
      <c r="M489" s="867"/>
      <c r="N489" s="867"/>
      <c r="O489" s="867"/>
      <c r="P489" s="867"/>
      <c r="Q489" s="867"/>
      <c r="R489" s="867"/>
      <c r="S489" s="875">
        <f>SUM(S490:S492)</f>
        <v>0</v>
      </c>
      <c r="T489" s="875">
        <f>SUM(T490:T492)</f>
        <v>7483414.4476683699</v>
      </c>
      <c r="U489" s="875">
        <f>SUM(U490:U492)</f>
        <v>7516414.9257267695</v>
      </c>
      <c r="V489" s="875"/>
      <c r="W489" s="875"/>
      <c r="X489" s="875"/>
      <c r="Y489" s="875"/>
      <c r="Z489" s="876"/>
      <c r="AA489" s="875"/>
      <c r="AB489" s="875"/>
      <c r="AC489" s="875"/>
      <c r="AD489" s="875"/>
      <c r="AE489" s="875"/>
      <c r="AF489" s="875"/>
      <c r="AG489" s="877"/>
      <c r="AH489" s="875"/>
      <c r="AI489" s="875"/>
      <c r="AJ489" s="875"/>
      <c r="AK489" s="875"/>
      <c r="AL489" s="875"/>
      <c r="AM489" s="875"/>
      <c r="AN489" s="875"/>
      <c r="AO489" s="875"/>
      <c r="AP489" s="875"/>
      <c r="AQ489" s="875" t="e">
        <f>SUM(AQ490:AQ492)</f>
        <v>#REF!</v>
      </c>
      <c r="AR489" s="875"/>
      <c r="AS489" s="875" t="e">
        <f>SUM(AS490:AS492)</f>
        <v>#REF!</v>
      </c>
      <c r="AT489" s="875"/>
      <c r="AU489" s="875"/>
      <c r="AV489" s="875"/>
      <c r="AW489" s="875"/>
      <c r="AX489" s="875"/>
      <c r="AY489" s="875"/>
      <c r="AZ489" s="875"/>
      <c r="BA489" s="875"/>
      <c r="BB489" s="875" t="e">
        <f>SUM(BB490:BB492)</f>
        <v>#REF!</v>
      </c>
      <c r="BC489" s="878"/>
      <c r="BD489" s="878"/>
      <c r="BE489" s="878"/>
      <c r="BF489" s="878"/>
      <c r="BG489" s="878"/>
      <c r="BH489" s="877"/>
      <c r="BI489" s="877"/>
      <c r="BJ489" s="877"/>
      <c r="BK489" s="877"/>
      <c r="BL489" s="877" t="e">
        <f>SUM(BL490:BL492)</f>
        <v>#REF!</v>
      </c>
      <c r="BM489" s="877"/>
      <c r="BN489" s="875"/>
      <c r="BO489" s="877"/>
      <c r="BP489" s="877"/>
      <c r="BQ489" s="877" t="e">
        <f>SUM(BQ490:BQ492)</f>
        <v>#REF!</v>
      </c>
      <c r="BR489" s="877"/>
      <c r="BS489" s="875"/>
      <c r="BX489" s="752"/>
      <c r="CD489" s="879"/>
      <c r="CE489" s="879"/>
      <c r="CF489" s="879"/>
      <c r="CG489" s="879"/>
      <c r="CH489" s="879"/>
      <c r="CI489" s="879"/>
      <c r="CJ489" s="879"/>
      <c r="CP489" s="875">
        <f>SUM(CP490:CP492)</f>
        <v>7138274.1498967698</v>
      </c>
      <c r="CQ489" s="875">
        <f>SUM(CQ490:CQ492)</f>
        <v>331178</v>
      </c>
      <c r="CR489" s="875">
        <f>SUM(CR490:CR492)</f>
        <v>46962.775830000006</v>
      </c>
    </row>
    <row r="490" spans="1:113">
      <c r="A490" s="880" t="s">
        <v>294</v>
      </c>
      <c r="B490" s="881" t="s">
        <v>2047</v>
      </c>
      <c r="S490" s="817">
        <f>'8.Бюджет на 2015'!N486/1000</f>
        <v>0</v>
      </c>
      <c r="T490" s="817">
        <f>T449-'[67]1.БДР_свернутый'!X38</f>
        <v>7483414.4476683699</v>
      </c>
      <c r="U490" s="817">
        <f>U449-'[67]1.БДР_свернутый'!AI38</f>
        <v>7138274.1498967698</v>
      </c>
      <c r="V490" s="817"/>
      <c r="W490" s="817"/>
      <c r="X490" s="817"/>
      <c r="Y490" s="817"/>
      <c r="Z490" s="818"/>
      <c r="AA490" s="817"/>
      <c r="AB490" s="817"/>
      <c r="AC490" s="817"/>
      <c r="AD490" s="817"/>
      <c r="AE490" s="817"/>
      <c r="AF490" s="817"/>
      <c r="AG490" s="819"/>
      <c r="AH490" s="817"/>
      <c r="AI490" s="817"/>
      <c r="AJ490" s="817"/>
      <c r="AK490" s="817"/>
      <c r="AL490" s="817"/>
      <c r="AM490" s="817"/>
      <c r="AN490" s="817"/>
      <c r="AO490" s="817"/>
      <c r="AP490" s="817"/>
      <c r="AQ490" s="817" t="e">
        <f>AQ449-'[67]1.БДР_свернутый'!#REF!</f>
        <v>#REF!</v>
      </c>
      <c r="AR490" s="817"/>
      <c r="AS490" s="817" t="e">
        <f>AS449-'[67]1.БДР_свернутый'!#REF!</f>
        <v>#REF!</v>
      </c>
      <c r="AT490" s="817"/>
      <c r="AU490" s="817"/>
      <c r="AV490" s="817"/>
      <c r="AW490" s="817"/>
      <c r="AX490" s="817"/>
      <c r="AY490" s="817"/>
      <c r="AZ490" s="817"/>
      <c r="BA490" s="817"/>
      <c r="BB490" s="817" t="e">
        <f>BB449-'[67]1.БДР_свернутый'!#REF!</f>
        <v>#REF!</v>
      </c>
      <c r="BC490" s="817"/>
      <c r="BD490" s="817"/>
      <c r="BE490" s="817"/>
      <c r="BF490" s="817"/>
      <c r="BG490" s="817"/>
      <c r="BH490" s="819"/>
      <c r="BI490" s="819"/>
      <c r="BJ490" s="819"/>
      <c r="BK490" s="819"/>
      <c r="BL490" s="819" t="e">
        <f>BL449-'[67]1.БДР_свернутый'!#REF!</f>
        <v>#REF!</v>
      </c>
      <c r="BM490" s="819"/>
      <c r="BN490" s="817"/>
      <c r="BO490" s="819"/>
      <c r="BP490" s="819"/>
      <c r="BQ490" s="819" t="e">
        <f>BQ449-'[67]1.БДР_свернутый'!#REF!</f>
        <v>#REF!</v>
      </c>
      <c r="BR490" s="819"/>
      <c r="BS490" s="817"/>
      <c r="BX490" s="752"/>
      <c r="CD490" s="817"/>
      <c r="CE490" s="817"/>
      <c r="CF490" s="817"/>
      <c r="CG490" s="817"/>
      <c r="CH490" s="817"/>
      <c r="CI490" s="817"/>
      <c r="CJ490" s="817"/>
      <c r="CK490" s="817" t="e">
        <f>CK449-'[67]1.БДР_свернутый'!#REF!</f>
        <v>#VALUE!</v>
      </c>
      <c r="CL490" s="817" t="e">
        <f>CL449-'[67]1.БДР_свернутый'!#REF!</f>
        <v>#VALUE!</v>
      </c>
      <c r="CM490" s="817" t="e">
        <f>CM449-'[67]1.БДР_свернутый'!#REF!</f>
        <v>#REF!</v>
      </c>
      <c r="CN490" s="817" t="e">
        <f>CN449-'[67]1.БДР_свернутый'!#REF!</f>
        <v>#REF!</v>
      </c>
      <c r="CO490" s="817" t="e">
        <f>CO449-'[67]1.БДР_свернутый'!#REF!</f>
        <v>#REF!</v>
      </c>
      <c r="CP490" s="817">
        <f>U490</f>
        <v>7138274.1498967698</v>
      </c>
      <c r="CQ490" s="817">
        <f>CQ449</f>
        <v>0</v>
      </c>
      <c r="CR490" s="817">
        <f>CR449</f>
        <v>0</v>
      </c>
      <c r="CT490" s="1627"/>
      <c r="CU490" s="1627"/>
      <c r="CV490" s="871"/>
      <c r="CW490" s="1628"/>
      <c r="CX490" s="1628"/>
      <c r="CY490" s="1628"/>
      <c r="CZ490" s="1628"/>
      <c r="DA490" s="1628"/>
      <c r="DB490" s="1628"/>
    </row>
    <row r="491" spans="1:113">
      <c r="A491" s="882" t="s">
        <v>75</v>
      </c>
      <c r="B491" s="883" t="s">
        <v>2048</v>
      </c>
      <c r="S491" s="884">
        <f>'8.Бюджет на 2015'!N487/1000</f>
        <v>0</v>
      </c>
      <c r="T491" s="884">
        <f>T450</f>
        <v>0</v>
      </c>
      <c r="U491" s="884">
        <f>U450</f>
        <v>331178</v>
      </c>
      <c r="V491" s="884"/>
      <c r="W491" s="884"/>
      <c r="X491" s="884"/>
      <c r="Y491" s="884"/>
      <c r="Z491" s="885"/>
      <c r="AA491" s="884"/>
      <c r="AB491" s="884"/>
      <c r="AC491" s="884"/>
      <c r="AD491" s="884"/>
      <c r="AE491" s="884"/>
      <c r="AF491" s="884"/>
      <c r="AG491" s="886"/>
      <c r="AH491" s="884"/>
      <c r="AI491" s="884"/>
      <c r="AJ491" s="884"/>
      <c r="AK491" s="884"/>
      <c r="AL491" s="884"/>
      <c r="AM491" s="884"/>
      <c r="AN491" s="884"/>
      <c r="AO491" s="884"/>
      <c r="AP491" s="884"/>
      <c r="AQ491" s="884">
        <f t="shared" ref="AQ491:CR492" si="591">AQ450</f>
        <v>59893</v>
      </c>
      <c r="AR491" s="884"/>
      <c r="AS491" s="884">
        <f t="shared" si="591"/>
        <v>72683</v>
      </c>
      <c r="AT491" s="884"/>
      <c r="AU491" s="884"/>
      <c r="AV491" s="884"/>
      <c r="AW491" s="884"/>
      <c r="AX491" s="884"/>
      <c r="AY491" s="884"/>
      <c r="AZ491" s="884"/>
      <c r="BA491" s="884"/>
      <c r="BB491" s="884">
        <f t="shared" si="591"/>
        <v>73595</v>
      </c>
      <c r="BC491" s="884"/>
      <c r="BD491" s="884"/>
      <c r="BE491" s="884"/>
      <c r="BF491" s="884"/>
      <c r="BG491" s="884"/>
      <c r="BH491" s="886"/>
      <c r="BI491" s="886"/>
      <c r="BJ491" s="886"/>
      <c r="BK491" s="886"/>
      <c r="BL491" s="886">
        <f t="shared" si="591"/>
        <v>125007</v>
      </c>
      <c r="BM491" s="886"/>
      <c r="BN491" s="884"/>
      <c r="BO491" s="886"/>
      <c r="BP491" s="886"/>
      <c r="BQ491" s="886">
        <f t="shared" ref="BQ491:BQ492" si="592">BQ450</f>
        <v>125007</v>
      </c>
      <c r="BR491" s="886"/>
      <c r="BS491" s="884"/>
      <c r="BX491" s="752"/>
      <c r="CD491" s="884"/>
      <c r="CE491" s="884"/>
      <c r="CF491" s="884"/>
      <c r="CG491" s="884"/>
      <c r="CH491" s="884"/>
      <c r="CI491" s="884"/>
      <c r="CJ491" s="884"/>
      <c r="CK491" s="884" t="e">
        <f t="shared" si="591"/>
        <v>#VALUE!</v>
      </c>
      <c r="CL491" s="884" t="e">
        <f t="shared" si="591"/>
        <v>#VALUE!</v>
      </c>
      <c r="CM491" s="884">
        <f t="shared" si="591"/>
        <v>0</v>
      </c>
      <c r="CN491" s="884">
        <f t="shared" si="591"/>
        <v>0</v>
      </c>
      <c r="CO491" s="884">
        <f t="shared" si="591"/>
        <v>0</v>
      </c>
      <c r="CP491" s="884">
        <f t="shared" si="591"/>
        <v>0</v>
      </c>
      <c r="CQ491" s="884">
        <f t="shared" si="591"/>
        <v>331178</v>
      </c>
      <c r="CR491" s="884">
        <f t="shared" si="591"/>
        <v>0</v>
      </c>
      <c r="CT491" s="1627"/>
      <c r="CU491" s="1627"/>
      <c r="CV491" s="942"/>
      <c r="CW491" s="942"/>
      <c r="CX491" s="735"/>
      <c r="CY491" s="735"/>
      <c r="CZ491" s="735"/>
      <c r="DA491" s="735"/>
      <c r="DB491" s="943"/>
    </row>
    <row r="492" spans="1:113" ht="28.8" thickBot="1">
      <c r="A492" s="887" t="s">
        <v>546</v>
      </c>
      <c r="B492" s="888" t="s">
        <v>2049</v>
      </c>
      <c r="S492" s="826">
        <f>'8.Бюджет на 2015'!N488/1000</f>
        <v>0</v>
      </c>
      <c r="T492" s="826">
        <f>T451</f>
        <v>0</v>
      </c>
      <c r="U492" s="826">
        <f>U451</f>
        <v>46962.775830000006</v>
      </c>
      <c r="V492" s="826"/>
      <c r="W492" s="826"/>
      <c r="X492" s="826"/>
      <c r="Y492" s="826"/>
      <c r="Z492" s="827"/>
      <c r="AA492" s="826"/>
      <c r="AB492" s="826"/>
      <c r="AC492" s="826"/>
      <c r="AD492" s="826"/>
      <c r="AE492" s="826"/>
      <c r="AF492" s="826"/>
      <c r="AG492" s="828"/>
      <c r="AH492" s="826"/>
      <c r="AI492" s="826"/>
      <c r="AJ492" s="826"/>
      <c r="AK492" s="826"/>
      <c r="AL492" s="826"/>
      <c r="AM492" s="826"/>
      <c r="AN492" s="826"/>
      <c r="AO492" s="826"/>
      <c r="AP492" s="826"/>
      <c r="AQ492" s="826">
        <f t="shared" si="591"/>
        <v>9026.8692700000011</v>
      </c>
      <c r="AR492" s="826"/>
      <c r="AS492" s="826">
        <f t="shared" si="591"/>
        <v>12207.766150000003</v>
      </c>
      <c r="AT492" s="826"/>
      <c r="AU492" s="826"/>
      <c r="AV492" s="826"/>
      <c r="AW492" s="826"/>
      <c r="AX492" s="826"/>
      <c r="AY492" s="826"/>
      <c r="AZ492" s="826"/>
      <c r="BA492" s="826"/>
      <c r="BB492" s="826">
        <f t="shared" si="591"/>
        <v>12754.32475</v>
      </c>
      <c r="BC492" s="826"/>
      <c r="BD492" s="826"/>
      <c r="BE492" s="826"/>
      <c r="BF492" s="826"/>
      <c r="BG492" s="826"/>
      <c r="BH492" s="828"/>
      <c r="BI492" s="828"/>
      <c r="BJ492" s="828"/>
      <c r="BK492" s="828"/>
      <c r="BL492" s="828">
        <f t="shared" si="591"/>
        <v>12973.81566</v>
      </c>
      <c r="BM492" s="828"/>
      <c r="BN492" s="826"/>
      <c r="BO492" s="828"/>
      <c r="BP492" s="828"/>
      <c r="BQ492" s="828">
        <f t="shared" si="592"/>
        <v>12973.81566</v>
      </c>
      <c r="BR492" s="828"/>
      <c r="BS492" s="826"/>
      <c r="BX492" s="752"/>
      <c r="CD492" s="826"/>
      <c r="CE492" s="826"/>
      <c r="CF492" s="826"/>
      <c r="CG492" s="826"/>
      <c r="CH492" s="826"/>
      <c r="CI492" s="826"/>
      <c r="CJ492" s="826"/>
      <c r="CK492" s="826">
        <f t="shared" si="591"/>
        <v>0</v>
      </c>
      <c r="CL492" s="826">
        <f t="shared" si="591"/>
        <v>0</v>
      </c>
      <c r="CM492" s="826">
        <f t="shared" si="591"/>
        <v>0</v>
      </c>
      <c r="CN492" s="826">
        <f t="shared" si="591"/>
        <v>0</v>
      </c>
      <c r="CO492" s="826">
        <f t="shared" si="591"/>
        <v>0</v>
      </c>
      <c r="CP492" s="826">
        <f t="shared" si="591"/>
        <v>0</v>
      </c>
      <c r="CQ492" s="826">
        <f t="shared" si="591"/>
        <v>0</v>
      </c>
      <c r="CR492" s="826">
        <f t="shared" si="591"/>
        <v>46962.775830000006</v>
      </c>
      <c r="CT492" s="921"/>
      <c r="CU492" s="922"/>
      <c r="CV492" s="923"/>
      <c r="CW492" s="914"/>
      <c r="CX492" s="735"/>
      <c r="CY492" s="735"/>
      <c r="CZ492" s="735"/>
      <c r="DA492" s="735"/>
      <c r="DB492" s="924"/>
    </row>
    <row r="493" spans="1:113" ht="28.8" thickBot="1">
      <c r="A493" s="892" t="s">
        <v>75</v>
      </c>
      <c r="B493" s="893" t="s">
        <v>2052</v>
      </c>
      <c r="S493" s="894"/>
      <c r="T493" s="894"/>
      <c r="U493" s="894"/>
      <c r="V493" s="894"/>
      <c r="W493" s="894"/>
      <c r="X493" s="894"/>
      <c r="Y493" s="894"/>
      <c r="Z493" s="895"/>
      <c r="AA493" s="894"/>
      <c r="AB493" s="894"/>
      <c r="AC493" s="894"/>
      <c r="AD493" s="894"/>
      <c r="AE493" s="894"/>
      <c r="AF493" s="894"/>
      <c r="AG493" s="896"/>
      <c r="AH493" s="894"/>
      <c r="AI493" s="894"/>
      <c r="AJ493" s="894"/>
      <c r="AK493" s="894"/>
      <c r="AL493" s="894"/>
      <c r="AM493" s="894"/>
      <c r="AN493" s="894"/>
      <c r="AO493" s="894"/>
      <c r="AP493" s="894"/>
      <c r="AQ493" s="894"/>
      <c r="AR493" s="894"/>
      <c r="AS493" s="894"/>
      <c r="AT493" s="894"/>
      <c r="AU493" s="894"/>
      <c r="AV493" s="894"/>
      <c r="AW493" s="894"/>
      <c r="AX493" s="894"/>
      <c r="AY493" s="894"/>
      <c r="AZ493" s="894"/>
      <c r="BA493" s="894"/>
      <c r="BB493" s="894"/>
      <c r="BC493" s="894"/>
      <c r="BD493" s="894"/>
      <c r="BE493" s="894"/>
      <c r="BF493" s="894"/>
      <c r="BG493" s="894"/>
      <c r="BH493" s="896"/>
      <c r="BI493" s="896"/>
      <c r="BJ493" s="896"/>
      <c r="BK493" s="896"/>
      <c r="BL493" s="896"/>
      <c r="BM493" s="896"/>
      <c r="BN493" s="894"/>
      <c r="BO493" s="896"/>
      <c r="BP493" s="896"/>
      <c r="BQ493" s="896"/>
      <c r="BR493" s="896"/>
      <c r="BS493" s="894"/>
      <c r="BX493" s="752"/>
      <c r="CD493" s="897"/>
      <c r="CE493" s="897"/>
      <c r="CF493" s="897"/>
      <c r="CG493" s="897"/>
      <c r="CH493" s="897"/>
      <c r="CI493" s="897"/>
      <c r="CJ493" s="897"/>
      <c r="CP493" s="894"/>
      <c r="CQ493" s="894"/>
      <c r="CR493" s="894"/>
      <c r="CT493" s="921"/>
      <c r="CU493" s="922"/>
      <c r="CV493" s="923"/>
      <c r="CW493" s="914"/>
      <c r="CX493" s="735"/>
      <c r="CY493" s="735"/>
      <c r="CZ493" s="735"/>
      <c r="DA493" s="735"/>
      <c r="DB493" s="924"/>
    </row>
    <row r="494" spans="1:113" ht="28.8" thickBot="1">
      <c r="A494" s="864" t="s">
        <v>6</v>
      </c>
      <c r="B494" s="865" t="s">
        <v>2055</v>
      </c>
      <c r="C494" s="866"/>
      <c r="D494" s="867"/>
      <c r="E494" s="867"/>
      <c r="F494" s="867"/>
      <c r="G494" s="867"/>
      <c r="H494" s="867"/>
      <c r="I494" s="867"/>
      <c r="J494" s="867"/>
      <c r="K494" s="867"/>
      <c r="L494" s="867"/>
      <c r="M494" s="867"/>
      <c r="N494" s="867"/>
      <c r="O494" s="867"/>
      <c r="P494" s="867"/>
      <c r="Q494" s="867"/>
      <c r="R494" s="867"/>
      <c r="S494" s="868">
        <f>'8.Бюджет на 2015'!N798/1000</f>
        <v>0</v>
      </c>
      <c r="T494" s="868">
        <f>T495+T503</f>
        <v>6513347.4430355262</v>
      </c>
      <c r="U494" s="868">
        <f>U495+U503</f>
        <v>6743181.1236267611</v>
      </c>
      <c r="V494" s="868">
        <f>V495+V503</f>
        <v>0</v>
      </c>
      <c r="W494" s="868"/>
      <c r="X494" s="868"/>
      <c r="Y494" s="868"/>
      <c r="Z494" s="869"/>
      <c r="AA494" s="868"/>
      <c r="AB494" s="868"/>
      <c r="AC494" s="868"/>
      <c r="AD494" s="868"/>
      <c r="AE494" s="868"/>
      <c r="AF494" s="868"/>
      <c r="AG494" s="801"/>
      <c r="AH494" s="868"/>
      <c r="AI494" s="868"/>
      <c r="AJ494" s="868"/>
      <c r="AK494" s="868"/>
      <c r="AL494" s="868"/>
      <c r="AM494" s="868"/>
      <c r="AN494" s="868"/>
      <c r="AO494" s="868"/>
      <c r="AP494" s="868"/>
      <c r="AQ494" s="868">
        <f>AQ495+AQ503</f>
        <v>1845448.0814108406</v>
      </c>
      <c r="AR494" s="868"/>
      <c r="AS494" s="868">
        <f>AS495+AS503</f>
        <v>1547581.8187460515</v>
      </c>
      <c r="AT494" s="868"/>
      <c r="AU494" s="868"/>
      <c r="AV494" s="868"/>
      <c r="AW494" s="868"/>
      <c r="AX494" s="868"/>
      <c r="AY494" s="868"/>
      <c r="AZ494" s="868"/>
      <c r="BA494" s="868"/>
      <c r="BB494" s="868">
        <f>BB495+BB503</f>
        <v>1625020.8893096803</v>
      </c>
      <c r="BC494" s="800"/>
      <c r="BD494" s="800"/>
      <c r="BE494" s="800"/>
      <c r="BF494" s="800"/>
      <c r="BG494" s="800"/>
      <c r="BH494" s="801"/>
      <c r="BI494" s="801"/>
      <c r="BJ494" s="801"/>
      <c r="BK494" s="801"/>
      <c r="BL494" s="801">
        <f>BL495+BL503</f>
        <v>1725130.3341601896</v>
      </c>
      <c r="BM494" s="801"/>
      <c r="BN494" s="868"/>
      <c r="BO494" s="801"/>
      <c r="BP494" s="801"/>
      <c r="BQ494" s="801">
        <f>BQ495+BQ503</f>
        <v>1725130.3341601896</v>
      </c>
      <c r="BR494" s="801"/>
      <c r="BS494" s="868"/>
      <c r="BX494" s="752"/>
      <c r="CD494" s="868"/>
      <c r="CE494" s="868"/>
      <c r="CF494" s="868"/>
      <c r="CG494" s="868"/>
      <c r="CH494" s="868"/>
      <c r="CI494" s="868"/>
      <c r="CJ494" s="868"/>
      <c r="CK494" s="868" t="e">
        <f t="shared" ref="CK494:CR494" si="593">CK495+CK503</f>
        <v>#VALUE!</v>
      </c>
      <c r="CL494" s="868" t="e">
        <f t="shared" si="593"/>
        <v>#VALUE!</v>
      </c>
      <c r="CM494" s="868" t="e">
        <f t="shared" si="593"/>
        <v>#VALUE!</v>
      </c>
      <c r="CN494" s="868" t="e">
        <f t="shared" si="593"/>
        <v>#VALUE!</v>
      </c>
      <c r="CO494" s="868">
        <f t="shared" si="593"/>
        <v>0</v>
      </c>
      <c r="CP494" s="868">
        <f t="shared" si="593"/>
        <v>6555924.3214213578</v>
      </c>
      <c r="CQ494" s="868">
        <f t="shared" si="593"/>
        <v>160817.81179253248</v>
      </c>
      <c r="CR494" s="868">
        <f t="shared" si="593"/>
        <v>26438.990412871422</v>
      </c>
      <c r="CT494" s="921"/>
      <c r="CU494" s="922"/>
      <c r="CV494" s="923"/>
      <c r="CW494" s="914"/>
      <c r="CX494" s="735"/>
      <c r="CY494" s="735"/>
      <c r="CZ494" s="735"/>
      <c r="DA494" s="735"/>
      <c r="DB494" s="924"/>
    </row>
    <row r="495" spans="1:113">
      <c r="A495" s="882" t="s">
        <v>7</v>
      </c>
      <c r="B495" s="883" t="s">
        <v>2057</v>
      </c>
      <c r="S495" s="884">
        <f>S494-S503</f>
        <v>0</v>
      </c>
      <c r="T495" s="884">
        <f t="shared" ref="T495:V503" si="594">T454</f>
        <v>3538623.1441550665</v>
      </c>
      <c r="U495" s="884">
        <f t="shared" si="594"/>
        <v>3768456.8247570517</v>
      </c>
      <c r="V495" s="884">
        <f t="shared" si="594"/>
        <v>0</v>
      </c>
      <c r="W495" s="884"/>
      <c r="X495" s="884"/>
      <c r="Y495" s="884"/>
      <c r="Z495" s="885"/>
      <c r="AA495" s="884"/>
      <c r="AB495" s="884"/>
      <c r="AC495" s="884"/>
      <c r="AD495" s="884"/>
      <c r="AE495" s="884"/>
      <c r="AF495" s="884"/>
      <c r="AG495" s="886"/>
      <c r="AH495" s="884"/>
      <c r="AI495" s="884"/>
      <c r="AJ495" s="884"/>
      <c r="AK495" s="884"/>
      <c r="AL495" s="884"/>
      <c r="AM495" s="884"/>
      <c r="AN495" s="884"/>
      <c r="AO495" s="884"/>
      <c r="AP495" s="884"/>
      <c r="AQ495" s="884">
        <f t="shared" ref="AQ495:CR503" si="595">AQ454</f>
        <v>883768.73935259157</v>
      </c>
      <c r="AR495" s="884"/>
      <c r="AS495" s="884">
        <f t="shared" si="595"/>
        <v>1071427.0357534154</v>
      </c>
      <c r="AT495" s="884"/>
      <c r="AU495" s="884"/>
      <c r="AV495" s="884"/>
      <c r="AW495" s="884"/>
      <c r="AX495" s="884"/>
      <c r="AY495" s="884"/>
      <c r="AZ495" s="884"/>
      <c r="BA495" s="884"/>
      <c r="BB495" s="884">
        <f t="shared" si="595"/>
        <v>953444.84873323829</v>
      </c>
      <c r="BC495" s="884"/>
      <c r="BD495" s="884"/>
      <c r="BE495" s="884"/>
      <c r="BF495" s="884"/>
      <c r="BG495" s="884"/>
      <c r="BH495" s="886"/>
      <c r="BI495" s="886"/>
      <c r="BJ495" s="886"/>
      <c r="BK495" s="886"/>
      <c r="BL495" s="886">
        <f t="shared" si="595"/>
        <v>859816.20091780659</v>
      </c>
      <c r="BM495" s="886"/>
      <c r="BN495" s="884"/>
      <c r="BO495" s="886"/>
      <c r="BP495" s="886"/>
      <c r="BQ495" s="886">
        <f t="shared" ref="BQ495:BQ503" si="596">BQ454</f>
        <v>859816.20091780659</v>
      </c>
      <c r="BR495" s="886"/>
      <c r="BS495" s="884"/>
      <c r="BX495" s="752"/>
      <c r="CD495" s="884"/>
      <c r="CE495" s="884"/>
      <c r="CF495" s="884"/>
      <c r="CG495" s="884"/>
      <c r="CH495" s="884"/>
      <c r="CI495" s="884"/>
      <c r="CJ495" s="884"/>
      <c r="CK495" s="884" t="e">
        <f t="shared" si="595"/>
        <v>#VALUE!</v>
      </c>
      <c r="CL495" s="884" t="e">
        <f t="shared" si="595"/>
        <v>#VALUE!</v>
      </c>
      <c r="CM495" s="884" t="e">
        <f t="shared" si="595"/>
        <v>#VALUE!</v>
      </c>
      <c r="CN495" s="884" t="e">
        <f t="shared" si="595"/>
        <v>#VALUE!</v>
      </c>
      <c r="CO495" s="884">
        <f t="shared" si="595"/>
        <v>0</v>
      </c>
      <c r="CP495" s="884">
        <f t="shared" si="595"/>
        <v>3581200.0225516479</v>
      </c>
      <c r="CQ495" s="884">
        <f t="shared" si="595"/>
        <v>160817.81179253248</v>
      </c>
      <c r="CR495" s="884">
        <f t="shared" si="595"/>
        <v>26438.990412871422</v>
      </c>
      <c r="CT495" s="921"/>
      <c r="CU495" s="922"/>
      <c r="CV495" s="923"/>
      <c r="CW495" s="914"/>
      <c r="CX495" s="735"/>
      <c r="CY495" s="735"/>
      <c r="CZ495" s="735"/>
      <c r="DA495" s="735"/>
      <c r="DB495" s="924"/>
    </row>
    <row r="496" spans="1:113">
      <c r="A496" s="882" t="s">
        <v>2059</v>
      </c>
      <c r="B496" s="899" t="s">
        <v>1614</v>
      </c>
      <c r="S496" s="884">
        <f>'8.Бюджет на 2015'!N564/1000</f>
        <v>0</v>
      </c>
      <c r="T496" s="884">
        <f t="shared" si="594"/>
        <v>244570.80639018721</v>
      </c>
      <c r="U496" s="884">
        <f t="shared" si="594"/>
        <v>272063.17375999992</v>
      </c>
      <c r="V496" s="884">
        <f t="shared" si="594"/>
        <v>0</v>
      </c>
      <c r="W496" s="884"/>
      <c r="X496" s="884"/>
      <c r="Y496" s="884"/>
      <c r="Z496" s="885"/>
      <c r="AA496" s="884"/>
      <c r="AB496" s="884"/>
      <c r="AC496" s="884"/>
      <c r="AD496" s="884"/>
      <c r="AE496" s="884"/>
      <c r="AF496" s="884"/>
      <c r="AG496" s="886"/>
      <c r="AH496" s="884"/>
      <c r="AI496" s="884"/>
      <c r="AJ496" s="884"/>
      <c r="AK496" s="884"/>
      <c r="AL496" s="884"/>
      <c r="AM496" s="884"/>
      <c r="AN496" s="884"/>
      <c r="AO496" s="884"/>
      <c r="AP496" s="884"/>
      <c r="AQ496" s="884">
        <f t="shared" si="595"/>
        <v>39297.597170000001</v>
      </c>
      <c r="AR496" s="884"/>
      <c r="AS496" s="884">
        <f t="shared" si="595"/>
        <v>90654.800220000005</v>
      </c>
      <c r="AT496" s="884"/>
      <c r="AU496" s="884"/>
      <c r="AV496" s="884"/>
      <c r="AW496" s="884"/>
      <c r="AX496" s="884"/>
      <c r="AY496" s="884"/>
      <c r="AZ496" s="884"/>
      <c r="BA496" s="884"/>
      <c r="BB496" s="884">
        <f t="shared" si="595"/>
        <v>91834.370370000033</v>
      </c>
      <c r="BC496" s="884"/>
      <c r="BD496" s="884"/>
      <c r="BE496" s="884"/>
      <c r="BF496" s="884"/>
      <c r="BG496" s="884"/>
      <c r="BH496" s="886"/>
      <c r="BI496" s="886"/>
      <c r="BJ496" s="886"/>
      <c r="BK496" s="886"/>
      <c r="BL496" s="886">
        <f t="shared" si="595"/>
        <v>50276.405999999995</v>
      </c>
      <c r="BM496" s="886"/>
      <c r="BN496" s="884"/>
      <c r="BO496" s="886"/>
      <c r="BP496" s="886"/>
      <c r="BQ496" s="886">
        <f t="shared" si="596"/>
        <v>50276.405999999995</v>
      </c>
      <c r="BR496" s="886"/>
      <c r="BS496" s="884"/>
      <c r="BX496" s="752"/>
      <c r="CD496" s="884"/>
      <c r="CE496" s="884"/>
      <c r="CF496" s="884"/>
      <c r="CG496" s="884"/>
      <c r="CH496" s="884"/>
      <c r="CI496" s="884"/>
      <c r="CJ496" s="884"/>
      <c r="CK496" s="884">
        <f t="shared" si="595"/>
        <v>0</v>
      </c>
      <c r="CL496" s="884">
        <f t="shared" si="595"/>
        <v>0</v>
      </c>
      <c r="CM496" s="884" t="e">
        <f t="shared" si="595"/>
        <v>#VALUE!</v>
      </c>
      <c r="CN496" s="884">
        <f t="shared" si="595"/>
        <v>0</v>
      </c>
      <c r="CO496" s="884">
        <f t="shared" si="595"/>
        <v>0</v>
      </c>
      <c r="CP496" s="884">
        <f t="shared" si="595"/>
        <v>258249.36509168695</v>
      </c>
      <c r="CQ496" s="884">
        <f t="shared" si="595"/>
        <v>8737.3853152064476</v>
      </c>
      <c r="CR496" s="884">
        <f t="shared" si="595"/>
        <v>5076.4233531065302</v>
      </c>
      <c r="CT496" s="921"/>
      <c r="CU496" s="944"/>
      <c r="CV496" s="923"/>
      <c r="CW496" s="914"/>
      <c r="CX496" s="735"/>
      <c r="CY496" s="735"/>
      <c r="CZ496" s="735"/>
      <c r="DA496" s="735"/>
      <c r="DB496" s="924"/>
    </row>
    <row r="497" spans="1:106">
      <c r="A497" s="882" t="s">
        <v>2061</v>
      </c>
      <c r="B497" s="899" t="s">
        <v>1857</v>
      </c>
      <c r="S497" s="884">
        <f>('8.Бюджет на 2015'!N518+'8.Бюджет на 2015'!N519+'8.Бюджет на 2015'!N520+'8.Бюджет на 2015'!N521+'8.Бюджет на 2015'!N522+'8.Бюджет на 2015'!N523+'8.Бюджет на 2015'!N524+'8.Бюджет на 2015'!N525+'8.Бюджет на 2015'!N526+'8.Бюджет на 2015'!N527+'8.Бюджет на 2015'!N528+'8.Бюджет на 2015'!N529+'8.Бюджет на 2015'!N530)/1000</f>
        <v>0</v>
      </c>
      <c r="T497" s="884">
        <f t="shared" si="594"/>
        <v>962477.47734777979</v>
      </c>
      <c r="U497" s="884">
        <f t="shared" si="594"/>
        <v>1004278.7422300632</v>
      </c>
      <c r="V497" s="884">
        <f t="shared" si="594"/>
        <v>0</v>
      </c>
      <c r="W497" s="884"/>
      <c r="X497" s="884"/>
      <c r="Y497" s="884"/>
      <c r="Z497" s="885"/>
      <c r="AA497" s="884"/>
      <c r="AB497" s="884"/>
      <c r="AC497" s="884"/>
      <c r="AD497" s="884"/>
      <c r="AE497" s="884"/>
      <c r="AF497" s="884"/>
      <c r="AG497" s="886"/>
      <c r="AH497" s="884"/>
      <c r="AI497" s="884"/>
      <c r="AJ497" s="884"/>
      <c r="AK497" s="884"/>
      <c r="AL497" s="884"/>
      <c r="AM497" s="884"/>
      <c r="AN497" s="884"/>
      <c r="AO497" s="884"/>
      <c r="AP497" s="884"/>
      <c r="AQ497" s="884">
        <f t="shared" si="595"/>
        <v>229435.5648274566</v>
      </c>
      <c r="AR497" s="884"/>
      <c r="AS497" s="884">
        <f t="shared" si="595"/>
        <v>308135.47020435648</v>
      </c>
      <c r="AT497" s="884"/>
      <c r="AU497" s="884"/>
      <c r="AV497" s="884"/>
      <c r="AW497" s="884"/>
      <c r="AX497" s="884"/>
      <c r="AY497" s="884"/>
      <c r="AZ497" s="884"/>
      <c r="BA497" s="884"/>
      <c r="BB497" s="884">
        <f t="shared" si="595"/>
        <v>239158.93662004513</v>
      </c>
      <c r="BC497" s="884"/>
      <c r="BD497" s="884"/>
      <c r="BE497" s="884"/>
      <c r="BF497" s="884"/>
      <c r="BG497" s="884"/>
      <c r="BH497" s="886"/>
      <c r="BI497" s="886"/>
      <c r="BJ497" s="886"/>
      <c r="BK497" s="886"/>
      <c r="BL497" s="886">
        <f t="shared" si="595"/>
        <v>227548.77057820506</v>
      </c>
      <c r="BM497" s="886"/>
      <c r="BN497" s="884"/>
      <c r="BO497" s="886"/>
      <c r="BP497" s="886"/>
      <c r="BQ497" s="886">
        <f t="shared" si="596"/>
        <v>227548.77057820506</v>
      </c>
      <c r="BR497" s="886"/>
      <c r="BS497" s="884"/>
      <c r="BX497" s="752"/>
      <c r="CD497" s="884"/>
      <c r="CE497" s="884"/>
      <c r="CF497" s="884"/>
      <c r="CG497" s="884"/>
      <c r="CH497" s="884"/>
      <c r="CI497" s="884"/>
      <c r="CJ497" s="884"/>
      <c r="CK497" s="884" t="e">
        <f t="shared" si="595"/>
        <v>#VALUE!</v>
      </c>
      <c r="CL497" s="884" t="e">
        <f t="shared" si="595"/>
        <v>#VALUE!</v>
      </c>
      <c r="CM497" s="884" t="e">
        <f t="shared" si="595"/>
        <v>#VALUE!</v>
      </c>
      <c r="CN497" s="884" t="e">
        <f t="shared" si="595"/>
        <v>#VALUE!</v>
      </c>
      <c r="CO497" s="884">
        <f t="shared" si="595"/>
        <v>0</v>
      </c>
      <c r="CP497" s="884">
        <f t="shared" si="595"/>
        <v>926568.10536184406</v>
      </c>
      <c r="CQ497" s="884">
        <f t="shared" si="595"/>
        <v>68059.450188236908</v>
      </c>
      <c r="CR497" s="884">
        <f t="shared" si="595"/>
        <v>9651.1866799824311</v>
      </c>
      <c r="CT497" s="921"/>
      <c r="CU497" s="944"/>
      <c r="CV497" s="923"/>
      <c r="CW497" s="914"/>
      <c r="CX497" s="735"/>
      <c r="CY497" s="735"/>
      <c r="CZ497" s="735"/>
      <c r="DA497" s="735"/>
      <c r="DB497" s="924"/>
    </row>
    <row r="498" spans="1:106">
      <c r="A498" s="882" t="s">
        <v>2063</v>
      </c>
      <c r="B498" s="899" t="s">
        <v>2064</v>
      </c>
      <c r="S498" s="884">
        <f>'8.Бюджет на 2015'!N531/1000</f>
        <v>0</v>
      </c>
      <c r="T498" s="884">
        <f t="shared" si="594"/>
        <v>305659.3041537251</v>
      </c>
      <c r="U498" s="884">
        <f t="shared" si="594"/>
        <v>290236.55650448886</v>
      </c>
      <c r="V498" s="884">
        <f t="shared" si="594"/>
        <v>0</v>
      </c>
      <c r="W498" s="884"/>
      <c r="X498" s="884"/>
      <c r="Y498" s="884"/>
      <c r="Z498" s="885"/>
      <c r="AA498" s="884"/>
      <c r="AB498" s="884"/>
      <c r="AC498" s="884"/>
      <c r="AD498" s="884"/>
      <c r="AE498" s="884"/>
      <c r="AF498" s="884"/>
      <c r="AG498" s="886"/>
      <c r="AH498" s="884"/>
      <c r="AI498" s="884"/>
      <c r="AJ498" s="884"/>
      <c r="AK498" s="884"/>
      <c r="AL498" s="884"/>
      <c r="AM498" s="884"/>
      <c r="AN498" s="884"/>
      <c r="AO498" s="884"/>
      <c r="AP498" s="884"/>
      <c r="AQ498" s="884">
        <f t="shared" si="595"/>
        <v>66306.878235135096</v>
      </c>
      <c r="AR498" s="884"/>
      <c r="AS498" s="884">
        <f t="shared" si="595"/>
        <v>89051.150889059194</v>
      </c>
      <c r="AT498" s="884"/>
      <c r="AU498" s="884"/>
      <c r="AV498" s="884"/>
      <c r="AW498" s="884"/>
      <c r="AX498" s="884"/>
      <c r="AY498" s="884"/>
      <c r="AZ498" s="884"/>
      <c r="BA498" s="884"/>
      <c r="BB498" s="884">
        <f t="shared" si="595"/>
        <v>69116.932683193198</v>
      </c>
      <c r="BC498" s="884"/>
      <c r="BD498" s="884"/>
      <c r="BE498" s="884"/>
      <c r="BF498" s="884"/>
      <c r="BG498" s="884"/>
      <c r="BH498" s="886"/>
      <c r="BI498" s="886"/>
      <c r="BJ498" s="886"/>
      <c r="BK498" s="886"/>
      <c r="BL498" s="886">
        <f t="shared" si="595"/>
        <v>65761.594697101405</v>
      </c>
      <c r="BM498" s="886"/>
      <c r="BN498" s="884"/>
      <c r="BO498" s="886"/>
      <c r="BP498" s="886"/>
      <c r="BQ498" s="886">
        <f t="shared" si="596"/>
        <v>65761.594697101405</v>
      </c>
      <c r="BR498" s="886"/>
      <c r="BS498" s="884"/>
      <c r="BX498" s="752"/>
      <c r="CD498" s="884"/>
      <c r="CE498" s="884"/>
      <c r="CF498" s="884"/>
      <c r="CG498" s="884"/>
      <c r="CH498" s="884"/>
      <c r="CI498" s="884"/>
      <c r="CJ498" s="884"/>
      <c r="CK498" s="884" t="e">
        <f t="shared" si="595"/>
        <v>#VALUE!</v>
      </c>
      <c r="CL498" s="884" t="e">
        <f t="shared" si="595"/>
        <v>#VALUE!</v>
      </c>
      <c r="CM498" s="884" t="e">
        <f t="shared" si="595"/>
        <v>#VALUE!</v>
      </c>
      <c r="CN498" s="884" t="e">
        <f t="shared" si="595"/>
        <v>#VALUE!</v>
      </c>
      <c r="CO498" s="884">
        <f t="shared" si="595"/>
        <v>0</v>
      </c>
      <c r="CP498" s="884">
        <f t="shared" si="595"/>
        <v>267778.18244957348</v>
      </c>
      <c r="CQ498" s="884">
        <f t="shared" si="595"/>
        <v>19669.181104400501</v>
      </c>
      <c r="CR498" s="884">
        <f t="shared" si="595"/>
        <v>2789.1929505149274</v>
      </c>
      <c r="CT498" s="921"/>
      <c r="CU498" s="944"/>
      <c r="CV498" s="923"/>
      <c r="CW498" s="914"/>
      <c r="CX498" s="735"/>
      <c r="CY498" s="735"/>
      <c r="CZ498" s="735"/>
      <c r="DA498" s="735"/>
      <c r="DB498" s="924"/>
    </row>
    <row r="499" spans="1:106">
      <c r="A499" s="882" t="s">
        <v>2066</v>
      </c>
      <c r="B499" s="899" t="s">
        <v>2067</v>
      </c>
      <c r="S499" s="884">
        <f>'8.Бюджет на 2015'!N618/1000</f>
        <v>0</v>
      </c>
      <c r="T499" s="884">
        <f t="shared" si="594"/>
        <v>394375.43193641584</v>
      </c>
      <c r="U499" s="884">
        <f t="shared" si="594"/>
        <v>510056.97868999996</v>
      </c>
      <c r="V499" s="884">
        <f t="shared" si="594"/>
        <v>0</v>
      </c>
      <c r="W499" s="884"/>
      <c r="X499" s="884"/>
      <c r="Y499" s="884"/>
      <c r="Z499" s="885"/>
      <c r="AA499" s="884"/>
      <c r="AB499" s="884"/>
      <c r="AC499" s="884"/>
      <c r="AD499" s="884"/>
      <c r="AE499" s="884"/>
      <c r="AF499" s="884"/>
      <c r="AG499" s="886"/>
      <c r="AH499" s="884"/>
      <c r="AI499" s="884"/>
      <c r="AJ499" s="884"/>
      <c r="AK499" s="884"/>
      <c r="AL499" s="884"/>
      <c r="AM499" s="884"/>
      <c r="AN499" s="884"/>
      <c r="AO499" s="884"/>
      <c r="AP499" s="884"/>
      <c r="AQ499" s="884">
        <f t="shared" si="595"/>
        <v>122753.20886</v>
      </c>
      <c r="AR499" s="884"/>
      <c r="AS499" s="884">
        <f t="shared" si="595"/>
        <v>143115.02745999998</v>
      </c>
      <c r="AT499" s="884"/>
      <c r="AU499" s="884"/>
      <c r="AV499" s="884"/>
      <c r="AW499" s="884"/>
      <c r="AX499" s="884"/>
      <c r="AY499" s="884"/>
      <c r="AZ499" s="884"/>
      <c r="BA499" s="884"/>
      <c r="BB499" s="884">
        <f t="shared" si="595"/>
        <v>133707.77206999998</v>
      </c>
      <c r="BC499" s="884"/>
      <c r="BD499" s="884"/>
      <c r="BE499" s="884"/>
      <c r="BF499" s="884"/>
      <c r="BG499" s="884"/>
      <c r="BH499" s="886"/>
      <c r="BI499" s="886"/>
      <c r="BJ499" s="886"/>
      <c r="BK499" s="886"/>
      <c r="BL499" s="886">
        <f t="shared" si="595"/>
        <v>110480.97030000002</v>
      </c>
      <c r="BM499" s="886"/>
      <c r="BN499" s="884"/>
      <c r="BO499" s="886"/>
      <c r="BP499" s="886"/>
      <c r="BQ499" s="886">
        <f t="shared" si="596"/>
        <v>110480.97030000002</v>
      </c>
      <c r="BR499" s="886"/>
      <c r="BS499" s="884"/>
      <c r="BX499" s="752"/>
      <c r="CD499" s="884"/>
      <c r="CE499" s="884"/>
      <c r="CF499" s="884"/>
      <c r="CG499" s="884"/>
      <c r="CH499" s="884"/>
      <c r="CI499" s="884"/>
      <c r="CJ499" s="884"/>
      <c r="CK499" s="884">
        <f t="shared" si="595"/>
        <v>0</v>
      </c>
      <c r="CL499" s="884">
        <f t="shared" si="595"/>
        <v>0</v>
      </c>
      <c r="CM499" s="884" t="e">
        <f t="shared" si="595"/>
        <v>#VALUE!</v>
      </c>
      <c r="CN499" s="884">
        <f t="shared" si="595"/>
        <v>0</v>
      </c>
      <c r="CO499" s="884">
        <f t="shared" si="595"/>
        <v>0</v>
      </c>
      <c r="CP499" s="884">
        <f t="shared" si="595"/>
        <v>477813.42231795774</v>
      </c>
      <c r="CQ499" s="884">
        <f t="shared" si="595"/>
        <v>28239.103515725732</v>
      </c>
      <c r="CR499" s="884">
        <f t="shared" si="595"/>
        <v>4004.45285631652</v>
      </c>
      <c r="CT499" s="921"/>
      <c r="CU499" s="944"/>
      <c r="CV499" s="923"/>
      <c r="CW499" s="914"/>
      <c r="CX499" s="735"/>
      <c r="CY499" s="735"/>
      <c r="CZ499" s="735"/>
      <c r="DA499" s="735"/>
      <c r="DB499" s="924"/>
    </row>
    <row r="500" spans="1:106">
      <c r="A500" s="882" t="s">
        <v>2068</v>
      </c>
      <c r="B500" s="899" t="s">
        <v>67</v>
      </c>
      <c r="S500" s="884">
        <f>'8.Бюджет на 2015'!N514/1000</f>
        <v>0</v>
      </c>
      <c r="T500" s="884">
        <f t="shared" si="594"/>
        <v>297196.02</v>
      </c>
      <c r="U500" s="884">
        <f t="shared" si="594"/>
        <v>319845.33333249995</v>
      </c>
      <c r="V500" s="884">
        <f t="shared" si="594"/>
        <v>0</v>
      </c>
      <c r="W500" s="884"/>
      <c r="X500" s="884"/>
      <c r="Y500" s="884"/>
      <c r="Z500" s="885"/>
      <c r="AA500" s="884"/>
      <c r="AB500" s="884"/>
      <c r="AC500" s="884"/>
      <c r="AD500" s="884"/>
      <c r="AE500" s="884"/>
      <c r="AF500" s="884"/>
      <c r="AG500" s="886"/>
      <c r="AH500" s="884"/>
      <c r="AI500" s="884"/>
      <c r="AJ500" s="884"/>
      <c r="AK500" s="884"/>
      <c r="AL500" s="884"/>
      <c r="AM500" s="884"/>
      <c r="AN500" s="884"/>
      <c r="AO500" s="884"/>
      <c r="AP500" s="884"/>
      <c r="AQ500" s="884">
        <f t="shared" si="595"/>
        <v>79886</v>
      </c>
      <c r="AR500" s="884"/>
      <c r="AS500" s="884">
        <f t="shared" si="595"/>
        <v>79732</v>
      </c>
      <c r="AT500" s="884"/>
      <c r="AU500" s="884"/>
      <c r="AV500" s="884"/>
      <c r="AW500" s="884"/>
      <c r="AX500" s="884"/>
      <c r="AY500" s="884"/>
      <c r="AZ500" s="884"/>
      <c r="BA500" s="884"/>
      <c r="BB500" s="884">
        <f t="shared" si="595"/>
        <v>80266</v>
      </c>
      <c r="BC500" s="884"/>
      <c r="BD500" s="884"/>
      <c r="BE500" s="884"/>
      <c r="BF500" s="884"/>
      <c r="BG500" s="884"/>
      <c r="BH500" s="886"/>
      <c r="BI500" s="886"/>
      <c r="BJ500" s="886"/>
      <c r="BK500" s="886"/>
      <c r="BL500" s="886">
        <f t="shared" si="595"/>
        <v>79961.333332499999</v>
      </c>
      <c r="BM500" s="886"/>
      <c r="BN500" s="884"/>
      <c r="BO500" s="886"/>
      <c r="BP500" s="886"/>
      <c r="BQ500" s="886">
        <f t="shared" si="596"/>
        <v>79961.333332499999</v>
      </c>
      <c r="BR500" s="886"/>
      <c r="BS500" s="884"/>
      <c r="BX500" s="752"/>
      <c r="CD500" s="884"/>
      <c r="CE500" s="884"/>
      <c r="CF500" s="884"/>
      <c r="CG500" s="884"/>
      <c r="CH500" s="884"/>
      <c r="CI500" s="884"/>
      <c r="CJ500" s="884"/>
      <c r="CK500" s="884">
        <f t="shared" si="595"/>
        <v>0</v>
      </c>
      <c r="CL500" s="884">
        <f t="shared" si="595"/>
        <v>0</v>
      </c>
      <c r="CM500" s="884">
        <f t="shared" si="595"/>
        <v>0</v>
      </c>
      <c r="CN500" s="884">
        <f t="shared" si="595"/>
        <v>0</v>
      </c>
      <c r="CO500" s="884">
        <f t="shared" si="595"/>
        <v>0</v>
      </c>
      <c r="CP500" s="884">
        <f t="shared" si="595"/>
        <v>295095.84545884095</v>
      </c>
      <c r="CQ500" s="884">
        <f t="shared" si="595"/>
        <v>21675.752573976632</v>
      </c>
      <c r="CR500" s="884">
        <f t="shared" si="595"/>
        <v>3073.7352996823765</v>
      </c>
      <c r="CT500" s="921"/>
      <c r="CU500" s="922"/>
      <c r="CV500" s="923"/>
      <c r="CW500" s="914"/>
      <c r="CX500" s="735"/>
      <c r="CY500" s="735"/>
      <c r="CZ500" s="735"/>
      <c r="DA500" s="735"/>
      <c r="DB500" s="924"/>
    </row>
    <row r="501" spans="1:106">
      <c r="A501" s="882" t="s">
        <v>2070</v>
      </c>
      <c r="B501" s="899" t="s">
        <v>2071</v>
      </c>
      <c r="S501" s="884">
        <f>'8.Бюджет на 2015'!N551/1000</f>
        <v>0</v>
      </c>
      <c r="T501" s="884">
        <f t="shared" si="594"/>
        <v>1263084.8551806002</v>
      </c>
      <c r="U501" s="884">
        <f t="shared" si="594"/>
        <v>1304065.10677</v>
      </c>
      <c r="V501" s="884">
        <f t="shared" si="594"/>
        <v>0</v>
      </c>
      <c r="W501" s="884"/>
      <c r="X501" s="884"/>
      <c r="Y501" s="884"/>
      <c r="Z501" s="885"/>
      <c r="AA501" s="884"/>
      <c r="AB501" s="884"/>
      <c r="AC501" s="884"/>
      <c r="AD501" s="884"/>
      <c r="AE501" s="884"/>
      <c r="AF501" s="884"/>
      <c r="AG501" s="886"/>
      <c r="AH501" s="884"/>
      <c r="AI501" s="884"/>
      <c r="AJ501" s="884"/>
      <c r="AK501" s="884"/>
      <c r="AL501" s="884"/>
      <c r="AM501" s="884"/>
      <c r="AN501" s="884"/>
      <c r="AO501" s="884"/>
      <c r="AP501" s="884"/>
      <c r="AQ501" s="884">
        <f t="shared" si="595"/>
        <v>333389.90499999991</v>
      </c>
      <c r="AR501" s="884"/>
      <c r="AS501" s="884">
        <f t="shared" si="595"/>
        <v>345003.44688999996</v>
      </c>
      <c r="AT501" s="884"/>
      <c r="AU501" s="884"/>
      <c r="AV501" s="884"/>
      <c r="AW501" s="884"/>
      <c r="AX501" s="884"/>
      <c r="AY501" s="884"/>
      <c r="AZ501" s="884"/>
      <c r="BA501" s="884"/>
      <c r="BB501" s="884">
        <f t="shared" si="595"/>
        <v>324727.50171999994</v>
      </c>
      <c r="BC501" s="884"/>
      <c r="BD501" s="884"/>
      <c r="BE501" s="884"/>
      <c r="BF501" s="884"/>
      <c r="BG501" s="884"/>
      <c r="BH501" s="886"/>
      <c r="BI501" s="886"/>
      <c r="BJ501" s="886"/>
      <c r="BK501" s="886"/>
      <c r="BL501" s="886">
        <f t="shared" si="595"/>
        <v>300944.25316000002</v>
      </c>
      <c r="BM501" s="886"/>
      <c r="BN501" s="884"/>
      <c r="BO501" s="886"/>
      <c r="BP501" s="886"/>
      <c r="BQ501" s="886">
        <f t="shared" si="596"/>
        <v>300944.25316000002</v>
      </c>
      <c r="BR501" s="886"/>
      <c r="BS501" s="884"/>
      <c r="BX501" s="752"/>
      <c r="CD501" s="884"/>
      <c r="CE501" s="884"/>
      <c r="CF501" s="884"/>
      <c r="CG501" s="884"/>
      <c r="CH501" s="884"/>
      <c r="CI501" s="884"/>
      <c r="CJ501" s="884"/>
      <c r="CK501" s="884">
        <f t="shared" si="595"/>
        <v>0</v>
      </c>
      <c r="CL501" s="884">
        <f t="shared" si="595"/>
        <v>0</v>
      </c>
      <c r="CM501" s="884" t="e">
        <f t="shared" si="595"/>
        <v>#VALUE!</v>
      </c>
      <c r="CN501" s="884">
        <f t="shared" si="595"/>
        <v>0</v>
      </c>
      <c r="CO501" s="884">
        <f t="shared" si="595"/>
        <v>0</v>
      </c>
      <c r="CP501" s="884">
        <f t="shared" si="595"/>
        <v>1292851.577694241</v>
      </c>
      <c r="CQ501" s="884">
        <f t="shared" si="595"/>
        <v>9820.8772225113789</v>
      </c>
      <c r="CR501" s="884">
        <f t="shared" si="595"/>
        <v>1392.6518532473622</v>
      </c>
      <c r="CT501" s="871"/>
      <c r="CU501" s="871"/>
      <c r="CV501" s="871"/>
      <c r="CW501" s="871"/>
      <c r="CX501" s="735"/>
      <c r="CY501" s="735"/>
      <c r="CZ501" s="735"/>
      <c r="DA501" s="735"/>
      <c r="DB501" s="735"/>
    </row>
    <row r="502" spans="1:106">
      <c r="A502" s="882" t="s">
        <v>2072</v>
      </c>
      <c r="B502" s="899" t="s">
        <v>1617</v>
      </c>
      <c r="S502" s="884">
        <f>S495-S496-S499-S500-S501-S497-S498</f>
        <v>0</v>
      </c>
      <c r="T502" s="884">
        <f t="shared" si="594"/>
        <v>71259.249146358343</v>
      </c>
      <c r="U502" s="884">
        <f t="shared" si="594"/>
        <v>67910.933470000004</v>
      </c>
      <c r="V502" s="884">
        <f t="shared" si="594"/>
        <v>0</v>
      </c>
      <c r="W502" s="884"/>
      <c r="X502" s="884"/>
      <c r="Y502" s="884"/>
      <c r="Z502" s="885"/>
      <c r="AA502" s="884"/>
      <c r="AB502" s="884"/>
      <c r="AC502" s="884"/>
      <c r="AD502" s="884"/>
      <c r="AE502" s="884"/>
      <c r="AF502" s="884"/>
      <c r="AG502" s="886"/>
      <c r="AH502" s="884"/>
      <c r="AI502" s="884"/>
      <c r="AJ502" s="884"/>
      <c r="AK502" s="884"/>
      <c r="AL502" s="884"/>
      <c r="AM502" s="884"/>
      <c r="AN502" s="884"/>
      <c r="AO502" s="884"/>
      <c r="AP502" s="884"/>
      <c r="AQ502" s="884">
        <f t="shared" si="595"/>
        <v>12699.585259999998</v>
      </c>
      <c r="AR502" s="884"/>
      <c r="AS502" s="884">
        <f t="shared" si="595"/>
        <v>15735.140089999997</v>
      </c>
      <c r="AT502" s="884"/>
      <c r="AU502" s="884"/>
      <c r="AV502" s="884"/>
      <c r="AW502" s="884"/>
      <c r="AX502" s="884"/>
      <c r="AY502" s="884"/>
      <c r="AZ502" s="884"/>
      <c r="BA502" s="884"/>
      <c r="BB502" s="884">
        <f t="shared" si="595"/>
        <v>14633.335269999998</v>
      </c>
      <c r="BC502" s="884"/>
      <c r="BD502" s="884"/>
      <c r="BE502" s="884"/>
      <c r="BF502" s="884"/>
      <c r="BG502" s="884"/>
      <c r="BH502" s="886"/>
      <c r="BI502" s="886"/>
      <c r="BJ502" s="886"/>
      <c r="BK502" s="886"/>
      <c r="BL502" s="886">
        <f t="shared" si="595"/>
        <v>24842.87285</v>
      </c>
      <c r="BM502" s="886"/>
      <c r="BN502" s="884"/>
      <c r="BO502" s="886"/>
      <c r="BP502" s="886"/>
      <c r="BQ502" s="886">
        <f t="shared" si="596"/>
        <v>24842.87285</v>
      </c>
      <c r="BR502" s="886"/>
      <c r="BS502" s="884"/>
      <c r="BX502" s="752"/>
      <c r="CD502" s="884"/>
      <c r="CE502" s="884"/>
      <c r="CF502" s="884"/>
      <c r="CG502" s="884"/>
      <c r="CH502" s="884"/>
      <c r="CI502" s="884"/>
      <c r="CJ502" s="884"/>
      <c r="CK502" s="884">
        <f t="shared" si="595"/>
        <v>0</v>
      </c>
      <c r="CL502" s="884">
        <f t="shared" si="595"/>
        <v>0</v>
      </c>
      <c r="CM502" s="884">
        <f t="shared" si="595"/>
        <v>0</v>
      </c>
      <c r="CN502" s="884">
        <f t="shared" si="595"/>
        <v>0</v>
      </c>
      <c r="CO502" s="884">
        <f t="shared" si="595"/>
        <v>0</v>
      </c>
      <c r="CP502" s="884">
        <f t="shared" si="595"/>
        <v>62843.524177503859</v>
      </c>
      <c r="CQ502" s="884">
        <f t="shared" si="595"/>
        <v>4616.0618724748674</v>
      </c>
      <c r="CR502" s="884">
        <f t="shared" si="595"/>
        <v>451.34742002127524</v>
      </c>
    </row>
    <row r="503" spans="1:106" ht="28.8" thickBot="1">
      <c r="A503" s="882" t="s">
        <v>2073</v>
      </c>
      <c r="B503" s="883" t="s">
        <v>2074</v>
      </c>
      <c r="S503" s="884">
        <f>'8.Бюджет на 2015'!N509/1000</f>
        <v>0</v>
      </c>
      <c r="T503" s="884">
        <f t="shared" si="594"/>
        <v>2974724.2988804602</v>
      </c>
      <c r="U503" s="884">
        <f t="shared" si="594"/>
        <v>2974724.2988697099</v>
      </c>
      <c r="V503" s="884">
        <f t="shared" si="594"/>
        <v>0</v>
      </c>
      <c r="W503" s="884"/>
      <c r="X503" s="884"/>
      <c r="Y503" s="884"/>
      <c r="Z503" s="885"/>
      <c r="AA503" s="884"/>
      <c r="AB503" s="884"/>
      <c r="AC503" s="884"/>
      <c r="AD503" s="884"/>
      <c r="AE503" s="884"/>
      <c r="AF503" s="884"/>
      <c r="AG503" s="886"/>
      <c r="AH503" s="884"/>
      <c r="AI503" s="884"/>
      <c r="AJ503" s="884"/>
      <c r="AK503" s="884"/>
      <c r="AL503" s="884"/>
      <c r="AM503" s="884"/>
      <c r="AN503" s="884"/>
      <c r="AO503" s="884"/>
      <c r="AP503" s="884"/>
      <c r="AQ503" s="884">
        <f t="shared" si="595"/>
        <v>961679.34205824905</v>
      </c>
      <c r="AR503" s="884"/>
      <c r="AS503" s="884">
        <f t="shared" si="595"/>
        <v>476154.78299263603</v>
      </c>
      <c r="AT503" s="884"/>
      <c r="AU503" s="884"/>
      <c r="AV503" s="884"/>
      <c r="AW503" s="884"/>
      <c r="AX503" s="884"/>
      <c r="AY503" s="884"/>
      <c r="AZ503" s="884"/>
      <c r="BA503" s="884"/>
      <c r="BB503" s="884">
        <f t="shared" si="595"/>
        <v>671576.04057644203</v>
      </c>
      <c r="BC503" s="884"/>
      <c r="BD503" s="884"/>
      <c r="BE503" s="884"/>
      <c r="BF503" s="884"/>
      <c r="BG503" s="884"/>
      <c r="BH503" s="886"/>
      <c r="BI503" s="886"/>
      <c r="BJ503" s="886"/>
      <c r="BK503" s="886"/>
      <c r="BL503" s="886">
        <f t="shared" si="595"/>
        <v>865314.13324238302</v>
      </c>
      <c r="BM503" s="886"/>
      <c r="BN503" s="884"/>
      <c r="BO503" s="886"/>
      <c r="BP503" s="886"/>
      <c r="BQ503" s="886">
        <f t="shared" si="596"/>
        <v>865314.13324238302</v>
      </c>
      <c r="BR503" s="886"/>
      <c r="BS503" s="884"/>
      <c r="BX503" s="752"/>
      <c r="CD503" s="884"/>
      <c r="CE503" s="884"/>
      <c r="CF503" s="884"/>
      <c r="CG503" s="884"/>
      <c r="CH503" s="884"/>
      <c r="CI503" s="884"/>
      <c r="CJ503" s="884"/>
      <c r="CK503" s="884">
        <f t="shared" si="595"/>
        <v>0</v>
      </c>
      <c r="CL503" s="884">
        <f t="shared" si="595"/>
        <v>0</v>
      </c>
      <c r="CM503" s="884">
        <f t="shared" si="595"/>
        <v>0</v>
      </c>
      <c r="CN503" s="884">
        <f t="shared" si="595"/>
        <v>0</v>
      </c>
      <c r="CO503" s="884">
        <f t="shared" si="595"/>
        <v>0</v>
      </c>
      <c r="CP503" s="884">
        <f t="shared" si="595"/>
        <v>2974724.2988697099</v>
      </c>
      <c r="CQ503" s="884">
        <f t="shared" si="595"/>
        <v>0</v>
      </c>
      <c r="CR503" s="884">
        <f t="shared" si="595"/>
        <v>0</v>
      </c>
    </row>
    <row r="504" spans="1:106" ht="28.8" thickBot="1">
      <c r="A504" s="864" t="s">
        <v>16</v>
      </c>
      <c r="B504" s="865" t="s">
        <v>2076</v>
      </c>
      <c r="C504" s="866"/>
      <c r="D504" s="867"/>
      <c r="E504" s="867"/>
      <c r="F504" s="867"/>
      <c r="G504" s="867"/>
      <c r="H504" s="867"/>
      <c r="I504" s="867"/>
      <c r="J504" s="867"/>
      <c r="K504" s="867"/>
      <c r="L504" s="867"/>
      <c r="M504" s="867"/>
      <c r="N504" s="867"/>
      <c r="O504" s="867"/>
      <c r="P504" s="867"/>
      <c r="Q504" s="867"/>
      <c r="R504" s="867"/>
      <c r="S504" s="868">
        <f>SUM(S488,-S494)</f>
        <v>0</v>
      </c>
      <c r="T504" s="868">
        <f>SUM(T488,-T494)</f>
        <v>970067.00463284366</v>
      </c>
      <c r="U504" s="868">
        <f>SUM(U488,-U494)</f>
        <v>773233.80210000835</v>
      </c>
      <c r="V504" s="868">
        <f>SUM(V488,-V494)</f>
        <v>0</v>
      </c>
      <c r="W504" s="868"/>
      <c r="X504" s="868"/>
      <c r="Y504" s="868"/>
      <c r="Z504" s="869"/>
      <c r="AA504" s="868"/>
      <c r="AB504" s="868"/>
      <c r="AC504" s="868"/>
      <c r="AD504" s="868"/>
      <c r="AE504" s="868"/>
      <c r="AF504" s="868"/>
      <c r="AG504" s="801"/>
      <c r="AH504" s="868"/>
      <c r="AI504" s="868"/>
      <c r="AJ504" s="868"/>
      <c r="AK504" s="868"/>
      <c r="AL504" s="868"/>
      <c r="AM504" s="868"/>
      <c r="AN504" s="868"/>
      <c r="AO504" s="868"/>
      <c r="AP504" s="868"/>
      <c r="AQ504" s="868" t="e">
        <f>SUM(AQ488,-AQ494)</f>
        <v>#REF!</v>
      </c>
      <c r="AR504" s="868"/>
      <c r="AS504" s="868" t="e">
        <f>SUM(AS488,-AS494)</f>
        <v>#REF!</v>
      </c>
      <c r="AT504" s="868"/>
      <c r="AU504" s="868"/>
      <c r="AV504" s="868"/>
      <c r="AW504" s="868"/>
      <c r="AX504" s="868"/>
      <c r="AY504" s="868"/>
      <c r="AZ504" s="868"/>
      <c r="BA504" s="868"/>
      <c r="BB504" s="868" t="e">
        <f>SUM(BB488,-BB494)</f>
        <v>#REF!</v>
      </c>
      <c r="BC504" s="800"/>
      <c r="BD504" s="800"/>
      <c r="BE504" s="800"/>
      <c r="BF504" s="800"/>
      <c r="BG504" s="800"/>
      <c r="BH504" s="801"/>
      <c r="BI504" s="801"/>
      <c r="BJ504" s="801"/>
      <c r="BK504" s="801"/>
      <c r="BL504" s="801" t="e">
        <f>SUM(BL488,-BL494)</f>
        <v>#REF!</v>
      </c>
      <c r="BM504" s="801"/>
      <c r="BN504" s="868"/>
      <c r="BO504" s="801"/>
      <c r="BP504" s="801"/>
      <c r="BQ504" s="801" t="e">
        <f>SUM(BQ488,-BQ494)</f>
        <v>#REF!</v>
      </c>
      <c r="BR504" s="801"/>
      <c r="BS504" s="868"/>
      <c r="BX504" s="752"/>
      <c r="CD504" s="870"/>
      <c r="CE504" s="870"/>
      <c r="CF504" s="870"/>
      <c r="CG504" s="870"/>
      <c r="CH504" s="870"/>
      <c r="CI504" s="870"/>
      <c r="CJ504" s="870"/>
      <c r="CP504" s="868">
        <f>SUM(CP488,-CP494)</f>
        <v>582349.82847541198</v>
      </c>
      <c r="CQ504" s="868">
        <f>SUM(CQ488,-CQ494)</f>
        <v>170360.18820746752</v>
      </c>
      <c r="CR504" s="868">
        <f>SUM(CR488,-CR494)</f>
        <v>20523.785417128584</v>
      </c>
    </row>
    <row r="505" spans="1:106">
      <c r="A505" s="905" t="s">
        <v>33</v>
      </c>
      <c r="B505" s="906" t="s">
        <v>1671</v>
      </c>
      <c r="S505" s="884"/>
      <c r="T505" s="884"/>
      <c r="U505" s="884"/>
      <c r="V505" s="884"/>
      <c r="W505" s="884"/>
      <c r="X505" s="884"/>
      <c r="Y505" s="884"/>
      <c r="Z505" s="885"/>
      <c r="AA505" s="884"/>
      <c r="AB505" s="884"/>
      <c r="AC505" s="884"/>
      <c r="AD505" s="884"/>
      <c r="AE505" s="884"/>
      <c r="AF505" s="884"/>
      <c r="AG505" s="886"/>
      <c r="AH505" s="884"/>
      <c r="AI505" s="884"/>
      <c r="AJ505" s="884"/>
      <c r="AK505" s="884"/>
      <c r="AL505" s="884"/>
      <c r="AM505" s="884"/>
      <c r="AN505" s="884"/>
      <c r="AO505" s="884"/>
      <c r="AP505" s="884"/>
      <c r="AQ505" s="884"/>
      <c r="AR505" s="884"/>
      <c r="AS505" s="884"/>
      <c r="AT505" s="884"/>
      <c r="AU505" s="884"/>
      <c r="AV505" s="884"/>
      <c r="AW505" s="884"/>
      <c r="AX505" s="884"/>
      <c r="AY505" s="884"/>
      <c r="AZ505" s="884"/>
      <c r="BA505" s="884"/>
      <c r="BB505" s="884"/>
      <c r="BC505" s="884"/>
      <c r="BD505" s="884"/>
      <c r="BE505" s="884"/>
      <c r="BF505" s="884"/>
      <c r="BG505" s="884"/>
      <c r="BH505" s="886"/>
      <c r="BI505" s="886"/>
      <c r="BJ505" s="886"/>
      <c r="BK505" s="886"/>
      <c r="BL505" s="886"/>
      <c r="BM505" s="886"/>
      <c r="BN505" s="884"/>
      <c r="BO505" s="886"/>
      <c r="BP505" s="886"/>
      <c r="BQ505" s="886"/>
      <c r="BR505" s="886"/>
      <c r="BS505" s="884"/>
      <c r="BX505" s="752"/>
      <c r="CD505" s="832"/>
      <c r="CE505" s="832"/>
      <c r="CF505" s="832"/>
      <c r="CG505" s="832"/>
      <c r="CH505" s="832"/>
      <c r="CI505" s="832"/>
      <c r="CJ505" s="832"/>
      <c r="CP505" s="884"/>
      <c r="CQ505" s="884"/>
      <c r="CR505" s="884"/>
    </row>
    <row r="506" spans="1:106" ht="28.8" thickBot="1">
      <c r="A506" s="905" t="s">
        <v>52</v>
      </c>
      <c r="B506" s="906" t="s">
        <v>1673</v>
      </c>
      <c r="S506" s="907"/>
      <c r="T506" s="907"/>
      <c r="U506" s="907"/>
      <c r="V506" s="907"/>
      <c r="W506" s="907"/>
      <c r="X506" s="907"/>
      <c r="Y506" s="907"/>
      <c r="Z506" s="908"/>
      <c r="AA506" s="907"/>
      <c r="AB506" s="907"/>
      <c r="AC506" s="907"/>
      <c r="AD506" s="907"/>
      <c r="AE506" s="907"/>
      <c r="AF506" s="907"/>
      <c r="AG506" s="909"/>
      <c r="AH506" s="907"/>
      <c r="AI506" s="907"/>
      <c r="AJ506" s="907"/>
      <c r="AK506" s="907"/>
      <c r="AL506" s="907"/>
      <c r="AM506" s="907"/>
      <c r="AN506" s="907"/>
      <c r="AO506" s="907"/>
      <c r="AP506" s="907"/>
      <c r="AQ506" s="907"/>
      <c r="AR506" s="907"/>
      <c r="AS506" s="907"/>
      <c r="AT506" s="907"/>
      <c r="AU506" s="907"/>
      <c r="AV506" s="907"/>
      <c r="AW506" s="907"/>
      <c r="AX506" s="907"/>
      <c r="AY506" s="907"/>
      <c r="AZ506" s="907"/>
      <c r="BA506" s="907"/>
      <c r="BB506" s="907"/>
      <c r="BC506" s="907"/>
      <c r="BD506" s="907"/>
      <c r="BE506" s="907"/>
      <c r="BF506" s="907"/>
      <c r="BG506" s="907"/>
      <c r="BH506" s="909"/>
      <c r="BI506" s="909"/>
      <c r="BJ506" s="909"/>
      <c r="BK506" s="909"/>
      <c r="BL506" s="909"/>
      <c r="BM506" s="909"/>
      <c r="BN506" s="907"/>
      <c r="BO506" s="909"/>
      <c r="BP506" s="909"/>
      <c r="BQ506" s="909"/>
      <c r="BR506" s="909"/>
      <c r="BS506" s="907"/>
      <c r="BX506" s="752"/>
      <c r="CD506" s="832"/>
      <c r="CE506" s="832"/>
      <c r="CF506" s="832"/>
      <c r="CG506" s="832"/>
      <c r="CH506" s="832"/>
      <c r="CI506" s="832"/>
      <c r="CJ506" s="832"/>
      <c r="CP506" s="907"/>
      <c r="CQ506" s="907"/>
      <c r="CR506" s="907"/>
    </row>
    <row r="507" spans="1:106" ht="28.8" thickBot="1">
      <c r="A507" s="864" t="s">
        <v>1470</v>
      </c>
      <c r="B507" s="865" t="s">
        <v>2082</v>
      </c>
      <c r="C507" s="866"/>
      <c r="D507" s="867"/>
      <c r="E507" s="867"/>
      <c r="F507" s="867"/>
      <c r="G507" s="867"/>
      <c r="H507" s="867"/>
      <c r="I507" s="867"/>
      <c r="J507" s="867"/>
      <c r="K507" s="867"/>
      <c r="L507" s="867"/>
      <c r="M507" s="867"/>
      <c r="N507" s="867"/>
      <c r="O507" s="867"/>
      <c r="P507" s="867"/>
      <c r="Q507" s="867"/>
      <c r="R507" s="867"/>
      <c r="S507" s="868">
        <f>SUM(S504,-S505,-S506)</f>
        <v>0</v>
      </c>
      <c r="T507" s="868">
        <f>SUM(T504,-T505,-T506)</f>
        <v>970067.00463284366</v>
      </c>
      <c r="U507" s="868">
        <f>SUM(U504,-U505,-U506)</f>
        <v>773233.80210000835</v>
      </c>
      <c r="V507" s="868">
        <f>SUM(V504,-V505,-V506)</f>
        <v>0</v>
      </c>
      <c r="W507" s="868"/>
      <c r="X507" s="868"/>
      <c r="Y507" s="868"/>
      <c r="Z507" s="869"/>
      <c r="AA507" s="868"/>
      <c r="AB507" s="868"/>
      <c r="AC507" s="868"/>
      <c r="AD507" s="868"/>
      <c r="AE507" s="868"/>
      <c r="AF507" s="868"/>
      <c r="AG507" s="801"/>
      <c r="AH507" s="868"/>
      <c r="AI507" s="868"/>
      <c r="AJ507" s="868"/>
      <c r="AK507" s="868"/>
      <c r="AL507" s="868"/>
      <c r="AM507" s="868"/>
      <c r="AN507" s="868"/>
      <c r="AO507" s="868"/>
      <c r="AP507" s="868"/>
      <c r="AQ507" s="868" t="e">
        <f>SUM(AQ504,-AQ505,-AQ506)</f>
        <v>#REF!</v>
      </c>
      <c r="AR507" s="868"/>
      <c r="AS507" s="868" t="e">
        <f>SUM(AS504,-AS505,-AS506)</f>
        <v>#REF!</v>
      </c>
      <c r="AT507" s="868"/>
      <c r="AU507" s="868"/>
      <c r="AV507" s="868"/>
      <c r="AW507" s="868"/>
      <c r="AX507" s="868"/>
      <c r="AY507" s="868"/>
      <c r="AZ507" s="868"/>
      <c r="BA507" s="868"/>
      <c r="BB507" s="868" t="e">
        <f>SUM(BB504,-BB505,-BB506)</f>
        <v>#REF!</v>
      </c>
      <c r="BC507" s="800"/>
      <c r="BD507" s="800"/>
      <c r="BE507" s="800"/>
      <c r="BF507" s="800"/>
      <c r="BG507" s="800"/>
      <c r="BH507" s="801"/>
      <c r="BI507" s="801"/>
      <c r="BJ507" s="801"/>
      <c r="BK507" s="801"/>
      <c r="BL507" s="801" t="e">
        <f>SUM(BL504,-BL505,-BL506)</f>
        <v>#REF!</v>
      </c>
      <c r="BM507" s="801"/>
      <c r="BN507" s="868"/>
      <c r="BO507" s="801"/>
      <c r="BP507" s="801"/>
      <c r="BQ507" s="801" t="e">
        <f>SUM(BQ504,-BQ505,-BQ506)</f>
        <v>#REF!</v>
      </c>
      <c r="BR507" s="801"/>
      <c r="BS507" s="868"/>
      <c r="BX507" s="752"/>
      <c r="CD507" s="870"/>
      <c r="CE507" s="870"/>
      <c r="CF507" s="870"/>
      <c r="CG507" s="870"/>
      <c r="CH507" s="870"/>
      <c r="CI507" s="870"/>
      <c r="CJ507" s="870"/>
      <c r="CP507" s="868">
        <f>SUM(CP504,-CP505,-CP506)</f>
        <v>582349.82847541198</v>
      </c>
      <c r="CQ507" s="868">
        <f>SUM(CQ504,-CQ505,-CQ506)</f>
        <v>170360.18820746752</v>
      </c>
      <c r="CR507" s="868">
        <f>SUM(CR504,-CR505,-CR506)</f>
        <v>20523.785417128584</v>
      </c>
    </row>
    <row r="508" spans="1:106">
      <c r="A508" s="905" t="s">
        <v>2085</v>
      </c>
      <c r="B508" s="906" t="s">
        <v>1678</v>
      </c>
      <c r="S508" s="910">
        <f>'8.Бюджет на 2015'!N493/1000</f>
        <v>0</v>
      </c>
      <c r="T508" s="910">
        <f t="shared" ref="T508:V511" si="597">T467</f>
        <v>0</v>
      </c>
      <c r="U508" s="910">
        <f t="shared" si="597"/>
        <v>0</v>
      </c>
      <c r="V508" s="910">
        <f t="shared" si="597"/>
        <v>0</v>
      </c>
      <c r="W508" s="910"/>
      <c r="X508" s="910"/>
      <c r="Y508" s="910"/>
      <c r="Z508" s="911"/>
      <c r="AA508" s="910"/>
      <c r="AB508" s="910"/>
      <c r="AC508" s="910"/>
      <c r="AD508" s="910"/>
      <c r="AE508" s="910"/>
      <c r="AF508" s="910"/>
      <c r="AG508" s="912"/>
      <c r="AH508" s="910"/>
      <c r="AI508" s="910"/>
      <c r="AJ508" s="910"/>
      <c r="AK508" s="910"/>
      <c r="AL508" s="910"/>
      <c r="AM508" s="910"/>
      <c r="AN508" s="910"/>
      <c r="AO508" s="910"/>
      <c r="AP508" s="910"/>
      <c r="AQ508" s="910">
        <f t="shared" ref="AQ508:CR511" si="598">AQ467</f>
        <v>0</v>
      </c>
      <c r="AR508" s="910"/>
      <c r="AS508" s="910">
        <f t="shared" si="598"/>
        <v>0</v>
      </c>
      <c r="AT508" s="910"/>
      <c r="AU508" s="910"/>
      <c r="AV508" s="910"/>
      <c r="AW508" s="910"/>
      <c r="AX508" s="910"/>
      <c r="AY508" s="910"/>
      <c r="AZ508" s="910"/>
      <c r="BA508" s="910"/>
      <c r="BB508" s="910">
        <f t="shared" si="598"/>
        <v>0</v>
      </c>
      <c r="BC508" s="910"/>
      <c r="BD508" s="910"/>
      <c r="BE508" s="910"/>
      <c r="BF508" s="910"/>
      <c r="BG508" s="910"/>
      <c r="BH508" s="912"/>
      <c r="BI508" s="912"/>
      <c r="BJ508" s="912"/>
      <c r="BK508" s="912"/>
      <c r="BL508" s="912">
        <f t="shared" si="598"/>
        <v>0</v>
      </c>
      <c r="BM508" s="912"/>
      <c r="BN508" s="910"/>
      <c r="BO508" s="912"/>
      <c r="BP508" s="912"/>
      <c r="BQ508" s="912">
        <f t="shared" ref="BQ508" si="599">BQ467</f>
        <v>0</v>
      </c>
      <c r="BR508" s="912"/>
      <c r="BS508" s="910"/>
      <c r="BX508" s="752"/>
      <c r="CD508" s="910"/>
      <c r="CE508" s="910"/>
      <c r="CF508" s="910"/>
      <c r="CG508" s="910"/>
      <c r="CH508" s="910"/>
      <c r="CI508" s="910"/>
      <c r="CJ508" s="910"/>
      <c r="CK508" s="910" t="e">
        <f t="shared" si="598"/>
        <v>#VALUE!</v>
      </c>
      <c r="CL508" s="910" t="e">
        <f t="shared" si="598"/>
        <v>#VALUE!</v>
      </c>
      <c r="CM508" s="910">
        <f t="shared" si="598"/>
        <v>0</v>
      </c>
      <c r="CN508" s="910">
        <f t="shared" si="598"/>
        <v>0</v>
      </c>
      <c r="CO508" s="910">
        <f t="shared" si="598"/>
        <v>0</v>
      </c>
      <c r="CP508" s="910">
        <f t="shared" si="598"/>
        <v>0</v>
      </c>
      <c r="CQ508" s="910">
        <f t="shared" si="598"/>
        <v>0</v>
      </c>
      <c r="CR508" s="910">
        <f t="shared" si="598"/>
        <v>0</v>
      </c>
    </row>
    <row r="509" spans="1:106">
      <c r="A509" s="905" t="s">
        <v>2088</v>
      </c>
      <c r="B509" s="906" t="s">
        <v>1680</v>
      </c>
      <c r="S509" s="884">
        <f>('8.Бюджет на 2015'!N721+'8.Бюджет на 2015'!N722)/1000</f>
        <v>0</v>
      </c>
      <c r="T509" s="910">
        <f t="shared" si="597"/>
        <v>147355.24710000001</v>
      </c>
      <c r="U509" s="910">
        <f t="shared" si="597"/>
        <v>685737.68066187121</v>
      </c>
      <c r="V509" s="910">
        <f t="shared" si="597"/>
        <v>0</v>
      </c>
      <c r="W509" s="910"/>
      <c r="X509" s="910"/>
      <c r="Y509" s="910"/>
      <c r="Z509" s="911"/>
      <c r="AA509" s="910"/>
      <c r="AB509" s="910"/>
      <c r="AC509" s="910"/>
      <c r="AD509" s="910"/>
      <c r="AE509" s="910"/>
      <c r="AF509" s="910"/>
      <c r="AG509" s="912"/>
      <c r="AH509" s="910"/>
      <c r="AI509" s="910"/>
      <c r="AJ509" s="910"/>
      <c r="AK509" s="910"/>
      <c r="AL509" s="910"/>
      <c r="AM509" s="910"/>
      <c r="AN509" s="910"/>
      <c r="AO509" s="910"/>
      <c r="AP509" s="910"/>
      <c r="AQ509" s="910">
        <f>AQ468</f>
        <v>153583.52997693949</v>
      </c>
      <c r="AR509" s="910"/>
      <c r="AS509" s="910">
        <f>AS468</f>
        <v>174129.47123287671</v>
      </c>
      <c r="AT509" s="910"/>
      <c r="AU509" s="910"/>
      <c r="AV509" s="910"/>
      <c r="AW509" s="910"/>
      <c r="AX509" s="910"/>
      <c r="AY509" s="910"/>
      <c r="AZ509" s="910"/>
      <c r="BA509" s="910"/>
      <c r="BB509" s="910">
        <f>BB468</f>
        <v>179012.33972602748</v>
      </c>
      <c r="BC509" s="910"/>
      <c r="BD509" s="910"/>
      <c r="BE509" s="910"/>
      <c r="BF509" s="910"/>
      <c r="BG509" s="910"/>
      <c r="BH509" s="912"/>
      <c r="BI509" s="912"/>
      <c r="BJ509" s="912"/>
      <c r="BK509" s="912"/>
      <c r="BL509" s="912">
        <f>BL468</f>
        <v>179012.33972602748</v>
      </c>
      <c r="BM509" s="912"/>
      <c r="BN509" s="910"/>
      <c r="BO509" s="912"/>
      <c r="BP509" s="912"/>
      <c r="BQ509" s="912">
        <f>BQ468</f>
        <v>179012.33972602748</v>
      </c>
      <c r="BR509" s="912"/>
      <c r="BS509" s="910"/>
      <c r="BX509" s="752"/>
      <c r="CD509" s="910"/>
      <c r="CE509" s="910"/>
      <c r="CF509" s="910"/>
      <c r="CG509" s="910"/>
      <c r="CH509" s="910"/>
      <c r="CI509" s="910"/>
      <c r="CJ509" s="910"/>
      <c r="CK509" s="910" t="e">
        <f t="shared" si="598"/>
        <v>#VALUE!</v>
      </c>
      <c r="CL509" s="910" t="e">
        <f t="shared" si="598"/>
        <v>#VALUE!</v>
      </c>
      <c r="CM509" s="910" t="e">
        <f t="shared" si="598"/>
        <v>#VALUE!</v>
      </c>
      <c r="CN509" s="910" t="e">
        <f t="shared" si="598"/>
        <v>#VALUE!</v>
      </c>
      <c r="CO509" s="910">
        <f t="shared" si="598"/>
        <v>0</v>
      </c>
      <c r="CP509" s="910">
        <f t="shared" si="598"/>
        <v>638814.65981977095</v>
      </c>
      <c r="CQ509" s="910">
        <f t="shared" si="598"/>
        <v>46923.02084210029</v>
      </c>
      <c r="CR509" s="910">
        <f t="shared" si="598"/>
        <v>0</v>
      </c>
    </row>
    <row r="510" spans="1:106">
      <c r="A510" s="905" t="s">
        <v>2090</v>
      </c>
      <c r="B510" s="906" t="s">
        <v>1682</v>
      </c>
      <c r="S510" s="884">
        <f>('8.Бюджет на 2015'!N492-'8.Бюджет на 2015'!N493)/1000</f>
        <v>0</v>
      </c>
      <c r="T510" s="910">
        <f t="shared" si="597"/>
        <v>0</v>
      </c>
      <c r="U510" s="910">
        <f t="shared" si="597"/>
        <v>306447.21135</v>
      </c>
      <c r="V510" s="910">
        <f t="shared" si="597"/>
        <v>0</v>
      </c>
      <c r="W510" s="910"/>
      <c r="X510" s="910"/>
      <c r="Y510" s="910"/>
      <c r="Z510" s="911"/>
      <c r="AA510" s="910"/>
      <c r="AB510" s="910"/>
      <c r="AC510" s="910"/>
      <c r="AD510" s="910"/>
      <c r="AE510" s="910"/>
      <c r="AF510" s="910"/>
      <c r="AG510" s="912"/>
      <c r="AH510" s="910"/>
      <c r="AI510" s="910"/>
      <c r="AJ510" s="910"/>
      <c r="AK510" s="910"/>
      <c r="AL510" s="910"/>
      <c r="AM510" s="910"/>
      <c r="AN510" s="910"/>
      <c r="AO510" s="910"/>
      <c r="AP510" s="910"/>
      <c r="AQ510" s="910">
        <f>AQ469</f>
        <v>181210.90559000001</v>
      </c>
      <c r="AR510" s="910"/>
      <c r="AS510" s="910">
        <f>AS469</f>
        <v>42523.110240000002</v>
      </c>
      <c r="AT510" s="910"/>
      <c r="AU510" s="910"/>
      <c r="AV510" s="910"/>
      <c r="AW510" s="910"/>
      <c r="AX510" s="910"/>
      <c r="AY510" s="910"/>
      <c r="AZ510" s="910"/>
      <c r="BA510" s="910"/>
      <c r="BB510" s="910">
        <f>BB469</f>
        <v>43463.787579999997</v>
      </c>
      <c r="BC510" s="910"/>
      <c r="BD510" s="910"/>
      <c r="BE510" s="910"/>
      <c r="BF510" s="910"/>
      <c r="BG510" s="910"/>
      <c r="BH510" s="912"/>
      <c r="BI510" s="912"/>
      <c r="BJ510" s="912"/>
      <c r="BK510" s="912"/>
      <c r="BL510" s="912">
        <f>BL469</f>
        <v>39249.407939999997</v>
      </c>
      <c r="BM510" s="912"/>
      <c r="BN510" s="910"/>
      <c r="BO510" s="912"/>
      <c r="BP510" s="912"/>
      <c r="BQ510" s="912">
        <f>BQ469</f>
        <v>39249.407939999997</v>
      </c>
      <c r="BR510" s="912"/>
      <c r="BS510" s="910"/>
      <c r="BX510" s="752"/>
      <c r="CD510" s="910"/>
      <c r="CE510" s="910"/>
      <c r="CF510" s="910"/>
      <c r="CG510" s="910"/>
      <c r="CH510" s="910"/>
      <c r="CI510" s="910"/>
      <c r="CJ510" s="910"/>
      <c r="CK510" s="910" t="e">
        <f t="shared" si="598"/>
        <v>#VALUE!</v>
      </c>
      <c r="CL510" s="910" t="e">
        <f t="shared" si="598"/>
        <v>#VALUE!</v>
      </c>
      <c r="CM510" s="910">
        <f t="shared" si="598"/>
        <v>0</v>
      </c>
      <c r="CN510" s="910">
        <f t="shared" si="598"/>
        <v>0</v>
      </c>
      <c r="CO510" s="910">
        <f t="shared" si="598"/>
        <v>0</v>
      </c>
      <c r="CP510" s="910">
        <f t="shared" si="598"/>
        <v>255932.60912853872</v>
      </c>
      <c r="CQ510" s="910">
        <f t="shared" si="598"/>
        <v>10578.81614699157</v>
      </c>
      <c r="CR510" s="910">
        <f t="shared" si="598"/>
        <v>39935.78607446971</v>
      </c>
    </row>
    <row r="511" spans="1:106" ht="28.8" thickBot="1">
      <c r="A511" s="905" t="s">
        <v>2092</v>
      </c>
      <c r="B511" s="906" t="s">
        <v>1305</v>
      </c>
      <c r="S511" s="884">
        <f>('8.Бюджет на 2015'!N720-'8.Бюджет на 2015'!N721-'8.Бюджет на 2015'!N722)/1000</f>
        <v>0</v>
      </c>
      <c r="T511" s="910">
        <f t="shared" si="597"/>
        <v>46077.97</v>
      </c>
      <c r="U511" s="910">
        <f t="shared" si="597"/>
        <v>296097.35105261637</v>
      </c>
      <c r="V511" s="910">
        <f t="shared" si="597"/>
        <v>0</v>
      </c>
      <c r="W511" s="910"/>
      <c r="X511" s="910"/>
      <c r="Y511" s="910"/>
      <c r="Z511" s="911"/>
      <c r="AA511" s="910"/>
      <c r="AB511" s="910"/>
      <c r="AC511" s="910"/>
      <c r="AD511" s="910"/>
      <c r="AE511" s="910"/>
      <c r="AF511" s="910"/>
      <c r="AG511" s="912"/>
      <c r="AH511" s="910"/>
      <c r="AI511" s="910"/>
      <c r="AJ511" s="910"/>
      <c r="AK511" s="910"/>
      <c r="AL511" s="910"/>
      <c r="AM511" s="910"/>
      <c r="AN511" s="910"/>
      <c r="AO511" s="910"/>
      <c r="AP511" s="910"/>
      <c r="AQ511" s="910">
        <f>AQ470</f>
        <v>26036.825651600004</v>
      </c>
      <c r="AR511" s="910"/>
      <c r="AS511" s="910">
        <f>AS470</f>
        <v>44302.136331810012</v>
      </c>
      <c r="AT511" s="910"/>
      <c r="AU511" s="910"/>
      <c r="AV511" s="910"/>
      <c r="AW511" s="910"/>
      <c r="AX511" s="910"/>
      <c r="AY511" s="910"/>
      <c r="AZ511" s="910"/>
      <c r="BA511" s="910"/>
      <c r="BB511" s="910">
        <f>BB470</f>
        <v>118200.50588150007</v>
      </c>
      <c r="BC511" s="910"/>
      <c r="BD511" s="910"/>
      <c r="BE511" s="910"/>
      <c r="BF511" s="910"/>
      <c r="BG511" s="910"/>
      <c r="BH511" s="912"/>
      <c r="BI511" s="912"/>
      <c r="BJ511" s="912"/>
      <c r="BK511" s="912"/>
      <c r="BL511" s="912">
        <f>BL470</f>
        <v>107557.88318770652</v>
      </c>
      <c r="BM511" s="912"/>
      <c r="BN511" s="910"/>
      <c r="BO511" s="912"/>
      <c r="BP511" s="912"/>
      <c r="BQ511" s="912">
        <f>BQ470</f>
        <v>107557.88318770652</v>
      </c>
      <c r="BR511" s="912"/>
      <c r="BS511" s="910"/>
      <c r="BX511" s="752"/>
      <c r="CD511" s="910"/>
      <c r="CE511" s="910"/>
      <c r="CF511" s="910"/>
      <c r="CG511" s="910"/>
      <c r="CH511" s="910"/>
      <c r="CI511" s="910"/>
      <c r="CJ511" s="910"/>
      <c r="CK511" s="910" t="e">
        <f t="shared" si="598"/>
        <v>#VALUE!</v>
      </c>
      <c r="CL511" s="910" t="e">
        <f t="shared" si="598"/>
        <v>#VALUE!</v>
      </c>
      <c r="CM511" s="910" t="e">
        <f t="shared" si="598"/>
        <v>#VALUE!</v>
      </c>
      <c r="CN511" s="910" t="e">
        <f t="shared" si="598"/>
        <v>#VALUE!</v>
      </c>
      <c r="CO511" s="910">
        <f t="shared" si="598"/>
        <v>0</v>
      </c>
      <c r="CP511" s="910">
        <f t="shared" si="598"/>
        <v>261822.80498437607</v>
      </c>
      <c r="CQ511" s="910">
        <f t="shared" si="598"/>
        <v>18631.088221955233</v>
      </c>
      <c r="CR511" s="910">
        <f t="shared" si="598"/>
        <v>15643.457846284993</v>
      </c>
    </row>
    <row r="512" spans="1:106" ht="28.8" thickBot="1">
      <c r="A512" s="864" t="s">
        <v>2094</v>
      </c>
      <c r="B512" s="865" t="s">
        <v>2095</v>
      </c>
      <c r="C512" s="866"/>
      <c r="D512" s="867"/>
      <c r="E512" s="867"/>
      <c r="F512" s="867"/>
      <c r="G512" s="867"/>
      <c r="H512" s="867"/>
      <c r="I512" s="867"/>
      <c r="J512" s="867"/>
      <c r="K512" s="867"/>
      <c r="L512" s="867"/>
      <c r="M512" s="867"/>
      <c r="N512" s="867"/>
      <c r="O512" s="867"/>
      <c r="P512" s="867"/>
      <c r="Q512" s="867"/>
      <c r="R512" s="867"/>
      <c r="S512" s="868">
        <f>SUM(S507,S508,S510,-S509,-S511)</f>
        <v>0</v>
      </c>
      <c r="T512" s="868">
        <f>SUM(T507,T508,T510,-T509,-T511)</f>
        <v>776633.78753284365</v>
      </c>
      <c r="U512" s="868">
        <f>SUM(U507,U508,U510,-U509,-U511)</f>
        <v>97845.981735520763</v>
      </c>
      <c r="V512" s="868">
        <f>SUM(V507,V508,V510,-V509,-V511)</f>
        <v>0</v>
      </c>
      <c r="W512" s="868"/>
      <c r="X512" s="868"/>
      <c r="Y512" s="868"/>
      <c r="Z512" s="869"/>
      <c r="AA512" s="868"/>
      <c r="AB512" s="868"/>
      <c r="AC512" s="868"/>
      <c r="AD512" s="868"/>
      <c r="AE512" s="868"/>
      <c r="AF512" s="868"/>
      <c r="AG512" s="801"/>
      <c r="AH512" s="868"/>
      <c r="AI512" s="868"/>
      <c r="AJ512" s="868"/>
      <c r="AK512" s="868"/>
      <c r="AL512" s="868"/>
      <c r="AM512" s="868"/>
      <c r="AN512" s="868"/>
      <c r="AO512" s="868"/>
      <c r="AP512" s="868"/>
      <c r="AQ512" s="868" t="e">
        <f>SUM(AQ507,AQ508,AQ510,-AQ509,-AQ511)</f>
        <v>#REF!</v>
      </c>
      <c r="AR512" s="868"/>
      <c r="AS512" s="868" t="e">
        <f>SUM(AS507,AS508,AS510,-AS509,-AS511)</f>
        <v>#REF!</v>
      </c>
      <c r="AT512" s="868"/>
      <c r="AU512" s="868"/>
      <c r="AV512" s="868"/>
      <c r="AW512" s="868"/>
      <c r="AX512" s="868"/>
      <c r="AY512" s="868"/>
      <c r="AZ512" s="868"/>
      <c r="BA512" s="868"/>
      <c r="BB512" s="868" t="e">
        <f>SUM(BB507,BB508,BB510,-BB509,-BB511)</f>
        <v>#REF!</v>
      </c>
      <c r="BC512" s="800"/>
      <c r="BD512" s="800"/>
      <c r="BE512" s="800"/>
      <c r="BF512" s="800"/>
      <c r="BG512" s="800"/>
      <c r="BH512" s="801"/>
      <c r="BI512" s="801"/>
      <c r="BJ512" s="801"/>
      <c r="BK512" s="801"/>
      <c r="BL512" s="801" t="e">
        <f>SUM(BL507,BL508,BL510,-BL509,-BL511)</f>
        <v>#REF!</v>
      </c>
      <c r="BM512" s="801"/>
      <c r="BN512" s="868"/>
      <c r="BO512" s="801"/>
      <c r="BP512" s="801"/>
      <c r="BQ512" s="801" t="e">
        <f>SUM(BQ507,BQ508,BQ510,-BQ509,-BQ511)</f>
        <v>#REF!</v>
      </c>
      <c r="BR512" s="801"/>
      <c r="BS512" s="868"/>
      <c r="BX512" s="752"/>
      <c r="CD512" s="870"/>
      <c r="CE512" s="870"/>
      <c r="CF512" s="870"/>
      <c r="CG512" s="870"/>
      <c r="CH512" s="870"/>
      <c r="CI512" s="870"/>
      <c r="CJ512" s="870"/>
      <c r="CP512" s="868">
        <f>SUM(CP507,CP508,CP510,-CP509,-CP511)</f>
        <v>-62355.027200196288</v>
      </c>
      <c r="CQ512" s="868">
        <f>SUM(CQ507,CQ508,CQ510,-CQ509,-CQ511)</f>
        <v>115384.89529040357</v>
      </c>
      <c r="CR512" s="868">
        <f>SUM(CR507,CR508,CR510,-CR509,-CR511)</f>
        <v>44816.113645313308</v>
      </c>
    </row>
    <row r="513" spans="1:113">
      <c r="A513" s="905" t="s">
        <v>2096</v>
      </c>
      <c r="B513" s="906" t="s">
        <v>2097</v>
      </c>
      <c r="S513" s="910">
        <f>-'8.Бюджет на 2015'!N790/1000</f>
        <v>0</v>
      </c>
      <c r="T513" s="910">
        <f t="shared" ref="T513:V516" si="600">T472</f>
        <v>0</v>
      </c>
      <c r="U513" s="910">
        <f t="shared" si="600"/>
        <v>0</v>
      </c>
      <c r="V513" s="910">
        <f t="shared" si="600"/>
        <v>0</v>
      </c>
      <c r="W513" s="910"/>
      <c r="X513" s="910"/>
      <c r="Y513" s="910"/>
      <c r="Z513" s="911"/>
      <c r="AA513" s="910"/>
      <c r="AB513" s="910"/>
      <c r="AC513" s="910"/>
      <c r="AD513" s="910"/>
      <c r="AE513" s="910"/>
      <c r="AF513" s="910"/>
      <c r="AG513" s="912"/>
      <c r="AH513" s="910"/>
      <c r="AI513" s="910"/>
      <c r="AJ513" s="910"/>
      <c r="AK513" s="910"/>
      <c r="AL513" s="910"/>
      <c r="AM513" s="910"/>
      <c r="AN513" s="910"/>
      <c r="AO513" s="910"/>
      <c r="AP513" s="910"/>
      <c r="AQ513" s="910">
        <f t="shared" ref="AQ513:CR516" si="601">AQ472</f>
        <v>0</v>
      </c>
      <c r="AR513" s="910"/>
      <c r="AS513" s="910">
        <f t="shared" si="601"/>
        <v>0</v>
      </c>
      <c r="AT513" s="910"/>
      <c r="AU513" s="910"/>
      <c r="AV513" s="910"/>
      <c r="AW513" s="910"/>
      <c r="AX513" s="910"/>
      <c r="AY513" s="910"/>
      <c r="AZ513" s="910"/>
      <c r="BA513" s="910"/>
      <c r="BB513" s="910">
        <f t="shared" si="601"/>
        <v>0</v>
      </c>
      <c r="BC513" s="910"/>
      <c r="BD513" s="910"/>
      <c r="BE513" s="910"/>
      <c r="BF513" s="910"/>
      <c r="BG513" s="910"/>
      <c r="BH513" s="912"/>
      <c r="BI513" s="912"/>
      <c r="BJ513" s="912"/>
      <c r="BK513" s="912"/>
      <c r="BL513" s="912">
        <f t="shared" si="601"/>
        <v>0</v>
      </c>
      <c r="BM513" s="912"/>
      <c r="BN513" s="910"/>
      <c r="BO513" s="912"/>
      <c r="BP513" s="912"/>
      <c r="BQ513" s="912">
        <f t="shared" ref="BQ513" si="602">BQ472</f>
        <v>0</v>
      </c>
      <c r="BR513" s="912"/>
      <c r="BS513" s="910"/>
      <c r="BX513" s="752"/>
      <c r="CD513" s="910"/>
      <c r="CE513" s="910"/>
      <c r="CF513" s="910"/>
      <c r="CG513" s="910"/>
      <c r="CH513" s="910"/>
      <c r="CI513" s="910"/>
      <c r="CJ513" s="910"/>
      <c r="CK513" s="910" t="e">
        <f t="shared" si="601"/>
        <v>#VALUE!</v>
      </c>
      <c r="CL513" s="910" t="e">
        <f t="shared" si="601"/>
        <v>#VALUE!</v>
      </c>
      <c r="CM513" s="910" t="e">
        <f t="shared" si="601"/>
        <v>#VALUE!</v>
      </c>
      <c r="CN513" s="910" t="e">
        <f t="shared" si="601"/>
        <v>#VALUE!</v>
      </c>
      <c r="CO513" s="910">
        <f t="shared" si="601"/>
        <v>0</v>
      </c>
      <c r="CP513" s="910">
        <f t="shared" si="601"/>
        <v>0</v>
      </c>
      <c r="CQ513" s="910">
        <f t="shared" si="601"/>
        <v>0</v>
      </c>
      <c r="CR513" s="910">
        <f t="shared" si="601"/>
        <v>0</v>
      </c>
    </row>
    <row r="514" spans="1:113">
      <c r="A514" s="905" t="s">
        <v>2098</v>
      </c>
      <c r="B514" s="906" t="s">
        <v>2099</v>
      </c>
      <c r="S514" s="910">
        <f>'8.Бюджет на 2015'!N789/1000</f>
        <v>0</v>
      </c>
      <c r="T514" s="910">
        <f t="shared" si="600"/>
        <v>0</v>
      </c>
      <c r="U514" s="910">
        <f t="shared" si="600"/>
        <v>0</v>
      </c>
      <c r="V514" s="910">
        <f t="shared" si="600"/>
        <v>0</v>
      </c>
      <c r="W514" s="910"/>
      <c r="X514" s="910"/>
      <c r="Y514" s="910"/>
      <c r="Z514" s="911"/>
      <c r="AA514" s="910"/>
      <c r="AB514" s="910"/>
      <c r="AC514" s="910"/>
      <c r="AD514" s="910"/>
      <c r="AE514" s="910"/>
      <c r="AF514" s="910"/>
      <c r="AG514" s="912"/>
      <c r="AH514" s="910"/>
      <c r="AI514" s="910"/>
      <c r="AJ514" s="910"/>
      <c r="AK514" s="910"/>
      <c r="AL514" s="910"/>
      <c r="AM514" s="910"/>
      <c r="AN514" s="910"/>
      <c r="AO514" s="910"/>
      <c r="AP514" s="910"/>
      <c r="AQ514" s="910">
        <f>AQ473</f>
        <v>0</v>
      </c>
      <c r="AR514" s="910"/>
      <c r="AS514" s="910">
        <f>AS473</f>
        <v>0</v>
      </c>
      <c r="AT514" s="910"/>
      <c r="AU514" s="910"/>
      <c r="AV514" s="910"/>
      <c r="AW514" s="910"/>
      <c r="AX514" s="910"/>
      <c r="AY514" s="910"/>
      <c r="AZ514" s="910"/>
      <c r="BA514" s="910"/>
      <c r="BB514" s="910">
        <f>BB473</f>
        <v>0</v>
      </c>
      <c r="BC514" s="910"/>
      <c r="BD514" s="910"/>
      <c r="BE514" s="910"/>
      <c r="BF514" s="910"/>
      <c r="BG514" s="910"/>
      <c r="BH514" s="912"/>
      <c r="BI514" s="912"/>
      <c r="BJ514" s="912"/>
      <c r="BK514" s="912"/>
      <c r="BL514" s="912">
        <f>BL473</f>
        <v>0</v>
      </c>
      <c r="BM514" s="912"/>
      <c r="BN514" s="910"/>
      <c r="BO514" s="912"/>
      <c r="BP514" s="912"/>
      <c r="BQ514" s="912">
        <f>BQ473</f>
        <v>0</v>
      </c>
      <c r="BR514" s="912"/>
      <c r="BS514" s="910"/>
      <c r="BX514" s="752"/>
      <c r="CD514" s="910"/>
      <c r="CE514" s="910"/>
      <c r="CF514" s="910"/>
      <c r="CG514" s="910"/>
      <c r="CH514" s="910"/>
      <c r="CI514" s="910"/>
      <c r="CJ514" s="910"/>
      <c r="CK514" s="910" t="e">
        <f t="shared" si="601"/>
        <v>#VALUE!</v>
      </c>
      <c r="CL514" s="910" t="e">
        <f t="shared" si="601"/>
        <v>#VALUE!</v>
      </c>
      <c r="CM514" s="910" t="e">
        <f t="shared" si="601"/>
        <v>#VALUE!</v>
      </c>
      <c r="CN514" s="910" t="e">
        <f t="shared" si="601"/>
        <v>#VALUE!</v>
      </c>
      <c r="CO514" s="910">
        <f t="shared" si="601"/>
        <v>0</v>
      </c>
      <c r="CP514" s="910">
        <f t="shared" si="601"/>
        <v>0</v>
      </c>
      <c r="CQ514" s="910">
        <f t="shared" si="601"/>
        <v>0</v>
      </c>
      <c r="CR514" s="910">
        <f t="shared" si="601"/>
        <v>0</v>
      </c>
    </row>
    <row r="515" spans="1:113">
      <c r="A515" s="905" t="s">
        <v>2101</v>
      </c>
      <c r="B515" s="906" t="s">
        <v>2102</v>
      </c>
      <c r="S515" s="910">
        <f>'8.Бюджет на 2015'!N788/1000</f>
        <v>0</v>
      </c>
      <c r="T515" s="910">
        <f t="shared" si="600"/>
        <v>94894.848929851971</v>
      </c>
      <c r="U515" s="910">
        <f t="shared" si="600"/>
        <v>88597.255901424229</v>
      </c>
      <c r="V515" s="910">
        <f t="shared" si="600"/>
        <v>0</v>
      </c>
      <c r="W515" s="910"/>
      <c r="X515" s="910"/>
      <c r="Y515" s="910"/>
      <c r="Z515" s="911"/>
      <c r="AA515" s="910"/>
      <c r="AB515" s="910"/>
      <c r="AC515" s="910"/>
      <c r="AD515" s="910"/>
      <c r="AE515" s="910"/>
      <c r="AF515" s="910"/>
      <c r="AG515" s="912"/>
      <c r="AH515" s="910"/>
      <c r="AI515" s="910"/>
      <c r="AJ515" s="910"/>
      <c r="AK515" s="910"/>
      <c r="AL515" s="910"/>
      <c r="AM515" s="910"/>
      <c r="AN515" s="910"/>
      <c r="AO515" s="910"/>
      <c r="AP515" s="910"/>
      <c r="AQ515" s="910">
        <f>AQ474</f>
        <v>21553.218204087989</v>
      </c>
      <c r="AR515" s="910"/>
      <c r="AS515" s="910">
        <f>AS474</f>
        <v>32199.911762712301</v>
      </c>
      <c r="AT515" s="910"/>
      <c r="AU515" s="910"/>
      <c r="AV515" s="910"/>
      <c r="AW515" s="910"/>
      <c r="AX515" s="910"/>
      <c r="AY515" s="910"/>
      <c r="AZ515" s="910"/>
      <c r="BA515" s="910"/>
      <c r="BB515" s="910">
        <f>BB474</f>
        <v>17968.751796456421</v>
      </c>
      <c r="BC515" s="910"/>
      <c r="BD515" s="910"/>
      <c r="BE515" s="910"/>
      <c r="BF515" s="910"/>
      <c r="BG515" s="910"/>
      <c r="BH515" s="912"/>
      <c r="BI515" s="912"/>
      <c r="BJ515" s="912"/>
      <c r="BK515" s="912"/>
      <c r="BL515" s="912">
        <f>BL474</f>
        <v>16875.374138167299</v>
      </c>
      <c r="BM515" s="912"/>
      <c r="BN515" s="910"/>
      <c r="BO515" s="912"/>
      <c r="BP515" s="912"/>
      <c r="BQ515" s="912">
        <f>BQ474</f>
        <v>16875.374138167299</v>
      </c>
      <c r="BR515" s="912"/>
      <c r="BS515" s="910"/>
      <c r="BX515" s="752"/>
      <c r="CD515" s="910"/>
      <c r="CE515" s="910"/>
      <c r="CF515" s="910"/>
      <c r="CG515" s="910"/>
      <c r="CH515" s="910"/>
      <c r="CI515" s="910"/>
      <c r="CJ515" s="910"/>
      <c r="CK515" s="910" t="e">
        <f t="shared" si="601"/>
        <v>#VALUE!</v>
      </c>
      <c r="CL515" s="910" t="e">
        <f t="shared" si="601"/>
        <v>#VALUE!</v>
      </c>
      <c r="CM515" s="910" t="e">
        <f t="shared" si="601"/>
        <v>#VALUE!</v>
      </c>
      <c r="CN515" s="910" t="e">
        <f t="shared" si="601"/>
        <v>#VALUE!</v>
      </c>
      <c r="CO515" s="910">
        <f t="shared" si="601"/>
        <v>0</v>
      </c>
      <c r="CP515" s="910">
        <f t="shared" si="601"/>
        <v>56557.054114280756</v>
      </c>
      <c r="CQ515" s="910" t="e">
        <f t="shared" si="601"/>
        <v>#REF!</v>
      </c>
      <c r="CR515" s="910" t="e">
        <f t="shared" si="601"/>
        <v>#REF!</v>
      </c>
    </row>
    <row r="516" spans="1:113" ht="28.8" thickBot="1">
      <c r="A516" s="915" t="s">
        <v>2103</v>
      </c>
      <c r="B516" s="916" t="s">
        <v>2104</v>
      </c>
      <c r="S516" s="917">
        <f>'8.Бюджет на 2015'!N791/1000</f>
        <v>0</v>
      </c>
      <c r="T516" s="910">
        <f t="shared" si="600"/>
        <v>0</v>
      </c>
      <c r="U516" s="910">
        <f t="shared" si="600"/>
        <v>139462.50759052328</v>
      </c>
      <c r="V516" s="910">
        <f t="shared" si="600"/>
        <v>0</v>
      </c>
      <c r="W516" s="910"/>
      <c r="X516" s="910"/>
      <c r="Y516" s="910"/>
      <c r="Z516" s="911"/>
      <c r="AA516" s="910"/>
      <c r="AB516" s="910"/>
      <c r="AC516" s="910"/>
      <c r="AD516" s="910"/>
      <c r="AE516" s="910"/>
      <c r="AF516" s="910"/>
      <c r="AG516" s="912"/>
      <c r="AH516" s="910"/>
      <c r="AI516" s="910"/>
      <c r="AJ516" s="910"/>
      <c r="AK516" s="910"/>
      <c r="AL516" s="910"/>
      <c r="AM516" s="910"/>
      <c r="AN516" s="910"/>
      <c r="AO516" s="910"/>
      <c r="AP516" s="910"/>
      <c r="AQ516" s="910">
        <f>AQ475</f>
        <v>85952.604656320007</v>
      </c>
      <c r="AR516" s="910"/>
      <c r="AS516" s="910">
        <f>AS475</f>
        <v>8685.0001443620022</v>
      </c>
      <c r="AT516" s="910"/>
      <c r="AU516" s="910"/>
      <c r="AV516" s="910"/>
      <c r="AW516" s="910"/>
      <c r="AX516" s="910"/>
      <c r="AY516" s="910"/>
      <c r="AZ516" s="910"/>
      <c r="BA516" s="910"/>
      <c r="BB516" s="910">
        <f>BB475</f>
        <v>23465.377012300014</v>
      </c>
      <c r="BC516" s="910"/>
      <c r="BD516" s="910"/>
      <c r="BE516" s="910"/>
      <c r="BF516" s="910"/>
      <c r="BG516" s="910"/>
      <c r="BH516" s="912"/>
      <c r="BI516" s="912"/>
      <c r="BJ516" s="912"/>
      <c r="BK516" s="912"/>
      <c r="BL516" s="912">
        <f>BL475</f>
        <v>21359.525777541305</v>
      </c>
      <c r="BM516" s="912"/>
      <c r="BN516" s="910"/>
      <c r="BO516" s="912"/>
      <c r="BP516" s="912"/>
      <c r="BQ516" s="912">
        <f>BQ475</f>
        <v>21359.525777541305</v>
      </c>
      <c r="BR516" s="912"/>
      <c r="BS516" s="910"/>
      <c r="BX516" s="752"/>
      <c r="CD516" s="910"/>
      <c r="CE516" s="910"/>
      <c r="CF516" s="910"/>
      <c r="CG516" s="910"/>
      <c r="CH516" s="910"/>
      <c r="CI516" s="910"/>
      <c r="CJ516" s="910"/>
      <c r="CK516" s="910" t="e">
        <f t="shared" si="601"/>
        <v>#VALUE!</v>
      </c>
      <c r="CL516" s="910" t="e">
        <f t="shared" si="601"/>
        <v>#VALUE!</v>
      </c>
      <c r="CM516" s="910" t="e">
        <f t="shared" si="601"/>
        <v>#VALUE!</v>
      </c>
      <c r="CN516" s="910" t="e">
        <f t="shared" si="601"/>
        <v>#VALUE!</v>
      </c>
      <c r="CO516" s="910">
        <f t="shared" si="601"/>
        <v>0</v>
      </c>
      <c r="CP516" s="910">
        <f t="shared" si="601"/>
        <v>126398.42827615869</v>
      </c>
      <c r="CQ516" s="910">
        <f t="shared" si="601"/>
        <v>9164.2467252314837</v>
      </c>
      <c r="CR516" s="910">
        <f t="shared" si="601"/>
        <v>3899.8325891331087</v>
      </c>
    </row>
    <row r="517" spans="1:113" ht="28.8" thickBot="1">
      <c r="A517" s="1629" t="s">
        <v>1270</v>
      </c>
      <c r="B517" s="1630"/>
      <c r="S517" s="894"/>
      <c r="T517" s="894">
        <f>T320/1000</f>
        <v>345140.29777159984</v>
      </c>
      <c r="U517" s="894"/>
      <c r="V517" s="894"/>
      <c r="W517" s="894"/>
      <c r="X517" s="894"/>
      <c r="Y517" s="894"/>
      <c r="Z517" s="895"/>
      <c r="AA517" s="894"/>
      <c r="AB517" s="894"/>
      <c r="AC517" s="894"/>
      <c r="AD517" s="894"/>
      <c r="AE517" s="894"/>
      <c r="AF517" s="894"/>
      <c r="AG517" s="896"/>
      <c r="AH517" s="894"/>
      <c r="AI517" s="894"/>
      <c r="AJ517" s="894"/>
      <c r="AK517" s="894"/>
      <c r="AL517" s="894"/>
      <c r="AM517" s="894"/>
      <c r="AN517" s="894"/>
      <c r="AO517" s="894"/>
      <c r="AP517" s="894"/>
      <c r="AQ517" s="894"/>
      <c r="AR517" s="894"/>
      <c r="AS517" s="894"/>
      <c r="AT517" s="894"/>
      <c r="AU517" s="894"/>
      <c r="AV517" s="894"/>
      <c r="AW517" s="894"/>
      <c r="AX517" s="894"/>
      <c r="AY517" s="894"/>
      <c r="AZ517" s="894"/>
      <c r="BA517" s="894"/>
      <c r="BB517" s="894"/>
      <c r="BC517" s="894"/>
      <c r="BD517" s="894"/>
      <c r="BE517" s="894"/>
      <c r="BF517" s="894"/>
      <c r="BG517" s="894"/>
      <c r="BH517" s="896"/>
      <c r="BI517" s="896"/>
      <c r="BJ517" s="896"/>
      <c r="BK517" s="896"/>
      <c r="BL517" s="896"/>
      <c r="BM517" s="896"/>
      <c r="BN517" s="894"/>
      <c r="BO517" s="896"/>
      <c r="BP517" s="896"/>
      <c r="BQ517" s="896"/>
      <c r="BR517" s="896"/>
      <c r="BS517" s="894"/>
      <c r="BX517" s="752"/>
      <c r="CD517" s="897"/>
      <c r="CE517" s="897"/>
      <c r="CF517" s="897"/>
      <c r="CG517" s="897"/>
      <c r="CH517" s="897"/>
      <c r="CI517" s="897"/>
      <c r="CJ517" s="897"/>
      <c r="CP517" s="894"/>
      <c r="CQ517" s="894"/>
      <c r="CR517" s="894"/>
    </row>
    <row r="518" spans="1:113" ht="28.8" thickBot="1">
      <c r="A518" s="864" t="s">
        <v>2105</v>
      </c>
      <c r="B518" s="925" t="s">
        <v>1685</v>
      </c>
      <c r="C518" s="866"/>
      <c r="D518" s="867"/>
      <c r="E518" s="867"/>
      <c r="F518" s="867"/>
      <c r="G518" s="867"/>
      <c r="H518" s="867"/>
      <c r="I518" s="867"/>
      <c r="J518" s="867"/>
      <c r="K518" s="867"/>
      <c r="L518" s="867"/>
      <c r="M518" s="867"/>
      <c r="N518" s="867"/>
      <c r="O518" s="867"/>
      <c r="P518" s="867"/>
      <c r="Q518" s="867"/>
      <c r="R518" s="867"/>
      <c r="S518" s="868">
        <f>'8.Бюджет на 2015'!N802/1000</f>
        <v>0</v>
      </c>
      <c r="T518" s="868">
        <f>T488-T494+T508-T509+T510-T511-T515-T516-T517</f>
        <v>336598.64083139179</v>
      </c>
      <c r="U518" s="868">
        <f>U488-U494+U508-U509+U510-U511-U515-U516</f>
        <v>-130213.78175642675</v>
      </c>
      <c r="V518" s="868">
        <f>V488-V494+V508-V509+V510-V511-V515-V516</f>
        <v>0</v>
      </c>
      <c r="W518" s="868"/>
      <c r="X518" s="868"/>
      <c r="Y518" s="868"/>
      <c r="Z518" s="869"/>
      <c r="AA518" s="868"/>
      <c r="AB518" s="868"/>
      <c r="AC518" s="868"/>
      <c r="AD518" s="868"/>
      <c r="AE518" s="868"/>
      <c r="AF518" s="868"/>
      <c r="AG518" s="801"/>
      <c r="AH518" s="868"/>
      <c r="AI518" s="868"/>
      <c r="AJ518" s="868"/>
      <c r="AK518" s="868"/>
      <c r="AL518" s="868"/>
      <c r="AM518" s="868"/>
      <c r="AN518" s="868"/>
      <c r="AO518" s="868"/>
      <c r="AP518" s="868"/>
      <c r="AQ518" s="868" t="e">
        <f t="shared" ref="AQ518:CR518" si="603">AQ488-AQ494+AQ508-AQ509+AQ510-AQ511-AQ515-AQ516</f>
        <v>#REF!</v>
      </c>
      <c r="AR518" s="868"/>
      <c r="AS518" s="868" t="e">
        <f t="shared" si="603"/>
        <v>#REF!</v>
      </c>
      <c r="AT518" s="868"/>
      <c r="AU518" s="868"/>
      <c r="AV518" s="868"/>
      <c r="AW518" s="868"/>
      <c r="AX518" s="868"/>
      <c r="AY518" s="868"/>
      <c r="AZ518" s="868"/>
      <c r="BA518" s="868"/>
      <c r="BB518" s="868" t="e">
        <f t="shared" si="603"/>
        <v>#REF!</v>
      </c>
      <c r="BC518" s="800"/>
      <c r="BD518" s="800"/>
      <c r="BE518" s="800"/>
      <c r="BF518" s="800"/>
      <c r="BG518" s="800"/>
      <c r="BH518" s="801"/>
      <c r="BI518" s="801"/>
      <c r="BJ518" s="801"/>
      <c r="BK518" s="801"/>
      <c r="BL518" s="801" t="e">
        <f t="shared" si="603"/>
        <v>#REF!</v>
      </c>
      <c r="BM518" s="801"/>
      <c r="BN518" s="868"/>
      <c r="BO518" s="801"/>
      <c r="BP518" s="801"/>
      <c r="BQ518" s="801" t="e">
        <f t="shared" ref="BQ518" si="604">BQ488-BQ494+BQ508-BQ509+BQ510-BQ511-BQ515-BQ516</f>
        <v>#REF!</v>
      </c>
      <c r="BR518" s="801"/>
      <c r="BS518" s="868"/>
      <c r="BX518" s="752"/>
      <c r="CD518" s="868"/>
      <c r="CE518" s="868"/>
      <c r="CF518" s="868"/>
      <c r="CG518" s="868"/>
      <c r="CH518" s="868"/>
      <c r="CI518" s="868"/>
      <c r="CJ518" s="868"/>
      <c r="CK518" s="868" t="e">
        <f t="shared" si="603"/>
        <v>#VALUE!</v>
      </c>
      <c r="CL518" s="868" t="e">
        <f t="shared" si="603"/>
        <v>#VALUE!</v>
      </c>
      <c r="CM518" s="868" t="e">
        <f t="shared" si="603"/>
        <v>#VALUE!</v>
      </c>
      <c r="CN518" s="868" t="e">
        <f t="shared" si="603"/>
        <v>#VALUE!</v>
      </c>
      <c r="CO518" s="868">
        <f t="shared" si="603"/>
        <v>0</v>
      </c>
      <c r="CP518" s="868">
        <f t="shared" si="603"/>
        <v>-245310.50959063577</v>
      </c>
      <c r="CQ518" s="868" t="e">
        <f t="shared" si="603"/>
        <v>#REF!</v>
      </c>
      <c r="CR518" s="868" t="e">
        <f t="shared" si="603"/>
        <v>#REF!</v>
      </c>
    </row>
    <row r="519" spans="1:113" ht="28.8" thickBot="1">
      <c r="A519" s="926" t="s">
        <v>2106</v>
      </c>
      <c r="B519" s="927" t="s">
        <v>2107</v>
      </c>
      <c r="C519" s="928"/>
      <c r="D519" s="929"/>
      <c r="E519" s="929"/>
      <c r="F519" s="929"/>
      <c r="G519" s="929"/>
      <c r="H519" s="929"/>
      <c r="I519" s="929"/>
      <c r="J519" s="929"/>
      <c r="K519" s="929"/>
      <c r="L519" s="929"/>
      <c r="M519" s="929"/>
      <c r="N519" s="929"/>
      <c r="O519" s="929"/>
      <c r="P519" s="929"/>
      <c r="Q519" s="929"/>
      <c r="R519" s="929"/>
      <c r="S519" s="930"/>
      <c r="T519" s="1631">
        <f>T518-U518</f>
        <v>466812.42258781852</v>
      </c>
      <c r="U519" s="1632"/>
      <c r="V519" s="931"/>
      <c r="W519" s="931"/>
      <c r="X519" s="931"/>
      <c r="Y519" s="931"/>
      <c r="Z519" s="932"/>
      <c r="AA519" s="931"/>
      <c r="AB519" s="931"/>
      <c r="AC519" s="931"/>
      <c r="AD519" s="931"/>
      <c r="AE519" s="931"/>
      <c r="AF519" s="931"/>
      <c r="AG519" s="933"/>
      <c r="AH519" s="931"/>
      <c r="AI519" s="931"/>
      <c r="AJ519" s="931"/>
      <c r="AK519" s="931"/>
      <c r="AL519" s="931"/>
      <c r="AM519" s="931"/>
      <c r="AN519" s="931"/>
      <c r="AO519" s="931"/>
      <c r="AP519" s="931"/>
      <c r="AQ519" s="930"/>
      <c r="AR519" s="930"/>
      <c r="AS519" s="930"/>
      <c r="AT519" s="930"/>
      <c r="AU519" s="930"/>
      <c r="AV519" s="930"/>
      <c r="AW519" s="930"/>
      <c r="AX519" s="930"/>
      <c r="AY519" s="930"/>
      <c r="AZ519" s="930"/>
      <c r="BA519" s="930"/>
      <c r="BB519" s="930"/>
      <c r="BC519" s="800"/>
      <c r="BD519" s="800"/>
      <c r="BE519" s="800"/>
      <c r="BF519" s="800"/>
      <c r="BG519" s="800"/>
      <c r="BH519" s="801"/>
      <c r="BI519" s="801"/>
      <c r="BJ519" s="801"/>
      <c r="BK519" s="801"/>
      <c r="BL519" s="801"/>
      <c r="BM519" s="801"/>
      <c r="BN519" s="930"/>
      <c r="BO519" s="801"/>
      <c r="BP519" s="801"/>
      <c r="BQ519" s="801"/>
      <c r="BR519" s="801"/>
      <c r="BS519" s="930"/>
      <c r="BX519" s="752"/>
      <c r="CD519" s="930"/>
      <c r="CE519" s="930"/>
      <c r="CF519" s="930"/>
      <c r="CG519" s="930"/>
      <c r="CH519" s="930"/>
      <c r="CI519" s="930"/>
      <c r="CJ519" s="930"/>
      <c r="CK519" s="930"/>
      <c r="CL519" s="930"/>
      <c r="CM519" s="930"/>
      <c r="CN519" s="930"/>
      <c r="CO519" s="930"/>
      <c r="CP519" s="930"/>
      <c r="CQ519" s="930"/>
      <c r="CR519" s="930"/>
    </row>
    <row r="520" spans="1:113">
      <c r="BX520" s="752"/>
    </row>
    <row r="521" spans="1:113">
      <c r="BX521" s="752"/>
    </row>
    <row r="522" spans="1:113">
      <c r="BX522" s="752"/>
    </row>
    <row r="523" spans="1:113">
      <c r="BX523" s="752"/>
    </row>
    <row r="524" spans="1:113">
      <c r="BX524" s="752"/>
    </row>
    <row r="525" spans="1:113">
      <c r="BX525" s="752"/>
    </row>
    <row r="526" spans="1:113">
      <c r="BX526" s="752"/>
    </row>
    <row r="527" spans="1:113">
      <c r="BX527" s="752"/>
    </row>
    <row r="528" spans="1:113">
      <c r="BU528" s="784"/>
      <c r="BV528" s="784"/>
      <c r="BW528" s="784"/>
      <c r="BX528" s="755"/>
      <c r="BY528" s="784"/>
      <c r="BZ528" s="784"/>
      <c r="CA528" s="784"/>
      <c r="CB528" s="784"/>
      <c r="CC528" s="784"/>
      <c r="DF528" s="784"/>
      <c r="DG528" s="784"/>
      <c r="DH528" s="784"/>
      <c r="DI528" s="784"/>
    </row>
    <row r="529" spans="73:113">
      <c r="BU529" s="784"/>
      <c r="BV529" s="784"/>
      <c r="BW529" s="784"/>
      <c r="BX529" s="755"/>
      <c r="BY529" s="784"/>
      <c r="BZ529" s="784"/>
      <c r="CA529" s="784"/>
      <c r="CB529" s="784"/>
      <c r="CC529" s="784"/>
      <c r="DF529" s="784"/>
      <c r="DG529" s="784"/>
      <c r="DH529" s="784"/>
      <c r="DI529" s="784"/>
    </row>
    <row r="530" spans="73:113">
      <c r="BX530" s="752"/>
    </row>
    <row r="531" spans="73:113">
      <c r="BX531" s="752"/>
    </row>
    <row r="532" spans="73:113">
      <c r="BX532" s="752"/>
    </row>
    <row r="533" spans="73:113">
      <c r="BX533" s="752"/>
    </row>
    <row r="534" spans="73:113">
      <c r="BX534" s="752"/>
    </row>
    <row r="535" spans="73:113">
      <c r="BX535" s="752"/>
    </row>
    <row r="536" spans="73:113">
      <c r="BX536" s="752"/>
    </row>
    <row r="537" spans="73:113">
      <c r="BU537" s="752"/>
      <c r="BV537" s="752"/>
      <c r="BW537" s="752"/>
      <c r="BX537" s="752"/>
      <c r="BY537" s="752"/>
      <c r="BZ537" s="752"/>
      <c r="CA537" s="752"/>
      <c r="CB537" s="752"/>
      <c r="CC537" s="752"/>
      <c r="DF537" s="752"/>
      <c r="DG537" s="752"/>
      <c r="DH537" s="752"/>
      <c r="DI537" s="752"/>
    </row>
    <row r="538" spans="73:113">
      <c r="BU538" s="752"/>
      <c r="BV538" s="752"/>
      <c r="BW538" s="752"/>
      <c r="BX538" s="752"/>
      <c r="BY538" s="752"/>
      <c r="BZ538" s="752"/>
      <c r="CA538" s="752"/>
      <c r="CB538" s="752"/>
      <c r="CC538" s="752"/>
      <c r="DF538" s="752"/>
      <c r="DG538" s="752"/>
      <c r="DH538" s="752"/>
      <c r="DI538" s="752"/>
    </row>
    <row r="539" spans="73:113">
      <c r="BU539" s="752"/>
      <c r="BV539" s="752"/>
      <c r="BW539" s="752"/>
      <c r="BX539" s="752"/>
      <c r="BY539" s="752"/>
      <c r="BZ539" s="752"/>
      <c r="CA539" s="752"/>
      <c r="CB539" s="752"/>
      <c r="CC539" s="752"/>
      <c r="DF539" s="752"/>
      <c r="DG539" s="752"/>
      <c r="DH539" s="752"/>
      <c r="DI539" s="752"/>
    </row>
    <row r="540" spans="73:113">
      <c r="BU540" s="752"/>
      <c r="BV540" s="752"/>
      <c r="BW540" s="752"/>
      <c r="BX540" s="752"/>
      <c r="BY540" s="752"/>
      <c r="BZ540" s="752"/>
      <c r="CA540" s="752"/>
      <c r="CB540" s="752"/>
      <c r="CC540" s="752"/>
      <c r="DF540" s="752"/>
      <c r="DG540" s="752"/>
      <c r="DH540" s="752"/>
      <c r="DI540" s="752"/>
    </row>
    <row r="541" spans="73:113">
      <c r="BU541" s="946"/>
      <c r="BV541" s="946"/>
      <c r="BW541" s="946"/>
      <c r="BX541" s="946"/>
      <c r="BY541" s="946"/>
      <c r="BZ541" s="946"/>
      <c r="CA541" s="946"/>
      <c r="CB541" s="946"/>
      <c r="CC541" s="946"/>
      <c r="DF541" s="946"/>
      <c r="DG541" s="946"/>
      <c r="DH541" s="946"/>
      <c r="DI541" s="946"/>
    </row>
    <row r="542" spans="73:113">
      <c r="BU542" s="755"/>
      <c r="BV542" s="755"/>
      <c r="BW542" s="755"/>
      <c r="BX542" s="755"/>
      <c r="BY542" s="755"/>
      <c r="BZ542" s="755"/>
      <c r="CA542" s="755"/>
      <c r="CB542" s="755"/>
      <c r="CC542" s="755"/>
      <c r="DF542" s="755"/>
      <c r="DG542" s="755"/>
      <c r="DH542" s="755"/>
      <c r="DI542" s="755"/>
    </row>
    <row r="543" spans="73:113">
      <c r="BU543" s="755"/>
      <c r="BV543" s="755"/>
      <c r="BW543" s="755"/>
      <c r="BX543" s="755"/>
      <c r="BY543" s="755"/>
      <c r="BZ543" s="755"/>
      <c r="CA543" s="755"/>
      <c r="CB543" s="755"/>
      <c r="CC543" s="755"/>
      <c r="DF543" s="755"/>
      <c r="DG543" s="755"/>
      <c r="DH543" s="755"/>
      <c r="DI543" s="755"/>
    </row>
    <row r="544" spans="73:113">
      <c r="BU544" s="752"/>
      <c r="BV544" s="752"/>
      <c r="BW544" s="752"/>
      <c r="BX544" s="752"/>
      <c r="BY544" s="752"/>
      <c r="BZ544" s="752"/>
      <c r="CA544" s="752"/>
      <c r="CB544" s="752"/>
      <c r="CC544" s="752"/>
      <c r="DF544" s="752"/>
      <c r="DG544" s="752"/>
      <c r="DH544" s="752"/>
      <c r="DI544" s="752"/>
    </row>
    <row r="545" spans="73:113">
      <c r="BU545" s="752"/>
      <c r="BV545" s="752"/>
      <c r="BW545" s="752"/>
      <c r="BX545" s="752"/>
      <c r="BY545" s="752"/>
      <c r="BZ545" s="752"/>
      <c r="CA545" s="752"/>
      <c r="CB545" s="752"/>
      <c r="CC545" s="752"/>
      <c r="DF545" s="752"/>
      <c r="DG545" s="752"/>
      <c r="DH545" s="752"/>
      <c r="DI545" s="752"/>
    </row>
    <row r="546" spans="73:113">
      <c r="BU546" s="752"/>
      <c r="BV546" s="752"/>
      <c r="BW546" s="752"/>
      <c r="BX546" s="752"/>
      <c r="BY546" s="752"/>
      <c r="BZ546" s="752"/>
      <c r="CA546" s="752"/>
      <c r="CB546" s="752"/>
      <c r="CC546" s="752"/>
      <c r="DF546" s="752"/>
      <c r="DG546" s="752"/>
      <c r="DH546" s="752"/>
      <c r="DI546" s="752"/>
    </row>
    <row r="547" spans="73:113">
      <c r="BU547" s="752"/>
      <c r="BV547" s="752"/>
      <c r="BW547" s="752"/>
      <c r="BX547" s="752"/>
      <c r="BY547" s="752"/>
      <c r="BZ547" s="752"/>
      <c r="CA547" s="752"/>
      <c r="CB547" s="752"/>
      <c r="CC547" s="752"/>
      <c r="DF547" s="752"/>
      <c r="DG547" s="752"/>
      <c r="DH547" s="752"/>
      <c r="DI547" s="752"/>
    </row>
    <row r="548" spans="73:113">
      <c r="BU548" s="752"/>
      <c r="BV548" s="752"/>
      <c r="BW548" s="752"/>
      <c r="BX548" s="752"/>
      <c r="BY548" s="752"/>
      <c r="BZ548" s="752"/>
      <c r="CA548" s="752"/>
      <c r="CB548" s="752"/>
      <c r="CC548" s="752"/>
      <c r="DF548" s="752"/>
      <c r="DG548" s="752"/>
      <c r="DH548" s="752"/>
      <c r="DI548" s="752"/>
    </row>
    <row r="549" spans="73:113">
      <c r="BU549" s="752"/>
      <c r="BV549" s="752"/>
      <c r="BW549" s="752"/>
      <c r="BX549" s="752"/>
      <c r="BY549" s="752"/>
      <c r="BZ549" s="752"/>
      <c r="CA549" s="752"/>
      <c r="CB549" s="752"/>
      <c r="CC549" s="752"/>
      <c r="DF549" s="752"/>
      <c r="DG549" s="752"/>
      <c r="DH549" s="752"/>
      <c r="DI549" s="752"/>
    </row>
    <row r="550" spans="73:113">
      <c r="BU550" s="752"/>
      <c r="BV550" s="752"/>
      <c r="BW550" s="752"/>
      <c r="BX550" s="752"/>
      <c r="BY550" s="752"/>
      <c r="BZ550" s="752"/>
      <c r="CA550" s="752"/>
      <c r="CB550" s="752"/>
      <c r="CC550" s="752"/>
      <c r="DF550" s="752"/>
      <c r="DG550" s="752"/>
      <c r="DH550" s="752"/>
      <c r="DI550" s="752"/>
    </row>
    <row r="551" spans="73:113">
      <c r="BU551" s="752"/>
      <c r="BV551" s="752"/>
      <c r="BW551" s="752"/>
      <c r="BX551" s="752"/>
      <c r="BY551" s="752"/>
      <c r="BZ551" s="752"/>
      <c r="CA551" s="752"/>
      <c r="CB551" s="752"/>
      <c r="CC551" s="752"/>
      <c r="DF551" s="752"/>
      <c r="DG551" s="752"/>
      <c r="DH551" s="752"/>
      <c r="DI551" s="752"/>
    </row>
    <row r="552" spans="73:113">
      <c r="BU552" s="752"/>
      <c r="BV552" s="752"/>
      <c r="BW552" s="752"/>
      <c r="BX552" s="752"/>
      <c r="BY552" s="752"/>
      <c r="BZ552" s="752"/>
      <c r="CA552" s="752"/>
      <c r="CB552" s="752"/>
      <c r="CC552" s="752"/>
      <c r="DF552" s="752"/>
      <c r="DG552" s="752"/>
      <c r="DH552" s="752"/>
      <c r="DI552" s="752"/>
    </row>
    <row r="553" spans="73:113">
      <c r="BU553" s="752"/>
      <c r="BV553" s="752"/>
      <c r="BW553" s="752"/>
      <c r="BY553" s="752"/>
      <c r="BZ553" s="752"/>
      <c r="CA553" s="752"/>
      <c r="CB553" s="752"/>
      <c r="CC553" s="752"/>
      <c r="DF553" s="752"/>
      <c r="DG553" s="752"/>
      <c r="DH553" s="752"/>
      <c r="DI553" s="752"/>
    </row>
    <row r="554" spans="73:113">
      <c r="BU554" s="752"/>
      <c r="BV554" s="752"/>
      <c r="BW554" s="752"/>
      <c r="BY554" s="752"/>
      <c r="BZ554" s="752"/>
      <c r="CA554" s="752"/>
      <c r="CB554" s="752"/>
      <c r="CC554" s="752"/>
      <c r="DF554" s="752"/>
      <c r="DG554" s="752"/>
      <c r="DH554" s="752"/>
      <c r="DI554" s="752"/>
    </row>
    <row r="560" spans="73:113">
      <c r="BU560" s="947"/>
      <c r="BV560" s="947"/>
      <c r="BW560" s="947"/>
      <c r="BX560" s="948"/>
      <c r="BY560" s="947"/>
      <c r="BZ560" s="947"/>
      <c r="CA560" s="947"/>
      <c r="CB560" s="947"/>
      <c r="CC560" s="947"/>
      <c r="DF560" s="947"/>
      <c r="DG560" s="947"/>
      <c r="DH560" s="947"/>
      <c r="DI560" s="947"/>
    </row>
    <row r="561" spans="73:113">
      <c r="BU561" s="947"/>
      <c r="BV561" s="947"/>
      <c r="BW561" s="947"/>
      <c r="BX561" s="948"/>
      <c r="BY561" s="947"/>
      <c r="BZ561" s="947"/>
      <c r="CA561" s="947"/>
      <c r="CB561" s="947"/>
      <c r="CC561" s="947"/>
      <c r="DF561" s="947"/>
      <c r="DG561" s="947"/>
      <c r="DH561" s="947"/>
      <c r="DI561" s="947"/>
    </row>
    <row r="562" spans="73:113">
      <c r="BU562" s="784"/>
      <c r="BV562" s="784"/>
      <c r="BW562" s="784"/>
      <c r="BX562" s="791"/>
      <c r="BY562" s="784"/>
      <c r="BZ562" s="784"/>
      <c r="CA562" s="784"/>
      <c r="CB562" s="784"/>
      <c r="CC562" s="784"/>
      <c r="DF562" s="784"/>
      <c r="DG562" s="784"/>
      <c r="DH562" s="784"/>
      <c r="DI562" s="784"/>
    </row>
  </sheetData>
  <mergeCells count="445">
    <mergeCell ref="L2:L3"/>
    <mergeCell ref="M2:M3"/>
    <mergeCell ref="N2:N3"/>
    <mergeCell ref="AE2:AF2"/>
    <mergeCell ref="AQ2:AR2"/>
    <mergeCell ref="AS2:AT2"/>
    <mergeCell ref="AU2:AU3"/>
    <mergeCell ref="AV2:AV3"/>
    <mergeCell ref="AW2:AX2"/>
    <mergeCell ref="AG2:AG3"/>
    <mergeCell ref="AH2:AI2"/>
    <mergeCell ref="AJ2:AK2"/>
    <mergeCell ref="AL2:AL3"/>
    <mergeCell ref="AM2:AN2"/>
    <mergeCell ref="AO2:AP2"/>
    <mergeCell ref="A1:A3"/>
    <mergeCell ref="B1:B3"/>
    <mergeCell ref="D1:F1"/>
    <mergeCell ref="G1:R1"/>
    <mergeCell ref="V2:W2"/>
    <mergeCell ref="X2:Y2"/>
    <mergeCell ref="Z2:Z3"/>
    <mergeCell ref="AA2:AB2"/>
    <mergeCell ref="AC2:AD2"/>
    <mergeCell ref="O2:O3"/>
    <mergeCell ref="P2:P3"/>
    <mergeCell ref="Q2:R2"/>
    <mergeCell ref="S2:S3"/>
    <mergeCell ref="T2:T3"/>
    <mergeCell ref="U2:U3"/>
    <mergeCell ref="S1:BP1"/>
    <mergeCell ref="C2:C3"/>
    <mergeCell ref="D2:D3"/>
    <mergeCell ref="E2:E3"/>
    <mergeCell ref="F2:F3"/>
    <mergeCell ref="G2:G3"/>
    <mergeCell ref="I2:I3"/>
    <mergeCell ref="J2:J3"/>
    <mergeCell ref="K2:K3"/>
    <mergeCell ref="DF2:DI2"/>
    <mergeCell ref="CX4:CZ4"/>
    <mergeCell ref="BY2:CB2"/>
    <mergeCell ref="CC2:CC3"/>
    <mergeCell ref="CK2:CK3"/>
    <mergeCell ref="CL2:CL3"/>
    <mergeCell ref="CM2:CM3"/>
    <mergeCell ref="CN2:CN3"/>
    <mergeCell ref="AZ2:BA2"/>
    <mergeCell ref="BB2:BF2"/>
    <mergeCell ref="BG2:BK2"/>
    <mergeCell ref="BL2:BP2"/>
    <mergeCell ref="BQ2:BS2"/>
    <mergeCell ref="BU2:BX2"/>
    <mergeCell ref="AY2:AY3"/>
    <mergeCell ref="CX6:CZ7"/>
    <mergeCell ref="DA6:DA7"/>
    <mergeCell ref="CX8:CZ10"/>
    <mergeCell ref="DA8:DA10"/>
    <mergeCell ref="CS10:CW10"/>
    <mergeCell ref="CS11:CW11"/>
    <mergeCell ref="CO2:CO3"/>
    <mergeCell ref="CP2:CR3"/>
    <mergeCell ref="CS2:CW4"/>
    <mergeCell ref="CX2:CZ3"/>
    <mergeCell ref="DA2:DA4"/>
    <mergeCell ref="CS18:CW18"/>
    <mergeCell ref="CS19:CW19"/>
    <mergeCell ref="CS20:CW20"/>
    <mergeCell ref="CS21:CW21"/>
    <mergeCell ref="CS22:CW22"/>
    <mergeCell ref="CS23:CW23"/>
    <mergeCell ref="CS12:CW12"/>
    <mergeCell ref="CS13:CW13"/>
    <mergeCell ref="CS14:CW14"/>
    <mergeCell ref="CS15:CW15"/>
    <mergeCell ref="CS16:CW16"/>
    <mergeCell ref="CS17:CW17"/>
    <mergeCell ref="CS29:CW29"/>
    <mergeCell ref="CS30:CW30"/>
    <mergeCell ref="A31:B31"/>
    <mergeCell ref="CS31:CW31"/>
    <mergeCell ref="CS32:CW32"/>
    <mergeCell ref="CS33:CW33"/>
    <mergeCell ref="CS24:CW24"/>
    <mergeCell ref="CS25:CW25"/>
    <mergeCell ref="A26:B26"/>
    <mergeCell ref="CS26:CW26"/>
    <mergeCell ref="CS27:CW27"/>
    <mergeCell ref="CS28:CW28"/>
    <mergeCell ref="CS40:CW40"/>
    <mergeCell ref="CS41:CW41"/>
    <mergeCell ref="CS42:CW42"/>
    <mergeCell ref="CS43:CW43"/>
    <mergeCell ref="CS44:CW44"/>
    <mergeCell ref="CS45:CW45"/>
    <mergeCell ref="CS34:CW34"/>
    <mergeCell ref="CS35:CW35"/>
    <mergeCell ref="CS36:CW36"/>
    <mergeCell ref="CS37:CW37"/>
    <mergeCell ref="CS38:CW38"/>
    <mergeCell ref="CS39:CW39"/>
    <mergeCell ref="H57:H59"/>
    <mergeCell ref="CS57:CW57"/>
    <mergeCell ref="CS58:CW58"/>
    <mergeCell ref="CS59:CW59"/>
    <mergeCell ref="CS46:CW46"/>
    <mergeCell ref="CS47:CW47"/>
    <mergeCell ref="CS48:CW48"/>
    <mergeCell ref="CS49:CW49"/>
    <mergeCell ref="CS50:CW50"/>
    <mergeCell ref="CS51:CW51"/>
    <mergeCell ref="CS60:CW60"/>
    <mergeCell ref="CS61:CW61"/>
    <mergeCell ref="CS62:CW62"/>
    <mergeCell ref="CS63:CW63"/>
    <mergeCell ref="CS64:CW64"/>
    <mergeCell ref="CS65:CW65"/>
    <mergeCell ref="CS52:CW52"/>
    <mergeCell ref="CS53:CW53"/>
    <mergeCell ref="CS54:CW54"/>
    <mergeCell ref="CS55:CW55"/>
    <mergeCell ref="CS56:CW56"/>
    <mergeCell ref="CS72:CW72"/>
    <mergeCell ref="CS73:CW73"/>
    <mergeCell ref="CS74:CW74"/>
    <mergeCell ref="CS75:CW75"/>
    <mergeCell ref="CS76:CW76"/>
    <mergeCell ref="CS77:CW77"/>
    <mergeCell ref="CS66:CW66"/>
    <mergeCell ref="CS67:CW67"/>
    <mergeCell ref="CS68:CW68"/>
    <mergeCell ref="CS69:CW69"/>
    <mergeCell ref="CS70:CW70"/>
    <mergeCell ref="CS71:CW71"/>
    <mergeCell ref="CS84:CW84"/>
    <mergeCell ref="CS85:CW85"/>
    <mergeCell ref="CS86:CW86"/>
    <mergeCell ref="CS87:CW87"/>
    <mergeCell ref="CS88:CW88"/>
    <mergeCell ref="CS89:CW89"/>
    <mergeCell ref="CS78:CW78"/>
    <mergeCell ref="CS79:CW79"/>
    <mergeCell ref="CS80:CW80"/>
    <mergeCell ref="CS81:CW81"/>
    <mergeCell ref="CS82:CW82"/>
    <mergeCell ref="CS83:CW83"/>
    <mergeCell ref="CS96:CW96"/>
    <mergeCell ref="CS97:CW97"/>
    <mergeCell ref="CS98:CW98"/>
    <mergeCell ref="CS99:CW99"/>
    <mergeCell ref="CS100:CW100"/>
    <mergeCell ref="CS101:CW101"/>
    <mergeCell ref="CS90:CW90"/>
    <mergeCell ref="CS91:CW91"/>
    <mergeCell ref="CS92:CW92"/>
    <mergeCell ref="CS93:CW93"/>
    <mergeCell ref="CS94:CW94"/>
    <mergeCell ref="CS95:CW95"/>
    <mergeCell ref="CS108:CW108"/>
    <mergeCell ref="CS109:CW109"/>
    <mergeCell ref="CS110:CW110"/>
    <mergeCell ref="CS111:CW111"/>
    <mergeCell ref="CS112:CW112"/>
    <mergeCell ref="CS113:CW113"/>
    <mergeCell ref="CS102:CW102"/>
    <mergeCell ref="CS103:CW103"/>
    <mergeCell ref="CS104:CW104"/>
    <mergeCell ref="CS105:CW105"/>
    <mergeCell ref="CS106:CW106"/>
    <mergeCell ref="CS107:CW107"/>
    <mergeCell ref="CS120:CW120"/>
    <mergeCell ref="CS121:CW121"/>
    <mergeCell ref="CS122:CW122"/>
    <mergeCell ref="CS123:CW123"/>
    <mergeCell ref="CS124:CW124"/>
    <mergeCell ref="CS125:CW125"/>
    <mergeCell ref="CS114:CW114"/>
    <mergeCell ref="CS115:CW115"/>
    <mergeCell ref="CS116:CW116"/>
    <mergeCell ref="CS117:CW117"/>
    <mergeCell ref="CS118:CW118"/>
    <mergeCell ref="CS119:CW119"/>
    <mergeCell ref="CS132:CW132"/>
    <mergeCell ref="CS133:CW133"/>
    <mergeCell ref="CS134:CW134"/>
    <mergeCell ref="CS135:CW135"/>
    <mergeCell ref="CS136:CW136"/>
    <mergeCell ref="CS137:CW137"/>
    <mergeCell ref="CS126:CW126"/>
    <mergeCell ref="CS127:CW127"/>
    <mergeCell ref="CS128:CW128"/>
    <mergeCell ref="CS129:CW129"/>
    <mergeCell ref="CS130:CW130"/>
    <mergeCell ref="CS131:CW131"/>
    <mergeCell ref="CS145:CW145"/>
    <mergeCell ref="CS146:CW146"/>
    <mergeCell ref="CS147:CW147"/>
    <mergeCell ref="CS148:CW148"/>
    <mergeCell ref="CS149:CW149"/>
    <mergeCell ref="CS150:CW150"/>
    <mergeCell ref="CS139:CW139"/>
    <mergeCell ref="CS140:CW140"/>
    <mergeCell ref="CS141:CW141"/>
    <mergeCell ref="CS142:CW142"/>
    <mergeCell ref="CS143:CW143"/>
    <mergeCell ref="CS144:CW144"/>
    <mergeCell ref="CS156:CW156"/>
    <mergeCell ref="CS157:CW157"/>
    <mergeCell ref="CS158:CW158"/>
    <mergeCell ref="CS159:CW159"/>
    <mergeCell ref="CS160:CW160"/>
    <mergeCell ref="CS161:CW161"/>
    <mergeCell ref="H151:H152"/>
    <mergeCell ref="CS151:CW151"/>
    <mergeCell ref="CS152:CW152"/>
    <mergeCell ref="CS153:CW153"/>
    <mergeCell ref="CS154:CW154"/>
    <mergeCell ref="CS155:CW155"/>
    <mergeCell ref="CS168:CW168"/>
    <mergeCell ref="CS169:CW169"/>
    <mergeCell ref="CS170:CW170"/>
    <mergeCell ref="CS171:CW171"/>
    <mergeCell ref="CS172:CW172"/>
    <mergeCell ref="CS173:CW173"/>
    <mergeCell ref="CS162:CW162"/>
    <mergeCell ref="CS163:CW163"/>
    <mergeCell ref="CS164:CW164"/>
    <mergeCell ref="CS165:CW165"/>
    <mergeCell ref="CS166:CW166"/>
    <mergeCell ref="CS167:CW167"/>
    <mergeCell ref="CS180:CW180"/>
    <mergeCell ref="CS181:CW181"/>
    <mergeCell ref="CS182:CW182"/>
    <mergeCell ref="CS183:CW183"/>
    <mergeCell ref="CS184:CW184"/>
    <mergeCell ref="CS185:CW185"/>
    <mergeCell ref="CS174:CW174"/>
    <mergeCell ref="CS175:CW175"/>
    <mergeCell ref="CS176:CW176"/>
    <mergeCell ref="CS177:CW177"/>
    <mergeCell ref="CS178:CW178"/>
    <mergeCell ref="CS179:CW179"/>
    <mergeCell ref="CS192:CW192"/>
    <mergeCell ref="CS193:CW193"/>
    <mergeCell ref="CS194:CW194"/>
    <mergeCell ref="CS195:CW195"/>
    <mergeCell ref="CS196:CW196"/>
    <mergeCell ref="CS197:CW197"/>
    <mergeCell ref="CS186:CW186"/>
    <mergeCell ref="CS187:CW187"/>
    <mergeCell ref="CS188:CW188"/>
    <mergeCell ref="CS189:CW189"/>
    <mergeCell ref="CS190:CW190"/>
    <mergeCell ref="CS191:CW191"/>
    <mergeCell ref="CS204:CW204"/>
    <mergeCell ref="CS205:CW205"/>
    <mergeCell ref="CS206:CW206"/>
    <mergeCell ref="CS207:CW207"/>
    <mergeCell ref="CS208:CW208"/>
    <mergeCell ref="CS209:CW209"/>
    <mergeCell ref="CS198:CW198"/>
    <mergeCell ref="CS199:CW199"/>
    <mergeCell ref="CS200:CW200"/>
    <mergeCell ref="CS201:CW201"/>
    <mergeCell ref="CS202:CW202"/>
    <mergeCell ref="CS203:CW203"/>
    <mergeCell ref="CS216:CW216"/>
    <mergeCell ref="CS217:CW217"/>
    <mergeCell ref="CS218:CW218"/>
    <mergeCell ref="CS219:CW219"/>
    <mergeCell ref="CS220:CW220"/>
    <mergeCell ref="CS221:CW221"/>
    <mergeCell ref="CS210:CW210"/>
    <mergeCell ref="CS211:CW211"/>
    <mergeCell ref="CS212:CW212"/>
    <mergeCell ref="CS213:CW213"/>
    <mergeCell ref="CS214:CW214"/>
    <mergeCell ref="CS215:CW215"/>
    <mergeCell ref="A239:B239"/>
    <mergeCell ref="CS239:CW239"/>
    <mergeCell ref="CS228:CW228"/>
    <mergeCell ref="CS229:CW229"/>
    <mergeCell ref="CS230:CW230"/>
    <mergeCell ref="CS231:CW231"/>
    <mergeCell ref="CS232:CW232"/>
    <mergeCell ref="CS233:CW233"/>
    <mergeCell ref="CS222:CW222"/>
    <mergeCell ref="CS223:CW223"/>
    <mergeCell ref="CS224:CW224"/>
    <mergeCell ref="CS225:CW225"/>
    <mergeCell ref="CS226:CW226"/>
    <mergeCell ref="CS227:CW227"/>
    <mergeCell ref="CS240:CW240"/>
    <mergeCell ref="CS241:CW241"/>
    <mergeCell ref="CS242:CW242"/>
    <mergeCell ref="S243:S244"/>
    <mergeCell ref="T243:T244"/>
    <mergeCell ref="CS243:CW243"/>
    <mergeCell ref="CS244:CW244"/>
    <mergeCell ref="CS234:CW234"/>
    <mergeCell ref="CS235:CW235"/>
    <mergeCell ref="CS236:CW236"/>
    <mergeCell ref="CS237:CW237"/>
    <mergeCell ref="CS251:CW251"/>
    <mergeCell ref="CS252:CW252"/>
    <mergeCell ref="CS253:CW253"/>
    <mergeCell ref="CS254:CW254"/>
    <mergeCell ref="CS255:CW255"/>
    <mergeCell ref="CS256:CW256"/>
    <mergeCell ref="CS245:CW245"/>
    <mergeCell ref="CS246:CW246"/>
    <mergeCell ref="CS247:CW247"/>
    <mergeCell ref="CS248:CW248"/>
    <mergeCell ref="CS249:CW249"/>
    <mergeCell ref="CS250:CW250"/>
    <mergeCell ref="CS263:CW263"/>
    <mergeCell ref="CS264:CW264"/>
    <mergeCell ref="CS265:CW265"/>
    <mergeCell ref="CS266:CW266"/>
    <mergeCell ref="CS267:CW267"/>
    <mergeCell ref="CS268:CW268"/>
    <mergeCell ref="CS257:CW257"/>
    <mergeCell ref="CS258:CW258"/>
    <mergeCell ref="CS259:CW259"/>
    <mergeCell ref="CS260:CW260"/>
    <mergeCell ref="CS261:CW261"/>
    <mergeCell ref="CS262:CW262"/>
    <mergeCell ref="CS275:CW275"/>
    <mergeCell ref="CS276:CW276"/>
    <mergeCell ref="CS277:CW277"/>
    <mergeCell ref="CS278:CW278"/>
    <mergeCell ref="CS279:CW279"/>
    <mergeCell ref="CS280:CW280"/>
    <mergeCell ref="CS269:CW269"/>
    <mergeCell ref="CS270:CW270"/>
    <mergeCell ref="CS271:CW271"/>
    <mergeCell ref="CS272:CW272"/>
    <mergeCell ref="CS273:CW273"/>
    <mergeCell ref="CS274:CW274"/>
    <mergeCell ref="CS287:CW287"/>
    <mergeCell ref="CS288:CW288"/>
    <mergeCell ref="CS289:CW289"/>
    <mergeCell ref="CS290:CW290"/>
    <mergeCell ref="CS291:CW291"/>
    <mergeCell ref="CS292:CW292"/>
    <mergeCell ref="CS281:CW281"/>
    <mergeCell ref="CS282:CW282"/>
    <mergeCell ref="CS283:CW283"/>
    <mergeCell ref="CS284:CW284"/>
    <mergeCell ref="CS285:CW285"/>
    <mergeCell ref="CS286:CW286"/>
    <mergeCell ref="CS299:CW299"/>
    <mergeCell ref="A301:B301"/>
    <mergeCell ref="CS301:CW301"/>
    <mergeCell ref="CS302:CW302"/>
    <mergeCell ref="CS303:CW303"/>
    <mergeCell ref="CS304:CW304"/>
    <mergeCell ref="CS293:CW293"/>
    <mergeCell ref="CS294:CW294"/>
    <mergeCell ref="CS295:CW295"/>
    <mergeCell ref="CS296:CW296"/>
    <mergeCell ref="CS297:CW297"/>
    <mergeCell ref="CS298:CW298"/>
    <mergeCell ref="CS310:CW310"/>
    <mergeCell ref="CS311:CW311"/>
    <mergeCell ref="CS312:CW312"/>
    <mergeCell ref="CS313:CW313"/>
    <mergeCell ref="CS314:CW314"/>
    <mergeCell ref="CS315:CW315"/>
    <mergeCell ref="CS305:CW305"/>
    <mergeCell ref="CS306:CW306"/>
    <mergeCell ref="A307:B307"/>
    <mergeCell ref="CS307:CW307"/>
    <mergeCell ref="CS308:CW308"/>
    <mergeCell ref="CS309:CW309"/>
    <mergeCell ref="A321:B321"/>
    <mergeCell ref="CS321:CW321"/>
    <mergeCell ref="CS322:CW322"/>
    <mergeCell ref="A323:B323"/>
    <mergeCell ref="CS323:CW323"/>
    <mergeCell ref="CS324:CW324"/>
    <mergeCell ref="CS316:CW316"/>
    <mergeCell ref="CS317:CW317"/>
    <mergeCell ref="CS318:CW318"/>
    <mergeCell ref="A319:B319"/>
    <mergeCell ref="CS319:CW319"/>
    <mergeCell ref="CS320:CW320"/>
    <mergeCell ref="A332:B332"/>
    <mergeCell ref="A333:B333"/>
    <mergeCell ref="A334:B334"/>
    <mergeCell ref="A335:B335"/>
    <mergeCell ref="A433:A434"/>
    <mergeCell ref="B433:B434"/>
    <mergeCell ref="A325:B325"/>
    <mergeCell ref="CS325:CW325"/>
    <mergeCell ref="A327:B327"/>
    <mergeCell ref="A329:B329"/>
    <mergeCell ref="A330:B330"/>
    <mergeCell ref="A331:B331"/>
    <mergeCell ref="T433:T434"/>
    <mergeCell ref="U433:U434"/>
    <mergeCell ref="CP433:CR433"/>
    <mergeCell ref="A437:B437"/>
    <mergeCell ref="CT439:CW439"/>
    <mergeCell ref="A441:A445"/>
    <mergeCell ref="B441:B445"/>
    <mergeCell ref="S441:S445"/>
    <mergeCell ref="T441:T445"/>
    <mergeCell ref="U441:U445"/>
    <mergeCell ref="CT448:CW448"/>
    <mergeCell ref="CT459:CW459"/>
    <mergeCell ref="CT473:DB475"/>
    <mergeCell ref="A476:B476"/>
    <mergeCell ref="CT477:CT478"/>
    <mergeCell ref="CU477:CU478"/>
    <mergeCell ref="CW477:DB477"/>
    <mergeCell ref="T478:U478"/>
    <mergeCell ref="AQ441:AQ445"/>
    <mergeCell ref="AS441:AS445"/>
    <mergeCell ref="BB441:BB445"/>
    <mergeCell ref="BL441:BL445"/>
    <mergeCell ref="BQ441:BQ445"/>
    <mergeCell ref="CP441:CR443"/>
    <mergeCell ref="CP444:CP445"/>
    <mergeCell ref="CQ444:CQ445"/>
    <mergeCell ref="CR444:CR445"/>
    <mergeCell ref="CT490:CT491"/>
    <mergeCell ref="CU490:CU491"/>
    <mergeCell ref="CW490:DB490"/>
    <mergeCell ref="A517:B517"/>
    <mergeCell ref="T519:U519"/>
    <mergeCell ref="AS482:AS486"/>
    <mergeCell ref="BB482:BB486"/>
    <mergeCell ref="BL482:BL486"/>
    <mergeCell ref="BQ482:BQ486"/>
    <mergeCell ref="CP482:CR484"/>
    <mergeCell ref="CP485:CP486"/>
    <mergeCell ref="CQ485:CQ486"/>
    <mergeCell ref="CR485:CR486"/>
    <mergeCell ref="A482:A486"/>
    <mergeCell ref="B482:B486"/>
    <mergeCell ref="S482:S486"/>
    <mergeCell ref="T482:T486"/>
    <mergeCell ref="U482:U486"/>
    <mergeCell ref="AQ482:AQ486"/>
  </mergeCells>
  <pageMargins left="0" right="0" top="0" bottom="0" header="0" footer="0"/>
  <pageSetup paperSize="9" scale="15" fitToHeight="0" orientation="portrait" r:id="rId1"/>
  <rowBreaks count="3" manualBreakCount="3">
    <brk id="50" max="111" man="1"/>
    <brk id="325" max="104" man="1"/>
    <brk id="437" max="104" man="1"/>
  </rowBreaks>
  <colBreaks count="1" manualBreakCount="1">
    <brk id="107" max="5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15</vt:i4>
      </vt:variant>
    </vt:vector>
  </HeadingPairs>
  <TitlesOfParts>
    <vt:vector size="25" baseType="lpstr">
      <vt:lpstr>Приложение № 1</vt:lpstr>
      <vt:lpstr>Приложение № 2</vt:lpstr>
      <vt:lpstr>Приложение № 5</vt:lpstr>
      <vt:lpstr>Приложение № 8</vt:lpstr>
      <vt:lpstr>5. подк.неподк.план</vt:lpstr>
      <vt:lpstr>1.6.</vt:lpstr>
      <vt:lpstr>1.6</vt:lpstr>
      <vt:lpstr>1.3</vt:lpstr>
      <vt:lpstr>8.Бюджет на 2015</vt:lpstr>
      <vt:lpstr>1. подк.неподк. факт</vt:lpstr>
      <vt:lpstr>'1. подк.неподк. факт'!Заголовки_для_печати</vt:lpstr>
      <vt:lpstr>'1.6'!Заголовки_для_печати</vt:lpstr>
      <vt:lpstr>'5. подк.неподк.план'!Заголовки_для_печати</vt:lpstr>
      <vt:lpstr>'8.Бюджет на 2015'!Заголовки_для_печати</vt:lpstr>
      <vt:lpstr>'Приложение № 2'!Заголовки_для_печати</vt:lpstr>
      <vt:lpstr>'Приложение № 8'!Заголовки_для_печати</vt:lpstr>
      <vt:lpstr>'1. подк.неподк. факт'!Область_печати</vt:lpstr>
      <vt:lpstr>'1.3'!Область_печати</vt:lpstr>
      <vt:lpstr>'1.6'!Область_печати</vt:lpstr>
      <vt:lpstr>'1.6.'!Область_печати</vt:lpstr>
      <vt:lpstr>'5. подк.неподк.план'!Область_печати</vt:lpstr>
      <vt:lpstr>'8.Бюджет на 2015'!Область_печати</vt:lpstr>
      <vt:lpstr>'Приложение № 1'!Область_печати</vt:lpstr>
      <vt:lpstr>'Приложение № 2'!Область_печати</vt:lpstr>
      <vt:lpstr>'Приложение № 8'!Область_печати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2016-11-14T13:39:44Z</dcterms:modified>
</cp:coreProperties>
</file>